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/>
    <workbookView xWindow="360" yWindow="90" windowWidth="9720" windowHeight="6795" tabRatio="895" activeTab="2"/>
    <workbookView xWindow="600" yWindow="285" windowWidth="9720" windowHeight="6600" firstSheet="27" activeTab="32"/>
    <workbookView xWindow="840" yWindow="480" windowWidth="10860" windowHeight="6405"/>
  </bookViews>
  <sheets>
    <sheet name="summary" sheetId="63" r:id="rId1"/>
    <sheet name="by type" sheetId="80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Abo'!$A$5:$F$44</definedName>
    <definedName name="_xlnm.Print_Area" localSheetId="12">Conoco!$A$1:$F$41</definedName>
    <definedName name="_xlnm.Print_Area" localSheetId="16">DEFS!$A$1:$J$54</definedName>
    <definedName name="_xlnm.Print_Area" localSheetId="15">Duke!$A$2:$C$62</definedName>
    <definedName name="_xlnm.Print_Area" localSheetId="7">'El Paso'!$A$2:$I$38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0">summary!$A$6:$F$52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152511" iterate="1" iterateCount="50"/>
</workbook>
</file>

<file path=xl/calcChain.xml><?xml version="1.0" encoding="utf-8"?>
<calcChain xmlns="http://schemas.openxmlformats.org/spreadsheetml/2006/main">
  <c r="D5" i="8" l="1"/>
  <c r="D6" i="8"/>
  <c r="D18" i="8" s="1"/>
  <c r="D7" i="8"/>
  <c r="D8" i="8"/>
  <c r="D9" i="8"/>
  <c r="D10" i="8"/>
  <c r="D11" i="8"/>
  <c r="D12" i="8"/>
  <c r="D13" i="8"/>
  <c r="D14" i="8"/>
  <c r="D15" i="8"/>
  <c r="D16" i="8"/>
  <c r="D17" i="8"/>
  <c r="D19" i="8"/>
  <c r="D20" i="8" s="1"/>
  <c r="D24" i="8" s="1"/>
  <c r="B28" i="80" s="1"/>
  <c r="C28" i="80" s="1"/>
  <c r="D6" i="12"/>
  <c r="D37" i="12" s="1"/>
  <c r="D40" i="12" s="1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F8" i="18"/>
  <c r="F9" i="18"/>
  <c r="F10" i="18"/>
  <c r="F39" i="18" s="1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D7" i="69"/>
  <c r="D38" i="69" s="1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P10" i="80"/>
  <c r="P11" i="80"/>
  <c r="D12" i="80"/>
  <c r="P12" i="80"/>
  <c r="D13" i="80"/>
  <c r="D14" i="80"/>
  <c r="D15" i="80"/>
  <c r="D16" i="80"/>
  <c r="D17" i="80"/>
  <c r="D18" i="80"/>
  <c r="D19" i="80"/>
  <c r="D20" i="80"/>
  <c r="D21" i="80"/>
  <c r="D22" i="80"/>
  <c r="D23" i="80"/>
  <c r="D24" i="80"/>
  <c r="D25" i="80"/>
  <c r="D26" i="80"/>
  <c r="D27" i="80"/>
  <c r="D28" i="80"/>
  <c r="D29" i="80"/>
  <c r="D30" i="80"/>
  <c r="D31" i="80"/>
  <c r="D32" i="80"/>
  <c r="D36" i="80"/>
  <c r="D37" i="80"/>
  <c r="D38" i="80"/>
  <c r="D39" i="80"/>
  <c r="D40" i="80"/>
  <c r="D41" i="80"/>
  <c r="D42" i="80"/>
  <c r="D43" i="80"/>
  <c r="D44" i="80"/>
  <c r="D45" i="80"/>
  <c r="D46" i="80"/>
  <c r="D6" i="74"/>
  <c r="D37" i="74" s="1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8" i="74"/>
  <c r="D39" i="74" s="1"/>
  <c r="D41" i="74" s="1"/>
  <c r="D8" i="72"/>
  <c r="D39" i="72" s="1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5" i="78"/>
  <c r="D12" i="78" s="1"/>
  <c r="D6" i="78"/>
  <c r="D7" i="78"/>
  <c r="D8" i="78"/>
  <c r="D9" i="78"/>
  <c r="D10" i="78"/>
  <c r="D11" i="78"/>
  <c r="D13" i="78"/>
  <c r="D6" i="79"/>
  <c r="D37" i="79" s="1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F35" i="13" s="1"/>
  <c r="D35" i="13"/>
  <c r="E35" i="13"/>
  <c r="E36" i="13"/>
  <c r="C37" i="13"/>
  <c r="E37" i="13" s="1"/>
  <c r="E38" i="13" s="1"/>
  <c r="F40" i="13"/>
  <c r="F8" i="71"/>
  <c r="F9" i="71"/>
  <c r="F39" i="71" s="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40" i="71"/>
  <c r="F4" i="73"/>
  <c r="F35" i="73" s="1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C36" i="73" s="1"/>
  <c r="D35" i="73"/>
  <c r="E35" i="73"/>
  <c r="E36" i="73" s="1"/>
  <c r="F36" i="73" s="1"/>
  <c r="F39" i="73"/>
  <c r="B10" i="20"/>
  <c r="B11" i="20"/>
  <c r="B12" i="20"/>
  <c r="B13" i="20"/>
  <c r="B14" i="20"/>
  <c r="B15" i="20"/>
  <c r="B16" i="20"/>
  <c r="B29" i="20"/>
  <c r="B44" i="20"/>
  <c r="H5" i="11"/>
  <c r="H6" i="11"/>
  <c r="H36" i="11" s="1"/>
  <c r="H38" i="11" s="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P20" i="11" s="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P27" i="11" s="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P34" i="11" s="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8" i="11" s="1"/>
  <c r="B45" i="80" s="1"/>
  <c r="E36" i="11"/>
  <c r="F36" i="11"/>
  <c r="G36" i="11"/>
  <c r="AC36" i="11"/>
  <c r="AE36" i="11"/>
  <c r="AF36" i="11"/>
  <c r="AI36" i="11"/>
  <c r="AL36" i="11"/>
  <c r="AM36" i="11"/>
  <c r="AN36" i="11"/>
  <c r="AO36" i="11"/>
  <c r="AP36" i="11"/>
  <c r="E37" i="11"/>
  <c r="H37" i="11"/>
  <c r="AA37" i="11"/>
  <c r="AC37" i="11" s="1"/>
  <c r="AF37" i="11"/>
  <c r="AI37" i="11"/>
  <c r="AL37" i="11"/>
  <c r="AM37" i="11"/>
  <c r="AN37" i="11"/>
  <c r="AO37" i="11"/>
  <c r="AP37" i="11"/>
  <c r="C38" i="11"/>
  <c r="AC38" i="11"/>
  <c r="AE38" i="11"/>
  <c r="AP38" i="11" s="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 s="1"/>
  <c r="AM47" i="11"/>
  <c r="AN47" i="11"/>
  <c r="AO47" i="11"/>
  <c r="AM48" i="11"/>
  <c r="AN48" i="11"/>
  <c r="AO48" i="11"/>
  <c r="AP48" i="11"/>
  <c r="J4" i="70"/>
  <c r="J5" i="70"/>
  <c r="J35" i="70" s="1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D66" i="70"/>
  <c r="D67" i="70"/>
  <c r="D68" i="70" s="1"/>
  <c r="D69" i="70" s="1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F6" i="22"/>
  <c r="F37" i="22" s="1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7" i="5" s="1"/>
  <c r="C36" i="5"/>
  <c r="D36" i="5"/>
  <c r="E36" i="5"/>
  <c r="E37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40" i="17"/>
  <c r="D4" i="68"/>
  <c r="D35" i="68" s="1"/>
  <c r="D40" i="68" s="1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7" i="67"/>
  <c r="D6" i="65"/>
  <c r="D7" i="65"/>
  <c r="B8" i="65"/>
  <c r="D8" i="65"/>
  <c r="B9" i="65"/>
  <c r="D9" i="65" s="1"/>
  <c r="D10" i="65"/>
  <c r="B11" i="65"/>
  <c r="D11" i="65" s="1"/>
  <c r="D12" i="65"/>
  <c r="D13" i="65"/>
  <c r="D14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F5" i="7"/>
  <c r="Z5" i="7"/>
  <c r="AD5" i="7"/>
  <c r="AF5" i="7" s="1"/>
  <c r="AH5" i="7" s="1"/>
  <c r="AG5" i="7"/>
  <c r="AG6" i="7" s="1"/>
  <c r="AG7" i="7" s="1"/>
  <c r="AG8" i="7" s="1"/>
  <c r="AG9" i="7" s="1"/>
  <c r="AG10" i="7" s="1"/>
  <c r="AG11" i="7" s="1"/>
  <c r="AG12" i="7" s="1"/>
  <c r="F6" i="7"/>
  <c r="Z6" i="7"/>
  <c r="AD6" i="7" s="1"/>
  <c r="AF6" i="7" s="1"/>
  <c r="AH6" i="7"/>
  <c r="F7" i="7"/>
  <c r="Z7" i="7"/>
  <c r="AD7" i="7" s="1"/>
  <c r="AF7" i="7" s="1"/>
  <c r="F8" i="7"/>
  <c r="Z8" i="7"/>
  <c r="AD8" i="7"/>
  <c r="AF8" i="7" s="1"/>
  <c r="F9" i="7"/>
  <c r="Z9" i="7"/>
  <c r="AD9" i="7"/>
  <c r="AF9" i="7"/>
  <c r="F10" i="7"/>
  <c r="Z10" i="7"/>
  <c r="AD10" i="7" s="1"/>
  <c r="AF10" i="7" s="1"/>
  <c r="F11" i="7"/>
  <c r="Z11" i="7"/>
  <c r="AD11" i="7"/>
  <c r="AF11" i="7" s="1"/>
  <c r="F12" i="7"/>
  <c r="Z12" i="7"/>
  <c r="AD12" i="7" s="1"/>
  <c r="AF12" i="7" s="1"/>
  <c r="F13" i="7"/>
  <c r="Z13" i="7"/>
  <c r="AD13" i="7"/>
  <c r="AF13" i="7" s="1"/>
  <c r="AG13" i="7"/>
  <c r="AG14" i="7" s="1"/>
  <c r="AG15" i="7" s="1"/>
  <c r="AG16" i="7" s="1"/>
  <c r="AG17" i="7" s="1"/>
  <c r="F14" i="7"/>
  <c r="Z14" i="7"/>
  <c r="AD14" i="7" s="1"/>
  <c r="AF14" i="7" s="1"/>
  <c r="F15" i="7"/>
  <c r="Z15" i="7"/>
  <c r="AD15" i="7" s="1"/>
  <c r="AF15" i="7" s="1"/>
  <c r="F16" i="7"/>
  <c r="Z16" i="7"/>
  <c r="AD16" i="7"/>
  <c r="AF16" i="7" s="1"/>
  <c r="F17" i="7"/>
  <c r="Z17" i="7"/>
  <c r="AD17" i="7"/>
  <c r="AF17" i="7"/>
  <c r="F18" i="7"/>
  <c r="AI18" i="7"/>
  <c r="F19" i="7"/>
  <c r="Z19" i="7"/>
  <c r="AD19" i="7"/>
  <c r="AG19" i="7" s="1"/>
  <c r="AG20" i="7" s="1"/>
  <c r="F20" i="7"/>
  <c r="Z20" i="7"/>
  <c r="AD20" i="7"/>
  <c r="AF20" i="7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 s="1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 s="1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B5" i="64"/>
  <c r="D5" i="64"/>
  <c r="D17" i="64" s="1"/>
  <c r="D6" i="64"/>
  <c r="B7" i="64"/>
  <c r="D7" i="64"/>
  <c r="D8" i="64"/>
  <c r="B9" i="64"/>
  <c r="D9" i="64"/>
  <c r="D10" i="64"/>
  <c r="B11" i="64"/>
  <c r="D11" i="64"/>
  <c r="B12" i="64"/>
  <c r="D12" i="64"/>
  <c r="D13" i="64"/>
  <c r="D18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 s="1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 s="1"/>
  <c r="AV26" i="15"/>
  <c r="F27" i="15"/>
  <c r="AF27" i="15"/>
  <c r="AJ27" i="15"/>
  <c r="AN27" i="15"/>
  <c r="AQ27" i="15"/>
  <c r="AR27" i="15" s="1"/>
  <c r="AV27" i="15"/>
  <c r="F28" i="15"/>
  <c r="AF28" i="15"/>
  <c r="AI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N39" i="15" s="1"/>
  <c r="AR30" i="15"/>
  <c r="AU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AD39" i="15"/>
  <c r="AE39" i="15"/>
  <c r="AH39" i="15"/>
  <c r="AL39" i="15"/>
  <c r="AM39" i="15"/>
  <c r="AP39" i="15"/>
  <c r="AT39" i="15"/>
  <c r="AH52" i="15"/>
  <c r="AH54" i="15" s="1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F126" i="15"/>
  <c r="F127" i="15"/>
  <c r="F128" i="15"/>
  <c r="F133" i="15" s="1"/>
  <c r="C133" i="15" s="1"/>
  <c r="F129" i="15"/>
  <c r="F130" i="15"/>
  <c r="F131" i="15"/>
  <c r="B132" i="15"/>
  <c r="F132" i="15" s="1"/>
  <c r="B133" i="15"/>
  <c r="B136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C168" i="15" s="1"/>
  <c r="C174" i="15" s="1"/>
  <c r="C176" i="15" s="1"/>
  <c r="F176" i="15" s="1"/>
  <c r="B168" i="15"/>
  <c r="B174" i="15" s="1"/>
  <c r="B176" i="15" s="1"/>
  <c r="F169" i="15"/>
  <c r="F170" i="15"/>
  <c r="F171" i="15"/>
  <c r="F172" i="15"/>
  <c r="F173" i="15"/>
  <c r="C175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P10" i="63"/>
  <c r="F40" i="15" s="1"/>
  <c r="P11" i="63"/>
  <c r="F40" i="18" s="1"/>
  <c r="F41" i="18" s="1"/>
  <c r="F43" i="18" s="1"/>
  <c r="D12" i="63"/>
  <c r="P12" i="63"/>
  <c r="D13" i="63"/>
  <c r="D14" i="63"/>
  <c r="D15" i="63"/>
  <c r="D16" i="63"/>
  <c r="D17" i="63"/>
  <c r="B18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O39" i="63"/>
  <c r="D40" i="63"/>
  <c r="D41" i="63"/>
  <c r="D42" i="63"/>
  <c r="D43" i="63"/>
  <c r="D44" i="63"/>
  <c r="D45" i="63"/>
  <c r="B46" i="63"/>
  <c r="C46" i="63" s="1"/>
  <c r="D46" i="63"/>
  <c r="D47" i="63"/>
  <c r="D8" i="19"/>
  <c r="D9" i="19"/>
  <c r="D10" i="19"/>
  <c r="D11" i="19"/>
  <c r="D39" i="19" s="1"/>
  <c r="D41" i="19" s="1"/>
  <c r="D43" i="19" s="1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D70" i="2"/>
  <c r="D73" i="2"/>
  <c r="D74" i="2"/>
  <c r="D75" i="2"/>
  <c r="C34" i="63" l="1"/>
  <c r="B34" i="63" s="1"/>
  <c r="C40" i="80"/>
  <c r="B40" i="80" s="1"/>
  <c r="B29" i="63"/>
  <c r="C29" i="63" s="1"/>
  <c r="B24" i="80"/>
  <c r="C24" i="80" s="1"/>
  <c r="B102" i="15"/>
  <c r="AN45" i="15"/>
  <c r="C37" i="73"/>
  <c r="D38" i="75"/>
  <c r="D39" i="75" s="1"/>
  <c r="D41" i="75" s="1"/>
  <c r="F92" i="15"/>
  <c r="B101" i="15"/>
  <c r="B31" i="80"/>
  <c r="C31" i="80" s="1"/>
  <c r="B41" i="63"/>
  <c r="C41" i="63" s="1"/>
  <c r="E41" i="13"/>
  <c r="F38" i="13"/>
  <c r="C26" i="63"/>
  <c r="B26" i="63" s="1"/>
  <c r="C42" i="80"/>
  <c r="B42" i="80" s="1"/>
  <c r="F101" i="15"/>
  <c r="C101" i="15" s="1"/>
  <c r="AR23" i="15"/>
  <c r="AQ39" i="15"/>
  <c r="AI5" i="7"/>
  <c r="F34" i="67"/>
  <c r="F38" i="67" s="1"/>
  <c r="B17" i="63"/>
  <c r="C17" i="63" s="1"/>
  <c r="B16" i="80"/>
  <c r="C16" i="80" s="1"/>
  <c r="C30" i="63"/>
  <c r="B30" i="63" s="1"/>
  <c r="C41" i="80"/>
  <c r="B41" i="80" s="1"/>
  <c r="J35" i="2"/>
  <c r="J40" i="2" s="1"/>
  <c r="D19" i="64"/>
  <c r="D23" i="64" s="1"/>
  <c r="F39" i="22"/>
  <c r="F41" i="22" s="1"/>
  <c r="F41" i="71"/>
  <c r="F43" i="71" s="1"/>
  <c r="AJ39" i="15"/>
  <c r="AJ45" i="15" s="1"/>
  <c r="K114" i="15"/>
  <c r="AH56" i="15"/>
  <c r="AH57" i="15" s="1"/>
  <c r="AJ28" i="15"/>
  <c r="AI39" i="15"/>
  <c r="C45" i="63"/>
  <c r="B45" i="63" s="1"/>
  <c r="C36" i="80"/>
  <c r="AL48" i="11"/>
  <c r="C45" i="80"/>
  <c r="C18" i="63"/>
  <c r="AR39" i="15"/>
  <c r="AR45" i="15" s="1"/>
  <c r="AU39" i="15"/>
  <c r="AV30" i="15"/>
  <c r="AV39" i="15" s="1"/>
  <c r="AF39" i="15"/>
  <c r="AF45" i="15" s="1"/>
  <c r="AG21" i="7"/>
  <c r="AH7" i="7"/>
  <c r="AI6" i="7"/>
  <c r="J39" i="17"/>
  <c r="F36" i="5"/>
  <c r="F42" i="5" s="1"/>
  <c r="D35" i="28"/>
  <c r="D40" i="28" s="1"/>
  <c r="F39" i="15"/>
  <c r="F41" i="15" s="1"/>
  <c r="F43" i="15" s="1"/>
  <c r="F35" i="6"/>
  <c r="F40" i="6" s="1"/>
  <c r="D37" i="76"/>
  <c r="D39" i="76" s="1"/>
  <c r="D41" i="76" s="1"/>
  <c r="D37" i="81"/>
  <c r="D41" i="81" s="1"/>
  <c r="D18" i="65"/>
  <c r="J41" i="17"/>
  <c r="J43" i="17" s="1"/>
  <c r="D14" i="78"/>
  <c r="D18" i="78" s="1"/>
  <c r="AF19" i="7"/>
  <c r="AH19" i="7" s="1"/>
  <c r="D19" i="65"/>
  <c r="D20" i="65" s="1"/>
  <c r="D24" i="65" s="1"/>
  <c r="C36" i="13"/>
  <c r="C38" i="13" s="1"/>
  <c r="C41" i="13" s="1"/>
  <c r="D39" i="69"/>
  <c r="D40" i="69" s="1"/>
  <c r="D42" i="69" s="1"/>
  <c r="H36" i="9"/>
  <c r="H37" i="9" s="1"/>
  <c r="H39" i="9" s="1"/>
  <c r="D38" i="77"/>
  <c r="D39" i="77" s="1"/>
  <c r="D41" i="77" s="1"/>
  <c r="AP47" i="11"/>
  <c r="AF38" i="11"/>
  <c r="AF34" i="11"/>
  <c r="AF27" i="11"/>
  <c r="AF20" i="11"/>
  <c r="J36" i="70"/>
  <c r="J37" i="70" s="1"/>
  <c r="J41" i="70" s="1"/>
  <c r="B30" i="20"/>
  <c r="D38" i="79"/>
  <c r="D39" i="79" s="1"/>
  <c r="D41" i="79" s="1"/>
  <c r="D40" i="72"/>
  <c r="D41" i="72" s="1"/>
  <c r="D43" i="72" s="1"/>
  <c r="B13" i="63" l="1"/>
  <c r="C13" i="63" s="1"/>
  <c r="B13" i="80"/>
  <c r="C13" i="80" s="1"/>
  <c r="B15" i="80"/>
  <c r="C15" i="80" s="1"/>
  <c r="B16" i="63"/>
  <c r="C16" i="63" s="1"/>
  <c r="B23" i="63"/>
  <c r="C23" i="63" s="1"/>
  <c r="B21" i="80"/>
  <c r="C21" i="80" s="1"/>
  <c r="C43" i="80"/>
  <c r="B43" i="80" s="1"/>
  <c r="C27" i="63"/>
  <c r="B27" i="63" s="1"/>
  <c r="B30" i="80"/>
  <c r="C30" i="80" s="1"/>
  <c r="B42" i="63"/>
  <c r="C42" i="63" s="1"/>
  <c r="B17" i="20"/>
  <c r="C17" i="20" s="1"/>
  <c r="C18" i="20" s="1"/>
  <c r="B45" i="20"/>
  <c r="C45" i="20" s="1"/>
  <c r="C46" i="20" s="1"/>
  <c r="C30" i="20"/>
  <c r="C31" i="20" s="1"/>
  <c r="B25" i="63"/>
  <c r="C25" i="63" s="1"/>
  <c r="B22" i="80"/>
  <c r="C22" i="80" s="1"/>
  <c r="C37" i="80"/>
  <c r="B37" i="80" s="1"/>
  <c r="C44" i="63"/>
  <c r="B44" i="63" s="1"/>
  <c r="C38" i="73"/>
  <c r="C40" i="73" s="1"/>
  <c r="E37" i="73"/>
  <c r="C38" i="80"/>
  <c r="B38" i="80" s="1"/>
  <c r="C32" i="63"/>
  <c r="B32" i="63" s="1"/>
  <c r="B36" i="80"/>
  <c r="B27" i="80"/>
  <c r="C27" i="80" s="1"/>
  <c r="B47" i="63"/>
  <c r="C47" i="63" s="1"/>
  <c r="C44" i="80"/>
  <c r="B44" i="80" s="1"/>
  <c r="C24" i="63"/>
  <c r="B24" i="63" s="1"/>
  <c r="F41" i="13"/>
  <c r="B103" i="15"/>
  <c r="B105" i="15" s="1"/>
  <c r="F105" i="15" s="1"/>
  <c r="F102" i="15"/>
  <c r="F103" i="15" s="1"/>
  <c r="B26" i="80"/>
  <c r="C26" i="80" s="1"/>
  <c r="B35" i="63"/>
  <c r="C35" i="63" s="1"/>
  <c r="AH8" i="7"/>
  <c r="AI7" i="7"/>
  <c r="AH20" i="7"/>
  <c r="AI19" i="7"/>
  <c r="B15" i="63"/>
  <c r="C15" i="63" s="1"/>
  <c r="B14" i="80"/>
  <c r="C14" i="80" s="1"/>
  <c r="B19" i="80"/>
  <c r="C19" i="80" s="1"/>
  <c r="B21" i="63"/>
  <c r="C21" i="63" s="1"/>
  <c r="B12" i="63"/>
  <c r="B12" i="80"/>
  <c r="B18" i="80"/>
  <c r="C18" i="80" s="1"/>
  <c r="B20" i="63"/>
  <c r="C20" i="63" s="1"/>
  <c r="C39" i="80"/>
  <c r="B39" i="80" s="1"/>
  <c r="C31" i="63"/>
  <c r="B31" i="63" s="1"/>
  <c r="B40" i="63"/>
  <c r="B32" i="80"/>
  <c r="C32" i="80" s="1"/>
  <c r="C14" i="63"/>
  <c r="B14" i="63" s="1"/>
  <c r="C46" i="80"/>
  <c r="B46" i="80" s="1"/>
  <c r="B20" i="80"/>
  <c r="C20" i="80" s="1"/>
  <c r="B22" i="63"/>
  <c r="C22" i="63" s="1"/>
  <c r="AR51" i="15"/>
  <c r="AR48" i="15"/>
  <c r="B23" i="80"/>
  <c r="C23" i="80" s="1"/>
  <c r="B28" i="63"/>
  <c r="C28" i="63" s="1"/>
  <c r="B33" i="63"/>
  <c r="C33" i="63" s="1"/>
  <c r="B25" i="80"/>
  <c r="C25" i="80" s="1"/>
  <c r="AH9" i="7" l="1"/>
  <c r="AI8" i="7"/>
  <c r="C103" i="15"/>
  <c r="B47" i="80"/>
  <c r="C12" i="80"/>
  <c r="C40" i="63"/>
  <c r="C47" i="80"/>
  <c r="B17" i="80"/>
  <c r="C17" i="80" s="1"/>
  <c r="B19" i="63"/>
  <c r="C19" i="63" s="1"/>
  <c r="AH21" i="7"/>
  <c r="AI21" i="7" s="1"/>
  <c r="AI20" i="7"/>
  <c r="F37" i="73"/>
  <c r="F38" i="73" s="1"/>
  <c r="F40" i="73" s="1"/>
  <c r="F50" i="73" s="1"/>
  <c r="E38" i="73"/>
  <c r="E40" i="73" s="1"/>
  <c r="C62" i="20"/>
  <c r="F52" i="73" s="1"/>
  <c r="F54" i="73" s="1"/>
  <c r="B36" i="63"/>
  <c r="C12" i="63"/>
  <c r="C36" i="63" s="1"/>
  <c r="B43" i="63" l="1"/>
  <c r="B29" i="80"/>
  <c r="C29" i="80" s="1"/>
  <c r="C33" i="80" s="1"/>
  <c r="C49" i="80" s="1"/>
  <c r="B33" i="80"/>
  <c r="B49" i="80" s="1"/>
  <c r="AH10" i="7"/>
  <c r="AI9" i="7"/>
  <c r="AI10" i="7" l="1"/>
  <c r="AH11" i="7"/>
  <c r="C43" i="63"/>
  <c r="C48" i="63" s="1"/>
  <c r="C50" i="63" s="1"/>
  <c r="B48" i="63"/>
  <c r="B50" i="63" s="1"/>
  <c r="AH12" i="7" l="1"/>
  <c r="AI11" i="7"/>
  <c r="AH13" i="7" l="1"/>
  <c r="AI12" i="7"/>
  <c r="AI13" i="7" l="1"/>
  <c r="AH14" i="7"/>
  <c r="AH15" i="7" l="1"/>
  <c r="AI14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<sst xmlns="http://schemas.openxmlformats.org/spreadsheetml/2006/main" count="576" uniqueCount="163">
  <si>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</si>
  <si>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</si>
  <si>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</si>
  <si>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</si>
  <si>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</si>
  <si>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</si>
  <si>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</si>
  <si>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</si>
  <si>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</si>
  <si>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</si>
  <si>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</si>
  <si>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</si>
  <si>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</si>
  <si>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</si>
  <si>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</si>
  <si>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</si>
  <si>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</si>
  <si>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</si>
  <si>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</si>
  <si>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</si>
  <si>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</si>
  <si>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</si>
  <si>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</si>
  <si>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</si>
  <si>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</si>
  <si>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</si>
  <si>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</si>
  <si>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</si>
  <si>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</si>
  <si>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</si>
  <si>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</si>
  <si>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</si>
  <si>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</si>
  <si>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</si>
  <si>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</si>
  <si>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</si>
  <si>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</si>
  <si>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</si>
  <si>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</si>
  <si>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</si>
  <si>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</si>
  <si>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</si>
  <si>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</si>
  <si>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</si>
  <si>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</si>
  <si>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</si>
  <si>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</si>
  <si>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</si>
  <si>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</si>
  <si>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</si>
  <si>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</si>
  <si>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</si>
  <si>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</si>
  <si>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</si>
  <si>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</si>
  <si>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</si>
  <si>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</si>
  <si>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</si>
  <si>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</si>
  <si>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</si>
  <si>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</si>
  <si>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</si>
  <si>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</si>
  <si>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</si>
  <si>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</si>
  <si>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</si>
  <si>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</si>
  <si>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</si>
  <si>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</si>
  <si>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</si>
  <si>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</si>
  <si>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</si>
  <si>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</si>
  <si>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</si>
  <si>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</si>
  <si>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</si>
  <si>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</si>
  <si>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</si>
  <si>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</si>
  <si>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</si>
  <si>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</si>
  <si>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</si>
  <si>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</si>
  <si>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</si>
  <si>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</si>
  <si>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</si>
  <si>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</si>
  <si>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</si>
  <si>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</si>
  <si>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</si>
  <si>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</si>
  <si>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</si>
  <si>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</si>
  <si>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</si>
  <si>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</si>
  <si>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</si>
  <si>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</si>
  <si>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</si>
  <si>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</si>
  <si>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</si>
  <si>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</si>
  <si>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</si>
  <si>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</si>
  <si>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</si>
  <si>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</si>
  <si>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</si>
  <si>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</si>
  <si>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</si>
  <si>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</si>
  <si>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</si>
  <si>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</si>
  <si>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</si>
  <si>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</si>
  <si>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</si>
  <si>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</si>
  <si>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</si>
  <si>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</si>
  <si>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</si>
  <si>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</si>
  <si>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</si>
  <si>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</si>
  <si>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</si>
  <si>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</si>
  <si>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</si>
  <si>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</si>
  <si>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</si>
  <si>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</si>
  <si>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</si>
  <si>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</si>
  <si>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</si>
  <si>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</si>
  <si>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</si>
  <si>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</si>
  <si>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</si>
  <si>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</si>
  <si>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</si>
  <si>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</si>
  <si>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</si>
  <si>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</si>
  <si>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being reconciled with CIG</t>
  </si>
  <si>
    <t>Calpine</t>
  </si>
  <si>
    <t>PG&amp;E TX/EPFS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</si>
  <si>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</si>
  <si>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</si>
  <si>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</si>
  <si>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</si>
  <si>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</si>
  <si>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</si>
  <si>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</si>
  <si>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</si>
  <si>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</si>
  <si>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</si>
  <si>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</si>
  <si>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</si>
  <si>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</si>
  <si>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</si>
  <si>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</si>
  <si>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ending 5/31/01 bal of $295,327 invoiced</t>
  </si>
  <si>
    <t>Hansford</t>
  </si>
  <si>
    <t>Panhandle Eastern</t>
  </si>
  <si>
    <t>$ valued totals</t>
  </si>
  <si>
    <t>volumetric totals</t>
  </si>
  <si>
    <t>Net $ valued/volumetric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</si>
</sst>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sz val="8"/>
      <color indexed="6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166" fontId="4" fillId="0" borderId="0" xfId="0" applyNumberFormat="1" applyFont="1" applyBorder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166" fontId="32" fillId="0" borderId="1" xfId="1" applyNumberFormat="1" applyFont="1" applyBorder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5" fillId="0" borderId="0" xfId="1" applyNumberFormat="1" applyFont="1" applyFill="1"/>
    <xf numFmtId="166" fontId="2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79" fontId="0" fillId="0" borderId="0" xfId="2" applyNumberFormat="1" applyFont="1"/>
    <xf numFmtId="166" fontId="9" fillId="0" borderId="0" xfId="0" applyNumberFormat="1" applyFont="1" applyBorder="1"/>
    <xf numFmtId="43" fontId="9" fillId="0" borderId="0" xfId="1" applyNumberFormat="1" applyFont="1"/>
    <xf numFmtId="37" fontId="37" fillId="0" borderId="0" xfId="1" applyNumberFormat="1" applyFont="1" applyFill="1"/>
    <xf numFmtId="186" fontId="9" fillId="0" borderId="0" xfId="0" applyNumberFormat="1" applyFont="1"/>
    <xf numFmtId="5" fontId="14" fillId="0" borderId="0" xfId="0" applyNumberFormat="1" applyFont="1" applyBorder="1" applyAlignment="1">
      <alignment horizontal="right"/>
    </xf>
    <xf numFmtId="37" fontId="14" fillId="0" borderId="0" xfId="1" applyNumberFormat="1" applyFont="1" applyBorder="1" applyAlignment="1">
      <alignment horizontal="right"/>
    </xf>
    <xf numFmtId="37" fontId="36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5" fontId="14" fillId="0" borderId="0" xfId="0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4" fillId="0" borderId="0" xfId="0" applyNumberFormat="1" applyFon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14" fontId="0" fillId="0" borderId="0" xfId="0" applyNumberFormat="1" applyAlignment="1">
      <alignment horizontal="right"/>
    </xf>
    <xf numFmtId="37" fontId="14" fillId="0" borderId="0" xfId="1" applyNumberFormat="1" applyFont="1" applyBorder="1"/>
    <xf numFmtId="5" fontId="14" fillId="0" borderId="1" xfId="0" applyNumberFormat="1" applyFont="1" applyBorder="1"/>
    <xf numFmtId="5" fontId="14" fillId="0" borderId="0" xfId="0" applyNumberFormat="1" applyFont="1"/>
    <xf numFmtId="37" fontId="14" fillId="0" borderId="0" xfId="1" applyNumberFormat="1" applyFont="1"/>
    <xf numFmtId="5" fontId="14" fillId="0" borderId="3" xfId="0" applyNumberFormat="1" applyFont="1" applyBorder="1"/>
    <xf numFmtId="37" fontId="14" fillId="0" borderId="3" xfId="1" applyNumberFormat="1" applyFont="1" applyBorder="1"/>
    <xf numFmtId="0" fontId="38" fillId="0" borderId="0" xfId="0" applyFont="1"/>
    <xf numFmtId="0" fontId="39" fillId="0" borderId="0" xfId="0" applyFont="1"/>
    <xf numFmtId="5" fontId="39" fillId="0" borderId="0" xfId="0" applyNumberFormat="1" applyFont="1" applyAlignment="1">
      <alignment horizontal="right"/>
    </xf>
    <xf numFmtId="37" fontId="39" fillId="0" borderId="0" xfId="1" applyNumberFormat="1" applyFont="1" applyAlignment="1">
      <alignment horizontal="right"/>
    </xf>
    <xf numFmtId="0" fontId="39" fillId="0" borderId="0" xfId="0" applyFont="1" applyAlignment="1">
      <alignment horizontal="right"/>
    </xf>
    <xf numFmtId="0" fontId="11" fillId="0" borderId="1" xfId="0" applyFont="1" applyBorder="1"/>
    <xf numFmtId="5" fontId="0" fillId="0" borderId="1" xfId="0" applyNumberFormat="1" applyBorder="1"/>
    <xf numFmtId="37" fontId="0" fillId="0" borderId="1" xfId="1" applyNumberFormat="1" applyFont="1" applyBorder="1"/>
    <xf numFmtId="166" fontId="14" fillId="0" borderId="0" xfId="1" applyNumberFormat="1" applyFont="1" applyBorder="1"/>
    <xf numFmtId="166" fontId="14" fillId="0" borderId="1" xfId="1" applyNumberFormat="1" applyFont="1" applyBorder="1"/>
    <xf numFmtId="37" fontId="14" fillId="0" borderId="1" xfId="1" applyNumberFormat="1" applyFont="1" applyBorder="1"/>
    <xf numFmtId="166" fontId="25" fillId="0" borderId="1" xfId="1" applyNumberFormat="1" applyFont="1" applyFill="1" applyBorder="1"/>
    <xf numFmtId="166" fontId="25" fillId="0" borderId="0" xfId="1" applyNumberFormat="1" applyFont="1" applyFill="1" applyBorder="1"/>
    <xf numFmtId="5" fontId="25" fillId="0" borderId="1" xfId="0" applyNumberFormat="1" applyFont="1" applyFill="1" applyBorder="1"/>
    <xf numFmtId="5" fontId="9" fillId="0" borderId="0" xfId="0" applyNumberFormat="1" applyFont="1" applyFill="1"/>
    <xf numFmtId="7" fontId="25" fillId="0" borderId="1" xfId="0" applyNumberFormat="1" applyFont="1" applyFill="1" applyBorder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5" fillId="0" borderId="1" xfId="1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40" fillId="0" borderId="1" xfId="1" applyNumberFormat="1" applyFont="1" applyFill="1" applyBorder="1"/>
    <xf numFmtId="5" fontId="25" fillId="0" borderId="0" xfId="0" applyNumberFormat="1" applyFont="1" applyFill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1" applyNumberFormat="1" applyFont="1" applyFill="1" applyBorder="1"/>
    <xf numFmtId="5" fontId="25" fillId="0" borderId="0" xfId="0" applyNumberFormat="1" applyFont="1" applyFill="1" applyAlignment="1">
      <alignment horizontal="left" indent="2"/>
    </xf>
    <xf numFmtId="7" fontId="3" fillId="0" borderId="0" xfId="2" applyNumberFormat="1" applyFont="1" applyBorder="1"/>
    <xf numFmtId="14" fontId="0" fillId="0" borderId="0" xfId="0" applyNumberFormat="1" applyBorder="1" applyAlignment="1">
      <alignment horizontal="right"/>
    </xf>
    <xf numFmtId="166" fontId="14" fillId="0" borderId="3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06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01"/>
    </sheetNames>
    <sheetDataSet>
      <sheetData sheetId="0">
        <row r="39">
          <cell r="H39">
            <v>3.59</v>
          </cell>
          <cell r="K39">
            <v>2.62</v>
          </cell>
          <cell r="M39">
            <v>3.26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3"/>
  <sheetViews>
    <sheetView tabSelected="1" topLeftCell="A10" workbookViewId="0">
      <selection activeCell="B15" sqref="B15"/>
    </sheetView>
    <sheetView topLeftCell="A7" workbookViewId="1">
      <selection activeCell="B16" sqref="B16"/>
    </sheetView>
    <sheetView topLeftCell="A14" workbookViewId="2">
      <selection activeCell="D45" sqref="D45"/>
    </sheetView>
    <sheetView tabSelected="1" topLeftCell="A33" workbookViewId="3">
      <selection activeCell="A38" sqref="A38"/>
    </sheetView>
  </sheetViews>
  <sheetFormatPr defaultRowHeight="12.75" x14ac:dyDescent="0.2"/>
  <cols>
    <col min="1" max="1" width="22.5703125" style="297" customWidth="1"/>
    <col min="2" max="2" width="11.85546875" style="253" customWidth="1"/>
    <col min="3" max="3" width="11.28515625" style="298" customWidth="1"/>
    <col min="4" max="4" width="10.7109375" bestFit="1" customWidth="1"/>
    <col min="5" max="5" width="12" bestFit="1" customWidth="1"/>
    <col min="6" max="6" width="15.140625" customWidth="1"/>
  </cols>
  <sheetData>
    <row r="2" spans="1:20" ht="15.75" x14ac:dyDescent="0.25">
      <c r="A2" s="53" t="s">
        <v>96</v>
      </c>
    </row>
    <row r="3" spans="1:20" ht="15.75" x14ac:dyDescent="0.25">
      <c r="A3" s="53" t="s">
        <v>91</v>
      </c>
    </row>
    <row r="4" spans="1:20" ht="15" customHeight="1" x14ac:dyDescent="0.25">
      <c r="A4" s="53" t="s">
        <v>93</v>
      </c>
    </row>
    <row r="5" spans="1:20" ht="15" customHeight="1" x14ac:dyDescent="0.25">
      <c r="A5" s="53" t="s">
        <v>92</v>
      </c>
    </row>
    <row r="6" spans="1:20" ht="20.100000000000001" customHeight="1" x14ac:dyDescent="0.25">
      <c r="A6" s="395" t="s">
        <v>155</v>
      </c>
    </row>
    <row r="7" spans="1:20" ht="18" customHeight="1" x14ac:dyDescent="0.2"/>
    <row r="8" spans="1:20" ht="18" customHeight="1" x14ac:dyDescent="0.2">
      <c r="A8" s="34" t="s">
        <v>5</v>
      </c>
    </row>
    <row r="9" spans="1:20" ht="18" customHeight="1" x14ac:dyDescent="0.2">
      <c r="A9" s="34" t="s">
        <v>6</v>
      </c>
      <c r="B9" s="268"/>
      <c r="O9" s="305" t="s">
        <v>82</v>
      </c>
      <c r="P9" s="306"/>
    </row>
    <row r="10" spans="1:20" ht="18" customHeight="1" x14ac:dyDescent="0.2">
      <c r="O10" s="307" t="s">
        <v>31</v>
      </c>
      <c r="P10" s="309">
        <f>+'[1]0601'!$K$39</f>
        <v>2.62</v>
      </c>
    </row>
    <row r="11" spans="1:20" ht="18" customHeight="1" x14ac:dyDescent="0.2">
      <c r="A11" s="396" t="s">
        <v>98</v>
      </c>
      <c r="B11" s="397" t="s">
        <v>18</v>
      </c>
      <c r="C11" s="398" t="s">
        <v>0</v>
      </c>
      <c r="D11" s="399" t="s">
        <v>85</v>
      </c>
      <c r="E11" s="396" t="s">
        <v>99</v>
      </c>
      <c r="F11" s="400" t="s">
        <v>111</v>
      </c>
      <c r="G11" s="301" t="s">
        <v>107</v>
      </c>
      <c r="O11" s="308" t="s">
        <v>32</v>
      </c>
      <c r="P11" s="310">
        <f>+'[1]0601'!$M$39</f>
        <v>3.26</v>
      </c>
    </row>
    <row r="12" spans="1:20" ht="18" customHeight="1" x14ac:dyDescent="0.2">
      <c r="A12" s="357" t="s">
        <v>95</v>
      </c>
      <c r="B12" s="377">
        <f>+NNG!$D$24</f>
        <v>1309914.5</v>
      </c>
      <c r="C12" s="389">
        <f>+B12/$P$11</f>
        <v>401814.26380368101</v>
      </c>
      <c r="D12" s="317">
        <f>+NNG!A24</f>
        <v>37061</v>
      </c>
      <c r="E12" s="314" t="s">
        <v>90</v>
      </c>
      <c r="F12" s="314" t="s">
        <v>110</v>
      </c>
      <c r="H12" s="64"/>
      <c r="O12" t="s">
        <v>127</v>
      </c>
      <c r="P12" s="269">
        <f>+'[1]0601'!$H$39</f>
        <v>3.59</v>
      </c>
    </row>
    <row r="13" spans="1:20" ht="15.95" customHeight="1" x14ac:dyDescent="0.2">
      <c r="A13" s="356" t="s">
        <v>145</v>
      </c>
      <c r="B13" s="377">
        <f>+SidR!D41</f>
        <v>807113.05999999994</v>
      </c>
      <c r="C13" s="389">
        <f>+B13/$P$11</f>
        <v>247580.69325153375</v>
      </c>
      <c r="D13" s="65">
        <f>+SidR!A41</f>
        <v>37061</v>
      </c>
      <c r="E13" t="s">
        <v>90</v>
      </c>
      <c r="F13" t="s">
        <v>112</v>
      </c>
    </row>
    <row r="14" spans="1:20" ht="15.95" customHeight="1" x14ac:dyDescent="0.2">
      <c r="A14" s="357" t="s">
        <v>30</v>
      </c>
      <c r="B14" s="377">
        <f>+C14*$P$10</f>
        <v>774652.78</v>
      </c>
      <c r="C14" s="389">
        <f>+williams!J40</f>
        <v>295669</v>
      </c>
      <c r="D14" s="317">
        <f>+williams!A40</f>
        <v>37061</v>
      </c>
      <c r="E14" s="314" t="s">
        <v>89</v>
      </c>
      <c r="F14" s="314" t="s">
        <v>125</v>
      </c>
    </row>
    <row r="15" spans="1:20" ht="15.95" customHeight="1" x14ac:dyDescent="0.2">
      <c r="A15" s="356" t="s">
        <v>87</v>
      </c>
      <c r="B15" s="377">
        <f>+PNM!$D$23</f>
        <v>751131.23</v>
      </c>
      <c r="C15" s="389">
        <f>+B15/$P$11</f>
        <v>230408.35276073622</v>
      </c>
      <c r="D15" s="65">
        <f>+PNM!A23</f>
        <v>37061</v>
      </c>
      <c r="E15" t="s">
        <v>90</v>
      </c>
      <c r="F15" t="s">
        <v>108</v>
      </c>
    </row>
    <row r="16" spans="1:20" ht="15.95" customHeight="1" x14ac:dyDescent="0.2">
      <c r="A16" s="356" t="s">
        <v>25</v>
      </c>
      <c r="B16" s="371">
        <f>+'Red C'!$F$43</f>
        <v>656326.20000000007</v>
      </c>
      <c r="C16" s="372">
        <f>+B16/$P$10</f>
        <v>250506.18320610689</v>
      </c>
      <c r="D16" s="317">
        <f>+'Red C'!B43</f>
        <v>37061</v>
      </c>
      <c r="E16" t="s">
        <v>90</v>
      </c>
      <c r="F16" t="s">
        <v>125</v>
      </c>
      <c r="T16" s="269"/>
    </row>
    <row r="17" spans="1:20" ht="15.95" customHeight="1" x14ac:dyDescent="0.2">
      <c r="A17" s="356" t="s">
        <v>3</v>
      </c>
      <c r="B17" s="377">
        <f>+'Amoco Abo'!$F$43</f>
        <v>582619.90999999992</v>
      </c>
      <c r="C17" s="389">
        <f>+B17/$P$11</f>
        <v>178717.76380368098</v>
      </c>
      <c r="D17" s="65">
        <f>+'Amoco Abo'!A43</f>
        <v>37060</v>
      </c>
      <c r="E17" t="s">
        <v>90</v>
      </c>
      <c r="F17" t="s">
        <v>109</v>
      </c>
      <c r="T17" s="269"/>
    </row>
    <row r="18" spans="1:20" ht="15.95" customHeight="1" x14ac:dyDescent="0.2">
      <c r="A18" s="356" t="s">
        <v>35</v>
      </c>
      <c r="B18" s="377">
        <f>+'El Paso'!E38*summary!P10+'El Paso'!C38*summary!P11</f>
        <v>562220.68000000005</v>
      </c>
      <c r="C18" s="389">
        <f>+'El Paso'!H38</f>
        <v>202974</v>
      </c>
      <c r="D18" s="65">
        <f>+'El Paso'!A38</f>
        <v>37061</v>
      </c>
      <c r="E18" t="s">
        <v>89</v>
      </c>
      <c r="F18" t="s">
        <v>110</v>
      </c>
      <c r="G18" t="s">
        <v>129</v>
      </c>
    </row>
    <row r="19" spans="1:20" ht="15.95" customHeight="1" x14ac:dyDescent="0.2">
      <c r="A19" s="356" t="s">
        <v>84</v>
      </c>
      <c r="B19" s="377">
        <f>+Conoco!$F$41</f>
        <v>476143.21000000043</v>
      </c>
      <c r="C19" s="389">
        <f>+B19/$P$10</f>
        <v>181734.04961832077</v>
      </c>
      <c r="D19" s="317">
        <f>+Conoco!A41</f>
        <v>37060</v>
      </c>
      <c r="E19" t="s">
        <v>90</v>
      </c>
      <c r="F19" t="s">
        <v>109</v>
      </c>
    </row>
    <row r="20" spans="1:20" ht="15.95" customHeight="1" x14ac:dyDescent="0.2">
      <c r="A20" s="356" t="s">
        <v>117</v>
      </c>
      <c r="B20" s="377">
        <f>+KN_Westar!F41</f>
        <v>405767.37</v>
      </c>
      <c r="C20" s="389">
        <f>+B20/$P$11</f>
        <v>124468.51840490798</v>
      </c>
      <c r="D20" s="65">
        <f>+KN_Westar!A41</f>
        <v>37060</v>
      </c>
      <c r="E20" t="s">
        <v>90</v>
      </c>
      <c r="F20" t="s">
        <v>110</v>
      </c>
    </row>
    <row r="21" spans="1:20" ht="15.95" customHeight="1" x14ac:dyDescent="0.2">
      <c r="A21" s="356" t="s">
        <v>113</v>
      </c>
      <c r="B21" s="377">
        <f>+EOG!J41</f>
        <v>380154.11</v>
      </c>
      <c r="C21" s="389">
        <f>+B21/$P$11</f>
        <v>116611.69018404909</v>
      </c>
      <c r="D21" s="317">
        <f>+EOG!A41</f>
        <v>37060</v>
      </c>
      <c r="E21" t="s">
        <v>90</v>
      </c>
      <c r="F21" t="s">
        <v>112</v>
      </c>
    </row>
    <row r="22" spans="1:20" ht="15.95" customHeight="1" x14ac:dyDescent="0.2">
      <c r="A22" s="356" t="s">
        <v>2</v>
      </c>
      <c r="B22" s="377">
        <f>+mewborne!$J$43</f>
        <v>359857.67</v>
      </c>
      <c r="C22" s="389">
        <f>+B22/$P$11</f>
        <v>110385.78834355829</v>
      </c>
      <c r="D22" s="65">
        <f>+mewborne!A43</f>
        <v>37060</v>
      </c>
      <c r="E22" t="s">
        <v>90</v>
      </c>
      <c r="F22" t="s">
        <v>109</v>
      </c>
    </row>
    <row r="23" spans="1:20" ht="15.95" customHeight="1" x14ac:dyDescent="0.2">
      <c r="A23" s="356" t="s">
        <v>120</v>
      </c>
      <c r="B23" s="377">
        <f>+CIG!D43</f>
        <v>326755</v>
      </c>
      <c r="C23" s="389">
        <f>+B23/$P$11</f>
        <v>100231.59509202455</v>
      </c>
      <c r="D23" s="65">
        <f>+CIG!A43</f>
        <v>37059</v>
      </c>
      <c r="E23" t="s">
        <v>90</v>
      </c>
      <c r="F23" t="s">
        <v>123</v>
      </c>
      <c r="G23" t="s">
        <v>139</v>
      </c>
    </row>
    <row r="24" spans="1:20" ht="15.95" customHeight="1" x14ac:dyDescent="0.2">
      <c r="A24" s="356" t="s">
        <v>97</v>
      </c>
      <c r="B24" s="377">
        <f>+C24*$P$11</f>
        <v>299903.69999999995</v>
      </c>
      <c r="C24" s="389">
        <f>+NGPL!F38</f>
        <v>91995</v>
      </c>
      <c r="D24" s="65">
        <f>+NGPL!A38</f>
        <v>37061</v>
      </c>
      <c r="E24" t="s">
        <v>89</v>
      </c>
      <c r="F24" t="s">
        <v>125</v>
      </c>
    </row>
    <row r="25" spans="1:20" ht="15.95" customHeight="1" x14ac:dyDescent="0.2">
      <c r="A25" s="356" t="s">
        <v>141</v>
      </c>
      <c r="B25" s="377">
        <f>+PGETX!$H$39</f>
        <v>234921.34</v>
      </c>
      <c r="C25" s="389">
        <f>+B25/$P$11</f>
        <v>72061.760736196316</v>
      </c>
      <c r="D25" s="65">
        <f>+PGETX!E39</f>
        <v>37061</v>
      </c>
      <c r="E25" t="s">
        <v>90</v>
      </c>
      <c r="F25" t="s">
        <v>112</v>
      </c>
    </row>
    <row r="26" spans="1:20" ht="15.95" customHeight="1" x14ac:dyDescent="0.2">
      <c r="A26" s="356" t="s">
        <v>7</v>
      </c>
      <c r="B26" s="377">
        <f>+C26*$P$10</f>
        <v>200878.02000000002</v>
      </c>
      <c r="C26" s="389">
        <f>+Amoco!D40</f>
        <v>76671</v>
      </c>
      <c r="D26" s="65">
        <f>+Amoco!A40</f>
        <v>37061</v>
      </c>
      <c r="E26" t="s">
        <v>89</v>
      </c>
      <c r="F26" t="s">
        <v>125</v>
      </c>
    </row>
    <row r="27" spans="1:20" ht="15.95" customHeight="1" x14ac:dyDescent="0.2">
      <c r="A27" s="356" t="s">
        <v>33</v>
      </c>
      <c r="B27" s="377">
        <f>+C27*$P$11</f>
        <v>191678.22</v>
      </c>
      <c r="C27" s="389">
        <f>+Lonestar!F42</f>
        <v>58797</v>
      </c>
      <c r="D27" s="317">
        <f>+Lonestar!B42</f>
        <v>37061</v>
      </c>
      <c r="E27" t="s">
        <v>89</v>
      </c>
      <c r="F27" t="s">
        <v>112</v>
      </c>
    </row>
    <row r="28" spans="1:20" ht="15.95" customHeight="1" x14ac:dyDescent="0.2">
      <c r="A28" s="356" t="s">
        <v>154</v>
      </c>
      <c r="B28" s="377">
        <f>+'Citizens-Griffith'!D41</f>
        <v>157881.04999999999</v>
      </c>
      <c r="C28" s="389">
        <f>+B28/$P$11</f>
        <v>48429.769938650308</v>
      </c>
      <c r="D28" s="317">
        <f>+'Citizens-Griffith'!A41</f>
        <v>37061</v>
      </c>
      <c r="E28" t="s">
        <v>90</v>
      </c>
      <c r="F28" t="s">
        <v>109</v>
      </c>
    </row>
    <row r="29" spans="1:20" ht="15.95" customHeight="1" x14ac:dyDescent="0.2">
      <c r="A29" s="356" t="s">
        <v>75</v>
      </c>
      <c r="B29" s="371">
        <f>+transcol!$D$43</f>
        <v>50210.76</v>
      </c>
      <c r="C29" s="372">
        <f>+B29/$P$11</f>
        <v>15402.073619631903</v>
      </c>
      <c r="D29" s="65">
        <f>+transcol!A43</f>
        <v>37060</v>
      </c>
      <c r="E29" t="s">
        <v>90</v>
      </c>
      <c r="F29" t="s">
        <v>125</v>
      </c>
    </row>
    <row r="30" spans="1:20" ht="15.95" customHeight="1" x14ac:dyDescent="0.2">
      <c r="A30" s="356" t="s">
        <v>8</v>
      </c>
      <c r="B30" s="377">
        <f>+C30*$P$11</f>
        <v>36306.619999999995</v>
      </c>
      <c r="C30" s="403">
        <f>+Oasis!D40</f>
        <v>11137</v>
      </c>
      <c r="D30" s="65">
        <f>+Oasis!B40</f>
        <v>37060</v>
      </c>
      <c r="E30" t="s">
        <v>89</v>
      </c>
      <c r="F30" t="s">
        <v>112</v>
      </c>
    </row>
    <row r="31" spans="1:20" ht="15.95" customHeight="1" x14ac:dyDescent="0.2">
      <c r="A31" s="356" t="s">
        <v>124</v>
      </c>
      <c r="B31" s="377">
        <f>+C31*$P$11</f>
        <v>19080.78</v>
      </c>
      <c r="C31" s="403">
        <f>+'PG&amp;E'!D40</f>
        <v>5853</v>
      </c>
      <c r="D31" s="65">
        <f>+'PG&amp;E'!A40</f>
        <v>37060</v>
      </c>
      <c r="E31" t="s">
        <v>89</v>
      </c>
      <c r="F31" t="s">
        <v>112</v>
      </c>
    </row>
    <row r="32" spans="1:20" ht="15.95" customHeight="1" x14ac:dyDescent="0.2">
      <c r="A32" s="357" t="s">
        <v>34</v>
      </c>
      <c r="B32" s="377">
        <f>+C32*$P$11</f>
        <v>15977.259999999998</v>
      </c>
      <c r="C32" s="403">
        <f>+SoCal!F40</f>
        <v>4901</v>
      </c>
      <c r="D32" s="425">
        <f>+SoCal!A40</f>
        <v>37060</v>
      </c>
      <c r="E32" s="314" t="s">
        <v>89</v>
      </c>
      <c r="F32" s="314" t="s">
        <v>108</v>
      </c>
    </row>
    <row r="33" spans="1:15" ht="15.95" customHeight="1" x14ac:dyDescent="0.2">
      <c r="A33" s="356" t="s">
        <v>143</v>
      </c>
      <c r="B33" s="377">
        <f>+EPFS!D41</f>
        <v>14733.300000000003</v>
      </c>
      <c r="C33" s="403">
        <f>+B33/$P$12</f>
        <v>4103.9832869080792</v>
      </c>
      <c r="D33" s="317">
        <f>+EPFS!A41</f>
        <v>37060</v>
      </c>
      <c r="E33" t="s">
        <v>90</v>
      </c>
      <c r="F33" t="s">
        <v>110</v>
      </c>
    </row>
    <row r="34" spans="1:15" ht="15.95" customHeight="1" x14ac:dyDescent="0.2">
      <c r="A34" s="356" t="s">
        <v>103</v>
      </c>
      <c r="B34" s="377">
        <f>+C34*$P$11</f>
        <v>14210.339999999998</v>
      </c>
      <c r="C34" s="389">
        <f>+Mojave!D40</f>
        <v>4359</v>
      </c>
      <c r="D34" s="65">
        <f>+Mojave!A40</f>
        <v>37060</v>
      </c>
      <c r="E34" t="s">
        <v>89</v>
      </c>
      <c r="F34" t="s">
        <v>110</v>
      </c>
    </row>
    <row r="35" spans="1:15" ht="15.95" customHeight="1" x14ac:dyDescent="0.2">
      <c r="A35" s="357" t="s">
        <v>104</v>
      </c>
      <c r="B35" s="390">
        <f>+burlington!D42</f>
        <v>5145.68</v>
      </c>
      <c r="C35" s="405">
        <f>+B35/$P$10</f>
        <v>1964</v>
      </c>
      <c r="D35" s="317">
        <f>+burlington!A42</f>
        <v>37061</v>
      </c>
      <c r="E35" s="314" t="s">
        <v>90</v>
      </c>
      <c r="F35" t="s">
        <v>109</v>
      </c>
      <c r="G35" t="s">
        <v>157</v>
      </c>
    </row>
    <row r="36" spans="1:15" ht="18" customHeight="1" x14ac:dyDescent="0.2">
      <c r="A36" s="297" t="s">
        <v>105</v>
      </c>
      <c r="B36" s="391">
        <f>SUM(B12:B35)</f>
        <v>8633582.7899999991</v>
      </c>
      <c r="C36" s="392">
        <f>SUM(C12:C35)</f>
        <v>2836776.4860499855</v>
      </c>
    </row>
    <row r="37" spans="1:15" ht="18" customHeight="1" x14ac:dyDescent="0.2">
      <c r="F37" s="366"/>
      <c r="O37">
        <v>50</v>
      </c>
    </row>
    <row r="38" spans="1:15" ht="18" customHeight="1" x14ac:dyDescent="0.2">
      <c r="O38">
        <v>79</v>
      </c>
    </row>
    <row r="39" spans="1:15" ht="18" customHeight="1" x14ac:dyDescent="0.2">
      <c r="A39" s="301" t="s">
        <v>98</v>
      </c>
      <c r="B39" s="302" t="s">
        <v>18</v>
      </c>
      <c r="C39" s="303" t="s">
        <v>0</v>
      </c>
      <c r="D39" s="304" t="s">
        <v>85</v>
      </c>
      <c r="E39" s="301" t="s">
        <v>99</v>
      </c>
      <c r="F39" s="334" t="s">
        <v>111</v>
      </c>
      <c r="G39" s="301" t="s">
        <v>107</v>
      </c>
      <c r="O39">
        <f>+O38*O37</f>
        <v>3950</v>
      </c>
    </row>
    <row r="40" spans="1:15" ht="18" customHeight="1" x14ac:dyDescent="0.2">
      <c r="A40" s="357" t="s">
        <v>149</v>
      </c>
      <c r="B40" s="377">
        <f>+Citizens!D18</f>
        <v>-868696.20000000007</v>
      </c>
      <c r="C40" s="403">
        <f>+B40/$P$11</f>
        <v>-266471.22699386504</v>
      </c>
      <c r="D40" s="317">
        <f>+Citizens!A18</f>
        <v>37058</v>
      </c>
      <c r="E40" s="314" t="s">
        <v>90</v>
      </c>
      <c r="F40" s="314" t="s">
        <v>108</v>
      </c>
      <c r="G40" s="301"/>
    </row>
    <row r="41" spans="1:15" ht="18" customHeight="1" x14ac:dyDescent="0.2">
      <c r="A41" s="357" t="s">
        <v>140</v>
      </c>
      <c r="B41" s="377">
        <f>+Calpine!D41</f>
        <v>-414495.67</v>
      </c>
      <c r="C41" s="403">
        <f>+B41/$P$11</f>
        <v>-127145.91104294479</v>
      </c>
      <c r="D41" s="317">
        <f>+Calpine!A41</f>
        <v>37060</v>
      </c>
      <c r="E41" s="314" t="s">
        <v>90</v>
      </c>
      <c r="F41" s="314" t="s">
        <v>109</v>
      </c>
      <c r="G41" s="301"/>
    </row>
    <row r="42" spans="1:15" ht="18" customHeight="1" x14ac:dyDescent="0.2">
      <c r="A42" s="356" t="s">
        <v>147</v>
      </c>
      <c r="B42" s="377">
        <f>+'NS Steel'!D41</f>
        <v>-342105.48</v>
      </c>
      <c r="C42" s="403">
        <f>+B42/$P$10</f>
        <v>-130574.61068702288</v>
      </c>
      <c r="D42" s="65">
        <f>+'NS Steel'!A41</f>
        <v>37060</v>
      </c>
      <c r="E42" t="s">
        <v>90</v>
      </c>
      <c r="F42" t="s">
        <v>110</v>
      </c>
      <c r="G42" s="301"/>
    </row>
    <row r="43" spans="1:15" ht="18" customHeight="1" x14ac:dyDescent="0.2">
      <c r="A43" s="356" t="s">
        <v>138</v>
      </c>
      <c r="B43" s="377">
        <f>+DEFS!F54</f>
        <v>-83680.719999999972</v>
      </c>
      <c r="C43" s="403">
        <f>+B43/$P$11</f>
        <v>-25668.932515337416</v>
      </c>
      <c r="D43" s="65">
        <f>+DEFS!A40</f>
        <v>37059</v>
      </c>
      <c r="E43" t="s">
        <v>90</v>
      </c>
      <c r="F43" t="s">
        <v>110</v>
      </c>
      <c r="G43" t="s">
        <v>128</v>
      </c>
    </row>
    <row r="44" spans="1:15" ht="18" customHeight="1" x14ac:dyDescent="0.2">
      <c r="A44" s="356" t="s">
        <v>159</v>
      </c>
      <c r="B44" s="371">
        <f>+C44*$P$11</f>
        <v>-43915.46</v>
      </c>
      <c r="C44" s="372">
        <f>+PEPL!D41</f>
        <v>-13471</v>
      </c>
      <c r="D44" s="65">
        <f>+PEPL!A41</f>
        <v>37061</v>
      </c>
      <c r="E44" t="s">
        <v>89</v>
      </c>
      <c r="F44" t="s">
        <v>112</v>
      </c>
    </row>
    <row r="45" spans="1:15" ht="18" customHeight="1" x14ac:dyDescent="0.2">
      <c r="A45" s="356" t="s">
        <v>1</v>
      </c>
      <c r="B45" s="377">
        <f>+C45*$P$10</f>
        <v>-39957.620000000003</v>
      </c>
      <c r="C45" s="403">
        <f>+NW!$F$41</f>
        <v>-15251</v>
      </c>
      <c r="D45" s="317">
        <f>+NW!B41</f>
        <v>37060</v>
      </c>
      <c r="E45" t="s">
        <v>89</v>
      </c>
      <c r="F45" t="s">
        <v>109</v>
      </c>
    </row>
    <row r="46" spans="1:15" ht="18" customHeight="1" x14ac:dyDescent="0.2">
      <c r="A46" s="357" t="s">
        <v>83</v>
      </c>
      <c r="B46" s="377">
        <f>+Agave!$D$24</f>
        <v>-31111.5</v>
      </c>
      <c r="C46" s="403">
        <f>+B46/$P$11</f>
        <v>-9543.4049079754604</v>
      </c>
      <c r="D46" s="317">
        <f>+Agave!A24</f>
        <v>37060</v>
      </c>
      <c r="E46" s="314" t="s">
        <v>90</v>
      </c>
      <c r="F46" s="314" t="s">
        <v>112</v>
      </c>
    </row>
    <row r="47" spans="1:15" ht="18" customHeight="1" x14ac:dyDescent="0.2">
      <c r="A47" s="356" t="s">
        <v>119</v>
      </c>
      <c r="B47" s="390">
        <f>+Continental!F43</f>
        <v>-19004.95</v>
      </c>
      <c r="C47" s="404">
        <f>+B47/$P$11</f>
        <v>-5829.7392638036818</v>
      </c>
      <c r="D47" s="65">
        <f>+Continental!A43</f>
        <v>37060</v>
      </c>
      <c r="E47" t="s">
        <v>90</v>
      </c>
      <c r="F47" t="s">
        <v>125</v>
      </c>
    </row>
    <row r="48" spans="1:15" ht="18" customHeight="1" x14ac:dyDescent="0.2">
      <c r="A48" s="297" t="s">
        <v>106</v>
      </c>
      <c r="B48" s="377">
        <f>SUM(B40:B47)</f>
        <v>-1842967.6</v>
      </c>
      <c r="C48" s="403">
        <f>SUM(C40:C47)</f>
        <v>-593955.8254109493</v>
      </c>
      <c r="D48" s="314"/>
    </row>
    <row r="49" spans="1:5" ht="18" customHeight="1" x14ac:dyDescent="0.2">
      <c r="B49" s="401"/>
      <c r="C49" s="402"/>
    </row>
    <row r="50" spans="1:5" ht="18" customHeight="1" thickBot="1" x14ac:dyDescent="0.25">
      <c r="A50" s="34" t="s">
        <v>100</v>
      </c>
      <c r="B50" s="393">
        <f>+B48+B36</f>
        <v>6790615.1899999995</v>
      </c>
      <c r="C50" s="394">
        <f>+C48+C36</f>
        <v>2242820.6606390364</v>
      </c>
    </row>
    <row r="51" spans="1:5" ht="18" customHeight="1" thickTop="1" x14ac:dyDescent="0.2"/>
    <row r="52" spans="1:5" x14ac:dyDescent="0.2">
      <c r="A52" s="34" t="s">
        <v>101</v>
      </c>
      <c r="C52" s="342"/>
    </row>
    <row r="58" spans="1:5" x14ac:dyDescent="0.2">
      <c r="C58" s="259"/>
      <c r="E58" s="340"/>
    </row>
    <row r="65" spans="2:5" x14ac:dyDescent="0.2">
      <c r="B65" s="311"/>
      <c r="C65" s="332"/>
    </row>
    <row r="66" spans="2:5" x14ac:dyDescent="0.2">
      <c r="B66" s="259"/>
    </row>
    <row r="67" spans="2:5" x14ac:dyDescent="0.2">
      <c r="B67" s="259"/>
    </row>
    <row r="68" spans="2:5" x14ac:dyDescent="0.2">
      <c r="B68" s="259"/>
    </row>
    <row r="69" spans="2:5" x14ac:dyDescent="0.2">
      <c r="B69" s="259"/>
      <c r="D69" s="64"/>
    </row>
    <row r="70" spans="2:5" x14ac:dyDescent="0.2">
      <c r="B70" s="259"/>
      <c r="C70" s="342"/>
    </row>
    <row r="71" spans="2:5" x14ac:dyDescent="0.2">
      <c r="B71" s="259"/>
      <c r="C71" s="342"/>
      <c r="D71" s="338"/>
      <c r="E71" s="343"/>
    </row>
    <row r="72" spans="2:5" x14ac:dyDescent="0.2">
      <c r="B72" s="259"/>
      <c r="C72" s="342"/>
      <c r="D72" s="269"/>
    </row>
    <row r="73" spans="2:5" x14ac:dyDescent="0.2">
      <c r="B73" s="259"/>
      <c r="C73" s="342"/>
      <c r="D73" s="269"/>
    </row>
    <row r="74" spans="2:5" x14ac:dyDescent="0.2">
      <c r="B74" s="259"/>
      <c r="C74" s="342"/>
      <c r="D74" s="31"/>
    </row>
    <row r="75" spans="2:5" x14ac:dyDescent="0.2">
      <c r="B75" s="259"/>
      <c r="C75" s="342"/>
      <c r="D75" s="344"/>
    </row>
    <row r="76" spans="2:5" x14ac:dyDescent="0.2">
      <c r="B76" s="339"/>
    </row>
    <row r="77" spans="2:5" x14ac:dyDescent="0.2">
      <c r="B77" s="339"/>
      <c r="D77" s="64"/>
    </row>
    <row r="78" spans="2:5" x14ac:dyDescent="0.2">
      <c r="B78" s="338"/>
      <c r="C78" s="259"/>
    </row>
    <row r="79" spans="2:5" x14ac:dyDescent="0.2">
      <c r="B79" s="338"/>
      <c r="C79" s="259"/>
    </row>
    <row r="80" spans="2:5" x14ac:dyDescent="0.2">
      <c r="B80" s="339"/>
      <c r="C80" s="259"/>
      <c r="D80" s="64"/>
    </row>
    <row r="81" spans="2:4" x14ac:dyDescent="0.2">
      <c r="B81" s="339"/>
      <c r="D81" s="64"/>
    </row>
    <row r="82" spans="2:4" x14ac:dyDescent="0.2">
      <c r="B82" s="339"/>
    </row>
    <row r="83" spans="2:4" x14ac:dyDescent="0.2">
      <c r="B83" s="311"/>
      <c r="C83" s="318"/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workbookViewId="0">
      <selection activeCell="D43" sqref="D43"/>
    </sheetView>
    <sheetView topLeftCell="A26" workbookViewId="1">
      <selection activeCell="C38" sqref="C38"/>
    </sheetView>
    <sheetView topLeftCell="A26" workbookViewId="2">
      <selection activeCell="D42" sqref="D42"/>
    </sheetView>
    <sheetView topLeftCell="A30" workbookViewId="3">
      <selection activeCell="E27" sqref="E27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51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52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52</v>
      </c>
      <c r="AF5" s="12"/>
      <c r="AG5" s="12"/>
      <c r="AH5" s="58"/>
      <c r="AI5" s="58" t="s">
        <v>52</v>
      </c>
      <c r="AJ5" s="12"/>
      <c r="AK5" s="12"/>
      <c r="AL5" s="58"/>
      <c r="AM5" s="58" t="s">
        <v>52</v>
      </c>
      <c r="AN5" s="12"/>
      <c r="AO5" s="12"/>
      <c r="AP5" s="58"/>
      <c r="AQ5" s="58" t="s">
        <v>52</v>
      </c>
      <c r="AR5" s="12"/>
      <c r="AS5" s="12"/>
      <c r="AT5" s="58"/>
      <c r="AU5" s="58" t="s">
        <v>52</v>
      </c>
      <c r="AV5" s="12"/>
    </row>
    <row r="6" spans="1:48" x14ac:dyDescent="0.2">
      <c r="B6" s="40" t="s">
        <v>21</v>
      </c>
      <c r="C6" s="40" t="s">
        <v>22</v>
      </c>
      <c r="D6" s="40" t="s">
        <v>21</v>
      </c>
      <c r="E6" s="40" t="s">
        <v>22</v>
      </c>
      <c r="F6" s="6" t="s">
        <v>16</v>
      </c>
      <c r="G6" s="39"/>
      <c r="H6" s="139"/>
      <c r="I6" s="282"/>
      <c r="J6" s="281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13</v>
      </c>
      <c r="AE6" s="40" t="s">
        <v>14</v>
      </c>
      <c r="AF6" s="6" t="s">
        <v>16</v>
      </c>
      <c r="AG6" s="139"/>
      <c r="AH6" s="40" t="s">
        <v>13</v>
      </c>
      <c r="AI6" s="40" t="s">
        <v>14</v>
      </c>
      <c r="AJ6" s="6" t="s">
        <v>16</v>
      </c>
      <c r="AK6" s="139"/>
      <c r="AL6" s="40" t="s">
        <v>13</v>
      </c>
      <c r="AM6" s="40" t="s">
        <v>14</v>
      </c>
      <c r="AN6" s="6" t="s">
        <v>16</v>
      </c>
      <c r="AO6" s="139"/>
      <c r="AP6" s="40" t="s">
        <v>13</v>
      </c>
      <c r="AQ6" s="40" t="s">
        <v>14</v>
      </c>
      <c r="AR6" s="6" t="s">
        <v>16</v>
      </c>
      <c r="AS6" s="139"/>
      <c r="AT6" s="40" t="s">
        <v>13</v>
      </c>
      <c r="AU6" s="40" t="s">
        <v>14</v>
      </c>
      <c r="AV6" s="6" t="s">
        <v>16</v>
      </c>
    </row>
    <row r="7" spans="1:48" x14ac:dyDescent="0.2">
      <c r="B7" s="11"/>
      <c r="C7" s="11"/>
      <c r="D7" s="11"/>
      <c r="E7" s="11"/>
      <c r="F7" s="11"/>
      <c r="G7" s="143"/>
      <c r="H7" s="139"/>
      <c r="I7" s="276"/>
      <c r="J7" s="280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171328</v>
      </c>
      <c r="C8" s="11">
        <v>172740</v>
      </c>
      <c r="D8" s="11">
        <v>13043</v>
      </c>
      <c r="E8" s="11">
        <v>13835</v>
      </c>
      <c r="F8" s="11">
        <f>+C8-B8+E8-D8</f>
        <v>2204</v>
      </c>
      <c r="G8" s="143"/>
      <c r="H8" s="139"/>
      <c r="I8" s="276"/>
      <c r="J8" s="280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171643</v>
      </c>
      <c r="C9" s="11">
        <v>170298</v>
      </c>
      <c r="D9" s="11">
        <v>13843</v>
      </c>
      <c r="E9" s="11">
        <v>13835</v>
      </c>
      <c r="F9" s="11">
        <f t="shared" ref="F9:F39" si="5">+C9-B9+E9-D9</f>
        <v>-1353</v>
      </c>
      <c r="G9" s="143"/>
      <c r="H9" s="139"/>
      <c r="I9" s="276"/>
      <c r="J9" s="280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172625</v>
      </c>
      <c r="C10" s="11">
        <v>174728</v>
      </c>
      <c r="D10" s="11">
        <v>13265</v>
      </c>
      <c r="E10" s="11">
        <v>13835</v>
      </c>
      <c r="F10" s="11">
        <f t="shared" si="5"/>
        <v>2673</v>
      </c>
      <c r="G10" s="143"/>
      <c r="H10" s="139"/>
      <c r="I10" s="276"/>
      <c r="J10" s="280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158189</v>
      </c>
      <c r="C11" s="11">
        <v>159044</v>
      </c>
      <c r="D11" s="11">
        <v>12086</v>
      </c>
      <c r="E11" s="11">
        <v>13835</v>
      </c>
      <c r="F11" s="11">
        <f t="shared" si="5"/>
        <v>2604</v>
      </c>
      <c r="G11" s="143"/>
      <c r="H11" s="139"/>
      <c r="I11" s="283"/>
      <c r="J11" s="280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140836</v>
      </c>
      <c r="C12" s="11">
        <v>142067</v>
      </c>
      <c r="D12" s="11">
        <v>13448</v>
      </c>
      <c r="E12" s="11">
        <v>13835</v>
      </c>
      <c r="F12" s="11">
        <f t="shared" si="5"/>
        <v>1618</v>
      </c>
      <c r="G12" s="143"/>
      <c r="H12" s="139"/>
      <c r="I12" s="280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115211</v>
      </c>
      <c r="C13" s="11">
        <v>109764</v>
      </c>
      <c r="D13" s="11">
        <v>6762</v>
      </c>
      <c r="E13" s="11">
        <v>6073</v>
      </c>
      <c r="F13" s="11">
        <f t="shared" si="5"/>
        <v>-6136</v>
      </c>
      <c r="G13" s="143"/>
      <c r="H13" s="139"/>
      <c r="I13" s="280"/>
      <c r="J13" s="280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175660</v>
      </c>
      <c r="C14" s="11">
        <v>181244</v>
      </c>
      <c r="D14" s="11">
        <v>13993</v>
      </c>
      <c r="E14" s="11">
        <v>13790</v>
      </c>
      <c r="F14" s="11">
        <f t="shared" si="5"/>
        <v>5381</v>
      </c>
      <c r="G14" s="143"/>
      <c r="H14" s="139"/>
      <c r="I14" s="280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163307</v>
      </c>
      <c r="C15" s="11">
        <v>163231</v>
      </c>
      <c r="D15" s="11">
        <v>13452</v>
      </c>
      <c r="E15" s="11">
        <v>14512</v>
      </c>
      <c r="F15" s="11">
        <f t="shared" si="5"/>
        <v>984</v>
      </c>
      <c r="G15" s="143"/>
      <c r="H15" s="139"/>
      <c r="I15" s="280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176029</v>
      </c>
      <c r="C16" s="11">
        <v>177835</v>
      </c>
      <c r="D16" s="11">
        <v>13010</v>
      </c>
      <c r="E16" s="11">
        <v>13835</v>
      </c>
      <c r="F16" s="11">
        <f t="shared" si="5"/>
        <v>2631</v>
      </c>
      <c r="G16" s="143"/>
      <c r="H16" s="139"/>
      <c r="I16" s="280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175752</v>
      </c>
      <c r="C17" s="11">
        <v>178206</v>
      </c>
      <c r="D17" s="11">
        <v>12903</v>
      </c>
      <c r="E17" s="11">
        <v>13835</v>
      </c>
      <c r="F17" s="11">
        <f t="shared" si="5"/>
        <v>3386</v>
      </c>
      <c r="G17" s="143"/>
      <c r="H17" s="139"/>
      <c r="I17" s="280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162444</v>
      </c>
      <c r="C18" s="11">
        <v>165625</v>
      </c>
      <c r="D18" s="11">
        <v>13858</v>
      </c>
      <c r="E18" s="11">
        <v>13835</v>
      </c>
      <c r="F18" s="11">
        <f t="shared" si="5"/>
        <v>3158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163846</v>
      </c>
      <c r="C19" s="11">
        <v>166546</v>
      </c>
      <c r="D19" s="11">
        <v>13130</v>
      </c>
      <c r="E19" s="11">
        <v>13835</v>
      </c>
      <c r="F19" s="11">
        <f t="shared" si="5"/>
        <v>3405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159657</v>
      </c>
      <c r="C20" s="11">
        <v>178757</v>
      </c>
      <c r="D20" s="11">
        <v>13816</v>
      </c>
      <c r="E20" s="11">
        <v>13835</v>
      </c>
      <c r="F20" s="11">
        <f t="shared" si="5"/>
        <v>19119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>
        <v>157496</v>
      </c>
      <c r="C21" s="11">
        <v>158660</v>
      </c>
      <c r="D21" s="11">
        <v>13451</v>
      </c>
      <c r="E21" s="11">
        <v>13835</v>
      </c>
      <c r="F21" s="11">
        <f t="shared" si="5"/>
        <v>1548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>
        <v>164191</v>
      </c>
      <c r="C22" s="11">
        <v>162522</v>
      </c>
      <c r="D22" s="11">
        <v>12399</v>
      </c>
      <c r="E22" s="11">
        <v>13835</v>
      </c>
      <c r="F22" s="11">
        <f t="shared" si="5"/>
        <v>-233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>
        <v>156784</v>
      </c>
      <c r="C23" s="11">
        <v>158769</v>
      </c>
      <c r="D23" s="11">
        <v>13391</v>
      </c>
      <c r="E23" s="11">
        <v>13033</v>
      </c>
      <c r="F23" s="11">
        <f t="shared" si="5"/>
        <v>1627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>
        <v>167648</v>
      </c>
      <c r="C24" s="11">
        <v>166296</v>
      </c>
      <c r="D24" s="11">
        <v>13316</v>
      </c>
      <c r="E24" s="11">
        <v>13033</v>
      </c>
      <c r="F24" s="11">
        <f t="shared" si="5"/>
        <v>-1635</v>
      </c>
      <c r="G24" s="278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53</v>
      </c>
      <c r="B25" s="11">
        <v>169485</v>
      </c>
      <c r="C25" s="11">
        <v>167848</v>
      </c>
      <c r="D25" s="11">
        <v>13356</v>
      </c>
      <c r="E25" s="11">
        <v>12711</v>
      </c>
      <c r="F25" s="11">
        <f t="shared" si="5"/>
        <v>-2282</v>
      </c>
      <c r="G25" s="333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53</v>
      </c>
      <c r="AH25" s="11">
        <v>90438</v>
      </c>
      <c r="AI25" s="11">
        <v>89668</v>
      </c>
      <c r="AJ25" s="11">
        <f t="shared" si="1"/>
        <v>-770</v>
      </c>
      <c r="AK25" s="147" t="s">
        <v>53</v>
      </c>
      <c r="AL25" s="11">
        <v>119514</v>
      </c>
      <c r="AM25" s="11">
        <v>120375</v>
      </c>
      <c r="AN25" s="11">
        <f t="shared" si="2"/>
        <v>861</v>
      </c>
      <c r="AO25" s="147" t="s">
        <v>53</v>
      </c>
      <c r="AP25" s="11">
        <v>175778</v>
      </c>
      <c r="AQ25" s="11">
        <v>172040</v>
      </c>
      <c r="AR25" s="11">
        <f t="shared" si="3"/>
        <v>-3738</v>
      </c>
      <c r="AS25" s="147" t="s">
        <v>53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>
        <v>185996</v>
      </c>
      <c r="C26" s="11">
        <v>184574</v>
      </c>
      <c r="D26" s="11">
        <v>13170</v>
      </c>
      <c r="E26" s="11">
        <v>12965</v>
      </c>
      <c r="F26" s="11">
        <f t="shared" si="5"/>
        <v>-1627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3108127</v>
      </c>
      <c r="C39" s="150">
        <f>SUM(C8:C38)</f>
        <v>3138754</v>
      </c>
      <c r="D39" s="150">
        <f>SUM(D8:D38)</f>
        <v>245692</v>
      </c>
      <c r="E39" s="150">
        <f>SUM(E8:E38)</f>
        <v>252137</v>
      </c>
      <c r="F39" s="11">
        <f t="shared" si="5"/>
        <v>37072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>
        <f>+summary!P10</f>
        <v>2.62</v>
      </c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2">
        <f>+F40*F39</f>
        <v>97128.639999999999</v>
      </c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37042</v>
      </c>
      <c r="C42" s="153"/>
      <c r="D42" s="153"/>
      <c r="E42" s="153"/>
      <c r="F42" s="422">
        <v>559197.56000000006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37061</v>
      </c>
      <c r="C43" s="142"/>
      <c r="D43" s="142"/>
      <c r="E43" s="142"/>
      <c r="F43" s="252">
        <f>+F42+F41</f>
        <v>656326.20000000007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158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42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54</v>
      </c>
      <c r="AE45" s="142"/>
      <c r="AF45" s="152">
        <f>+AF42+AF39</f>
        <v>89870</v>
      </c>
      <c r="AG45" s="144"/>
      <c r="AH45" s="153" t="s">
        <v>55</v>
      </c>
      <c r="AI45" s="142"/>
      <c r="AJ45" s="152">
        <f>+AJ42+AJ39</f>
        <v>144671</v>
      </c>
      <c r="AK45" s="144"/>
      <c r="AL45" s="153" t="s">
        <v>56</v>
      </c>
      <c r="AM45" s="142"/>
      <c r="AN45" s="159">
        <f>+AN42+AN39</f>
        <v>218762</v>
      </c>
      <c r="AO45" s="144"/>
      <c r="AP45" s="153" t="s">
        <v>57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4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8:48" ht="13.5" thickTop="1" x14ac:dyDescent="0.2"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8:48" x14ac:dyDescent="0.2"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8:48" x14ac:dyDescent="0.2"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8:48" x14ac:dyDescent="0.2"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8:48" x14ac:dyDescent="0.2"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8:48" x14ac:dyDescent="0.2"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8:48" x14ac:dyDescent="0.2"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8:48" x14ac:dyDescent="0.2"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8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8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8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8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8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8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8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8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25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58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59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15</v>
      </c>
      <c r="C84" s="166" t="s">
        <v>60</v>
      </c>
      <c r="D84" s="166"/>
      <c r="E84" s="166"/>
      <c r="F84" s="146"/>
      <c r="H84" s="146"/>
      <c r="I84" s="166" t="s">
        <v>15</v>
      </c>
      <c r="J84" s="166" t="s">
        <v>60</v>
      </c>
      <c r="K84" s="146"/>
    </row>
    <row r="85" spans="1:11" x14ac:dyDescent="0.2">
      <c r="A85" s="146"/>
      <c r="B85" s="116" t="s">
        <v>52</v>
      </c>
      <c r="C85" s="116" t="s">
        <v>17</v>
      </c>
      <c r="D85" s="116"/>
      <c r="E85" s="116"/>
      <c r="F85" s="167" t="s">
        <v>29</v>
      </c>
      <c r="H85" s="146"/>
      <c r="I85" s="116" t="s">
        <v>52</v>
      </c>
      <c r="J85" s="116" t="s">
        <v>17</v>
      </c>
      <c r="K85" s="167" t="s">
        <v>29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61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62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63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64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65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35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25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58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59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15</v>
      </c>
      <c r="C124" s="154" t="s">
        <v>60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52</v>
      </c>
      <c r="C125" s="181" t="s">
        <v>17</v>
      </c>
      <c r="D125" s="181"/>
      <c r="E125" s="181"/>
      <c r="F125" s="182" t="s">
        <v>29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66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67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68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69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70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71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C13" sqref="C13"/>
    </sheetView>
    <sheetView topLeftCell="A25" workbookViewId="2">
      <selection activeCell="D38" sqref="D38"/>
    </sheetView>
    <sheetView topLeftCell="A25" workbookViewId="3">
      <selection activeCell="C46" sqref="C46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72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46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106094</v>
      </c>
      <c r="C5" s="24">
        <v>103793</v>
      </c>
      <c r="D5" s="24">
        <f>+C5-B5</f>
        <v>-2301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97525</v>
      </c>
      <c r="C6" s="51">
        <v>95166</v>
      </c>
      <c r="D6" s="24">
        <f t="shared" ref="D6:D36" si="0">+C6-B6</f>
        <v>-2359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97475</v>
      </c>
      <c r="C7" s="51">
        <v>95009</v>
      </c>
      <c r="D7" s="24">
        <f t="shared" si="0"/>
        <v>-2466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97525</v>
      </c>
      <c r="C8" s="51">
        <v>96856</v>
      </c>
      <c r="D8" s="24">
        <f t="shared" si="0"/>
        <v>-669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102135</v>
      </c>
      <c r="C9" s="24">
        <v>101639</v>
      </c>
      <c r="D9" s="24">
        <f t="shared" si="0"/>
        <v>-496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82735</v>
      </c>
      <c r="C10" s="24">
        <v>82655</v>
      </c>
      <c r="D10" s="24">
        <f t="shared" si="0"/>
        <v>-80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94635</v>
      </c>
      <c r="C11" s="24">
        <v>94027</v>
      </c>
      <c r="D11" s="24">
        <f t="shared" si="0"/>
        <v>-608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134131</v>
      </c>
      <c r="C12" s="51">
        <v>136018</v>
      </c>
      <c r="D12" s="24">
        <f t="shared" si="0"/>
        <v>1887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71735</v>
      </c>
      <c r="C13" s="24">
        <v>72648</v>
      </c>
      <c r="D13" s="24">
        <f t="shared" si="0"/>
        <v>913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71735</v>
      </c>
      <c r="C14" s="24">
        <v>86862</v>
      </c>
      <c r="D14" s="24">
        <f t="shared" si="0"/>
        <v>15127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71685</v>
      </c>
      <c r="C15" s="24">
        <v>71511</v>
      </c>
      <c r="D15" s="24">
        <f t="shared" si="0"/>
        <v>-174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84166</v>
      </c>
      <c r="C16" s="24">
        <v>84634</v>
      </c>
      <c r="D16" s="24">
        <f t="shared" si="0"/>
        <v>468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72703</v>
      </c>
      <c r="C17" s="24">
        <v>73788</v>
      </c>
      <c r="D17" s="24">
        <f t="shared" si="0"/>
        <v>1085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98337</v>
      </c>
      <c r="C18" s="24">
        <v>98796</v>
      </c>
      <c r="D18" s="24">
        <f t="shared" si="0"/>
        <v>459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80637</v>
      </c>
      <c r="C19" s="24">
        <v>80688</v>
      </c>
      <c r="D19" s="24">
        <f t="shared" si="0"/>
        <v>51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121128</v>
      </c>
      <c r="C20" s="24">
        <v>120967</v>
      </c>
      <c r="D20" s="24">
        <f t="shared" si="0"/>
        <v>-161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134798</v>
      </c>
      <c r="C21" s="24">
        <v>134333</v>
      </c>
      <c r="D21" s="24">
        <f t="shared" si="0"/>
        <v>-465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97710</v>
      </c>
      <c r="C22" s="24">
        <v>97329</v>
      </c>
      <c r="D22" s="24">
        <f t="shared" si="0"/>
        <v>-381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14"/>
      <c r="W34" s="314"/>
      <c r="X34" s="314"/>
      <c r="Y34" s="314"/>
      <c r="Z34" s="149"/>
      <c r="AA34" s="150"/>
      <c r="AB34" s="150"/>
      <c r="AC34" s="150"/>
      <c r="AD34" s="314"/>
      <c r="AE34" s="314"/>
      <c r="AF34" s="314"/>
      <c r="AG34" s="314"/>
      <c r="AH34" s="314"/>
      <c r="AI34" s="314"/>
      <c r="AJ34" s="314"/>
      <c r="AK34" s="314"/>
      <c r="AL34" s="314"/>
      <c r="AM34" s="314"/>
      <c r="AN34" s="314"/>
      <c r="AO34" s="314"/>
      <c r="AP34" s="314"/>
      <c r="AQ34" s="314"/>
      <c r="AR34" s="314"/>
      <c r="AS34" s="314"/>
      <c r="AT34" s="314"/>
      <c r="AU34" s="314"/>
      <c r="AV34" s="314"/>
      <c r="AW34" s="314"/>
      <c r="AX34" s="314"/>
      <c r="AY34" s="314"/>
      <c r="AZ34" s="314"/>
      <c r="BA34" s="314"/>
      <c r="BB34" s="314"/>
      <c r="BC34" s="314"/>
      <c r="BD34" s="314"/>
      <c r="BE34" s="314"/>
      <c r="BF34" s="314"/>
      <c r="BG34" s="314"/>
      <c r="BH34" s="314"/>
      <c r="BI34" s="314"/>
      <c r="BJ34" s="314"/>
      <c r="BK34" s="314"/>
      <c r="BL34" s="314"/>
      <c r="BM34" s="31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14"/>
      <c r="W35" s="314"/>
      <c r="X35" s="314"/>
      <c r="Y35" s="314"/>
      <c r="Z35" s="149"/>
      <c r="AA35" s="150"/>
      <c r="AB35" s="150"/>
      <c r="AC35" s="150"/>
      <c r="AD35" s="314"/>
      <c r="AE35" s="314"/>
      <c r="AF35" s="314"/>
      <c r="AG35" s="314"/>
      <c r="AH35" s="314"/>
      <c r="AI35" s="314"/>
      <c r="AJ35" s="314"/>
      <c r="AK35" s="314"/>
      <c r="AL35" s="314"/>
      <c r="AM35" s="314"/>
      <c r="AN35" s="314"/>
      <c r="AO35" s="314"/>
      <c r="AP35" s="314"/>
      <c r="AQ35" s="314"/>
      <c r="AR35" s="314"/>
      <c r="AS35" s="314"/>
      <c r="AT35" s="314"/>
      <c r="AU35" s="314"/>
      <c r="AV35" s="314"/>
      <c r="AW35" s="314"/>
      <c r="AX35" s="314"/>
      <c r="AY35" s="314"/>
      <c r="AZ35" s="314"/>
      <c r="BA35" s="314"/>
      <c r="BB35" s="314"/>
      <c r="BC35" s="314"/>
      <c r="BD35" s="314"/>
      <c r="BE35" s="314"/>
      <c r="BF35" s="314"/>
      <c r="BG35" s="314"/>
      <c r="BH35" s="314"/>
      <c r="BI35" s="314"/>
      <c r="BJ35" s="314"/>
      <c r="BK35" s="314"/>
      <c r="BL35" s="314"/>
      <c r="BM35" s="314"/>
    </row>
    <row r="36" spans="1:65" ht="14.1" customHeight="1" x14ac:dyDescent="0.2">
      <c r="A36" s="12"/>
      <c r="B36" s="24">
        <f>SUM(B5:B35)</f>
        <v>1716889</v>
      </c>
      <c r="C36" s="24">
        <f>SUM(C5:C35)</f>
        <v>1726719</v>
      </c>
      <c r="D36" s="24">
        <f t="shared" si="0"/>
        <v>9830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14"/>
      <c r="W36" s="314"/>
      <c r="X36" s="314"/>
      <c r="Y36" s="314"/>
      <c r="Z36" s="149"/>
      <c r="AA36" s="150"/>
      <c r="AB36" s="150"/>
      <c r="AC36" s="150"/>
      <c r="AD36" s="314"/>
      <c r="AE36" s="314"/>
      <c r="AF36" s="314"/>
      <c r="AG36" s="314"/>
      <c r="AH36" s="314"/>
      <c r="AI36" s="314"/>
      <c r="AJ36" s="314"/>
      <c r="AK36" s="314"/>
      <c r="AL36" s="314"/>
      <c r="AM36" s="314"/>
      <c r="AN36" s="314"/>
      <c r="AO36" s="314"/>
      <c r="AP36" s="314"/>
      <c r="AQ36" s="314"/>
      <c r="AR36" s="314"/>
      <c r="AS36" s="314"/>
      <c r="AT36" s="314"/>
      <c r="AU36" s="314"/>
      <c r="AV36" s="314"/>
      <c r="AW36" s="314"/>
      <c r="AX36" s="314"/>
      <c r="AY36" s="314"/>
      <c r="AZ36" s="314"/>
      <c r="BA36" s="314"/>
      <c r="BB36" s="314"/>
      <c r="BC36" s="314"/>
      <c r="BD36" s="314"/>
      <c r="BE36" s="314"/>
      <c r="BF36" s="314"/>
      <c r="BG36" s="314"/>
      <c r="BH36" s="314"/>
      <c r="BI36" s="314"/>
      <c r="BJ36" s="314"/>
      <c r="BK36" s="314"/>
      <c r="BL36" s="314"/>
      <c r="BM36" s="31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14"/>
      <c r="W37" s="314"/>
      <c r="X37" s="314"/>
      <c r="Y37" s="314"/>
      <c r="Z37" s="206"/>
      <c r="AA37" s="208"/>
      <c r="AB37" s="208"/>
      <c r="AC37" s="208"/>
      <c r="AD37" s="314"/>
      <c r="AE37" s="314"/>
      <c r="AF37" s="314"/>
      <c r="AG37" s="314"/>
      <c r="AH37" s="314"/>
      <c r="AI37" s="314"/>
      <c r="AJ37" s="314"/>
      <c r="AK37" s="314"/>
      <c r="AL37" s="314"/>
      <c r="AM37" s="314"/>
      <c r="AN37" s="314"/>
      <c r="AO37" s="314"/>
      <c r="AP37" s="314"/>
      <c r="AQ37" s="314"/>
      <c r="AR37" s="314"/>
      <c r="AS37" s="314"/>
      <c r="AT37" s="314"/>
      <c r="AU37" s="314"/>
      <c r="AV37" s="314"/>
      <c r="AW37" s="314"/>
      <c r="AX37" s="314"/>
      <c r="AY37" s="314"/>
      <c r="AZ37" s="314"/>
      <c r="BA37" s="314"/>
      <c r="BB37" s="314"/>
      <c r="BC37" s="314"/>
      <c r="BD37" s="314"/>
      <c r="BE37" s="314"/>
      <c r="BF37" s="314"/>
      <c r="BG37" s="314"/>
      <c r="BH37" s="314"/>
      <c r="BI37" s="314"/>
      <c r="BJ37" s="314"/>
      <c r="BK37" s="314"/>
      <c r="BL37" s="314"/>
      <c r="BM37" s="314"/>
    </row>
    <row r="38" spans="1:65" x14ac:dyDescent="0.2">
      <c r="B38" s="256">
        <v>37042</v>
      </c>
      <c r="C38" s="24"/>
      <c r="D38" s="406">
        <v>1307</v>
      </c>
      <c r="E38" s="2"/>
      <c r="G38" s="24"/>
      <c r="H38" s="24"/>
      <c r="I38" s="150"/>
      <c r="J38" s="314"/>
      <c r="K38" s="150"/>
      <c r="L38" s="150"/>
      <c r="M38" s="150"/>
      <c r="N38" s="314"/>
      <c r="O38" s="150"/>
      <c r="P38" s="150"/>
      <c r="Q38" s="150"/>
      <c r="R38" s="314"/>
      <c r="S38" s="150"/>
      <c r="T38" s="150"/>
      <c r="U38" s="150"/>
      <c r="V38" s="314"/>
      <c r="W38" s="314"/>
      <c r="X38" s="314"/>
      <c r="Y38" s="314"/>
      <c r="Z38" s="314"/>
      <c r="AA38" s="150"/>
      <c r="AB38" s="150"/>
      <c r="AC38" s="150"/>
      <c r="AD38" s="314"/>
      <c r="AE38" s="314"/>
      <c r="AF38" s="314"/>
      <c r="AG38" s="314"/>
      <c r="AH38" s="314"/>
      <c r="AI38" s="314"/>
      <c r="AJ38" s="314"/>
      <c r="AK38" s="314"/>
      <c r="AL38" s="314"/>
      <c r="AM38" s="314"/>
      <c r="AN38" s="314"/>
      <c r="AO38" s="314"/>
      <c r="AP38" s="314"/>
      <c r="AQ38" s="314"/>
      <c r="AR38" s="314"/>
      <c r="AS38" s="314"/>
      <c r="AT38" s="314"/>
      <c r="AU38" s="314"/>
      <c r="AV38" s="314"/>
      <c r="AW38" s="314"/>
      <c r="AX38" s="314"/>
      <c r="AY38" s="314"/>
      <c r="AZ38" s="314"/>
      <c r="BA38" s="314"/>
      <c r="BB38" s="314"/>
      <c r="BC38" s="314"/>
      <c r="BD38" s="314"/>
      <c r="BE38" s="314"/>
      <c r="BF38" s="314"/>
      <c r="BG38" s="314"/>
      <c r="BH38" s="314"/>
      <c r="BI38" s="314"/>
      <c r="BJ38" s="314"/>
      <c r="BK38" s="314"/>
      <c r="BL38" s="314"/>
      <c r="BM38" s="314"/>
    </row>
    <row r="39" spans="1:65" x14ac:dyDescent="0.2">
      <c r="B39" s="256"/>
      <c r="C39" s="24"/>
      <c r="D39" s="24"/>
      <c r="E39" s="2"/>
      <c r="G39" s="24"/>
      <c r="H39" s="24"/>
      <c r="I39" s="150"/>
      <c r="J39" s="314"/>
      <c r="K39" s="150"/>
      <c r="L39" s="150"/>
      <c r="M39" s="150"/>
      <c r="N39" s="314"/>
      <c r="O39" s="150"/>
      <c r="P39" s="150"/>
      <c r="Q39" s="150"/>
      <c r="R39" s="314"/>
      <c r="S39" s="150"/>
      <c r="T39" s="150"/>
      <c r="U39" s="150"/>
      <c r="V39" s="314"/>
      <c r="W39" s="314"/>
      <c r="X39" s="314"/>
      <c r="Y39" s="314"/>
      <c r="Z39" s="314"/>
      <c r="AA39" s="150"/>
      <c r="AB39" s="150"/>
      <c r="AC39" s="150"/>
      <c r="AD39" s="314"/>
      <c r="AE39" s="314"/>
      <c r="AF39" s="314"/>
      <c r="AG39" s="314"/>
      <c r="AH39" s="314"/>
      <c r="AI39" s="314"/>
      <c r="AJ39" s="314"/>
      <c r="AK39" s="314"/>
      <c r="AL39" s="314"/>
      <c r="AM39" s="314"/>
      <c r="AN39" s="314"/>
      <c r="AO39" s="314"/>
      <c r="AP39" s="314"/>
      <c r="AQ39" s="314"/>
      <c r="AR39" s="314"/>
      <c r="AS39" s="314"/>
      <c r="AT39" s="314"/>
      <c r="AU39" s="314"/>
      <c r="AV39" s="314"/>
      <c r="AW39" s="314"/>
      <c r="AX39" s="314"/>
      <c r="AY39" s="314"/>
      <c r="AZ39" s="314"/>
      <c r="BA39" s="314"/>
      <c r="BB39" s="314"/>
      <c r="BC39" s="314"/>
      <c r="BD39" s="314"/>
      <c r="BE39" s="314"/>
      <c r="BF39" s="314"/>
      <c r="BG39" s="314"/>
      <c r="BH39" s="314"/>
      <c r="BI39" s="314"/>
      <c r="BJ39" s="314"/>
      <c r="BK39" s="314"/>
      <c r="BL39" s="314"/>
      <c r="BM39" s="314"/>
    </row>
    <row r="40" spans="1:65" ht="13.5" thickBot="1" x14ac:dyDescent="0.25">
      <c r="B40" s="256">
        <v>37060</v>
      </c>
      <c r="C40" s="24"/>
      <c r="D40" s="195">
        <f>+D36+D38</f>
        <v>11137</v>
      </c>
      <c r="E40" s="196"/>
      <c r="G40" s="24"/>
      <c r="H40" s="24"/>
      <c r="I40" s="150"/>
      <c r="J40" s="314"/>
      <c r="K40" s="150"/>
      <c r="L40" s="150"/>
      <c r="M40" s="150"/>
      <c r="N40" s="314"/>
      <c r="O40" s="150"/>
      <c r="P40" s="150"/>
      <c r="Q40" s="169"/>
      <c r="R40" s="314"/>
      <c r="S40" s="150"/>
      <c r="T40" s="150"/>
      <c r="U40" s="169"/>
      <c r="V40" s="314"/>
      <c r="W40" s="314"/>
      <c r="X40" s="314"/>
      <c r="Y40" s="314"/>
      <c r="Z40" s="314"/>
      <c r="AA40" s="150"/>
      <c r="AB40" s="150"/>
      <c r="AC40" s="169"/>
      <c r="AD40" s="314"/>
      <c r="AE40" s="314"/>
      <c r="AF40" s="314"/>
      <c r="AG40" s="314"/>
      <c r="AH40" s="314"/>
      <c r="AI40" s="314"/>
      <c r="AJ40" s="314"/>
      <c r="AK40" s="314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4"/>
      <c r="AX40" s="314"/>
      <c r="AY40" s="314"/>
      <c r="AZ40" s="314"/>
      <c r="BA40" s="314"/>
      <c r="BB40" s="314"/>
      <c r="BC40" s="314"/>
      <c r="BD40" s="314"/>
      <c r="BE40" s="314"/>
      <c r="BF40" s="314"/>
      <c r="BG40" s="314"/>
      <c r="BH40" s="314"/>
      <c r="BI40" s="314"/>
      <c r="BJ40" s="314"/>
      <c r="BK40" s="314"/>
      <c r="BL40" s="314"/>
      <c r="BM40" s="314"/>
    </row>
    <row r="41" spans="1:65" ht="13.5" thickTop="1" x14ac:dyDescent="0.2">
      <c r="B41" s="257"/>
      <c r="C41"/>
      <c r="D41"/>
      <c r="E41" s="2"/>
      <c r="I41" s="314"/>
      <c r="J41" s="314"/>
      <c r="K41" s="314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4"/>
      <c r="AX41" s="314"/>
      <c r="AY41" s="314"/>
      <c r="AZ41" s="314"/>
      <c r="BA41" s="314"/>
      <c r="BB41" s="314"/>
      <c r="BC41" s="314"/>
      <c r="BD41" s="314"/>
      <c r="BE41" s="314"/>
      <c r="BF41" s="314"/>
      <c r="BG41" s="314"/>
      <c r="BH41" s="314"/>
      <c r="BI41" s="314"/>
      <c r="BJ41" s="314"/>
      <c r="BK41" s="314"/>
      <c r="BL41" s="314"/>
      <c r="BM41" s="314"/>
    </row>
    <row r="42" spans="1:65" x14ac:dyDescent="0.2">
      <c r="B42" s="2"/>
      <c r="C42"/>
      <c r="D42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14"/>
      <c r="Z42" s="314"/>
      <c r="AA42" s="314"/>
      <c r="AB42" s="314"/>
      <c r="AC42" s="314"/>
      <c r="AD42" s="314"/>
      <c r="AE42" s="314"/>
      <c r="AF42" s="314"/>
      <c r="AG42" s="314"/>
      <c r="AH42" s="314"/>
      <c r="AI42" s="314"/>
      <c r="AJ42" s="314"/>
      <c r="AK42" s="314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4"/>
      <c r="BF42" s="314"/>
      <c r="BG42" s="314"/>
      <c r="BH42" s="314"/>
      <c r="BI42" s="314"/>
      <c r="BJ42" s="314"/>
      <c r="BK42" s="314"/>
      <c r="BL42" s="314"/>
      <c r="BM42" s="314"/>
    </row>
    <row r="43" spans="1:65" x14ac:dyDescent="0.2">
      <c r="B43"/>
      <c r="C43"/>
      <c r="D43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14"/>
      <c r="Y43" s="314"/>
      <c r="Z43" s="314"/>
      <c r="AA43" s="314"/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  <c r="BB43" s="314"/>
      <c r="BC43" s="314"/>
      <c r="BD43" s="314"/>
      <c r="BE43" s="314"/>
      <c r="BF43" s="314"/>
      <c r="BG43" s="314"/>
      <c r="BH43" s="314"/>
      <c r="BI43" s="314"/>
      <c r="BJ43" s="314"/>
      <c r="BK43" s="314"/>
      <c r="BL43" s="314"/>
      <c r="BM43" s="314"/>
    </row>
    <row r="44" spans="1:65" x14ac:dyDescent="0.2">
      <c r="B44"/>
      <c r="C44"/>
      <c r="D44"/>
      <c r="I44" s="314"/>
      <c r="J44" s="314"/>
      <c r="K44" s="314"/>
      <c r="L44" s="314"/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4"/>
      <c r="BA44" s="314"/>
      <c r="BB44" s="314"/>
      <c r="BC44" s="314"/>
      <c r="BD44" s="314"/>
      <c r="BE44" s="314"/>
      <c r="BF44" s="314"/>
      <c r="BG44" s="314"/>
      <c r="BH44" s="314"/>
      <c r="BI44" s="314"/>
      <c r="BJ44" s="314"/>
      <c r="BK44" s="314"/>
      <c r="BL44" s="314"/>
      <c r="BM44" s="314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22" sqref="D22"/>
    </sheetView>
    <sheetView topLeftCell="A2" workbookViewId="1">
      <selection activeCell="D22" sqref="D22"/>
    </sheetView>
    <sheetView workbookViewId="2">
      <selection activeCell="C12" sqref="C12"/>
    </sheetView>
    <sheetView topLeftCell="A2" workbookViewId="3">
      <selection activeCell="A23" sqref="A23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56339</v>
      </c>
      <c r="B5" s="373">
        <v>557807</v>
      </c>
      <c r="C5" s="90">
        <v>601389</v>
      </c>
      <c r="D5" s="90">
        <f>+C5-B5</f>
        <v>43582</v>
      </c>
      <c r="E5" s="287"/>
      <c r="F5" s="285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92">
        <v>554901</v>
      </c>
      <c r="C7" s="90">
        <v>565269</v>
      </c>
      <c r="D7" s="90">
        <f t="shared" si="0"/>
        <v>10368</v>
      </c>
      <c r="E7" s="287"/>
      <c r="F7" s="285"/>
      <c r="L7" t="s">
        <v>27</v>
      </c>
      <c r="M7">
        <v>7.6</v>
      </c>
    </row>
    <row r="8" spans="1:13" x14ac:dyDescent="0.2">
      <c r="A8" s="87">
        <v>500239</v>
      </c>
      <c r="B8" s="331">
        <v>676987</v>
      </c>
      <c r="C8" s="90">
        <v>688625</v>
      </c>
      <c r="D8" s="90">
        <f t="shared" si="0"/>
        <v>11638</v>
      </c>
      <c r="E8" s="287"/>
      <c r="F8" s="285"/>
    </row>
    <row r="9" spans="1:13" x14ac:dyDescent="0.2">
      <c r="A9" s="87">
        <v>500293</v>
      </c>
      <c r="B9" s="92">
        <v>285875</v>
      </c>
      <c r="C9" s="90">
        <v>363094</v>
      </c>
      <c r="D9" s="90">
        <f t="shared" si="0"/>
        <v>77219</v>
      </c>
      <c r="E9" s="287"/>
      <c r="F9" s="285"/>
    </row>
    <row r="10" spans="1:13" x14ac:dyDescent="0.2">
      <c r="A10" s="87">
        <v>500302</v>
      </c>
      <c r="B10" s="331">
        <v>6714</v>
      </c>
      <c r="C10" s="331"/>
      <c r="D10" s="90">
        <f t="shared" si="0"/>
        <v>-6714</v>
      </c>
      <c r="E10" s="287"/>
      <c r="F10" s="285"/>
    </row>
    <row r="11" spans="1:13" x14ac:dyDescent="0.2">
      <c r="A11" s="87">
        <v>500303</v>
      </c>
      <c r="B11" s="331">
        <v>131151</v>
      </c>
      <c r="C11" s="90">
        <v>199635</v>
      </c>
      <c r="D11" s="90">
        <f t="shared" si="0"/>
        <v>68484</v>
      </c>
      <c r="E11" s="287"/>
      <c r="F11" s="285"/>
    </row>
    <row r="12" spans="1:13" x14ac:dyDescent="0.2">
      <c r="A12" s="91">
        <v>500305</v>
      </c>
      <c r="B12" s="331">
        <v>609162</v>
      </c>
      <c r="C12" s="90">
        <v>816405</v>
      </c>
      <c r="D12" s="90">
        <f t="shared" si="0"/>
        <v>207243</v>
      </c>
      <c r="E12" s="288"/>
      <c r="F12" s="285"/>
    </row>
    <row r="13" spans="1:13" x14ac:dyDescent="0.2">
      <c r="A13" s="87">
        <v>500307</v>
      </c>
      <c r="B13" s="331">
        <v>37893</v>
      </c>
      <c r="C13" s="90">
        <v>38754</v>
      </c>
      <c r="D13" s="90">
        <f t="shared" si="0"/>
        <v>861</v>
      </c>
      <c r="E13" s="287"/>
      <c r="F13" s="285"/>
    </row>
    <row r="14" spans="1:13" x14ac:dyDescent="0.2">
      <c r="A14" s="87">
        <v>500313</v>
      </c>
      <c r="B14" s="90"/>
      <c r="C14" s="331">
        <v>1841</v>
      </c>
      <c r="D14" s="90">
        <f t="shared" si="0"/>
        <v>1841</v>
      </c>
      <c r="E14" s="287"/>
      <c r="F14" s="285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7"/>
      <c r="F15" s="285"/>
    </row>
    <row r="16" spans="1:13" x14ac:dyDescent="0.2">
      <c r="A16" s="87">
        <v>500655</v>
      </c>
      <c r="B16" s="345">
        <v>445997</v>
      </c>
      <c r="C16" s="90"/>
      <c r="D16" s="90">
        <f t="shared" si="0"/>
        <v>-445997</v>
      </c>
      <c r="E16" s="287"/>
      <c r="F16" s="285"/>
    </row>
    <row r="17" spans="1:6" x14ac:dyDescent="0.2">
      <c r="A17" s="87">
        <v>500657</v>
      </c>
      <c r="B17" s="360">
        <v>131986</v>
      </c>
      <c r="C17" s="88">
        <v>107550</v>
      </c>
      <c r="D17" s="94">
        <f t="shared" si="0"/>
        <v>-24436</v>
      </c>
      <c r="E17" s="287"/>
      <c r="F17" s="285"/>
    </row>
    <row r="18" spans="1:6" x14ac:dyDescent="0.2">
      <c r="A18" s="87"/>
      <c r="B18" s="88"/>
      <c r="C18" s="88"/>
      <c r="D18" s="88">
        <f>SUM(D5:D17)</f>
        <v>-55911</v>
      </c>
      <c r="E18" s="287"/>
      <c r="F18" s="285"/>
    </row>
    <row r="19" spans="1:6" x14ac:dyDescent="0.2">
      <c r="A19" s="87" t="s">
        <v>86</v>
      </c>
      <c r="B19" s="88"/>
      <c r="C19" s="88"/>
      <c r="D19" s="95">
        <f>+summary!P11</f>
        <v>3.26</v>
      </c>
      <c r="E19" s="289"/>
      <c r="F19" s="285"/>
    </row>
    <row r="20" spans="1:6" x14ac:dyDescent="0.2">
      <c r="A20" s="87"/>
      <c r="B20" s="88"/>
      <c r="C20" s="88"/>
      <c r="D20" s="96">
        <f>+D19*D18</f>
        <v>-182269.86</v>
      </c>
      <c r="E20" s="209"/>
      <c r="F20" s="286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37042</v>
      </c>
      <c r="B22" s="88"/>
      <c r="C22" s="88"/>
      <c r="D22" s="418">
        <v>151158.35999999999</v>
      </c>
      <c r="E22" s="209"/>
      <c r="F22" s="66"/>
    </row>
    <row r="23" spans="1:6" x14ac:dyDescent="0.2">
      <c r="A23" s="87"/>
      <c r="B23" s="88"/>
      <c r="C23" s="88"/>
      <c r="D23" s="336"/>
      <c r="E23" s="209"/>
      <c r="F23" s="66"/>
    </row>
    <row r="24" spans="1:6" ht="13.5" thickBot="1" x14ac:dyDescent="0.25">
      <c r="A24" s="99">
        <v>37060</v>
      </c>
      <c r="B24" s="88"/>
      <c r="C24" s="88"/>
      <c r="D24" s="359">
        <f>+D22+D20</f>
        <v>-31111.5</v>
      </c>
      <c r="E24" s="209"/>
      <c r="F24" s="66"/>
    </row>
    <row r="25" spans="1:6" ht="13.5" thickTop="1" x14ac:dyDescent="0.2">
      <c r="E25" s="29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30" workbookViewId="1">
      <selection activeCell="E41" sqref="E41"/>
    </sheetView>
    <sheetView topLeftCell="A30" workbookViewId="2">
      <selection activeCell="E40" sqref="E40"/>
    </sheetView>
    <sheetView topLeftCell="A30" workbookViewId="3">
      <selection activeCell="D50" sqref="D50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49</v>
      </c>
      <c r="C2" s="205"/>
      <c r="D2" s="12" t="s">
        <v>50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40803</v>
      </c>
      <c r="C4" s="11">
        <v>40714</v>
      </c>
      <c r="D4" s="11">
        <v>37694</v>
      </c>
      <c r="E4" s="11">
        <v>35000</v>
      </c>
      <c r="F4" s="25">
        <f>+E4+C4-D4-B4</f>
        <v>-2783</v>
      </c>
      <c r="G4" s="25"/>
    </row>
    <row r="5" spans="1:7" x14ac:dyDescent="0.2">
      <c r="A5" s="41">
        <v>2</v>
      </c>
      <c r="B5" s="11">
        <v>41335</v>
      </c>
      <c r="C5" s="11">
        <v>40714</v>
      </c>
      <c r="D5" s="11">
        <v>42690</v>
      </c>
      <c r="E5" s="11">
        <v>35000</v>
      </c>
      <c r="F5" s="25">
        <f t="shared" ref="F5:F34" si="0">+E5+C5-D5-B5</f>
        <v>-8311</v>
      </c>
      <c r="G5" s="25"/>
    </row>
    <row r="6" spans="1:7" x14ac:dyDescent="0.2">
      <c r="A6" s="41">
        <v>3</v>
      </c>
      <c r="B6" s="11">
        <v>39966</v>
      </c>
      <c r="C6" s="11">
        <v>40714</v>
      </c>
      <c r="D6" s="11">
        <v>41584</v>
      </c>
      <c r="E6" s="11">
        <v>40000</v>
      </c>
      <c r="F6" s="25">
        <f t="shared" si="0"/>
        <v>-836</v>
      </c>
      <c r="G6" s="25"/>
    </row>
    <row r="7" spans="1:7" x14ac:dyDescent="0.2">
      <c r="A7" s="41">
        <v>4</v>
      </c>
      <c r="B7" s="11">
        <v>41167</v>
      </c>
      <c r="C7" s="11">
        <v>40714</v>
      </c>
      <c r="D7" s="11">
        <v>39857</v>
      </c>
      <c r="E7" s="11">
        <v>40000</v>
      </c>
      <c r="F7" s="25">
        <f t="shared" si="0"/>
        <v>-310</v>
      </c>
      <c r="G7" s="25"/>
    </row>
    <row r="8" spans="1:7" x14ac:dyDescent="0.2">
      <c r="A8" s="41">
        <v>5</v>
      </c>
      <c r="B8" s="11">
        <v>44360</v>
      </c>
      <c r="C8" s="11">
        <v>43714</v>
      </c>
      <c r="D8" s="11">
        <v>39563</v>
      </c>
      <c r="E8" s="11">
        <v>40000</v>
      </c>
      <c r="F8" s="25">
        <f t="shared" si="0"/>
        <v>-209</v>
      </c>
      <c r="G8" s="25"/>
    </row>
    <row r="9" spans="1:7" x14ac:dyDescent="0.2">
      <c r="A9" s="41">
        <v>6</v>
      </c>
      <c r="B9" s="11">
        <v>41924</v>
      </c>
      <c r="C9" s="11">
        <v>43713</v>
      </c>
      <c r="D9" s="11">
        <v>36834</v>
      </c>
      <c r="E9" s="11">
        <v>39999</v>
      </c>
      <c r="F9" s="25">
        <f t="shared" si="0"/>
        <v>4954</v>
      </c>
      <c r="G9" s="25"/>
    </row>
    <row r="10" spans="1:7" x14ac:dyDescent="0.2">
      <c r="A10" s="41">
        <v>7</v>
      </c>
      <c r="B10" s="11">
        <v>41447</v>
      </c>
      <c r="C10" s="11">
        <v>43714</v>
      </c>
      <c r="D10" s="11">
        <v>35036</v>
      </c>
      <c r="E10" s="11">
        <v>38000</v>
      </c>
      <c r="F10" s="25">
        <f t="shared" si="0"/>
        <v>5231</v>
      </c>
      <c r="G10" s="25"/>
    </row>
    <row r="11" spans="1:7" x14ac:dyDescent="0.2">
      <c r="A11" s="41">
        <v>8</v>
      </c>
      <c r="B11" s="11">
        <v>36290</v>
      </c>
      <c r="C11" s="11">
        <v>40000</v>
      </c>
      <c r="D11" s="11">
        <v>32619</v>
      </c>
      <c r="E11" s="11">
        <v>34000</v>
      </c>
      <c r="F11" s="25">
        <f t="shared" si="0"/>
        <v>5091</v>
      </c>
      <c r="G11" s="25"/>
    </row>
    <row r="12" spans="1:7" x14ac:dyDescent="0.2">
      <c r="A12" s="41">
        <v>9</v>
      </c>
      <c r="B12" s="11">
        <v>39937</v>
      </c>
      <c r="C12" s="11">
        <v>38777</v>
      </c>
      <c r="D12" s="11">
        <v>32705</v>
      </c>
      <c r="E12" s="11">
        <v>31047</v>
      </c>
      <c r="F12" s="25">
        <f t="shared" si="0"/>
        <v>-2818</v>
      </c>
      <c r="G12" s="25"/>
    </row>
    <row r="13" spans="1:7" x14ac:dyDescent="0.2">
      <c r="A13" s="41">
        <v>10</v>
      </c>
      <c r="B13" s="11">
        <v>39339</v>
      </c>
      <c r="C13" s="11">
        <v>38777</v>
      </c>
      <c r="D13" s="11">
        <v>31138</v>
      </c>
      <c r="E13" s="11">
        <v>31047</v>
      </c>
      <c r="F13" s="25">
        <f t="shared" si="0"/>
        <v>-653</v>
      </c>
      <c r="G13" s="25"/>
    </row>
    <row r="14" spans="1:7" x14ac:dyDescent="0.2">
      <c r="A14" s="41">
        <v>11</v>
      </c>
      <c r="B14" s="11">
        <v>39932</v>
      </c>
      <c r="C14" s="11">
        <v>43714</v>
      </c>
      <c r="D14" s="11">
        <v>32600</v>
      </c>
      <c r="E14" s="11">
        <v>35000</v>
      </c>
      <c r="F14" s="25">
        <f t="shared" si="0"/>
        <v>6182</v>
      </c>
      <c r="G14" s="25"/>
    </row>
    <row r="15" spans="1:7" x14ac:dyDescent="0.2">
      <c r="A15" s="41">
        <v>12</v>
      </c>
      <c r="B15" s="11">
        <v>44225</v>
      </c>
      <c r="C15" s="11">
        <v>42710</v>
      </c>
      <c r="D15" s="11">
        <v>22986</v>
      </c>
      <c r="E15" s="11">
        <v>32997</v>
      </c>
      <c r="F15" s="25">
        <f t="shared" si="0"/>
        <v>8496</v>
      </c>
      <c r="G15" s="25"/>
    </row>
    <row r="16" spans="1:7" x14ac:dyDescent="0.2">
      <c r="A16" s="41">
        <v>13</v>
      </c>
      <c r="B16" s="11">
        <v>48063</v>
      </c>
      <c r="C16" s="11">
        <v>44000</v>
      </c>
      <c r="D16" s="11">
        <v>26734</v>
      </c>
      <c r="E16" s="11">
        <v>23000</v>
      </c>
      <c r="F16" s="25">
        <f t="shared" si="0"/>
        <v>-7797</v>
      </c>
      <c r="G16" s="25"/>
    </row>
    <row r="17" spans="1:7" x14ac:dyDescent="0.2">
      <c r="A17" s="41">
        <v>14</v>
      </c>
      <c r="B17" s="11">
        <v>47229</v>
      </c>
      <c r="C17" s="11">
        <v>50115</v>
      </c>
      <c r="D17" s="11">
        <v>31012</v>
      </c>
      <c r="E17" s="11">
        <v>33532</v>
      </c>
      <c r="F17" s="25">
        <f t="shared" si="0"/>
        <v>5406</v>
      </c>
      <c r="G17" s="25"/>
    </row>
    <row r="18" spans="1:7" x14ac:dyDescent="0.2">
      <c r="A18" s="41">
        <v>15</v>
      </c>
      <c r="B18" s="11">
        <v>40048</v>
      </c>
      <c r="C18" s="11">
        <v>37619</v>
      </c>
      <c r="D18" s="11">
        <v>25456</v>
      </c>
      <c r="E18" s="11">
        <v>29065</v>
      </c>
      <c r="F18" s="25">
        <f t="shared" si="0"/>
        <v>1180</v>
      </c>
      <c r="G18" s="25"/>
    </row>
    <row r="19" spans="1:7" x14ac:dyDescent="0.2">
      <c r="A19" s="41">
        <v>16</v>
      </c>
      <c r="B19" s="11">
        <v>40576</v>
      </c>
      <c r="C19" s="11">
        <v>50051</v>
      </c>
      <c r="D19" s="11">
        <v>29835</v>
      </c>
      <c r="E19" s="11">
        <v>35000</v>
      </c>
      <c r="F19" s="25">
        <f t="shared" si="0"/>
        <v>14640</v>
      </c>
      <c r="G19" s="25"/>
    </row>
    <row r="20" spans="1:7" x14ac:dyDescent="0.2">
      <c r="A20" s="41">
        <v>17</v>
      </c>
      <c r="B20" s="11">
        <v>40047</v>
      </c>
      <c r="C20" s="11">
        <v>41227</v>
      </c>
      <c r="D20" s="11">
        <v>31203</v>
      </c>
      <c r="E20" s="11">
        <v>33917</v>
      </c>
      <c r="F20" s="25">
        <f t="shared" si="0"/>
        <v>3894</v>
      </c>
      <c r="G20" s="25"/>
    </row>
    <row r="21" spans="1:7" x14ac:dyDescent="0.2">
      <c r="A21" s="41">
        <v>18</v>
      </c>
      <c r="B21" s="11">
        <v>39329</v>
      </c>
      <c r="C21" s="11">
        <v>39000</v>
      </c>
      <c r="D21" s="11">
        <v>30953</v>
      </c>
      <c r="E21" s="11">
        <v>32000</v>
      </c>
      <c r="F21" s="25">
        <f t="shared" si="0"/>
        <v>718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746017</v>
      </c>
      <c r="C35" s="11">
        <f>SUM(C4:C34)</f>
        <v>759987</v>
      </c>
      <c r="D35" s="11">
        <f>SUM(D4:D34)</f>
        <v>600499</v>
      </c>
      <c r="E35" s="11">
        <f>SUM(E4:E34)</f>
        <v>618604</v>
      </c>
      <c r="F35" s="11">
        <f>+E35-D35+C35-B35</f>
        <v>32075</v>
      </c>
    </row>
    <row r="36" spans="1:7" x14ac:dyDescent="0.2">
      <c r="A36" s="45"/>
      <c r="C36" s="14">
        <f>+C35-B35</f>
        <v>13970</v>
      </c>
      <c r="D36" s="14"/>
      <c r="E36" s="14">
        <f>+E35-D35</f>
        <v>18105</v>
      </c>
      <c r="F36" s="47"/>
    </row>
    <row r="37" spans="1:7" x14ac:dyDescent="0.2">
      <c r="C37" s="15">
        <f>+summary!P11</f>
        <v>3.26</v>
      </c>
      <c r="D37" s="15"/>
      <c r="E37" s="15">
        <f>+C37</f>
        <v>3.26</v>
      </c>
      <c r="F37" s="24"/>
    </row>
    <row r="38" spans="1:7" x14ac:dyDescent="0.2">
      <c r="C38" s="48">
        <f>+C37*C36</f>
        <v>45542.2</v>
      </c>
      <c r="D38" s="47"/>
      <c r="E38" s="48">
        <f>+E37*E36</f>
        <v>59022.299999999996</v>
      </c>
      <c r="F38" s="46">
        <f>+E38+C38</f>
        <v>104564.5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37042</v>
      </c>
      <c r="C40" s="417">
        <v>2444005.89</v>
      </c>
      <c r="D40" s="111"/>
      <c r="E40" s="417">
        <v>-2072427.18</v>
      </c>
      <c r="F40" s="385">
        <f>+E40+C40</f>
        <v>371578.7100000002</v>
      </c>
      <c r="G40" s="25"/>
    </row>
    <row r="41" spans="1:7" x14ac:dyDescent="0.2">
      <c r="A41" s="57">
        <v>37060</v>
      </c>
      <c r="C41" s="106">
        <f>+C40+C38</f>
        <v>2489548.0900000003</v>
      </c>
      <c r="D41" s="106"/>
      <c r="E41" s="106">
        <f>+E40+E38</f>
        <v>-2013404.88</v>
      </c>
      <c r="F41" s="106">
        <f>+E41+C41</f>
        <v>476143.21000000043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77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6" workbookViewId="3">
      <selection activeCell="E48" sqref="E48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216409</v>
      </c>
      <c r="C5" s="11">
        <v>214564</v>
      </c>
      <c r="D5" s="11">
        <v>0</v>
      </c>
      <c r="E5" s="11">
        <v>0</v>
      </c>
      <c r="F5" s="11">
        <f>+D5+C5-E5-B5</f>
        <v>-1845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212420</v>
      </c>
      <c r="C6" s="11">
        <v>214971</v>
      </c>
      <c r="D6" s="11">
        <v>0</v>
      </c>
      <c r="E6" s="11">
        <v>0</v>
      </c>
      <c r="F6" s="11">
        <f>+D6+C6-E6-B6</f>
        <v>2551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221572</v>
      </c>
      <c r="C7" s="11">
        <v>222370</v>
      </c>
      <c r="D7" s="11"/>
      <c r="E7" s="11">
        <v>4477</v>
      </c>
      <c r="F7" s="11">
        <f>+D7+C7-E7-B7</f>
        <v>-3679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219273</v>
      </c>
      <c r="C8" s="11">
        <v>224915</v>
      </c>
      <c r="D8" s="11"/>
      <c r="E8" s="11">
        <v>1276</v>
      </c>
      <c r="F8" s="11">
        <f t="shared" ref="F8:F35" si="5">+D8+C8-E8-B8</f>
        <v>4366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>
        <v>185522</v>
      </c>
      <c r="C9" s="11">
        <v>181757</v>
      </c>
      <c r="D9" s="11"/>
      <c r="E9" s="11"/>
      <c r="F9" s="11">
        <f t="shared" si="5"/>
        <v>-3765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>
        <v>164874</v>
      </c>
      <c r="C10" s="11">
        <v>182838</v>
      </c>
      <c r="D10" s="11"/>
      <c r="E10" s="11">
        <v>21037</v>
      </c>
      <c r="F10" s="11">
        <f t="shared" si="5"/>
        <v>-3073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>
        <v>170513</v>
      </c>
      <c r="C11" s="11">
        <v>212981</v>
      </c>
      <c r="D11" s="11"/>
      <c r="E11" s="11">
        <v>46832</v>
      </c>
      <c r="F11" s="11">
        <f t="shared" si="5"/>
        <v>-4364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>
        <v>208241</v>
      </c>
      <c r="C12" s="11">
        <v>215303</v>
      </c>
      <c r="D12" s="11"/>
      <c r="E12" s="11">
        <v>11936</v>
      </c>
      <c r="F12" s="11">
        <f t="shared" si="5"/>
        <v>-4874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>
        <v>244312</v>
      </c>
      <c r="C13" s="11">
        <v>252585</v>
      </c>
      <c r="D13" s="11"/>
      <c r="E13" s="11"/>
      <c r="F13" s="11">
        <f t="shared" si="5"/>
        <v>8273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>
        <v>239584</v>
      </c>
      <c r="C14" s="11">
        <v>236368</v>
      </c>
      <c r="D14" s="11"/>
      <c r="E14" s="11"/>
      <c r="F14" s="11">
        <f t="shared" si="5"/>
        <v>-3216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>
        <v>237058</v>
      </c>
      <c r="C15" s="11">
        <v>239663</v>
      </c>
      <c r="D15" s="11"/>
      <c r="E15" s="11">
        <v>6248</v>
      </c>
      <c r="F15" s="11">
        <f t="shared" si="5"/>
        <v>-3643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>
        <v>211948</v>
      </c>
      <c r="C16" s="11">
        <v>213917</v>
      </c>
      <c r="D16" s="11"/>
      <c r="E16" s="11">
        <v>4672</v>
      </c>
      <c r="F16" s="11">
        <f t="shared" si="5"/>
        <v>-2703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>
        <v>217410</v>
      </c>
      <c r="C17" s="11">
        <v>213983</v>
      </c>
      <c r="D17" s="11"/>
      <c r="E17" s="11"/>
      <c r="F17" s="11">
        <f t="shared" si="5"/>
        <v>-3427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>
        <v>233108</v>
      </c>
      <c r="C18" s="11">
        <v>238441</v>
      </c>
      <c r="D18" s="11"/>
      <c r="E18" s="11">
        <v>7833</v>
      </c>
      <c r="F18" s="11">
        <f t="shared" si="5"/>
        <v>-2500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>
        <v>189384</v>
      </c>
      <c r="C19" s="11">
        <v>215345</v>
      </c>
      <c r="D19" s="11"/>
      <c r="E19" s="11">
        <v>26468</v>
      </c>
      <c r="F19" s="11">
        <f t="shared" si="5"/>
        <v>-507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>
        <v>151173</v>
      </c>
      <c r="C20" s="11">
        <v>189752</v>
      </c>
      <c r="D20" s="11"/>
      <c r="E20" s="11">
        <v>39013</v>
      </c>
      <c r="F20" s="11">
        <f t="shared" si="5"/>
        <v>-434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>
        <v>129417</v>
      </c>
      <c r="C21" s="11">
        <v>185365</v>
      </c>
      <c r="D21" s="11"/>
      <c r="E21" s="11">
        <v>52368</v>
      </c>
      <c r="F21" s="11">
        <f t="shared" si="5"/>
        <v>3580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>
        <v>205779</v>
      </c>
      <c r="C22" s="11">
        <v>212053</v>
      </c>
      <c r="D22" s="11"/>
      <c r="E22" s="11">
        <v>1879</v>
      </c>
      <c r="F22" s="11">
        <f t="shared" si="5"/>
        <v>4395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3657997</v>
      </c>
      <c r="C36" s="11">
        <f>SUM(C5:C35)</f>
        <v>3867171</v>
      </c>
      <c r="D36" s="11">
        <f>SUM(D5:D35)</f>
        <v>0</v>
      </c>
      <c r="E36" s="11">
        <f>SUM(E5:E35)</f>
        <v>224039</v>
      </c>
      <c r="F36" s="11">
        <f>SUM(F5:F35)</f>
        <v>-14865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37042</v>
      </c>
      <c r="F39" s="411">
        <v>-386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37060</v>
      </c>
      <c r="F41" s="386">
        <f>+F39+F36</f>
        <v>-15251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6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D42" sqref="D42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7" workbookViewId="3">
      <selection activeCell="B51" sqref="B51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75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68110</v>
      </c>
      <c r="C8" s="11">
        <v>67388</v>
      </c>
      <c r="D8" s="11">
        <f>+C8-B8</f>
        <v>-722</v>
      </c>
      <c r="E8" s="10"/>
      <c r="F8" s="11"/>
      <c r="G8" s="11"/>
      <c r="H8" s="11"/>
    </row>
    <row r="9" spans="1:8" x14ac:dyDescent="0.2">
      <c r="A9" s="10">
        <v>2</v>
      </c>
      <c r="B9" s="11">
        <v>52575</v>
      </c>
      <c r="C9" s="11">
        <v>52388</v>
      </c>
      <c r="D9" s="11">
        <f t="shared" ref="D9:D38" si="0">+C9-B9</f>
        <v>-187</v>
      </c>
      <c r="E9" s="10"/>
      <c r="F9" s="11"/>
      <c r="G9" s="11"/>
      <c r="H9" s="11"/>
    </row>
    <row r="10" spans="1:8" x14ac:dyDescent="0.2">
      <c r="A10" s="10">
        <v>3</v>
      </c>
      <c r="B10" s="11">
        <v>52618</v>
      </c>
      <c r="C10" s="11">
        <v>52388</v>
      </c>
      <c r="D10" s="11">
        <f t="shared" si="0"/>
        <v>-230</v>
      </c>
      <c r="E10" s="10"/>
      <c r="F10" s="11"/>
      <c r="G10" s="11"/>
      <c r="H10" s="11"/>
    </row>
    <row r="11" spans="1:8" x14ac:dyDescent="0.2">
      <c r="A11" s="10">
        <v>4</v>
      </c>
      <c r="B11" s="11">
        <v>60235</v>
      </c>
      <c r="C11" s="11">
        <v>59388</v>
      </c>
      <c r="D11" s="11">
        <f t="shared" si="0"/>
        <v>-847</v>
      </c>
      <c r="E11" s="10"/>
      <c r="F11" s="11"/>
      <c r="G11" s="11"/>
      <c r="H11" s="11"/>
    </row>
    <row r="12" spans="1:8" x14ac:dyDescent="0.2">
      <c r="A12" s="10">
        <v>5</v>
      </c>
      <c r="B12" s="11">
        <v>52944</v>
      </c>
      <c r="C12" s="11">
        <v>52388</v>
      </c>
      <c r="D12" s="11">
        <f t="shared" si="0"/>
        <v>-556</v>
      </c>
      <c r="E12" s="10"/>
      <c r="F12" s="11"/>
      <c r="G12" s="11"/>
      <c r="H12" s="11"/>
    </row>
    <row r="13" spans="1:8" x14ac:dyDescent="0.2">
      <c r="A13" s="10">
        <v>6</v>
      </c>
      <c r="B13" s="11">
        <v>60647</v>
      </c>
      <c r="C13" s="11">
        <v>62388</v>
      </c>
      <c r="D13" s="11">
        <f t="shared" si="0"/>
        <v>1741</v>
      </c>
      <c r="E13" s="10"/>
      <c r="F13" s="11"/>
      <c r="G13" s="11"/>
      <c r="H13" s="11"/>
    </row>
    <row r="14" spans="1:8" x14ac:dyDescent="0.2">
      <c r="A14" s="10">
        <v>7</v>
      </c>
      <c r="B14" s="11">
        <v>63117</v>
      </c>
      <c r="C14" s="11">
        <v>62388</v>
      </c>
      <c r="D14" s="11">
        <f t="shared" si="0"/>
        <v>-729</v>
      </c>
      <c r="E14" s="10"/>
      <c r="F14" s="11"/>
      <c r="G14" s="11"/>
      <c r="H14" s="11"/>
    </row>
    <row r="15" spans="1:8" x14ac:dyDescent="0.2">
      <c r="A15" s="10">
        <v>8</v>
      </c>
      <c r="B15" s="11">
        <v>72994</v>
      </c>
      <c r="C15" s="11">
        <v>72388</v>
      </c>
      <c r="D15" s="11">
        <f t="shared" si="0"/>
        <v>-606</v>
      </c>
      <c r="E15" s="10"/>
      <c r="F15" s="11"/>
      <c r="G15" s="11"/>
      <c r="H15" s="11"/>
    </row>
    <row r="16" spans="1:8" x14ac:dyDescent="0.2">
      <c r="A16" s="10">
        <v>9</v>
      </c>
      <c r="B16" s="11">
        <v>134234</v>
      </c>
      <c r="C16" s="11">
        <v>133583</v>
      </c>
      <c r="D16" s="11">
        <f t="shared" si="0"/>
        <v>-651</v>
      </c>
      <c r="E16" s="10"/>
      <c r="F16" s="11"/>
      <c r="G16" s="11"/>
      <c r="H16" s="11"/>
    </row>
    <row r="17" spans="1:8" x14ac:dyDescent="0.2">
      <c r="A17" s="10">
        <v>10</v>
      </c>
      <c r="B17" s="11">
        <v>132100</v>
      </c>
      <c r="C17" s="11">
        <v>133583</v>
      </c>
      <c r="D17" s="11">
        <f t="shared" si="0"/>
        <v>1483</v>
      </c>
      <c r="E17" s="10"/>
      <c r="F17" s="11"/>
      <c r="G17" s="11"/>
      <c r="H17" s="11"/>
    </row>
    <row r="18" spans="1:8" x14ac:dyDescent="0.2">
      <c r="A18" s="10">
        <v>11</v>
      </c>
      <c r="B18" s="11">
        <v>134813</v>
      </c>
      <c r="C18" s="11">
        <v>133583</v>
      </c>
      <c r="D18" s="11">
        <f t="shared" si="0"/>
        <v>-1230</v>
      </c>
      <c r="E18" s="10"/>
      <c r="F18" s="11"/>
      <c r="G18" s="11"/>
      <c r="H18" s="11"/>
    </row>
    <row r="19" spans="1:8" x14ac:dyDescent="0.2">
      <c r="A19" s="10">
        <v>12</v>
      </c>
      <c r="B19" s="11">
        <v>144825</v>
      </c>
      <c r="C19" s="11">
        <v>137693</v>
      </c>
      <c r="D19" s="11">
        <f t="shared" si="0"/>
        <v>-7132</v>
      </c>
      <c r="E19" s="10"/>
      <c r="F19" s="11"/>
      <c r="G19" s="11"/>
      <c r="H19" s="11"/>
    </row>
    <row r="20" spans="1:8" x14ac:dyDescent="0.2">
      <c r="A20" s="10">
        <v>13</v>
      </c>
      <c r="B20" s="11">
        <v>149457</v>
      </c>
      <c r="C20" s="11">
        <v>148910</v>
      </c>
      <c r="D20" s="11">
        <f t="shared" si="0"/>
        <v>-547</v>
      </c>
      <c r="E20" s="10"/>
      <c r="F20" s="11"/>
      <c r="G20" s="11"/>
      <c r="H20" s="11"/>
    </row>
    <row r="21" spans="1:8" x14ac:dyDescent="0.2">
      <c r="A21" s="10">
        <v>14</v>
      </c>
      <c r="B21" s="11">
        <v>128254</v>
      </c>
      <c r="C21" s="11">
        <v>127976</v>
      </c>
      <c r="D21" s="11">
        <f t="shared" si="0"/>
        <v>-278</v>
      </c>
      <c r="E21" s="10"/>
      <c r="F21" s="11"/>
      <c r="G21" s="11"/>
      <c r="H21" s="11"/>
    </row>
    <row r="22" spans="1:8" x14ac:dyDescent="0.2">
      <c r="A22" s="10">
        <v>15</v>
      </c>
      <c r="B22" s="11">
        <v>117231</v>
      </c>
      <c r="C22" s="11">
        <v>116363</v>
      </c>
      <c r="D22" s="11">
        <f t="shared" si="0"/>
        <v>-868</v>
      </c>
      <c r="E22" s="10"/>
      <c r="F22" s="11"/>
      <c r="G22" s="11"/>
      <c r="H22" s="11"/>
    </row>
    <row r="23" spans="1:8" x14ac:dyDescent="0.2">
      <c r="A23" s="10">
        <v>16</v>
      </c>
      <c r="B23" s="11">
        <v>107320</v>
      </c>
      <c r="C23" s="11">
        <v>106674</v>
      </c>
      <c r="D23" s="11">
        <f t="shared" si="0"/>
        <v>-646</v>
      </c>
      <c r="E23" s="10"/>
      <c r="F23" s="11"/>
      <c r="G23" s="11"/>
      <c r="H23" s="11"/>
    </row>
    <row r="24" spans="1:8" x14ac:dyDescent="0.2">
      <c r="A24" s="10">
        <v>17</v>
      </c>
      <c r="B24" s="11">
        <v>97555</v>
      </c>
      <c r="C24" s="11">
        <v>96821</v>
      </c>
      <c r="D24" s="11">
        <f t="shared" si="0"/>
        <v>-734</v>
      </c>
      <c r="E24" s="10"/>
      <c r="F24" s="11"/>
      <c r="G24" s="11"/>
      <c r="H24" s="11"/>
    </row>
    <row r="25" spans="1:8" x14ac:dyDescent="0.2">
      <c r="A25" s="10">
        <v>18</v>
      </c>
      <c r="B25" s="11">
        <v>106400</v>
      </c>
      <c r="C25" s="11">
        <v>105865</v>
      </c>
      <c r="D25" s="11">
        <f t="shared" si="0"/>
        <v>-535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1735429</v>
      </c>
      <c r="C39" s="11">
        <f>SUM(C8:C38)</f>
        <v>1722155</v>
      </c>
      <c r="D39" s="11">
        <f>SUM(D8:D38)</f>
        <v>-13274</v>
      </c>
      <c r="E39" s="10"/>
      <c r="F39" s="11"/>
      <c r="G39" s="11"/>
      <c r="H39" s="11"/>
    </row>
    <row r="40" spans="1:8" x14ac:dyDescent="0.2">
      <c r="A40" s="26"/>
      <c r="D40" s="75">
        <f>+summary!P11</f>
        <v>3.26</v>
      </c>
      <c r="E40" s="26"/>
      <c r="H40" s="75"/>
    </row>
    <row r="41" spans="1:8" x14ac:dyDescent="0.2">
      <c r="D41" s="197">
        <f>+D40*D39</f>
        <v>-43273.24</v>
      </c>
      <c r="F41" s="253"/>
      <c r="H41" s="197"/>
    </row>
    <row r="42" spans="1:8" x14ac:dyDescent="0.2">
      <c r="A42" s="57">
        <v>37042</v>
      </c>
      <c r="D42" s="423">
        <v>93484</v>
      </c>
      <c r="E42" s="57"/>
      <c r="H42" s="197"/>
    </row>
    <row r="43" spans="1:8" x14ac:dyDescent="0.2">
      <c r="A43" s="57">
        <v>37060</v>
      </c>
      <c r="D43" s="198">
        <f>+D42+D41</f>
        <v>50210.76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workbookViewId="0">
      <selection activeCell="C5" sqref="C5"/>
    </sheetView>
    <sheetView workbookViewId="1">
      <selection activeCell="B13" sqref="B13"/>
    </sheetView>
    <sheetView workbookViewId="2">
      <selection activeCell="C5" sqref="C5"/>
    </sheetView>
    <sheetView topLeftCell="A38" workbookViewId="3">
      <selection activeCell="B43" sqref="B43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10.140625" style="32" bestFit="1" customWidth="1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102</v>
      </c>
      <c r="G2" s="32"/>
      <c r="H2" s="15"/>
      <c r="I2" s="32"/>
      <c r="J2" s="32"/>
    </row>
    <row r="3" spans="1:10" x14ac:dyDescent="0.2">
      <c r="A3" s="2" t="s">
        <v>76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7">
        <v>37042</v>
      </c>
      <c r="C5" s="421">
        <v>748349.6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37058</v>
      </c>
      <c r="G7" s="32"/>
      <c r="H7" s="15"/>
      <c r="I7" s="32"/>
      <c r="J7" s="32"/>
    </row>
    <row r="8" spans="1:10" x14ac:dyDescent="0.2">
      <c r="A8" s="254">
        <v>60874</v>
      </c>
      <c r="B8" s="362">
        <v>2516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4">
        <v>500248</v>
      </c>
      <c r="B10" s="212">
        <f>11160-17820</f>
        <v>-6660</v>
      </c>
      <c r="G10" s="32"/>
      <c r="H10" s="15"/>
      <c r="I10" s="32"/>
      <c r="J10" s="32"/>
    </row>
    <row r="11" spans="1:10" x14ac:dyDescent="0.2">
      <c r="A11" s="254">
        <v>500251</v>
      </c>
      <c r="B11" s="354">
        <f>8149-9664</f>
        <v>-1515</v>
      </c>
      <c r="G11" s="32"/>
      <c r="H11" s="15"/>
      <c r="I11" s="32"/>
      <c r="J11" s="32"/>
    </row>
    <row r="12" spans="1:10" x14ac:dyDescent="0.2">
      <c r="A12" s="254">
        <v>500254</v>
      </c>
      <c r="B12" s="354">
        <f>958-2398</f>
        <v>-1440</v>
      </c>
      <c r="G12" s="32"/>
      <c r="H12" s="15"/>
      <c r="I12" s="32"/>
      <c r="J12" s="32"/>
    </row>
    <row r="13" spans="1:10" x14ac:dyDescent="0.2">
      <c r="A13" s="32">
        <v>500255</v>
      </c>
      <c r="B13" s="354">
        <f>9426-10343</f>
        <v>-917</v>
      </c>
      <c r="G13" s="32"/>
      <c r="H13" s="15"/>
      <c r="I13" s="32"/>
      <c r="J13" s="32"/>
    </row>
    <row r="14" spans="1:10" x14ac:dyDescent="0.2">
      <c r="A14" s="32">
        <v>500262</v>
      </c>
      <c r="B14" s="354">
        <f>2237-3557</f>
        <v>-1320</v>
      </c>
      <c r="G14" s="32"/>
      <c r="H14" s="15"/>
      <c r="I14" s="32"/>
      <c r="J14" s="32"/>
    </row>
    <row r="15" spans="1:10" x14ac:dyDescent="0.2">
      <c r="A15" s="292">
        <v>500267</v>
      </c>
      <c r="B15" s="355">
        <f>924788-898141</f>
        <v>26647</v>
      </c>
      <c r="G15" s="32"/>
      <c r="H15" s="15"/>
      <c r="I15" s="32"/>
      <c r="J15" s="32"/>
    </row>
    <row r="16" spans="1:10" x14ac:dyDescent="0.2">
      <c r="B16" s="14">
        <f>SUM(B8:B15)</f>
        <v>17311</v>
      </c>
      <c r="G16" s="32"/>
      <c r="H16" s="15"/>
      <c r="I16" s="32"/>
      <c r="J16" s="32"/>
    </row>
    <row r="17" spans="1:10" x14ac:dyDescent="0.2">
      <c r="B17" s="15">
        <f>+B30</f>
        <v>3.26</v>
      </c>
      <c r="C17" s="201">
        <f>+B17*B16</f>
        <v>56433.859999999993</v>
      </c>
      <c r="G17" s="32"/>
      <c r="H17" s="15"/>
      <c r="I17" s="32"/>
      <c r="J17" s="32"/>
    </row>
    <row r="18" spans="1:10" x14ac:dyDescent="0.2">
      <c r="C18" s="365">
        <f>+C17+C5</f>
        <v>804783.46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94</v>
      </c>
      <c r="G20" s="32"/>
      <c r="H20" s="15"/>
      <c r="I20" s="32"/>
      <c r="J20" s="32"/>
    </row>
    <row r="21" spans="1:10" x14ac:dyDescent="0.2">
      <c r="A21" s="2" t="s">
        <v>77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37042</v>
      </c>
      <c r="C24" s="421">
        <v>275313.71999999997</v>
      </c>
      <c r="G24" s="32"/>
      <c r="H24" s="15"/>
      <c r="I24" s="32"/>
      <c r="J24" s="32"/>
    </row>
    <row r="25" spans="1:10" x14ac:dyDescent="0.2">
      <c r="F25" s="269"/>
      <c r="G25" s="32"/>
      <c r="H25" s="15"/>
      <c r="I25" s="32"/>
      <c r="J25" s="32"/>
    </row>
    <row r="26" spans="1:10" x14ac:dyDescent="0.2">
      <c r="A26" s="57">
        <v>37058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+summary!P11</f>
        <v>3.26</v>
      </c>
      <c r="C30" s="201">
        <f>+B30*B29</f>
        <v>0</v>
      </c>
    </row>
    <row r="31" spans="1:10" x14ac:dyDescent="0.2">
      <c r="C31" s="365">
        <f>+C30+C24</f>
        <v>275313.71999999997</v>
      </c>
      <c r="E31" s="15"/>
    </row>
    <row r="33" spans="1:6" x14ac:dyDescent="0.2">
      <c r="E33" s="274"/>
    </row>
    <row r="34" spans="1:6" x14ac:dyDescent="0.2">
      <c r="A34" s="32" t="s">
        <v>94</v>
      </c>
      <c r="E34" s="15"/>
    </row>
    <row r="35" spans="1:6" x14ac:dyDescent="0.2">
      <c r="A35" s="32" t="s">
        <v>78</v>
      </c>
      <c r="E35" s="15"/>
    </row>
    <row r="38" spans="1:6" x14ac:dyDescent="0.2">
      <c r="A38" s="49">
        <v>37042</v>
      </c>
      <c r="C38" s="421">
        <v>663620.68999999994</v>
      </c>
      <c r="E38" s="15"/>
      <c r="F38" s="269"/>
    </row>
    <row r="40" spans="1:6" x14ac:dyDescent="0.2">
      <c r="A40" s="250">
        <v>37058</v>
      </c>
    </row>
    <row r="41" spans="1:6" x14ac:dyDescent="0.2">
      <c r="A41" s="254">
        <v>500241</v>
      </c>
      <c r="B41" s="14"/>
    </row>
    <row r="42" spans="1:6" x14ac:dyDescent="0.2">
      <c r="A42" s="32">
        <v>500391</v>
      </c>
      <c r="B42" s="212">
        <v>5739</v>
      </c>
    </row>
    <row r="43" spans="1:6" x14ac:dyDescent="0.2">
      <c r="A43" s="32">
        <v>500392</v>
      </c>
      <c r="B43" s="258">
        <v>1159</v>
      </c>
    </row>
    <row r="44" spans="1:6" x14ac:dyDescent="0.2">
      <c r="B44" s="14">
        <f>SUM(B41:B43)</f>
        <v>6898</v>
      </c>
    </row>
    <row r="45" spans="1:6" x14ac:dyDescent="0.2">
      <c r="B45" s="201">
        <f>+B30</f>
        <v>3.26</v>
      </c>
      <c r="C45" s="201">
        <f>+B45*B44</f>
        <v>22487.48</v>
      </c>
    </row>
    <row r="46" spans="1:6" x14ac:dyDescent="0.2">
      <c r="C46" s="365">
        <f>+C45+C38</f>
        <v>686108.16999999993</v>
      </c>
      <c r="E46" s="206"/>
    </row>
    <row r="47" spans="1:6" x14ac:dyDescent="0.2">
      <c r="E47" s="217"/>
    </row>
    <row r="48" spans="1:6" x14ac:dyDescent="0.2">
      <c r="E48" s="206"/>
    </row>
    <row r="49" spans="1:9" x14ac:dyDescent="0.2">
      <c r="C49" s="341"/>
      <c r="E49" s="217"/>
    </row>
    <row r="50" spans="1:9" x14ac:dyDescent="0.2">
      <c r="A50" s="32" t="s">
        <v>94</v>
      </c>
      <c r="C50" s="255"/>
    </row>
    <row r="51" spans="1:9" x14ac:dyDescent="0.2">
      <c r="A51" s="32">
        <v>21665</v>
      </c>
      <c r="B51" s="15" t="s">
        <v>151</v>
      </c>
      <c r="C51" s="420">
        <v>73449.16</v>
      </c>
      <c r="D51" s="32" t="s">
        <v>130</v>
      </c>
      <c r="E51" s="50"/>
    </row>
    <row r="52" spans="1:9" x14ac:dyDescent="0.2">
      <c r="A52" s="32">
        <v>22664</v>
      </c>
      <c r="B52" s="15" t="s">
        <v>151</v>
      </c>
      <c r="C52" s="419">
        <v>23612.35</v>
      </c>
      <c r="D52" s="32" t="s">
        <v>131</v>
      </c>
    </row>
    <row r="53" spans="1:9" x14ac:dyDescent="0.2">
      <c r="A53" s="32">
        <v>20248</v>
      </c>
      <c r="B53" s="15" t="s">
        <v>152</v>
      </c>
      <c r="C53" s="351">
        <v>-15794</v>
      </c>
      <c r="D53" s="15"/>
      <c r="E53" s="15"/>
      <c r="H53" s="352"/>
    </row>
    <row r="54" spans="1:9" x14ac:dyDescent="0.2">
      <c r="A54" s="32">
        <v>25873</v>
      </c>
      <c r="C54" s="409">
        <v>-259</v>
      </c>
      <c r="D54" s="15"/>
      <c r="H54" s="15"/>
    </row>
    <row r="55" spans="1:9" x14ac:dyDescent="0.2">
      <c r="A55" s="32">
        <v>26758</v>
      </c>
      <c r="C55" s="47">
        <v>-596</v>
      </c>
      <c r="D55" s="15"/>
      <c r="H55" s="15"/>
    </row>
    <row r="56" spans="1:9" x14ac:dyDescent="0.2">
      <c r="A56" s="32">
        <v>26372</v>
      </c>
      <c r="C56" s="47">
        <v>2997.09</v>
      </c>
      <c r="D56" s="15"/>
      <c r="H56" s="15"/>
    </row>
    <row r="57" spans="1:9" x14ac:dyDescent="0.2">
      <c r="A57" s="32">
        <v>26700</v>
      </c>
      <c r="C57" s="47">
        <v>4077.9</v>
      </c>
      <c r="D57" s="15"/>
      <c r="H57" s="352"/>
    </row>
    <row r="58" spans="1:9" x14ac:dyDescent="0.2">
      <c r="A58" s="32">
        <v>26422</v>
      </c>
      <c r="C58" s="47">
        <v>8155.8</v>
      </c>
      <c r="D58" s="15"/>
      <c r="H58" s="47"/>
    </row>
    <row r="59" spans="1:9" x14ac:dyDescent="0.2">
      <c r="A59" s="32">
        <v>26661</v>
      </c>
      <c r="C59" s="47">
        <v>146862.35</v>
      </c>
      <c r="D59" s="15"/>
      <c r="H59" s="370"/>
      <c r="I59" s="32"/>
    </row>
    <row r="60" spans="1:9" x14ac:dyDescent="0.2">
      <c r="A60" s="32">
        <v>27291</v>
      </c>
      <c r="C60" s="47">
        <v>-17965</v>
      </c>
      <c r="D60" s="15"/>
    </row>
    <row r="61" spans="1:9" x14ac:dyDescent="0.2">
      <c r="A61" s="32">
        <v>27123</v>
      </c>
      <c r="C61" s="353">
        <v>-6425.19</v>
      </c>
      <c r="D61" s="15"/>
    </row>
    <row r="62" spans="1:9" x14ac:dyDescent="0.2">
      <c r="C62" s="352">
        <f>+C18+C31+C46+C51+C52+C53+C54+C55+C56+C57+C58+C59+C60+C61</f>
        <v>1984320.81</v>
      </c>
    </row>
    <row r="63" spans="1:9" x14ac:dyDescent="0.2">
      <c r="C63" s="352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5" workbookViewId="3">
      <selection activeCell="E22" sqref="E22"/>
    </sheetView>
  </sheetViews>
  <sheetFormatPr defaultRowHeight="12.75" x14ac:dyDescent="0.2"/>
  <cols>
    <col min="3" max="3" width="9.85546875" bestFit="1" customWidth="1"/>
    <col min="6" max="6" width="12.28515625" bestFit="1" customWidth="1"/>
    <col min="9" max="9" width="12.7109375" customWidth="1"/>
  </cols>
  <sheetData>
    <row r="1" spans="1:8" x14ac:dyDescent="0.2">
      <c r="A1" s="54"/>
      <c r="B1" s="349">
        <v>23995</v>
      </c>
      <c r="C1" s="236"/>
      <c r="D1" s="348">
        <v>22051</v>
      </c>
      <c r="F1" s="2"/>
      <c r="H1" s="118"/>
    </row>
    <row r="2" spans="1:8" x14ac:dyDescent="0.2">
      <c r="B2" s="12">
        <v>59687</v>
      </c>
      <c r="D2" s="12">
        <v>10703</v>
      </c>
      <c r="E2" s="4"/>
      <c r="F2" s="59"/>
      <c r="G2" s="4"/>
    </row>
    <row r="3" spans="1:8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">
      <c r="A4" s="10">
        <v>1</v>
      </c>
      <c r="B4" s="11"/>
      <c r="C4" s="11"/>
      <c r="D4" s="11">
        <v>23735</v>
      </c>
      <c r="E4" s="11">
        <v>24000</v>
      </c>
      <c r="F4" s="11">
        <f>+E4+C4-D4-B4</f>
        <v>265</v>
      </c>
      <c r="G4" s="11"/>
      <c r="H4" s="24"/>
    </row>
    <row r="5" spans="1:8" x14ac:dyDescent="0.2">
      <c r="A5" s="10">
        <v>2</v>
      </c>
      <c r="B5" s="11"/>
      <c r="C5" s="11"/>
      <c r="D5" s="11">
        <v>24679</v>
      </c>
      <c r="E5" s="11">
        <v>23536</v>
      </c>
      <c r="F5" s="11">
        <f t="shared" ref="F5:F34" si="0">+E5+C5-D5-B5</f>
        <v>-1143</v>
      </c>
      <c r="G5" s="11"/>
      <c r="H5" s="24"/>
    </row>
    <row r="6" spans="1:8" x14ac:dyDescent="0.2">
      <c r="A6" s="10">
        <v>3</v>
      </c>
      <c r="B6" s="11"/>
      <c r="C6" s="11"/>
      <c r="D6" s="129">
        <v>24806</v>
      </c>
      <c r="E6" s="11">
        <v>23536</v>
      </c>
      <c r="F6" s="11">
        <f t="shared" si="0"/>
        <v>-1270</v>
      </c>
      <c r="G6" s="11"/>
      <c r="H6" s="24"/>
    </row>
    <row r="7" spans="1:8" x14ac:dyDescent="0.2">
      <c r="A7" s="10">
        <v>4</v>
      </c>
      <c r="B7" s="11"/>
      <c r="C7" s="11"/>
      <c r="D7" s="129">
        <v>24410</v>
      </c>
      <c r="E7" s="11">
        <v>23536</v>
      </c>
      <c r="F7" s="11">
        <f t="shared" si="0"/>
        <v>-874</v>
      </c>
      <c r="G7" s="11"/>
      <c r="H7" s="24"/>
    </row>
    <row r="8" spans="1:8" x14ac:dyDescent="0.2">
      <c r="A8" s="10">
        <v>5</v>
      </c>
      <c r="B8" s="11"/>
      <c r="C8" s="11"/>
      <c r="D8" s="11">
        <v>24215</v>
      </c>
      <c r="E8" s="11">
        <v>23536</v>
      </c>
      <c r="F8" s="11">
        <f t="shared" si="0"/>
        <v>-679</v>
      </c>
      <c r="G8" s="11"/>
      <c r="H8" s="24"/>
    </row>
    <row r="9" spans="1:8" x14ac:dyDescent="0.2">
      <c r="A9" s="10">
        <v>6</v>
      </c>
      <c r="B9" s="11"/>
      <c r="C9" s="11"/>
      <c r="D9" s="11">
        <v>23934</v>
      </c>
      <c r="E9" s="11">
        <v>23536</v>
      </c>
      <c r="F9" s="11">
        <f t="shared" si="0"/>
        <v>-398</v>
      </c>
      <c r="G9" s="11"/>
      <c r="H9" s="24"/>
    </row>
    <row r="10" spans="1:8" x14ac:dyDescent="0.2">
      <c r="A10" s="10">
        <v>7</v>
      </c>
      <c r="B10" s="11"/>
      <c r="C10" s="11"/>
      <c r="D10" s="11">
        <v>24276</v>
      </c>
      <c r="E10" s="11">
        <v>23536</v>
      </c>
      <c r="F10" s="11">
        <f t="shared" si="0"/>
        <v>-740</v>
      </c>
      <c r="G10" s="11"/>
      <c r="H10" s="24"/>
    </row>
    <row r="11" spans="1:8" x14ac:dyDescent="0.2">
      <c r="A11" s="10">
        <v>8</v>
      </c>
      <c r="B11" s="11"/>
      <c r="C11" s="11"/>
      <c r="D11" s="11">
        <v>24193</v>
      </c>
      <c r="E11" s="11">
        <v>23536</v>
      </c>
      <c r="F11" s="11">
        <f t="shared" si="0"/>
        <v>-657</v>
      </c>
      <c r="G11" s="11"/>
      <c r="H11" s="24"/>
    </row>
    <row r="12" spans="1:8" x14ac:dyDescent="0.2">
      <c r="A12" s="10">
        <v>9</v>
      </c>
      <c r="B12" s="11"/>
      <c r="C12" s="11"/>
      <c r="D12" s="11">
        <v>24327</v>
      </c>
      <c r="E12" s="11">
        <v>22111</v>
      </c>
      <c r="F12" s="11">
        <f t="shared" si="0"/>
        <v>-2216</v>
      </c>
      <c r="G12" s="11"/>
      <c r="H12" s="24"/>
    </row>
    <row r="13" spans="1:8" x14ac:dyDescent="0.2">
      <c r="A13" s="10">
        <v>10</v>
      </c>
      <c r="B13" s="11"/>
      <c r="C13" s="11"/>
      <c r="D13" s="11">
        <v>24281</v>
      </c>
      <c r="E13" s="11">
        <v>22111</v>
      </c>
      <c r="F13" s="11">
        <f t="shared" si="0"/>
        <v>-2170</v>
      </c>
      <c r="G13" s="11"/>
      <c r="H13" s="24"/>
    </row>
    <row r="14" spans="1:8" x14ac:dyDescent="0.2">
      <c r="A14" s="10">
        <v>11</v>
      </c>
      <c r="B14" s="11"/>
      <c r="C14" s="11"/>
      <c r="D14" s="11">
        <v>23608</v>
      </c>
      <c r="E14" s="11">
        <v>23536</v>
      </c>
      <c r="F14" s="11">
        <f t="shared" si="0"/>
        <v>-72</v>
      </c>
      <c r="G14" s="11"/>
      <c r="H14" s="24"/>
    </row>
    <row r="15" spans="1:8" x14ac:dyDescent="0.2">
      <c r="A15" s="10">
        <v>12</v>
      </c>
      <c r="B15" s="11"/>
      <c r="C15" s="11"/>
      <c r="D15" s="11">
        <v>24151</v>
      </c>
      <c r="E15" s="11">
        <v>23536</v>
      </c>
      <c r="F15" s="11">
        <f t="shared" si="0"/>
        <v>-615</v>
      </c>
      <c r="G15" s="11"/>
      <c r="H15" s="24"/>
    </row>
    <row r="16" spans="1:8" x14ac:dyDescent="0.2">
      <c r="A16" s="10">
        <v>13</v>
      </c>
      <c r="B16" s="11"/>
      <c r="C16" s="11"/>
      <c r="D16" s="11">
        <v>23859</v>
      </c>
      <c r="E16" s="11">
        <v>23536</v>
      </c>
      <c r="F16" s="11">
        <f t="shared" si="0"/>
        <v>-323</v>
      </c>
      <c r="G16" s="11"/>
      <c r="H16" s="24"/>
    </row>
    <row r="17" spans="1:8" x14ac:dyDescent="0.2">
      <c r="A17" s="10">
        <v>14</v>
      </c>
      <c r="B17" s="11"/>
      <c r="C17" s="11"/>
      <c r="D17" s="11">
        <v>24034</v>
      </c>
      <c r="E17" s="11">
        <v>23536</v>
      </c>
      <c r="F17" s="11">
        <f t="shared" si="0"/>
        <v>-498</v>
      </c>
      <c r="G17" s="11"/>
      <c r="H17" s="24"/>
    </row>
    <row r="18" spans="1:8" x14ac:dyDescent="0.2">
      <c r="A18" s="10">
        <v>15</v>
      </c>
      <c r="B18" s="11">
        <v>18</v>
      </c>
      <c r="C18" s="11"/>
      <c r="D18" s="11">
        <v>23811</v>
      </c>
      <c r="E18" s="11">
        <v>23278</v>
      </c>
      <c r="F18" s="11">
        <f t="shared" si="0"/>
        <v>-551</v>
      </c>
      <c r="G18" s="11"/>
      <c r="H18" s="24"/>
    </row>
    <row r="19" spans="1:8" x14ac:dyDescent="0.2">
      <c r="A19" s="10">
        <v>16</v>
      </c>
      <c r="B19" s="11">
        <v>232</v>
      </c>
      <c r="C19" s="11"/>
      <c r="D19" s="11">
        <v>21447</v>
      </c>
      <c r="E19" s="11">
        <v>20542</v>
      </c>
      <c r="F19" s="11">
        <f t="shared" si="0"/>
        <v>-1137</v>
      </c>
      <c r="G19" s="11"/>
      <c r="H19" s="24"/>
    </row>
    <row r="20" spans="1:8" x14ac:dyDescent="0.2">
      <c r="A20" s="10">
        <v>17</v>
      </c>
      <c r="B20" s="11">
        <v>771</v>
      </c>
      <c r="C20" s="11"/>
      <c r="D20" s="11">
        <v>20764</v>
      </c>
      <c r="E20" s="11">
        <v>21043</v>
      </c>
      <c r="F20" s="11">
        <f t="shared" si="0"/>
        <v>-492</v>
      </c>
      <c r="G20" s="11"/>
      <c r="H20" s="24"/>
    </row>
    <row r="21" spans="1:8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H21" s="24"/>
    </row>
    <row r="22" spans="1:8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H22" s="24"/>
    </row>
    <row r="23" spans="1:8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H23" s="24"/>
    </row>
    <row r="24" spans="1:8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H24" s="24"/>
    </row>
    <row r="25" spans="1:8" x14ac:dyDescent="0.2">
      <c r="A25" s="10">
        <v>22</v>
      </c>
      <c r="B25" s="11"/>
      <c r="C25" s="11"/>
      <c r="D25" s="11"/>
      <c r="E25" s="11"/>
      <c r="F25" s="11">
        <f t="shared" si="0"/>
        <v>0</v>
      </c>
      <c r="G25" s="11"/>
      <c r="H25" s="24"/>
    </row>
    <row r="26" spans="1:8" x14ac:dyDescent="0.2">
      <c r="A26" s="10">
        <v>23</v>
      </c>
      <c r="B26" s="11"/>
      <c r="C26" s="11"/>
      <c r="D26" s="11"/>
      <c r="E26" s="11"/>
      <c r="F26" s="11">
        <f t="shared" si="0"/>
        <v>0</v>
      </c>
      <c r="G26" s="11"/>
      <c r="H26" s="24"/>
    </row>
    <row r="27" spans="1:8" x14ac:dyDescent="0.2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">
      <c r="A35" s="10"/>
      <c r="B35" s="11">
        <f>SUM(B4:B34)</f>
        <v>1021</v>
      </c>
      <c r="C35" s="11">
        <f>SUM(C4:C34)</f>
        <v>0</v>
      </c>
      <c r="D35" s="11">
        <f>SUM(D4:D34)</f>
        <v>404530</v>
      </c>
      <c r="E35" s="11">
        <f>SUM(E4:E34)</f>
        <v>391981</v>
      </c>
      <c r="F35" s="11">
        <f>SUM(F4:F34)</f>
        <v>-13570</v>
      </c>
      <c r="G35" s="11"/>
      <c r="H35" s="11"/>
    </row>
    <row r="36" spans="1:8" x14ac:dyDescent="0.2">
      <c r="C36" s="25">
        <f>+C35-B35</f>
        <v>-1021</v>
      </c>
      <c r="E36" s="25">
        <f>+E35-D35</f>
        <v>-12549</v>
      </c>
      <c r="F36" s="25">
        <f>+E36+C36</f>
        <v>-13570</v>
      </c>
    </row>
    <row r="37" spans="1:8" x14ac:dyDescent="0.2">
      <c r="C37" s="350">
        <f>+summary!P12</f>
        <v>3.59</v>
      </c>
      <c r="E37" s="350">
        <f>+C37</f>
        <v>3.59</v>
      </c>
      <c r="F37" s="350">
        <f>+E37</f>
        <v>3.59</v>
      </c>
    </row>
    <row r="38" spans="1:8" x14ac:dyDescent="0.2">
      <c r="C38" s="138">
        <f>+C37*C36</f>
        <v>-3665.39</v>
      </c>
      <c r="E38" s="138">
        <f>+E37*E36</f>
        <v>-45050.909999999996</v>
      </c>
      <c r="F38" s="138">
        <f>+F37*F36</f>
        <v>-48716.299999999996</v>
      </c>
    </row>
    <row r="39" spans="1:8" x14ac:dyDescent="0.2">
      <c r="A39" s="57">
        <v>37042</v>
      </c>
      <c r="B39" s="2" t="s">
        <v>47</v>
      </c>
      <c r="C39" s="415">
        <v>-1023092.89</v>
      </c>
      <c r="D39" s="364"/>
      <c r="E39" s="415">
        <v>-366672.63</v>
      </c>
      <c r="F39" s="363">
        <f>+E39+C39</f>
        <v>-1389765.52</v>
      </c>
      <c r="G39" s="51"/>
      <c r="H39" s="24"/>
    </row>
    <row r="40" spans="1:8" x14ac:dyDescent="0.2">
      <c r="A40" s="57">
        <v>37059</v>
      </c>
      <c r="B40" s="2" t="s">
        <v>47</v>
      </c>
      <c r="C40" s="351">
        <f>+C39+C38</f>
        <v>-1026758.28</v>
      </c>
      <c r="D40" s="260"/>
      <c r="E40" s="351">
        <f>+E39+E38</f>
        <v>-411723.54</v>
      </c>
      <c r="F40" s="351">
        <f>+F39+F38</f>
        <v>-1438481.82</v>
      </c>
      <c r="G40" s="131"/>
      <c r="H40" s="131"/>
    </row>
    <row r="41" spans="1:8" x14ac:dyDescent="0.2">
      <c r="C41" s="380"/>
      <c r="D41" s="251"/>
      <c r="E41" s="251"/>
      <c r="F41" s="251"/>
      <c r="G41" s="251"/>
    </row>
    <row r="42" spans="1:8" x14ac:dyDescent="0.2">
      <c r="C42" s="251"/>
      <c r="D42" s="251"/>
      <c r="E42" s="251"/>
      <c r="F42" s="274"/>
      <c r="G42" s="251"/>
    </row>
    <row r="43" spans="1:8" x14ac:dyDescent="0.2">
      <c r="B43" s="12" t="s">
        <v>122</v>
      </c>
      <c r="C43" s="251"/>
      <c r="D43" s="251"/>
      <c r="E43" s="251"/>
      <c r="F43" s="274"/>
      <c r="G43" s="251"/>
    </row>
    <row r="44" spans="1:8" x14ac:dyDescent="0.2">
      <c r="B44" s="12">
        <v>22864</v>
      </c>
      <c r="C44" s="251"/>
      <c r="D44" s="251"/>
      <c r="E44" s="251"/>
      <c r="F44" s="421">
        <v>-58339.66</v>
      </c>
      <c r="G44" s="255" t="s">
        <v>50</v>
      </c>
    </row>
    <row r="45" spans="1:8" x14ac:dyDescent="0.2">
      <c r="B45" s="12">
        <v>20379</v>
      </c>
      <c r="C45" s="251"/>
      <c r="D45" s="251"/>
      <c r="E45" s="251"/>
      <c r="F45" s="421">
        <v>-51695.87</v>
      </c>
      <c r="G45" s="255" t="s">
        <v>133</v>
      </c>
    </row>
    <row r="46" spans="1:8" x14ac:dyDescent="0.2">
      <c r="B46" s="12">
        <v>21459</v>
      </c>
      <c r="C46" s="251"/>
      <c r="D46" s="251"/>
      <c r="E46" s="251"/>
      <c r="F46" s="381">
        <v>10570.56</v>
      </c>
      <c r="G46" s="251"/>
    </row>
    <row r="47" spans="1:8" x14ac:dyDescent="0.2">
      <c r="B47" s="12">
        <v>26357</v>
      </c>
      <c r="C47" s="251"/>
      <c r="D47" s="251"/>
      <c r="E47" s="251"/>
      <c r="F47" s="421">
        <v>44144.84</v>
      </c>
      <c r="G47" s="255" t="s">
        <v>134</v>
      </c>
    </row>
    <row r="48" spans="1:8" x14ac:dyDescent="0.2">
      <c r="B48" s="12">
        <v>21544</v>
      </c>
      <c r="C48" s="251"/>
      <c r="D48" s="251"/>
      <c r="E48" s="251"/>
      <c r="F48" s="421">
        <v>61340.160000000003</v>
      </c>
      <c r="G48" s="255" t="s">
        <v>135</v>
      </c>
    </row>
    <row r="49" spans="2:7" x14ac:dyDescent="0.2">
      <c r="B49" s="12">
        <v>24532</v>
      </c>
      <c r="C49" s="251"/>
      <c r="D49" s="251"/>
      <c r="E49" s="251"/>
      <c r="F49" s="419">
        <v>-635539.74</v>
      </c>
      <c r="G49" s="255" t="s">
        <v>132</v>
      </c>
    </row>
    <row r="50" spans="2:7" x14ac:dyDescent="0.2">
      <c r="C50" s="251"/>
      <c r="D50" s="251"/>
      <c r="E50" s="251"/>
      <c r="F50" s="382">
        <f>SUM(F40:F49)</f>
        <v>-2068001.53</v>
      </c>
      <c r="G50" s="251"/>
    </row>
    <row r="51" spans="2:7" x14ac:dyDescent="0.2">
      <c r="C51" s="251"/>
      <c r="D51" s="251"/>
      <c r="E51" s="251"/>
      <c r="F51" s="251"/>
      <c r="G51" s="251"/>
    </row>
    <row r="52" spans="2:7" x14ac:dyDescent="0.2">
      <c r="B52" s="2" t="s">
        <v>153</v>
      </c>
      <c r="F52" s="138">
        <f>+Duke!C62</f>
        <v>1984320.81</v>
      </c>
    </row>
    <row r="54" spans="2:7" x14ac:dyDescent="0.2">
      <c r="F54" s="104">
        <f>+F52+F50</f>
        <v>-83680.719999999972</v>
      </c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26" workbookViewId="2">
      <selection activeCell="C40" sqref="C40"/>
    </sheetView>
    <sheetView topLeftCell="A27" workbookViewId="3">
      <selection activeCell="D51" sqref="D51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73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6274</v>
      </c>
      <c r="C8" s="11">
        <v>6163</v>
      </c>
      <c r="D8" s="11"/>
      <c r="E8" s="11"/>
      <c r="F8" s="11">
        <v>1156</v>
      </c>
      <c r="G8" s="11">
        <v>1178</v>
      </c>
      <c r="H8" s="11">
        <v>2098</v>
      </c>
      <c r="I8" s="11">
        <v>1619</v>
      </c>
      <c r="J8" s="25">
        <f>+C8-B8+E8-D8+G8-F8+I8-H8</f>
        <v>-568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6245</v>
      </c>
      <c r="C9" s="11">
        <v>6163</v>
      </c>
      <c r="D9" s="11"/>
      <c r="E9" s="11"/>
      <c r="F9" s="11">
        <v>1038</v>
      </c>
      <c r="G9" s="11">
        <v>1178</v>
      </c>
      <c r="H9" s="11">
        <v>2024</v>
      </c>
      <c r="I9" s="11">
        <v>1619</v>
      </c>
      <c r="J9" s="25">
        <f t="shared" ref="J9:J38" si="0">+C9-B9+E9-D9+G9-F9+I9-H9</f>
        <v>-347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6272</v>
      </c>
      <c r="C10" s="11">
        <v>6163</v>
      </c>
      <c r="D10" s="11"/>
      <c r="E10" s="11"/>
      <c r="F10" s="11">
        <v>1004</v>
      </c>
      <c r="G10" s="11">
        <v>1178</v>
      </c>
      <c r="H10" s="11">
        <v>1965</v>
      </c>
      <c r="I10" s="11">
        <v>1619</v>
      </c>
      <c r="J10" s="25">
        <f t="shared" si="0"/>
        <v>-281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6068</v>
      </c>
      <c r="C11" s="11">
        <v>6163</v>
      </c>
      <c r="D11" s="11"/>
      <c r="E11" s="11"/>
      <c r="F11" s="11">
        <v>1008</v>
      </c>
      <c r="G11" s="11">
        <v>1178</v>
      </c>
      <c r="H11" s="11">
        <v>2150</v>
      </c>
      <c r="I11" s="11">
        <v>1619</v>
      </c>
      <c r="J11" s="25">
        <f t="shared" si="0"/>
        <v>-266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5977</v>
      </c>
      <c r="C12" s="11">
        <v>6163</v>
      </c>
      <c r="D12" s="11"/>
      <c r="E12" s="11"/>
      <c r="F12" s="11">
        <v>571</v>
      </c>
      <c r="G12" s="11">
        <v>1178</v>
      </c>
      <c r="H12" s="11">
        <v>1663</v>
      </c>
      <c r="I12" s="11">
        <v>1619</v>
      </c>
      <c r="J12" s="25">
        <f t="shared" si="0"/>
        <v>749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6200</v>
      </c>
      <c r="C13" s="11">
        <v>6163</v>
      </c>
      <c r="D13" s="11"/>
      <c r="E13" s="11"/>
      <c r="F13" s="11">
        <v>695</v>
      </c>
      <c r="G13" s="11">
        <v>1178</v>
      </c>
      <c r="H13" s="11">
        <v>1911</v>
      </c>
      <c r="I13" s="11">
        <v>1619</v>
      </c>
      <c r="J13" s="25">
        <f t="shared" si="0"/>
        <v>154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6546</v>
      </c>
      <c r="C14" s="11">
        <v>6163</v>
      </c>
      <c r="D14" s="11"/>
      <c r="E14" s="11"/>
      <c r="F14" s="11">
        <v>743</v>
      </c>
      <c r="G14" s="11">
        <v>1178</v>
      </c>
      <c r="H14" s="11">
        <v>2009</v>
      </c>
      <c r="I14" s="129">
        <v>1619</v>
      </c>
      <c r="J14" s="25">
        <f t="shared" si="0"/>
        <v>-338</v>
      </c>
      <c r="K14" s="10"/>
      <c r="L14" s="11"/>
      <c r="M14" s="11"/>
      <c r="N14" s="11"/>
      <c r="O14" s="11"/>
      <c r="P14" s="11"/>
      <c r="Q14" s="11"/>
      <c r="R14" s="123"/>
      <c r="S14" s="291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6547</v>
      </c>
      <c r="C15" s="11">
        <v>6163</v>
      </c>
      <c r="D15" s="11"/>
      <c r="E15" s="11"/>
      <c r="F15" s="11">
        <v>923</v>
      </c>
      <c r="G15" s="11">
        <v>1178</v>
      </c>
      <c r="H15" s="11">
        <v>1207</v>
      </c>
      <c r="I15" s="11">
        <v>1619</v>
      </c>
      <c r="J15" s="25">
        <f t="shared" si="0"/>
        <v>283</v>
      </c>
      <c r="K15" s="10"/>
      <c r="L15" s="11"/>
      <c r="M15" s="11"/>
      <c r="N15" s="11"/>
      <c r="O15" s="11"/>
      <c r="P15" s="11"/>
      <c r="Q15" s="11"/>
      <c r="R15" s="123"/>
      <c r="S15" s="291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6522</v>
      </c>
      <c r="C16" s="11">
        <v>6163</v>
      </c>
      <c r="D16" s="11"/>
      <c r="E16" s="11"/>
      <c r="F16" s="11">
        <v>848</v>
      </c>
      <c r="G16" s="11">
        <v>1178</v>
      </c>
      <c r="H16" s="11">
        <v>2085</v>
      </c>
      <c r="I16" s="11">
        <v>1619</v>
      </c>
      <c r="J16" s="25">
        <f t="shared" si="0"/>
        <v>-495</v>
      </c>
      <c r="K16" s="10"/>
      <c r="L16" s="11"/>
      <c r="M16" s="11"/>
      <c r="N16" s="11"/>
      <c r="O16" s="11"/>
      <c r="P16" s="11"/>
      <c r="Q16" s="11"/>
      <c r="R16" s="123"/>
      <c r="S16" s="291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6446</v>
      </c>
      <c r="C17" s="11">
        <v>6163</v>
      </c>
      <c r="D17" s="11"/>
      <c r="E17" s="11"/>
      <c r="F17" s="11">
        <v>686</v>
      </c>
      <c r="G17" s="11">
        <v>1178</v>
      </c>
      <c r="H17" s="11">
        <v>2052</v>
      </c>
      <c r="I17" s="11">
        <v>1619</v>
      </c>
      <c r="J17" s="25">
        <f t="shared" si="0"/>
        <v>-224</v>
      </c>
      <c r="K17" s="10"/>
      <c r="L17" s="11"/>
      <c r="M17" s="11"/>
      <c r="N17" s="11"/>
      <c r="O17" s="11"/>
      <c r="P17" s="11"/>
      <c r="Q17" s="11"/>
      <c r="R17" s="123"/>
      <c r="S17" s="291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6297</v>
      </c>
      <c r="C18" s="11">
        <v>6163</v>
      </c>
      <c r="D18" s="11"/>
      <c r="E18" s="11"/>
      <c r="F18" s="11">
        <v>238</v>
      </c>
      <c r="G18" s="11">
        <v>1178</v>
      </c>
      <c r="H18" s="11">
        <v>1968</v>
      </c>
      <c r="I18" s="11">
        <v>1619</v>
      </c>
      <c r="J18" s="25">
        <f t="shared" si="0"/>
        <v>457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>
        <v>875</v>
      </c>
      <c r="G19" s="11">
        <v>1178</v>
      </c>
      <c r="H19" s="11">
        <v>1999</v>
      </c>
      <c r="I19" s="11">
        <v>1619</v>
      </c>
      <c r="J19" s="25">
        <f t="shared" si="0"/>
        <v>-77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>
        <v>843</v>
      </c>
      <c r="G20" s="11">
        <v>1178</v>
      </c>
      <c r="H20" s="11">
        <v>1962</v>
      </c>
      <c r="I20" s="11">
        <v>1619</v>
      </c>
      <c r="J20" s="25">
        <f t="shared" si="0"/>
        <v>-8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>
        <v>1056</v>
      </c>
      <c r="G21" s="11">
        <v>1178</v>
      </c>
      <c r="H21" s="11">
        <v>1914</v>
      </c>
      <c r="I21" s="11">
        <v>1619</v>
      </c>
      <c r="J21" s="25">
        <f t="shared" si="0"/>
        <v>-173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>
        <v>805</v>
      </c>
      <c r="G22" s="11">
        <v>1178</v>
      </c>
      <c r="H22" s="11">
        <v>1974</v>
      </c>
      <c r="I22" s="11">
        <v>1619</v>
      </c>
      <c r="J22" s="25">
        <f t="shared" si="0"/>
        <v>18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>
        <v>823</v>
      </c>
      <c r="G23" s="11">
        <v>1178</v>
      </c>
      <c r="H23" s="11">
        <v>1941</v>
      </c>
      <c r="I23" s="11">
        <v>1619</v>
      </c>
      <c r="J23" s="25">
        <f t="shared" si="0"/>
        <v>33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>
        <v>1000</v>
      </c>
      <c r="G24" s="11">
        <v>1178</v>
      </c>
      <c r="H24" s="11">
        <v>1910</v>
      </c>
      <c r="I24" s="11">
        <v>1619</v>
      </c>
      <c r="J24" s="25">
        <f t="shared" si="0"/>
        <v>-113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>
        <v>414</v>
      </c>
      <c r="G25" s="11">
        <v>1178</v>
      </c>
      <c r="H25" s="11">
        <v>1874</v>
      </c>
      <c r="I25" s="11">
        <v>1619</v>
      </c>
      <c r="J25" s="25">
        <f t="shared" si="0"/>
        <v>509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69394</v>
      </c>
      <c r="C39" s="11">
        <f t="shared" si="1"/>
        <v>67793</v>
      </c>
      <c r="D39" s="11">
        <f t="shared" si="1"/>
        <v>0</v>
      </c>
      <c r="E39" s="11">
        <f t="shared" si="1"/>
        <v>0</v>
      </c>
      <c r="F39" s="11">
        <f t="shared" si="1"/>
        <v>14726</v>
      </c>
      <c r="G39" s="11">
        <f t="shared" si="1"/>
        <v>21204</v>
      </c>
      <c r="H39" s="11">
        <f t="shared" si="1"/>
        <v>34706</v>
      </c>
      <c r="I39" s="11">
        <f t="shared" si="1"/>
        <v>29142</v>
      </c>
      <c r="J39" s="25">
        <f t="shared" si="1"/>
        <v>-687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1">
        <f>+summary!P11</f>
        <v>3.26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-2239.62</v>
      </c>
      <c r="L41"/>
      <c r="R41" s="138"/>
      <c r="X41" s="138"/>
    </row>
    <row r="42" spans="1:24" x14ac:dyDescent="0.2">
      <c r="A42" s="57">
        <v>37042</v>
      </c>
      <c r="C42" s="15"/>
      <c r="J42" s="408">
        <v>362097.29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37060</v>
      </c>
      <c r="C43" s="48"/>
      <c r="J43" s="138">
        <f>+J42+J41</f>
        <v>359857.67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3" workbookViewId="3">
      <selection activeCell="D26" sqref="D26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74</v>
      </c>
      <c r="D6" s="1" t="s">
        <v>156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46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12353</v>
      </c>
      <c r="C8" s="11">
        <v>11113</v>
      </c>
      <c r="D8" s="11">
        <v>-1</v>
      </c>
      <c r="E8" s="11"/>
      <c r="F8" s="25">
        <f>+C8-B8+E8-D8</f>
        <v>-1239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12672</v>
      </c>
      <c r="C9" s="11">
        <v>11039</v>
      </c>
      <c r="D9" s="11"/>
      <c r="E9" s="11"/>
      <c r="F9" s="25">
        <f t="shared" ref="F9:F38" si="0">+C9-B9+E9-D9</f>
        <v>-1633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12650</v>
      </c>
      <c r="C10" s="11">
        <v>11039</v>
      </c>
      <c r="D10" s="11">
        <v>-1</v>
      </c>
      <c r="E10" s="11"/>
      <c r="F10" s="25">
        <f t="shared" si="0"/>
        <v>-1610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12883</v>
      </c>
      <c r="C11" s="11">
        <v>11039</v>
      </c>
      <c r="D11" s="11">
        <v>-2</v>
      </c>
      <c r="E11" s="11"/>
      <c r="F11" s="25">
        <f t="shared" si="0"/>
        <v>-1842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13332</v>
      </c>
      <c r="C12" s="11">
        <v>11039</v>
      </c>
      <c r="D12" s="11">
        <v>-455</v>
      </c>
      <c r="E12" s="11"/>
      <c r="F12" s="25">
        <f t="shared" si="0"/>
        <v>-1838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13796</v>
      </c>
      <c r="C13" s="11">
        <v>11039</v>
      </c>
      <c r="D13" s="11">
        <v>-611</v>
      </c>
      <c r="E13" s="11"/>
      <c r="F13" s="25">
        <f t="shared" si="0"/>
        <v>-2146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13804</v>
      </c>
      <c r="C14" s="11">
        <v>11039</v>
      </c>
      <c r="D14" s="11">
        <v>-497</v>
      </c>
      <c r="E14" s="11"/>
      <c r="F14" s="25">
        <f t="shared" si="0"/>
        <v>-2268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13728</v>
      </c>
      <c r="C15" s="11">
        <v>11039</v>
      </c>
      <c r="D15" s="11">
        <v>-514</v>
      </c>
      <c r="E15" s="11"/>
      <c r="F15" s="25">
        <f t="shared" si="0"/>
        <v>-2175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13407</v>
      </c>
      <c r="C16" s="11">
        <v>10537</v>
      </c>
      <c r="D16" s="11">
        <v>-601</v>
      </c>
      <c r="E16" s="11"/>
      <c r="F16" s="25">
        <f t="shared" si="0"/>
        <v>-2269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13410</v>
      </c>
      <c r="C17" s="11">
        <v>10537</v>
      </c>
      <c r="D17" s="11">
        <v>-639</v>
      </c>
      <c r="E17" s="11"/>
      <c r="F17" s="25">
        <f t="shared" si="0"/>
        <v>-2234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13165</v>
      </c>
      <c r="C18" s="11">
        <v>11039</v>
      </c>
      <c r="D18" s="11">
        <v>-566</v>
      </c>
      <c r="E18" s="11"/>
      <c r="F18" s="25">
        <f t="shared" si="0"/>
        <v>-1560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>
        <v>13333</v>
      </c>
      <c r="C19" s="11">
        <v>11039</v>
      </c>
      <c r="D19" s="11">
        <v>-513</v>
      </c>
      <c r="E19" s="11"/>
      <c r="F19" s="25">
        <f t="shared" si="0"/>
        <v>-1781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>
        <v>13177</v>
      </c>
      <c r="C20" s="11">
        <v>11039</v>
      </c>
      <c r="D20" s="11">
        <v>-595</v>
      </c>
      <c r="E20" s="11"/>
      <c r="F20" s="25">
        <f t="shared" si="0"/>
        <v>-1543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>
        <v>12983</v>
      </c>
      <c r="C21" s="11">
        <v>11039</v>
      </c>
      <c r="D21" s="11">
        <v>-551</v>
      </c>
      <c r="E21" s="11"/>
      <c r="F21" s="25">
        <f t="shared" si="0"/>
        <v>-1393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>
        <v>13223</v>
      </c>
      <c r="C22" s="11">
        <v>10949</v>
      </c>
      <c r="D22" s="11">
        <v>-594</v>
      </c>
      <c r="E22" s="11"/>
      <c r="F22" s="25">
        <f t="shared" si="0"/>
        <v>-1680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>
        <v>13029</v>
      </c>
      <c r="C23" s="11">
        <v>10058</v>
      </c>
      <c r="D23" s="11">
        <v>-614</v>
      </c>
      <c r="E23" s="11"/>
      <c r="F23" s="25">
        <f t="shared" si="0"/>
        <v>-2357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>
        <v>13115</v>
      </c>
      <c r="C24" s="11">
        <v>10235</v>
      </c>
      <c r="D24" s="11">
        <v>-600</v>
      </c>
      <c r="E24" s="11"/>
      <c r="F24" s="25">
        <f t="shared" si="0"/>
        <v>-2280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>
        <v>13133</v>
      </c>
      <c r="C25" s="11">
        <v>10852</v>
      </c>
      <c r="D25" s="11">
        <v>-623</v>
      </c>
      <c r="E25" s="11"/>
      <c r="F25" s="25">
        <f t="shared" si="0"/>
        <v>-1658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237193</v>
      </c>
      <c r="C39" s="11">
        <f>SUM(C8:C38)</f>
        <v>195710</v>
      </c>
      <c r="D39" s="11">
        <f>SUM(D8:D38)</f>
        <v>-7977</v>
      </c>
      <c r="E39" s="11">
        <f>SUM(E8:E38)</f>
        <v>0</v>
      </c>
      <c r="F39" s="11">
        <f>SUM(F8:F38)</f>
        <v>-33506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+summary!P11</f>
        <v>3.26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-109229.56</v>
      </c>
      <c r="J41" s="138"/>
      <c r="N41" s="138"/>
      <c r="R41" s="138"/>
      <c r="V41" s="138"/>
      <c r="Z41" s="138"/>
    </row>
    <row r="42" spans="1:26" x14ac:dyDescent="0.2">
      <c r="A42" s="57">
        <v>37042</v>
      </c>
      <c r="C42" s="15"/>
      <c r="D42" s="15"/>
      <c r="E42" s="15"/>
      <c r="F42" s="416">
        <v>691849.47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37060</v>
      </c>
      <c r="C43" s="48"/>
      <c r="D43" s="48"/>
      <c r="E43" s="48"/>
      <c r="F43" s="110">
        <f>+F42+F41</f>
        <v>582619.90999999992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2"/>
  <sheetViews>
    <sheetView workbookViewId="0"/>
    <sheetView workbookViewId="1"/>
    <sheetView workbookViewId="2"/>
    <sheetView topLeftCell="A33" workbookViewId="3">
      <selection activeCell="B12" sqref="B12"/>
    </sheetView>
  </sheetViews>
  <sheetFormatPr defaultRowHeight="12.75" x14ac:dyDescent="0.2"/>
  <cols>
    <col min="1" max="1" width="22.5703125" style="297" customWidth="1"/>
    <col min="2" max="2" width="10.7109375" style="253" bestFit="1" customWidth="1"/>
    <col min="3" max="3" width="10.28515625" style="298" bestFit="1" customWidth="1"/>
    <col min="4" max="4" width="10.7109375" customWidth="1"/>
    <col min="5" max="5" width="12" customWidth="1"/>
    <col min="6" max="6" width="15.140625" customWidth="1"/>
  </cols>
  <sheetData>
    <row r="2" spans="1:20" ht="15.75" x14ac:dyDescent="0.25">
      <c r="A2" s="53" t="s">
        <v>96</v>
      </c>
    </row>
    <row r="3" spans="1:20" ht="15.75" x14ac:dyDescent="0.25">
      <c r="A3" s="53" t="s">
        <v>91</v>
      </c>
    </row>
    <row r="4" spans="1:20" ht="15" customHeight="1" x14ac:dyDescent="0.25">
      <c r="A4" s="53" t="s">
        <v>93</v>
      </c>
    </row>
    <row r="5" spans="1:20" ht="15" customHeight="1" x14ac:dyDescent="0.25">
      <c r="A5" s="53" t="s">
        <v>92</v>
      </c>
    </row>
    <row r="6" spans="1:20" ht="20.100000000000001" customHeight="1" x14ac:dyDescent="0.25">
      <c r="A6" s="395" t="s">
        <v>155</v>
      </c>
    </row>
    <row r="7" spans="1:20" ht="18" customHeight="1" x14ac:dyDescent="0.2"/>
    <row r="8" spans="1:20" ht="18" customHeight="1" x14ac:dyDescent="0.2">
      <c r="A8" s="34" t="s">
        <v>5</v>
      </c>
    </row>
    <row r="9" spans="1:20" ht="18" customHeight="1" x14ac:dyDescent="0.2">
      <c r="A9" s="34" t="s">
        <v>6</v>
      </c>
      <c r="B9" s="268"/>
      <c r="O9" s="305" t="s">
        <v>82</v>
      </c>
      <c r="P9" s="306"/>
    </row>
    <row r="10" spans="1:20" ht="18" customHeight="1" x14ac:dyDescent="0.2">
      <c r="O10" s="307" t="s">
        <v>31</v>
      </c>
      <c r="P10" s="309">
        <f>+'[1]0601'!$K$39</f>
        <v>2.62</v>
      </c>
    </row>
    <row r="11" spans="1:20" ht="18" customHeight="1" x14ac:dyDescent="0.2">
      <c r="A11" s="396" t="s">
        <v>98</v>
      </c>
      <c r="B11" s="397" t="s">
        <v>18</v>
      </c>
      <c r="C11" s="398" t="s">
        <v>0</v>
      </c>
      <c r="D11" s="399" t="s">
        <v>85</v>
      </c>
      <c r="E11" s="396" t="s">
        <v>99</v>
      </c>
      <c r="F11" s="400" t="s">
        <v>111</v>
      </c>
      <c r="G11" s="301" t="s">
        <v>107</v>
      </c>
      <c r="O11" s="308" t="s">
        <v>32</v>
      </c>
      <c r="P11" s="310">
        <f>+'[1]0601'!$M$39</f>
        <v>3.26</v>
      </c>
    </row>
    <row r="12" spans="1:20" ht="18" customHeight="1" x14ac:dyDescent="0.2">
      <c r="A12" s="357" t="s">
        <v>95</v>
      </c>
      <c r="B12" s="377">
        <f>+NNG!$D$24</f>
        <v>1309914.5</v>
      </c>
      <c r="C12" s="389">
        <f>+B12/$P$11</f>
        <v>401814.26380368101</v>
      </c>
      <c r="D12" s="317">
        <f>+NNG!A24</f>
        <v>37061</v>
      </c>
      <c r="E12" s="314" t="s">
        <v>90</v>
      </c>
      <c r="F12" s="314" t="s">
        <v>110</v>
      </c>
      <c r="H12" s="64"/>
      <c r="O12" t="s">
        <v>127</v>
      </c>
      <c r="P12" s="269">
        <f>+'[1]0601'!$H$39</f>
        <v>3.59</v>
      </c>
    </row>
    <row r="13" spans="1:20" ht="15.95" customHeight="1" x14ac:dyDescent="0.2">
      <c r="A13" s="356" t="s">
        <v>145</v>
      </c>
      <c r="B13" s="377">
        <f>+SidR!D41</f>
        <v>807113.05999999994</v>
      </c>
      <c r="C13" s="389">
        <f>+B13/$P$11</f>
        <v>247580.69325153375</v>
      </c>
      <c r="D13" s="65">
        <f>+SidR!A41</f>
        <v>37061</v>
      </c>
      <c r="E13" t="s">
        <v>90</v>
      </c>
      <c r="F13" t="s">
        <v>112</v>
      </c>
    </row>
    <row r="14" spans="1:20" ht="15.95" customHeight="1" x14ac:dyDescent="0.2">
      <c r="A14" s="356" t="s">
        <v>87</v>
      </c>
      <c r="B14" s="377">
        <f>+PNM!$D$23</f>
        <v>751131.23</v>
      </c>
      <c r="C14" s="389">
        <f>+B14/$P$11</f>
        <v>230408.35276073622</v>
      </c>
      <c r="D14" s="65">
        <f>+PNM!A23</f>
        <v>37061</v>
      </c>
      <c r="E14" t="s">
        <v>90</v>
      </c>
      <c r="F14" t="s">
        <v>108</v>
      </c>
    </row>
    <row r="15" spans="1:20" ht="15.95" customHeight="1" x14ac:dyDescent="0.2">
      <c r="A15" s="356" t="s">
        <v>25</v>
      </c>
      <c r="B15" s="371">
        <f>+'Red C'!$F$43</f>
        <v>656326.20000000007</v>
      </c>
      <c r="C15" s="372">
        <f>+B15/$P$10</f>
        <v>250506.18320610689</v>
      </c>
      <c r="D15" s="317">
        <f>+'Red C'!B43</f>
        <v>37061</v>
      </c>
      <c r="E15" t="s">
        <v>90</v>
      </c>
      <c r="F15" t="s">
        <v>125</v>
      </c>
    </row>
    <row r="16" spans="1:20" ht="15.95" customHeight="1" x14ac:dyDescent="0.2">
      <c r="A16" s="356" t="s">
        <v>3</v>
      </c>
      <c r="B16" s="377">
        <f>+'Amoco Abo'!$F$43</f>
        <v>582619.90999999992</v>
      </c>
      <c r="C16" s="389">
        <f>+B16/$P$11</f>
        <v>178717.76380368098</v>
      </c>
      <c r="D16" s="65">
        <f>+'Amoco Abo'!A43</f>
        <v>37060</v>
      </c>
      <c r="E16" t="s">
        <v>90</v>
      </c>
      <c r="F16" t="s">
        <v>109</v>
      </c>
      <c r="T16" s="269"/>
    </row>
    <row r="17" spans="1:20" ht="15.95" customHeight="1" x14ac:dyDescent="0.2">
      <c r="A17" s="356" t="s">
        <v>84</v>
      </c>
      <c r="B17" s="377">
        <f>+Conoco!$F$41</f>
        <v>476143.21000000043</v>
      </c>
      <c r="C17" s="389">
        <f>+B17/$P$10</f>
        <v>181734.04961832077</v>
      </c>
      <c r="D17" s="317">
        <f>+Conoco!A41</f>
        <v>37060</v>
      </c>
      <c r="E17" t="s">
        <v>90</v>
      </c>
      <c r="F17" t="s">
        <v>109</v>
      </c>
      <c r="T17" s="269"/>
    </row>
    <row r="18" spans="1:20" ht="15.95" customHeight="1" x14ac:dyDescent="0.2">
      <c r="A18" s="356" t="s">
        <v>117</v>
      </c>
      <c r="B18" s="377">
        <f>+KN_Westar!F41</f>
        <v>405767.37</v>
      </c>
      <c r="C18" s="389">
        <f t="shared" ref="C18:C24" si="0">+B18/$P$11</f>
        <v>124468.51840490798</v>
      </c>
      <c r="D18" s="65">
        <f>+KN_Westar!A41</f>
        <v>37060</v>
      </c>
      <c r="E18" t="s">
        <v>90</v>
      </c>
      <c r="F18" t="s">
        <v>110</v>
      </c>
    </row>
    <row r="19" spans="1:20" ht="15.95" customHeight="1" x14ac:dyDescent="0.2">
      <c r="A19" s="356" t="s">
        <v>113</v>
      </c>
      <c r="B19" s="377">
        <f>+EOG!J41</f>
        <v>380154.11</v>
      </c>
      <c r="C19" s="389">
        <f t="shared" si="0"/>
        <v>116611.69018404909</v>
      </c>
      <c r="D19" s="317">
        <f>+EOG!A41</f>
        <v>37060</v>
      </c>
      <c r="E19" t="s">
        <v>90</v>
      </c>
      <c r="F19" t="s">
        <v>112</v>
      </c>
    </row>
    <row r="20" spans="1:20" ht="15.95" customHeight="1" x14ac:dyDescent="0.2">
      <c r="A20" s="356" t="s">
        <v>2</v>
      </c>
      <c r="B20" s="377">
        <f>+mewborne!$J$43</f>
        <v>359857.67</v>
      </c>
      <c r="C20" s="389">
        <f t="shared" si="0"/>
        <v>110385.78834355829</v>
      </c>
      <c r="D20" s="65">
        <f>+mewborne!A43</f>
        <v>37060</v>
      </c>
      <c r="E20" t="s">
        <v>90</v>
      </c>
      <c r="F20" t="s">
        <v>109</v>
      </c>
    </row>
    <row r="21" spans="1:20" ht="15.95" customHeight="1" x14ac:dyDescent="0.2">
      <c r="A21" s="356" t="s">
        <v>120</v>
      </c>
      <c r="B21" s="377">
        <f>+CIG!D43</f>
        <v>326755</v>
      </c>
      <c r="C21" s="389">
        <f t="shared" si="0"/>
        <v>100231.59509202455</v>
      </c>
      <c r="D21" s="65">
        <f>+CIG!A43</f>
        <v>37059</v>
      </c>
      <c r="E21" t="s">
        <v>90</v>
      </c>
      <c r="F21" t="s">
        <v>123</v>
      </c>
      <c r="G21" t="s">
        <v>139</v>
      </c>
    </row>
    <row r="22" spans="1:20" ht="15.95" customHeight="1" x14ac:dyDescent="0.2">
      <c r="A22" s="356" t="s">
        <v>141</v>
      </c>
      <c r="B22" s="377">
        <f>+PGETX!$H$39</f>
        <v>234921.34</v>
      </c>
      <c r="C22" s="389">
        <f t="shared" si="0"/>
        <v>72061.760736196316</v>
      </c>
      <c r="D22" s="65">
        <f>+PGETX!E39</f>
        <v>37061</v>
      </c>
      <c r="E22" t="s">
        <v>90</v>
      </c>
      <c r="F22" t="s">
        <v>112</v>
      </c>
    </row>
    <row r="23" spans="1:20" ht="15.95" customHeight="1" x14ac:dyDescent="0.2">
      <c r="A23" s="356" t="s">
        <v>154</v>
      </c>
      <c r="B23" s="377">
        <f>+'Citizens-Griffith'!D41</f>
        <v>157881.04999999999</v>
      </c>
      <c r="C23" s="389">
        <f t="shared" si="0"/>
        <v>48429.769938650308</v>
      </c>
      <c r="D23" s="317">
        <f>+'Citizens-Griffith'!A41</f>
        <v>37061</v>
      </c>
      <c r="E23" t="s">
        <v>90</v>
      </c>
      <c r="F23" t="s">
        <v>109</v>
      </c>
    </row>
    <row r="24" spans="1:20" ht="15.95" customHeight="1" x14ac:dyDescent="0.2">
      <c r="A24" s="356" t="s">
        <v>75</v>
      </c>
      <c r="B24" s="371">
        <f>+transcol!$D$43</f>
        <v>50210.76</v>
      </c>
      <c r="C24" s="372">
        <f t="shared" si="0"/>
        <v>15402.073619631903</v>
      </c>
      <c r="D24" s="65">
        <f>+transcol!A43</f>
        <v>37060</v>
      </c>
      <c r="E24" t="s">
        <v>90</v>
      </c>
      <c r="F24" t="s">
        <v>125</v>
      </c>
    </row>
    <row r="25" spans="1:20" ht="15.95" customHeight="1" x14ac:dyDescent="0.2">
      <c r="A25" s="356" t="s">
        <v>143</v>
      </c>
      <c r="B25" s="377">
        <f>+EPFS!D41</f>
        <v>14733.300000000003</v>
      </c>
      <c r="C25" s="403">
        <f>+B25/$P$12</f>
        <v>4103.9832869080792</v>
      </c>
      <c r="D25" s="317">
        <f>+EPFS!A41</f>
        <v>37060</v>
      </c>
      <c r="E25" t="s">
        <v>90</v>
      </c>
      <c r="F25" t="s">
        <v>110</v>
      </c>
    </row>
    <row r="26" spans="1:20" ht="15.95" customHeight="1" x14ac:dyDescent="0.2">
      <c r="A26" s="357" t="s">
        <v>104</v>
      </c>
      <c r="B26" s="377">
        <f>+burlington!D42</f>
        <v>5145.68</v>
      </c>
      <c r="C26" s="389">
        <f>+B26/$P$10</f>
        <v>1964</v>
      </c>
      <c r="D26" s="317">
        <f>+burlington!A42</f>
        <v>37061</v>
      </c>
      <c r="E26" s="314" t="s">
        <v>90</v>
      </c>
      <c r="F26" t="s">
        <v>109</v>
      </c>
      <c r="G26" t="s">
        <v>157</v>
      </c>
    </row>
    <row r="27" spans="1:20" ht="15.95" customHeight="1" x14ac:dyDescent="0.2">
      <c r="A27" s="356" t="s">
        <v>119</v>
      </c>
      <c r="B27" s="377">
        <f>+Continental!F43</f>
        <v>-19004.95</v>
      </c>
      <c r="C27" s="403">
        <f>+B27/$P$11</f>
        <v>-5829.7392638036818</v>
      </c>
      <c r="D27" s="65">
        <f>+Continental!A43</f>
        <v>37060</v>
      </c>
      <c r="E27" t="s">
        <v>90</v>
      </c>
      <c r="F27" t="s">
        <v>125</v>
      </c>
    </row>
    <row r="28" spans="1:20" ht="15.95" customHeight="1" x14ac:dyDescent="0.2">
      <c r="A28" s="357" t="s">
        <v>83</v>
      </c>
      <c r="B28" s="377">
        <f>+Agave!$D$24</f>
        <v>-31111.5</v>
      </c>
      <c r="C28" s="403">
        <f>+B28/$P$11</f>
        <v>-9543.4049079754604</v>
      </c>
      <c r="D28" s="317">
        <f>+Agave!A24</f>
        <v>37060</v>
      </c>
      <c r="E28" s="314" t="s">
        <v>90</v>
      </c>
      <c r="F28" s="314" t="s">
        <v>112</v>
      </c>
    </row>
    <row r="29" spans="1:20" ht="15.95" customHeight="1" x14ac:dyDescent="0.2">
      <c r="A29" s="356" t="s">
        <v>138</v>
      </c>
      <c r="B29" s="377">
        <f>+DEFS!F54</f>
        <v>-83680.719999999972</v>
      </c>
      <c r="C29" s="403">
        <f>+B29/$P$11</f>
        <v>-25668.932515337416</v>
      </c>
      <c r="D29" s="65">
        <f>+DEFS!A40</f>
        <v>37059</v>
      </c>
      <c r="E29" t="s">
        <v>90</v>
      </c>
      <c r="F29" t="s">
        <v>110</v>
      </c>
      <c r="G29" t="s">
        <v>128</v>
      </c>
    </row>
    <row r="30" spans="1:20" ht="15.95" customHeight="1" x14ac:dyDescent="0.2">
      <c r="A30" s="356" t="s">
        <v>147</v>
      </c>
      <c r="B30" s="377">
        <f>+'NS Steel'!D41</f>
        <v>-342105.48</v>
      </c>
      <c r="C30" s="403">
        <f>+B30/$P$10</f>
        <v>-130574.61068702288</v>
      </c>
      <c r="D30" s="65">
        <f>+'NS Steel'!A41</f>
        <v>37060</v>
      </c>
      <c r="E30" t="s">
        <v>90</v>
      </c>
      <c r="F30" t="s">
        <v>110</v>
      </c>
      <c r="G30" s="301"/>
    </row>
    <row r="31" spans="1:20" ht="15.95" customHeight="1" x14ac:dyDescent="0.2">
      <c r="A31" s="357" t="s">
        <v>140</v>
      </c>
      <c r="B31" s="377">
        <f>+Calpine!D41</f>
        <v>-414495.67</v>
      </c>
      <c r="C31" s="403">
        <f>+B31/$P$11</f>
        <v>-127145.91104294479</v>
      </c>
      <c r="D31" s="317">
        <f>+Calpine!A41</f>
        <v>37060</v>
      </c>
      <c r="E31" s="314" t="s">
        <v>90</v>
      </c>
      <c r="F31" s="314" t="s">
        <v>109</v>
      </c>
      <c r="G31" s="301"/>
    </row>
    <row r="32" spans="1:20" ht="15.95" customHeight="1" x14ac:dyDescent="0.2">
      <c r="A32" s="357" t="s">
        <v>149</v>
      </c>
      <c r="B32" s="390">
        <f>+Citizens!D18</f>
        <v>-868696.20000000007</v>
      </c>
      <c r="C32" s="404">
        <f>+B32/$P$11</f>
        <v>-266471.22699386504</v>
      </c>
      <c r="D32" s="317">
        <f>+Citizens!A18</f>
        <v>37058</v>
      </c>
      <c r="E32" s="314" t="s">
        <v>90</v>
      </c>
      <c r="F32" s="314" t="s">
        <v>108</v>
      </c>
      <c r="G32" s="301"/>
    </row>
    <row r="33" spans="1:7" ht="15.95" customHeight="1" x14ac:dyDescent="0.2">
      <c r="A33" s="297" t="s">
        <v>160</v>
      </c>
      <c r="B33" s="253">
        <f>SUM(B12:B32)</f>
        <v>4759579.87</v>
      </c>
      <c r="C33" s="298">
        <f>SUM(C12:C32)</f>
        <v>1519186.6606390371</v>
      </c>
    </row>
    <row r="34" spans="1:7" ht="15.95" customHeight="1" x14ac:dyDescent="0.2">
      <c r="A34" s="357"/>
      <c r="B34" s="377"/>
      <c r="C34" s="389"/>
      <c r="D34" s="317"/>
      <c r="E34" s="314"/>
      <c r="F34" s="314"/>
    </row>
    <row r="35" spans="1:7" ht="15.95" customHeight="1" x14ac:dyDescent="0.2">
      <c r="A35" s="396" t="s">
        <v>98</v>
      </c>
      <c r="B35" s="397" t="s">
        <v>18</v>
      </c>
      <c r="C35" s="398" t="s">
        <v>0</v>
      </c>
      <c r="D35" s="399" t="s">
        <v>85</v>
      </c>
      <c r="E35" s="396" t="s">
        <v>99</v>
      </c>
      <c r="F35" s="400" t="s">
        <v>111</v>
      </c>
      <c r="G35" s="301" t="s">
        <v>107</v>
      </c>
    </row>
    <row r="36" spans="1:7" ht="15.95" customHeight="1" x14ac:dyDescent="0.2">
      <c r="A36" s="356" t="s">
        <v>1</v>
      </c>
      <c r="B36" s="377">
        <f>+C36*$P$10</f>
        <v>-39957.620000000003</v>
      </c>
      <c r="C36" s="403">
        <f>+NW!$F$41</f>
        <v>-15251</v>
      </c>
      <c r="D36" s="317">
        <f>+NW!B41</f>
        <v>37060</v>
      </c>
      <c r="E36" t="s">
        <v>89</v>
      </c>
      <c r="F36" t="s">
        <v>109</v>
      </c>
    </row>
    <row r="37" spans="1:7" ht="15.95" customHeight="1" x14ac:dyDescent="0.2">
      <c r="A37" s="356" t="s">
        <v>159</v>
      </c>
      <c r="B37" s="371">
        <f>+C37*$P$11</f>
        <v>-43915.46</v>
      </c>
      <c r="C37" s="372">
        <f>+PEPL!D41</f>
        <v>-13471</v>
      </c>
      <c r="D37" s="65">
        <f>+PEPL!A41</f>
        <v>37061</v>
      </c>
      <c r="E37" t="s">
        <v>89</v>
      </c>
      <c r="F37" t="s">
        <v>112</v>
      </c>
      <c r="G37" t="s">
        <v>129</v>
      </c>
    </row>
    <row r="38" spans="1:7" ht="18" customHeight="1" x14ac:dyDescent="0.2">
      <c r="A38" s="356" t="s">
        <v>34</v>
      </c>
      <c r="B38" s="377">
        <f>+C38*$P$11</f>
        <v>15977.259999999998</v>
      </c>
      <c r="C38" s="403">
        <f>+SoCal!F40</f>
        <v>4901</v>
      </c>
      <c r="D38" s="388">
        <f>+SoCal!A40</f>
        <v>37060</v>
      </c>
      <c r="E38" t="s">
        <v>89</v>
      </c>
      <c r="F38" t="s">
        <v>108</v>
      </c>
    </row>
    <row r="39" spans="1:7" ht="18" customHeight="1" x14ac:dyDescent="0.2">
      <c r="A39" s="356" t="s">
        <v>124</v>
      </c>
      <c r="B39" s="377">
        <f>+C39*$P$11</f>
        <v>19080.78</v>
      </c>
      <c r="C39" s="403">
        <f>+'PG&amp;E'!D40</f>
        <v>5853</v>
      </c>
      <c r="D39" s="65">
        <f>+'PG&amp;E'!A40</f>
        <v>37060</v>
      </c>
      <c r="E39" t="s">
        <v>89</v>
      </c>
      <c r="F39" t="s">
        <v>112</v>
      </c>
    </row>
    <row r="40" spans="1:7" ht="18" customHeight="1" x14ac:dyDescent="0.2">
      <c r="A40" s="356" t="s">
        <v>103</v>
      </c>
      <c r="B40" s="377">
        <f>+C40*$P$11</f>
        <v>14210.339999999998</v>
      </c>
      <c r="C40" s="389">
        <f>+Mojave!D40</f>
        <v>4359</v>
      </c>
      <c r="D40" s="65">
        <f>+Mojave!A40</f>
        <v>37060</v>
      </c>
      <c r="E40" t="s">
        <v>89</v>
      </c>
      <c r="F40" t="s">
        <v>110</v>
      </c>
    </row>
    <row r="41" spans="1:7" ht="18" customHeight="1" x14ac:dyDescent="0.2">
      <c r="A41" s="356" t="s">
        <v>8</v>
      </c>
      <c r="B41" s="377">
        <f>+C41*$P$11</f>
        <v>36306.619999999995</v>
      </c>
      <c r="C41" s="403">
        <f>+Oasis!D40</f>
        <v>11137</v>
      </c>
      <c r="D41" s="65">
        <f>+Oasis!B40</f>
        <v>37060</v>
      </c>
      <c r="E41" t="s">
        <v>89</v>
      </c>
      <c r="F41" t="s">
        <v>112</v>
      </c>
    </row>
    <row r="42" spans="1:7" ht="18" customHeight="1" x14ac:dyDescent="0.2">
      <c r="A42" s="356" t="s">
        <v>7</v>
      </c>
      <c r="B42" s="377">
        <f>+C42*$P$10</f>
        <v>200878.02000000002</v>
      </c>
      <c r="C42" s="389">
        <f>+Amoco!D40</f>
        <v>76671</v>
      </c>
      <c r="D42" s="65">
        <f>+Amoco!A40</f>
        <v>37061</v>
      </c>
      <c r="E42" t="s">
        <v>89</v>
      </c>
      <c r="F42" t="s">
        <v>125</v>
      </c>
    </row>
    <row r="43" spans="1:7" ht="18" customHeight="1" x14ac:dyDescent="0.2">
      <c r="A43" s="356" t="s">
        <v>33</v>
      </c>
      <c r="B43" s="377">
        <f>+C43*$P$11</f>
        <v>191678.22</v>
      </c>
      <c r="C43" s="389">
        <f>+Lonestar!F42</f>
        <v>58797</v>
      </c>
      <c r="D43" s="317">
        <f>+Lonestar!B42</f>
        <v>37061</v>
      </c>
      <c r="E43" t="s">
        <v>89</v>
      </c>
      <c r="F43" t="s">
        <v>112</v>
      </c>
    </row>
    <row r="44" spans="1:7" ht="18" customHeight="1" x14ac:dyDescent="0.2">
      <c r="A44" s="356" t="s">
        <v>97</v>
      </c>
      <c r="B44" s="377">
        <f>+C44*$P$11</f>
        <v>299903.69999999995</v>
      </c>
      <c r="C44" s="389">
        <f>+NGPL!F38</f>
        <v>91995</v>
      </c>
      <c r="D44" s="65">
        <f>+NGPL!A38</f>
        <v>37061</v>
      </c>
      <c r="E44" t="s">
        <v>89</v>
      </c>
      <c r="F44" t="s">
        <v>125</v>
      </c>
    </row>
    <row r="45" spans="1:7" ht="18" customHeight="1" x14ac:dyDescent="0.2">
      <c r="A45" s="356" t="s">
        <v>35</v>
      </c>
      <c r="B45" s="377">
        <f>+'El Paso'!E38*summary!P10+'El Paso'!C38*summary!P11</f>
        <v>562220.68000000005</v>
      </c>
      <c r="C45" s="389">
        <f>+'El Paso'!H38</f>
        <v>202974</v>
      </c>
      <c r="D45" s="65">
        <f>+'El Paso'!A38</f>
        <v>37061</v>
      </c>
      <c r="E45" t="s">
        <v>89</v>
      </c>
      <c r="F45" t="s">
        <v>110</v>
      </c>
    </row>
    <row r="46" spans="1:7" ht="18" customHeight="1" x14ac:dyDescent="0.2">
      <c r="A46" s="357" t="s">
        <v>30</v>
      </c>
      <c r="B46" s="390">
        <f>+C46*$P$10</f>
        <v>774652.78</v>
      </c>
      <c r="C46" s="405">
        <f>+williams!J40</f>
        <v>295669</v>
      </c>
      <c r="D46" s="317">
        <f>+williams!A40</f>
        <v>37061</v>
      </c>
      <c r="E46" s="314" t="s">
        <v>89</v>
      </c>
      <c r="F46" s="314" t="s">
        <v>125</v>
      </c>
    </row>
    <row r="47" spans="1:7" ht="18" customHeight="1" x14ac:dyDescent="0.2">
      <c r="A47" s="297" t="s">
        <v>161</v>
      </c>
      <c r="B47" s="377">
        <f>SUM(B36:B46)</f>
        <v>2031035.32</v>
      </c>
      <c r="C47" s="403">
        <f>SUM(C36:C46)</f>
        <v>723634</v>
      </c>
      <c r="D47" s="314"/>
    </row>
    <row r="48" spans="1:7" ht="18" customHeight="1" x14ac:dyDescent="0.2">
      <c r="B48" s="401"/>
      <c r="C48" s="402"/>
    </row>
    <row r="49" spans="1:5" ht="18" customHeight="1" thickBot="1" x14ac:dyDescent="0.25">
      <c r="A49" s="34" t="s">
        <v>162</v>
      </c>
      <c r="B49" s="393">
        <f>+B47+B33</f>
        <v>6790615.1900000004</v>
      </c>
      <c r="C49" s="426">
        <f>+C47+C33</f>
        <v>2242820.6606390374</v>
      </c>
    </row>
    <row r="50" spans="1:5" ht="18" customHeight="1" thickTop="1" x14ac:dyDescent="0.2"/>
    <row r="51" spans="1:5" x14ac:dyDescent="0.2">
      <c r="C51" s="342"/>
    </row>
    <row r="54" spans="1:5" x14ac:dyDescent="0.2">
      <c r="A54" s="34" t="s">
        <v>101</v>
      </c>
    </row>
    <row r="57" spans="1:5" x14ac:dyDescent="0.2">
      <c r="C57" s="259"/>
      <c r="E57" s="340"/>
    </row>
    <row r="64" spans="1:5" x14ac:dyDescent="0.2">
      <c r="B64" s="311"/>
      <c r="C64" s="332"/>
    </row>
    <row r="65" spans="2:5" x14ac:dyDescent="0.2">
      <c r="B65" s="259"/>
    </row>
    <row r="66" spans="2:5" x14ac:dyDescent="0.2">
      <c r="B66" s="259"/>
    </row>
    <row r="67" spans="2:5" x14ac:dyDescent="0.2">
      <c r="B67" s="259"/>
    </row>
    <row r="68" spans="2:5" x14ac:dyDescent="0.2">
      <c r="B68" s="259"/>
      <c r="D68" s="64"/>
    </row>
    <row r="69" spans="2:5" x14ac:dyDescent="0.2">
      <c r="B69" s="259"/>
      <c r="C69" s="342"/>
    </row>
    <row r="70" spans="2:5" x14ac:dyDescent="0.2">
      <c r="B70" s="259"/>
      <c r="C70" s="342"/>
      <c r="D70" s="338"/>
      <c r="E70" s="343"/>
    </row>
    <row r="71" spans="2:5" x14ac:dyDescent="0.2">
      <c r="B71" s="259"/>
      <c r="C71" s="342"/>
      <c r="D71" s="269"/>
    </row>
    <row r="72" spans="2:5" x14ac:dyDescent="0.2">
      <c r="B72" s="259"/>
      <c r="C72" s="342"/>
      <c r="D72" s="269"/>
    </row>
    <row r="73" spans="2:5" x14ac:dyDescent="0.2">
      <c r="B73" s="259"/>
      <c r="C73" s="342"/>
      <c r="D73" s="31"/>
    </row>
    <row r="74" spans="2:5" x14ac:dyDescent="0.2">
      <c r="B74" s="259"/>
      <c r="C74" s="342"/>
      <c r="D74" s="344"/>
    </row>
    <row r="75" spans="2:5" x14ac:dyDescent="0.2">
      <c r="B75" s="339"/>
    </row>
    <row r="76" spans="2:5" x14ac:dyDescent="0.2">
      <c r="B76" s="339"/>
      <c r="D76" s="64"/>
    </row>
    <row r="77" spans="2:5" x14ac:dyDescent="0.2">
      <c r="B77" s="338"/>
      <c r="C77" s="259"/>
    </row>
    <row r="78" spans="2:5" x14ac:dyDescent="0.2">
      <c r="B78" s="338"/>
      <c r="C78" s="259"/>
    </row>
    <row r="79" spans="2:5" x14ac:dyDescent="0.2">
      <c r="B79" s="339"/>
      <c r="C79" s="259"/>
      <c r="D79" s="64"/>
    </row>
    <row r="80" spans="2:5" x14ac:dyDescent="0.2">
      <c r="B80" s="339"/>
      <c r="D80" s="64"/>
    </row>
    <row r="81" spans="2:3" x14ac:dyDescent="0.2">
      <c r="B81" s="339"/>
    </row>
    <row r="82" spans="2:3" x14ac:dyDescent="0.2">
      <c r="B82" s="311"/>
      <c r="C82" s="318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95</v>
      </c>
      <c r="B4" s="69"/>
      <c r="C4" s="293"/>
      <c r="D4" s="69"/>
    </row>
    <row r="5" spans="1:8" x14ac:dyDescent="0.2">
      <c r="B5" s="294" t="s">
        <v>21</v>
      </c>
      <c r="C5" s="294" t="s">
        <v>22</v>
      </c>
      <c r="D5" s="295" t="s">
        <v>52</v>
      </c>
    </row>
    <row r="6" spans="1:8" x14ac:dyDescent="0.2">
      <c r="A6" s="32">
        <v>1635</v>
      </c>
      <c r="B6" s="375">
        <v>-27894</v>
      </c>
      <c r="C6" s="80"/>
      <c r="D6" s="80">
        <f t="shared" ref="D6:D14" si="0">+C6-B6</f>
        <v>27894</v>
      </c>
    </row>
    <row r="7" spans="1:8" x14ac:dyDescent="0.2">
      <c r="A7" s="32">
        <v>3531</v>
      </c>
      <c r="B7" s="375">
        <v>-274395</v>
      </c>
      <c r="C7" s="80">
        <v>-169301</v>
      </c>
      <c r="D7" s="80">
        <f t="shared" si="0"/>
        <v>105094</v>
      </c>
    </row>
    <row r="8" spans="1:8" x14ac:dyDescent="0.2">
      <c r="A8" s="32">
        <v>60667</v>
      </c>
      <c r="B8" s="375">
        <f>-793636-28215</f>
        <v>-821851</v>
      </c>
      <c r="C8" s="80">
        <v>-56295</v>
      </c>
      <c r="D8" s="80">
        <f t="shared" si="0"/>
        <v>765556</v>
      </c>
      <c r="H8" s="255"/>
    </row>
    <row r="9" spans="1:8" x14ac:dyDescent="0.2">
      <c r="A9" s="32">
        <v>60749</v>
      </c>
      <c r="B9" s="369">
        <f>350527+25960</f>
        <v>376487</v>
      </c>
      <c r="C9" s="80">
        <v>-603224</v>
      </c>
      <c r="D9" s="80">
        <f t="shared" si="0"/>
        <v>-979711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75">
        <f>-76062-45847</f>
        <v>-121909</v>
      </c>
      <c r="C11" s="80"/>
      <c r="D11" s="80">
        <f t="shared" si="0"/>
        <v>121909</v>
      </c>
      <c r="H11" s="255"/>
    </row>
    <row r="12" spans="1:8" x14ac:dyDescent="0.2">
      <c r="A12" s="32">
        <v>62960</v>
      </c>
      <c r="B12" s="337"/>
      <c r="C12" s="80"/>
      <c r="D12" s="80">
        <f t="shared" si="0"/>
        <v>0</v>
      </c>
      <c r="H12" s="255"/>
    </row>
    <row r="13" spans="1:8" x14ac:dyDescent="0.2">
      <c r="A13" s="296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40742</v>
      </c>
    </row>
    <row r="19" spans="1:5" x14ac:dyDescent="0.2">
      <c r="A19" s="32" t="s">
        <v>86</v>
      </c>
      <c r="B19" s="69"/>
      <c r="C19" s="69"/>
      <c r="D19" s="73">
        <f>+summary!P11</f>
        <v>3.26</v>
      </c>
    </row>
    <row r="20" spans="1:5" x14ac:dyDescent="0.2">
      <c r="B20" s="69"/>
      <c r="C20" s="69"/>
      <c r="D20" s="75">
        <f>+D19*D18</f>
        <v>132818.91999999998</v>
      </c>
    </row>
    <row r="21" spans="1:5" x14ac:dyDescent="0.2">
      <c r="B21" s="69"/>
      <c r="C21" s="80"/>
      <c r="D21" s="300"/>
      <c r="E21" s="255"/>
    </row>
    <row r="22" spans="1:5" x14ac:dyDescent="0.2">
      <c r="A22" s="49">
        <v>37042</v>
      </c>
      <c r="B22" s="69"/>
      <c r="C22" s="80"/>
      <c r="D22" s="414">
        <v>1177095.58</v>
      </c>
      <c r="E22" s="255"/>
    </row>
    <row r="23" spans="1:5" x14ac:dyDescent="0.2">
      <c r="B23" s="69"/>
      <c r="C23" s="80"/>
      <c r="D23" s="300"/>
      <c r="E23" s="255"/>
    </row>
    <row r="24" spans="1:5" ht="12" thickBot="1" x14ac:dyDescent="0.25">
      <c r="A24" s="49">
        <v>37061</v>
      </c>
      <c r="B24" s="69"/>
      <c r="C24" s="69"/>
      <c r="D24" s="384">
        <f>+D22+D20</f>
        <v>1309914.5</v>
      </c>
      <c r="E24" s="255"/>
    </row>
    <row r="25" spans="1:5" ht="12" thickTop="1" x14ac:dyDescent="0.2">
      <c r="B25" s="69"/>
      <c r="C25" s="69"/>
      <c r="D25" s="69"/>
      <c r="E25" s="25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workbookViewId="3">
      <selection activeCell="A24" sqref="A24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88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9236</v>
      </c>
      <c r="B5" s="331">
        <f>-35015-2304</f>
        <v>-37319</v>
      </c>
      <c r="C5" s="90">
        <v>-34845</v>
      </c>
      <c r="D5" s="90">
        <f t="shared" ref="D5:D13" si="0">+C5-B5</f>
        <v>2474</v>
      </c>
      <c r="E5" s="69"/>
      <c r="F5" s="70"/>
    </row>
    <row r="6" spans="1:13" x14ac:dyDescent="0.2">
      <c r="A6" s="87">
        <v>9238</v>
      </c>
      <c r="B6" s="331"/>
      <c r="C6" s="90"/>
      <c r="D6" s="90">
        <f t="shared" si="0"/>
        <v>0</v>
      </c>
      <c r="E6" s="287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331">
        <f>-1852678-104949</f>
        <v>-1957627</v>
      </c>
      <c r="C7" s="90">
        <v>-1863018</v>
      </c>
      <c r="D7" s="90">
        <f t="shared" si="0"/>
        <v>94609</v>
      </c>
      <c r="E7" s="287"/>
      <c r="F7" s="70"/>
    </row>
    <row r="8" spans="1:13" x14ac:dyDescent="0.2">
      <c r="A8" s="87">
        <v>58710</v>
      </c>
      <c r="B8" s="331">
        <v>-35707</v>
      </c>
      <c r="C8" s="90">
        <v>-6114</v>
      </c>
      <c r="D8" s="90">
        <f t="shared" si="0"/>
        <v>29593</v>
      </c>
      <c r="E8" s="287"/>
      <c r="F8" s="70"/>
    </row>
    <row r="9" spans="1:13" x14ac:dyDescent="0.2">
      <c r="A9" s="87">
        <v>60921</v>
      </c>
      <c r="B9" s="331">
        <f>1317136+85581</f>
        <v>1402717</v>
      </c>
      <c r="C9" s="90">
        <v>1280106</v>
      </c>
      <c r="D9" s="90">
        <f t="shared" si="0"/>
        <v>-122611</v>
      </c>
      <c r="E9" s="287"/>
      <c r="F9" s="70"/>
    </row>
    <row r="10" spans="1:13" x14ac:dyDescent="0.2">
      <c r="A10" s="87">
        <v>78026</v>
      </c>
      <c r="B10" s="331">
        <v>5896</v>
      </c>
      <c r="C10" s="90">
        <v>54373</v>
      </c>
      <c r="D10" s="90">
        <f t="shared" si="0"/>
        <v>48477</v>
      </c>
      <c r="E10" s="287"/>
      <c r="F10" s="285"/>
    </row>
    <row r="11" spans="1:13" x14ac:dyDescent="0.2">
      <c r="A11" s="87">
        <v>500084</v>
      </c>
      <c r="B11" s="331">
        <f>-6855-729</f>
        <v>-7584</v>
      </c>
      <c r="C11" s="90">
        <v>-19000</v>
      </c>
      <c r="D11" s="90">
        <f t="shared" si="0"/>
        <v>-11416</v>
      </c>
      <c r="E11" s="288"/>
      <c r="F11" s="285"/>
    </row>
    <row r="12" spans="1:13" x14ac:dyDescent="0.2">
      <c r="A12" s="358">
        <v>500085</v>
      </c>
      <c r="B12" s="90">
        <f>-5975-1</f>
        <v>-5976</v>
      </c>
      <c r="C12" s="90"/>
      <c r="D12" s="90">
        <f t="shared" si="0"/>
        <v>5976</v>
      </c>
      <c r="E12" s="287"/>
      <c r="F12" s="285"/>
    </row>
    <row r="13" spans="1:13" x14ac:dyDescent="0.2">
      <c r="A13" s="87">
        <v>500097</v>
      </c>
      <c r="B13" s="361"/>
      <c r="C13" s="90"/>
      <c r="D13" s="90">
        <f t="shared" si="0"/>
        <v>0</v>
      </c>
      <c r="E13" s="287"/>
      <c r="F13" s="285"/>
    </row>
    <row r="14" spans="1:13" x14ac:dyDescent="0.2">
      <c r="A14" s="87"/>
      <c r="B14" s="90"/>
      <c r="C14" s="90"/>
      <c r="D14" s="90"/>
      <c r="E14" s="287"/>
      <c r="F14" s="285"/>
    </row>
    <row r="15" spans="1:13" x14ac:dyDescent="0.2">
      <c r="A15" s="87"/>
      <c r="B15" s="90"/>
      <c r="C15" s="90"/>
      <c r="D15" s="90"/>
      <c r="E15" s="287"/>
      <c r="F15" s="285"/>
    </row>
    <row r="16" spans="1:13" x14ac:dyDescent="0.2">
      <c r="A16" s="87"/>
      <c r="B16" s="88"/>
      <c r="C16" s="88"/>
      <c r="D16" s="94"/>
      <c r="E16" s="287"/>
      <c r="F16" s="285"/>
    </row>
    <row r="17" spans="1:7" x14ac:dyDescent="0.2">
      <c r="A17" s="87"/>
      <c r="B17" s="88"/>
      <c r="C17" s="88"/>
      <c r="D17" s="88">
        <f>SUM(D5:D16)</f>
        <v>47102</v>
      </c>
      <c r="E17" s="287"/>
      <c r="F17" s="285"/>
    </row>
    <row r="18" spans="1:7" x14ac:dyDescent="0.2">
      <c r="A18" s="87" t="s">
        <v>86</v>
      </c>
      <c r="B18" s="88"/>
      <c r="C18" s="88"/>
      <c r="D18" s="95">
        <f>+summary!P11</f>
        <v>3.26</v>
      </c>
      <c r="E18" s="289"/>
      <c r="F18" s="285"/>
    </row>
    <row r="19" spans="1:7" x14ac:dyDescent="0.2">
      <c r="A19" s="87"/>
      <c r="B19" s="88"/>
      <c r="C19" s="88"/>
      <c r="D19" s="96">
        <f>+D18*D17</f>
        <v>153552.51999999999</v>
      </c>
      <c r="E19" s="209"/>
      <c r="F19" s="286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37042</v>
      </c>
      <c r="B21" s="88"/>
      <c r="C21" s="88"/>
      <c r="D21" s="418">
        <v>597578.71</v>
      </c>
      <c r="E21" s="209"/>
      <c r="F21" s="66"/>
    </row>
    <row r="22" spans="1:7" x14ac:dyDescent="0.2">
      <c r="A22" s="87"/>
      <c r="B22" s="88"/>
      <c r="C22" s="88"/>
      <c r="D22" s="336"/>
      <c r="E22" s="209"/>
      <c r="F22" s="66"/>
    </row>
    <row r="23" spans="1:7" ht="13.5" thickBot="1" x14ac:dyDescent="0.25">
      <c r="A23" s="99">
        <v>37061</v>
      </c>
      <c r="B23" s="88"/>
      <c r="C23" s="88"/>
      <c r="D23" s="359">
        <f>+D21+D19</f>
        <v>751131.23</v>
      </c>
      <c r="E23" s="209"/>
      <c r="F23" s="66"/>
    </row>
    <row r="24" spans="1:7" ht="13.5" thickTop="1" x14ac:dyDescent="0.2">
      <c r="E24" s="290"/>
    </row>
    <row r="25" spans="1:7" x14ac:dyDescent="0.2">
      <c r="E25" s="29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15"/>
      <c r="E36" s="69"/>
      <c r="F36" s="70"/>
      <c r="G36" s="32"/>
    </row>
    <row r="37" spans="1:7" x14ac:dyDescent="0.2">
      <c r="B37" s="69"/>
      <c r="C37" s="69"/>
      <c r="D37" s="315"/>
      <c r="E37" s="69"/>
      <c r="F37" s="70"/>
      <c r="G37" s="32"/>
    </row>
    <row r="38" spans="1:7" x14ac:dyDescent="0.2">
      <c r="B38" s="69"/>
      <c r="C38" s="69"/>
      <c r="D38" s="315"/>
      <c r="E38" s="69"/>
      <c r="F38" s="70"/>
      <c r="G38" s="32"/>
    </row>
    <row r="39" spans="1:7" x14ac:dyDescent="0.2">
      <c r="B39" s="69"/>
      <c r="C39" s="69"/>
      <c r="D39" s="315"/>
      <c r="E39" s="69"/>
      <c r="F39" s="70"/>
      <c r="G39" s="32"/>
    </row>
    <row r="40" spans="1:7" x14ac:dyDescent="0.2">
      <c r="B40" s="69"/>
      <c r="C40" s="69"/>
      <c r="D40" s="315"/>
      <c r="E40" s="69"/>
      <c r="F40" s="70"/>
      <c r="G40" s="32"/>
    </row>
    <row r="41" spans="1:7" x14ac:dyDescent="0.2">
      <c r="B41" s="69"/>
      <c r="C41" s="69"/>
      <c r="D41" s="315"/>
      <c r="E41" s="69"/>
      <c r="F41" s="70"/>
      <c r="G41" s="32"/>
    </row>
    <row r="42" spans="1:7" x14ac:dyDescent="0.2">
      <c r="B42" s="69"/>
      <c r="C42" s="69"/>
      <c r="D42" s="315"/>
      <c r="E42" s="69"/>
      <c r="F42" s="70"/>
      <c r="G42" s="32"/>
    </row>
    <row r="43" spans="1:7" x14ac:dyDescent="0.2">
      <c r="B43" s="69"/>
      <c r="C43" s="69"/>
      <c r="D43" s="315"/>
      <c r="E43" s="69"/>
      <c r="F43" s="70"/>
      <c r="G43" s="32"/>
    </row>
    <row r="44" spans="1:7" x14ac:dyDescent="0.2">
      <c r="B44" s="69"/>
      <c r="C44" s="69"/>
      <c r="D44" s="316"/>
      <c r="E44" s="287"/>
      <c r="F44" s="285"/>
      <c r="G44" s="206"/>
    </row>
    <row r="45" spans="1:7" x14ac:dyDescent="0.2">
      <c r="B45" s="69"/>
      <c r="C45" s="69"/>
      <c r="D45" s="316"/>
      <c r="E45" s="287"/>
      <c r="F45" s="285"/>
      <c r="G45" s="206"/>
    </row>
    <row r="46" spans="1:7" x14ac:dyDescent="0.2">
      <c r="A46" s="32"/>
      <c r="B46" s="69"/>
      <c r="C46" s="69"/>
      <c r="D46" s="287"/>
      <c r="E46" s="287"/>
      <c r="F46" s="285"/>
      <c r="G46" s="206"/>
    </row>
    <row r="47" spans="1:7" x14ac:dyDescent="0.2">
      <c r="A47" s="32"/>
      <c r="B47" s="69"/>
      <c r="C47" s="69"/>
      <c r="D47" s="289"/>
      <c r="E47" s="289"/>
      <c r="F47" s="285"/>
      <c r="G47" s="206"/>
    </row>
    <row r="48" spans="1:7" x14ac:dyDescent="0.2">
      <c r="B48" s="69"/>
      <c r="C48" s="69"/>
      <c r="D48" s="287"/>
      <c r="E48" s="287"/>
      <c r="F48" s="286"/>
      <c r="G48" s="206"/>
    </row>
    <row r="49" spans="1:7" x14ac:dyDescent="0.2">
      <c r="B49" s="69"/>
      <c r="C49" s="69"/>
      <c r="D49" s="287"/>
      <c r="E49" s="287"/>
      <c r="F49" s="286"/>
      <c r="G49" s="206"/>
    </row>
    <row r="50" spans="1:7" x14ac:dyDescent="0.2">
      <c r="C50" s="312"/>
      <c r="D50" s="312"/>
      <c r="E50" s="312"/>
      <c r="F50" s="313"/>
      <c r="G50" s="314"/>
    </row>
    <row r="51" spans="1:7" x14ac:dyDescent="0.2">
      <c r="A51" s="32"/>
      <c r="C51" s="312"/>
      <c r="D51" s="312"/>
      <c r="E51" s="312"/>
      <c r="F51" s="313"/>
    </row>
    <row r="52" spans="1:7" x14ac:dyDescent="0.2">
      <c r="A52" s="32"/>
      <c r="C52" s="312"/>
      <c r="D52" s="312"/>
      <c r="E52" s="312"/>
      <c r="F52" s="313"/>
    </row>
    <row r="53" spans="1:7" x14ac:dyDescent="0.2">
      <c r="A53" s="32"/>
      <c r="C53" s="312"/>
      <c r="D53" s="312"/>
      <c r="E53" s="312"/>
      <c r="F53" s="313"/>
    </row>
    <row r="54" spans="1:7" x14ac:dyDescent="0.2">
      <c r="A54" s="32"/>
      <c r="C54" s="312"/>
      <c r="D54" s="312"/>
      <c r="E54" s="312"/>
      <c r="F54" s="313"/>
    </row>
    <row r="55" spans="1:7" x14ac:dyDescent="0.2">
      <c r="A55" s="32"/>
      <c r="C55" s="312"/>
      <c r="D55" s="312"/>
      <c r="E55" s="290"/>
      <c r="F55" s="290"/>
    </row>
    <row r="56" spans="1:7" x14ac:dyDescent="0.2">
      <c r="C56" s="312"/>
      <c r="D56" s="312"/>
      <c r="E56" s="290"/>
      <c r="F56" s="290"/>
    </row>
    <row r="57" spans="1:7" x14ac:dyDescent="0.2">
      <c r="C57" s="312"/>
      <c r="D57" s="312"/>
      <c r="E57" s="290"/>
      <c r="F57" s="290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workbookViewId="3">
      <selection activeCell="A14" sqref="A14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2" t="s">
        <v>21</v>
      </c>
      <c r="C2" s="262" t="s">
        <v>22</v>
      </c>
      <c r="D2" s="262" t="s">
        <v>21</v>
      </c>
      <c r="E2" s="262" t="s">
        <v>22</v>
      </c>
      <c r="F2" s="263" t="s">
        <v>52</v>
      </c>
    </row>
    <row r="3" spans="1:6" x14ac:dyDescent="0.2">
      <c r="A3">
        <v>1</v>
      </c>
      <c r="B3" s="90">
        <v>63620</v>
      </c>
      <c r="C3" s="90">
        <v>62288</v>
      </c>
      <c r="D3" s="90"/>
      <c r="E3" s="90"/>
      <c r="F3" s="90">
        <f>+E3-D3+C3-B3</f>
        <v>-1332</v>
      </c>
    </row>
    <row r="4" spans="1:6" x14ac:dyDescent="0.2">
      <c r="A4">
        <v>2</v>
      </c>
      <c r="B4" s="90">
        <v>56372</v>
      </c>
      <c r="C4" s="90">
        <v>62291</v>
      </c>
      <c r="D4" s="90">
        <v>-749</v>
      </c>
      <c r="E4" s="90"/>
      <c r="F4" s="90">
        <f>+E4-D4+C4-B4</f>
        <v>6668</v>
      </c>
    </row>
    <row r="5" spans="1:6" x14ac:dyDescent="0.2">
      <c r="A5">
        <v>3</v>
      </c>
      <c r="B5" s="90">
        <v>56757</v>
      </c>
      <c r="C5" s="90">
        <v>62291</v>
      </c>
      <c r="D5" s="90"/>
      <c r="E5" s="90"/>
      <c r="F5" s="90">
        <f>+E5-D5+C5-B5</f>
        <v>5534</v>
      </c>
    </row>
    <row r="6" spans="1:6" x14ac:dyDescent="0.2">
      <c r="A6">
        <v>4</v>
      </c>
      <c r="B6" s="90">
        <v>62916</v>
      </c>
      <c r="C6" s="90">
        <v>62291</v>
      </c>
      <c r="D6" s="90"/>
      <c r="E6" s="90"/>
      <c r="F6" s="90">
        <f t="shared" ref="F6:F33" si="0">+E6-D6+C6-B6</f>
        <v>-625</v>
      </c>
    </row>
    <row r="7" spans="1:6" x14ac:dyDescent="0.2">
      <c r="A7">
        <v>5</v>
      </c>
      <c r="B7" s="90">
        <v>66527</v>
      </c>
      <c r="C7" s="90">
        <v>69603</v>
      </c>
      <c r="D7" s="90"/>
      <c r="E7" s="90"/>
      <c r="F7" s="90">
        <f t="shared" si="0"/>
        <v>3076</v>
      </c>
    </row>
    <row r="8" spans="1:6" x14ac:dyDescent="0.2">
      <c r="A8">
        <v>6</v>
      </c>
      <c r="B8" s="90">
        <v>60881</v>
      </c>
      <c r="C8" s="90">
        <v>59228</v>
      </c>
      <c r="D8" s="90"/>
      <c r="E8" s="90"/>
      <c r="F8" s="90">
        <f t="shared" si="0"/>
        <v>-1653</v>
      </c>
    </row>
    <row r="9" spans="1:6" x14ac:dyDescent="0.2">
      <c r="A9">
        <v>7</v>
      </c>
      <c r="B9" s="90">
        <v>60973</v>
      </c>
      <c r="C9" s="90">
        <v>59228</v>
      </c>
      <c r="D9" s="90">
        <v>-12</v>
      </c>
      <c r="E9" s="90"/>
      <c r="F9" s="90">
        <f t="shared" si="0"/>
        <v>-1733</v>
      </c>
    </row>
    <row r="10" spans="1:6" x14ac:dyDescent="0.2">
      <c r="A10">
        <v>8</v>
      </c>
      <c r="B10" s="90">
        <v>61228</v>
      </c>
      <c r="C10" s="90">
        <v>59228</v>
      </c>
      <c r="D10" s="90"/>
      <c r="E10" s="90"/>
      <c r="F10" s="90">
        <f t="shared" si="0"/>
        <v>-2000</v>
      </c>
    </row>
    <row r="11" spans="1:6" x14ac:dyDescent="0.2">
      <c r="A11">
        <v>9</v>
      </c>
      <c r="B11" s="90">
        <v>51852</v>
      </c>
      <c r="C11" s="90">
        <v>53798</v>
      </c>
      <c r="D11" s="90">
        <v>-6833</v>
      </c>
      <c r="E11" s="90">
        <v>-29491</v>
      </c>
      <c r="F11" s="90">
        <f t="shared" si="0"/>
        <v>-20712</v>
      </c>
    </row>
    <row r="12" spans="1:6" x14ac:dyDescent="0.2">
      <c r="A12">
        <v>10</v>
      </c>
      <c r="B12" s="90">
        <v>55568</v>
      </c>
      <c r="C12" s="90">
        <v>53798</v>
      </c>
      <c r="D12" s="90">
        <v>-22643</v>
      </c>
      <c r="E12" s="90">
        <v>-29491</v>
      </c>
      <c r="F12" s="90">
        <f t="shared" si="0"/>
        <v>-8618</v>
      </c>
    </row>
    <row r="13" spans="1:6" x14ac:dyDescent="0.2">
      <c r="A13">
        <v>11</v>
      </c>
      <c r="B13" s="90">
        <v>56114</v>
      </c>
      <c r="C13" s="90">
        <v>54900</v>
      </c>
      <c r="D13" s="90">
        <v>-25075</v>
      </c>
      <c r="E13" s="90">
        <v>-29491</v>
      </c>
      <c r="F13" s="90">
        <f t="shared" si="0"/>
        <v>-5630</v>
      </c>
    </row>
    <row r="14" spans="1:6" x14ac:dyDescent="0.2">
      <c r="A14">
        <v>12</v>
      </c>
      <c r="B14" s="88">
        <v>53935</v>
      </c>
      <c r="C14" s="88">
        <v>52158</v>
      </c>
      <c r="D14" s="88">
        <v>-9539</v>
      </c>
      <c r="E14" s="88"/>
      <c r="F14" s="90">
        <f t="shared" si="0"/>
        <v>7762</v>
      </c>
    </row>
    <row r="15" spans="1:6" x14ac:dyDescent="0.2">
      <c r="A15">
        <v>13</v>
      </c>
      <c r="B15" s="88">
        <v>51646</v>
      </c>
      <c r="C15" s="88">
        <v>52228</v>
      </c>
      <c r="D15" s="88"/>
      <c r="E15" s="88"/>
      <c r="F15" s="90">
        <f t="shared" si="0"/>
        <v>582</v>
      </c>
    </row>
    <row r="16" spans="1:6" x14ac:dyDescent="0.2">
      <c r="A16">
        <v>14</v>
      </c>
      <c r="B16" s="88">
        <v>53995</v>
      </c>
      <c r="C16" s="88">
        <v>52228</v>
      </c>
      <c r="D16" s="88"/>
      <c r="E16" s="88"/>
      <c r="F16" s="90">
        <f t="shared" si="0"/>
        <v>-1767</v>
      </c>
    </row>
    <row r="17" spans="1:6" x14ac:dyDescent="0.2">
      <c r="A17">
        <v>15</v>
      </c>
      <c r="B17" s="88">
        <v>38248</v>
      </c>
      <c r="C17" s="88">
        <v>45095</v>
      </c>
      <c r="D17" s="14">
        <v>-14</v>
      </c>
      <c r="E17" s="14"/>
      <c r="F17" s="90">
        <f t="shared" si="0"/>
        <v>6861</v>
      </c>
    </row>
    <row r="18" spans="1:6" x14ac:dyDescent="0.2">
      <c r="A18">
        <v>16</v>
      </c>
      <c r="B18" s="88">
        <v>46431</v>
      </c>
      <c r="C18" s="88">
        <v>46669</v>
      </c>
      <c r="D18" s="14">
        <v>-3</v>
      </c>
      <c r="E18" s="14"/>
      <c r="F18" s="90">
        <f t="shared" si="0"/>
        <v>241</v>
      </c>
    </row>
    <row r="19" spans="1:6" x14ac:dyDescent="0.2">
      <c r="A19">
        <v>17</v>
      </c>
      <c r="B19" s="88">
        <v>47069</v>
      </c>
      <c r="C19" s="14">
        <v>45335</v>
      </c>
      <c r="D19" s="14"/>
      <c r="E19" s="14"/>
      <c r="F19" s="90">
        <f t="shared" si="0"/>
        <v>-1734</v>
      </c>
    </row>
    <row r="20" spans="1:6" x14ac:dyDescent="0.2">
      <c r="A20">
        <v>18</v>
      </c>
      <c r="B20" s="378">
        <v>48894</v>
      </c>
      <c r="C20" s="378">
        <v>47151</v>
      </c>
      <c r="D20" s="14"/>
      <c r="E20" s="14"/>
      <c r="F20" s="90">
        <f t="shared" si="0"/>
        <v>-1743</v>
      </c>
    </row>
    <row r="21" spans="1:6" x14ac:dyDescent="0.2">
      <c r="A21">
        <v>19</v>
      </c>
      <c r="B21" s="378">
        <v>30288</v>
      </c>
      <c r="C21" s="378">
        <v>46579</v>
      </c>
      <c r="D21" s="14"/>
      <c r="E21" s="14"/>
      <c r="F21" s="90">
        <f t="shared" si="0"/>
        <v>16291</v>
      </c>
    </row>
    <row r="22" spans="1:6" x14ac:dyDescent="0.2">
      <c r="A22">
        <v>20</v>
      </c>
      <c r="B22" s="378"/>
      <c r="C22" s="378"/>
      <c r="D22" s="14"/>
      <c r="E22" s="14"/>
      <c r="F22" s="90">
        <f t="shared" si="0"/>
        <v>0</v>
      </c>
    </row>
    <row r="23" spans="1:6" x14ac:dyDescent="0.2">
      <c r="A23">
        <v>21</v>
      </c>
      <c r="B23" s="378"/>
      <c r="C23" s="378"/>
      <c r="D23" s="14"/>
      <c r="E23" s="14"/>
      <c r="F23" s="90">
        <f t="shared" si="0"/>
        <v>0</v>
      </c>
    </row>
    <row r="24" spans="1:6" x14ac:dyDescent="0.2">
      <c r="A24">
        <v>22</v>
      </c>
      <c r="B24" s="378"/>
      <c r="C24" s="378"/>
      <c r="D24" s="14"/>
      <c r="E24" s="14"/>
      <c r="F24" s="90">
        <f t="shared" si="0"/>
        <v>0</v>
      </c>
    </row>
    <row r="25" spans="1:6" x14ac:dyDescent="0.2">
      <c r="A25">
        <v>23</v>
      </c>
      <c r="B25" s="378"/>
      <c r="C25" s="378"/>
      <c r="D25" s="14"/>
      <c r="E25" s="14"/>
      <c r="F25" s="90">
        <f t="shared" si="0"/>
        <v>0</v>
      </c>
    </row>
    <row r="26" spans="1:6" x14ac:dyDescent="0.2">
      <c r="A26">
        <v>24</v>
      </c>
      <c r="B26" s="378"/>
      <c r="C26" s="378"/>
      <c r="D26" s="14"/>
      <c r="E26" s="14"/>
      <c r="F26" s="90">
        <f t="shared" si="0"/>
        <v>0</v>
      </c>
    </row>
    <row r="27" spans="1:6" x14ac:dyDescent="0.2">
      <c r="A27">
        <v>25</v>
      </c>
      <c r="B27" s="378"/>
      <c r="C27" s="378"/>
      <c r="D27" s="14"/>
      <c r="E27" s="14"/>
      <c r="F27" s="90">
        <f t="shared" si="0"/>
        <v>0</v>
      </c>
    </row>
    <row r="28" spans="1:6" x14ac:dyDescent="0.2">
      <c r="A28">
        <v>26</v>
      </c>
      <c r="B28" s="378"/>
      <c r="C28" s="378"/>
      <c r="D28" s="14"/>
      <c r="E28" s="14"/>
      <c r="F28" s="90">
        <f t="shared" si="0"/>
        <v>0</v>
      </c>
    </row>
    <row r="29" spans="1:6" x14ac:dyDescent="0.2">
      <c r="A29">
        <v>27</v>
      </c>
      <c r="B29" s="378"/>
      <c r="C29" s="378"/>
      <c r="D29" s="14"/>
      <c r="E29" s="14"/>
      <c r="F29" s="90">
        <f t="shared" si="0"/>
        <v>0</v>
      </c>
    </row>
    <row r="30" spans="1:6" x14ac:dyDescent="0.2">
      <c r="A30">
        <v>28</v>
      </c>
      <c r="B30" s="378"/>
      <c r="C30" s="378"/>
      <c r="D30" s="14"/>
      <c r="E30" s="14"/>
      <c r="F30" s="90">
        <f t="shared" si="0"/>
        <v>0</v>
      </c>
    </row>
    <row r="31" spans="1:6" x14ac:dyDescent="0.2">
      <c r="A31">
        <v>29</v>
      </c>
      <c r="B31" s="378"/>
      <c r="C31" s="378"/>
      <c r="D31" s="14"/>
      <c r="E31" s="14"/>
      <c r="F31" s="90">
        <f t="shared" si="0"/>
        <v>0</v>
      </c>
    </row>
    <row r="32" spans="1:6" x14ac:dyDescent="0.2">
      <c r="A32">
        <v>30</v>
      </c>
      <c r="B32" s="378"/>
      <c r="C32" s="378"/>
      <c r="D32" s="14"/>
      <c r="E32" s="14"/>
      <c r="F32" s="90">
        <f t="shared" si="0"/>
        <v>0</v>
      </c>
    </row>
    <row r="33" spans="1:6" x14ac:dyDescent="0.2">
      <c r="A33">
        <v>31</v>
      </c>
      <c r="B33" s="378"/>
      <c r="C33" s="378"/>
      <c r="D33" s="14"/>
      <c r="E33" s="14"/>
      <c r="F33" s="90">
        <f t="shared" si="0"/>
        <v>0</v>
      </c>
    </row>
    <row r="34" spans="1:6" x14ac:dyDescent="0.2">
      <c r="B34" s="299">
        <f>SUM(B3:B33)</f>
        <v>1023314</v>
      </c>
      <c r="C34" s="299">
        <f>SUM(C3:C33)</f>
        <v>1046387</v>
      </c>
      <c r="D34" s="14">
        <f>SUM(D3:D33)</f>
        <v>-64868</v>
      </c>
      <c r="E34" s="14">
        <f>SUM(E3:E33)</f>
        <v>-88473</v>
      </c>
      <c r="F34" s="14">
        <f>SUM(F3:F33)</f>
        <v>-532</v>
      </c>
    </row>
    <row r="35" spans="1:6" x14ac:dyDescent="0.2">
      <c r="D35" s="14"/>
      <c r="E35" s="14"/>
      <c r="F35" s="14"/>
    </row>
    <row r="36" spans="1:6" x14ac:dyDescent="0.2">
      <c r="F36" s="383"/>
    </row>
    <row r="37" spans="1:6" x14ac:dyDescent="0.2">
      <c r="A37" s="264">
        <v>37042</v>
      </c>
      <c r="B37" s="14"/>
      <c r="C37" s="14"/>
      <c r="D37" s="14"/>
      <c r="E37" s="14"/>
      <c r="F37" s="407">
        <f>37616+54911</f>
        <v>92527</v>
      </c>
    </row>
    <row r="38" spans="1:6" x14ac:dyDescent="0.2">
      <c r="A38" s="264">
        <v>37061</v>
      </c>
      <c r="B38" s="14"/>
      <c r="C38" s="14"/>
      <c r="D38" s="14"/>
      <c r="E38" s="14"/>
      <c r="F38" s="150">
        <f>+F37+F34</f>
        <v>91995</v>
      </c>
    </row>
    <row r="39" spans="1:6" x14ac:dyDescent="0.2">
      <c r="F39" s="314"/>
    </row>
    <row r="40" spans="1:6" x14ac:dyDescent="0.2">
      <c r="F40" s="314"/>
    </row>
    <row r="41" spans="1:6" x14ac:dyDescent="0.2">
      <c r="F41" s="314"/>
    </row>
    <row r="42" spans="1:6" x14ac:dyDescent="0.2">
      <c r="F42" s="314"/>
    </row>
    <row r="43" spans="1:6" x14ac:dyDescent="0.2">
      <c r="F43" s="314"/>
    </row>
    <row r="44" spans="1:6" x14ac:dyDescent="0.2">
      <c r="F44" s="314"/>
    </row>
    <row r="45" spans="1:6" x14ac:dyDescent="0.2">
      <c r="F45" s="314"/>
    </row>
    <row r="46" spans="1:6" x14ac:dyDescent="0.2">
      <c r="F46" s="314"/>
    </row>
    <row r="47" spans="1:6" x14ac:dyDescent="0.2">
      <c r="F47" s="314"/>
    </row>
    <row r="48" spans="1:6" x14ac:dyDescent="0.2">
      <c r="F48" s="31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6" workbookViewId="3">
      <selection activeCell="B42" sqref="B42"/>
    </sheetView>
  </sheetViews>
  <sheetFormatPr defaultRowHeight="12.75" x14ac:dyDescent="0.2"/>
  <cols>
    <col min="2" max="2" width="9.285156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25000</v>
      </c>
      <c r="C4" s="11">
        <v>25256</v>
      </c>
      <c r="D4" s="25">
        <f>+C4-B4</f>
        <v>256</v>
      </c>
    </row>
    <row r="5" spans="1:4" x14ac:dyDescent="0.2">
      <c r="A5" s="10">
        <v>2</v>
      </c>
      <c r="B5" s="11">
        <v>25000</v>
      </c>
      <c r="C5" s="11">
        <v>25151</v>
      </c>
      <c r="D5" s="25">
        <f t="shared" ref="D5:D34" si="0">+C5-B5</f>
        <v>151</v>
      </c>
    </row>
    <row r="6" spans="1:4" x14ac:dyDescent="0.2">
      <c r="A6" s="10">
        <v>3</v>
      </c>
      <c r="B6" s="11">
        <v>25000</v>
      </c>
      <c r="C6" s="11">
        <v>25329</v>
      </c>
      <c r="D6" s="25">
        <f t="shared" si="0"/>
        <v>329</v>
      </c>
    </row>
    <row r="7" spans="1:4" x14ac:dyDescent="0.2">
      <c r="A7" s="10">
        <v>4</v>
      </c>
      <c r="B7" s="11">
        <v>25000</v>
      </c>
      <c r="C7" s="11">
        <v>25312</v>
      </c>
      <c r="D7" s="25">
        <f t="shared" si="0"/>
        <v>312</v>
      </c>
    </row>
    <row r="8" spans="1:4" x14ac:dyDescent="0.2">
      <c r="A8" s="10">
        <v>5</v>
      </c>
      <c r="B8" s="11">
        <v>25000</v>
      </c>
      <c r="C8" s="11">
        <v>25251</v>
      </c>
      <c r="D8" s="25">
        <f t="shared" si="0"/>
        <v>251</v>
      </c>
    </row>
    <row r="9" spans="1:4" x14ac:dyDescent="0.2">
      <c r="A9" s="10">
        <v>6</v>
      </c>
      <c r="B9" s="11">
        <v>25000</v>
      </c>
      <c r="C9" s="11">
        <v>25810</v>
      </c>
      <c r="D9" s="25">
        <f t="shared" si="0"/>
        <v>810</v>
      </c>
    </row>
    <row r="10" spans="1:4" x14ac:dyDescent="0.2">
      <c r="A10" s="10">
        <v>7</v>
      </c>
      <c r="B10" s="11">
        <v>25000</v>
      </c>
      <c r="C10" s="11">
        <v>25494</v>
      </c>
      <c r="D10" s="25">
        <f t="shared" si="0"/>
        <v>494</v>
      </c>
    </row>
    <row r="11" spans="1:4" x14ac:dyDescent="0.2">
      <c r="A11" s="10">
        <v>8</v>
      </c>
      <c r="B11" s="11">
        <v>25000</v>
      </c>
      <c r="C11" s="11">
        <v>25010</v>
      </c>
      <c r="D11" s="25">
        <f t="shared" si="0"/>
        <v>10</v>
      </c>
    </row>
    <row r="12" spans="1:4" x14ac:dyDescent="0.2">
      <c r="A12" s="10">
        <v>9</v>
      </c>
      <c r="B12" s="11">
        <v>42000</v>
      </c>
      <c r="C12" s="11">
        <v>41806</v>
      </c>
      <c r="D12" s="25">
        <f t="shared" si="0"/>
        <v>-194</v>
      </c>
    </row>
    <row r="13" spans="1:4" x14ac:dyDescent="0.2">
      <c r="A13" s="10">
        <v>10</v>
      </c>
      <c r="B13" s="11">
        <v>42000</v>
      </c>
      <c r="C13" s="11">
        <v>42075</v>
      </c>
      <c r="D13" s="25">
        <f t="shared" si="0"/>
        <v>75</v>
      </c>
    </row>
    <row r="14" spans="1:4" x14ac:dyDescent="0.2">
      <c r="A14" s="10">
        <v>11</v>
      </c>
      <c r="B14" s="11">
        <v>42000</v>
      </c>
      <c r="C14" s="11">
        <v>40489</v>
      </c>
      <c r="D14" s="25">
        <f t="shared" si="0"/>
        <v>-1511</v>
      </c>
    </row>
    <row r="15" spans="1:4" x14ac:dyDescent="0.2">
      <c r="A15" s="10">
        <v>12</v>
      </c>
      <c r="B15" s="11">
        <v>30667</v>
      </c>
      <c r="C15" s="11">
        <v>30969</v>
      </c>
      <c r="D15" s="25">
        <f t="shared" si="0"/>
        <v>302</v>
      </c>
    </row>
    <row r="16" spans="1:4" x14ac:dyDescent="0.2">
      <c r="A16" s="10">
        <v>13</v>
      </c>
      <c r="B16" s="11">
        <v>40424</v>
      </c>
      <c r="C16" s="11">
        <v>40901</v>
      </c>
      <c r="D16" s="25">
        <f t="shared" si="0"/>
        <v>477</v>
      </c>
    </row>
    <row r="17" spans="1:4" x14ac:dyDescent="0.2">
      <c r="A17" s="10">
        <v>14</v>
      </c>
      <c r="B17" s="11">
        <v>40440</v>
      </c>
      <c r="C17" s="11">
        <v>41705</v>
      </c>
      <c r="D17" s="25">
        <f t="shared" si="0"/>
        <v>1265</v>
      </c>
    </row>
    <row r="18" spans="1:4" x14ac:dyDescent="0.2">
      <c r="A18" s="10">
        <v>15</v>
      </c>
      <c r="B18" s="11">
        <v>42000</v>
      </c>
      <c r="C18" s="11">
        <v>42661</v>
      </c>
      <c r="D18" s="25">
        <f t="shared" si="0"/>
        <v>661</v>
      </c>
    </row>
    <row r="19" spans="1:4" x14ac:dyDescent="0.2">
      <c r="A19" s="10">
        <v>16</v>
      </c>
      <c r="B19" s="11">
        <v>34464</v>
      </c>
      <c r="C19" s="11">
        <v>35004</v>
      </c>
      <c r="D19" s="25">
        <f t="shared" si="0"/>
        <v>540</v>
      </c>
    </row>
    <row r="20" spans="1:4" x14ac:dyDescent="0.2">
      <c r="A20" s="10">
        <v>17</v>
      </c>
      <c r="B20" s="11">
        <v>35005</v>
      </c>
      <c r="C20" s="11">
        <v>35869</v>
      </c>
      <c r="D20" s="25">
        <f t="shared" si="0"/>
        <v>864</v>
      </c>
    </row>
    <row r="21" spans="1:4" x14ac:dyDescent="0.2">
      <c r="A21" s="10">
        <v>18</v>
      </c>
      <c r="B21" s="11">
        <v>30667</v>
      </c>
      <c r="C21" s="11">
        <v>25984</v>
      </c>
      <c r="D21" s="25">
        <f t="shared" si="0"/>
        <v>-4683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579667</v>
      </c>
      <c r="C35" s="11">
        <f>SUM(C4:C34)</f>
        <v>580076</v>
      </c>
      <c r="D35" s="11">
        <f>SUM(D4:D34)</f>
        <v>409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37042</v>
      </c>
      <c r="D38" s="51">
        <v>3950</v>
      </c>
    </row>
    <row r="39" spans="1:4" x14ac:dyDescent="0.2">
      <c r="A39" s="2"/>
      <c r="D39" s="24"/>
    </row>
    <row r="40" spans="1:4" x14ac:dyDescent="0.2">
      <c r="A40" s="57">
        <v>37060</v>
      </c>
      <c r="D40" s="51">
        <f>+D38+D35</f>
        <v>4359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6" workbookViewId="3">
      <selection activeCell="A42" sqref="A4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114</v>
      </c>
      <c r="C2" s="4"/>
      <c r="D2" s="38" t="s">
        <v>115</v>
      </c>
      <c r="E2" s="4"/>
      <c r="F2" s="38" t="s">
        <v>116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24744</v>
      </c>
      <c r="C4" s="11">
        <v>27471</v>
      </c>
      <c r="D4" s="11">
        <v>9254</v>
      </c>
      <c r="E4" s="11">
        <v>11000</v>
      </c>
      <c r="F4" s="11">
        <v>470</v>
      </c>
      <c r="G4" s="11"/>
      <c r="H4" s="11">
        <v>128</v>
      </c>
      <c r="I4" s="11"/>
      <c r="J4" s="11">
        <f t="shared" ref="J4:J34" si="0">+C4+E4+G4+I4-H4-F4-D4-B4</f>
        <v>3875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24610</v>
      </c>
      <c r="C5" s="11">
        <v>23207</v>
      </c>
      <c r="D5" s="11">
        <v>9162</v>
      </c>
      <c r="E5" s="11">
        <v>8606</v>
      </c>
      <c r="F5" s="11"/>
      <c r="G5" s="11"/>
      <c r="H5" s="11"/>
      <c r="I5" s="11"/>
      <c r="J5" s="11">
        <f t="shared" si="0"/>
        <v>-1959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24285</v>
      </c>
      <c r="C6" s="11">
        <v>23568</v>
      </c>
      <c r="D6" s="11">
        <v>9138</v>
      </c>
      <c r="E6" s="11">
        <v>8606</v>
      </c>
      <c r="F6" s="11"/>
      <c r="G6" s="11"/>
      <c r="H6" s="11"/>
      <c r="I6" s="11"/>
      <c r="J6" s="11">
        <f t="shared" si="0"/>
        <v>-1249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24209</v>
      </c>
      <c r="C7" s="11">
        <v>24500</v>
      </c>
      <c r="D7" s="11">
        <v>8984</v>
      </c>
      <c r="E7" s="11">
        <v>8606</v>
      </c>
      <c r="F7" s="11"/>
      <c r="G7" s="11"/>
      <c r="H7" s="11">
        <v>538</v>
      </c>
      <c r="I7" s="11"/>
      <c r="J7" s="11">
        <f t="shared" si="0"/>
        <v>-625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24275</v>
      </c>
      <c r="C8" s="11">
        <v>24500</v>
      </c>
      <c r="D8" s="11">
        <v>9433</v>
      </c>
      <c r="E8" s="11">
        <v>8606</v>
      </c>
      <c r="F8" s="11"/>
      <c r="G8" s="11"/>
      <c r="H8" s="11"/>
      <c r="I8" s="11"/>
      <c r="J8" s="11">
        <f t="shared" si="0"/>
        <v>-602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24031</v>
      </c>
      <c r="C9" s="11">
        <v>24500</v>
      </c>
      <c r="D9" s="11">
        <v>8667</v>
      </c>
      <c r="E9" s="11">
        <v>8606</v>
      </c>
      <c r="F9" s="11"/>
      <c r="G9" s="11"/>
      <c r="H9" s="11"/>
      <c r="I9" s="11"/>
      <c r="J9" s="11">
        <f t="shared" si="0"/>
        <v>408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23613</v>
      </c>
      <c r="C10" s="11">
        <v>24500</v>
      </c>
      <c r="D10" s="11">
        <v>9307</v>
      </c>
      <c r="E10" s="11">
        <v>8606</v>
      </c>
      <c r="F10" s="11"/>
      <c r="G10" s="11"/>
      <c r="H10" s="11"/>
      <c r="I10" s="11"/>
      <c r="J10" s="11">
        <f t="shared" si="0"/>
        <v>186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23473</v>
      </c>
      <c r="C11" s="11">
        <v>22921</v>
      </c>
      <c r="D11" s="11">
        <v>9453</v>
      </c>
      <c r="E11" s="11">
        <v>8606</v>
      </c>
      <c r="F11" s="11">
        <v>16249</v>
      </c>
      <c r="G11" s="11">
        <v>17000</v>
      </c>
      <c r="H11" s="11"/>
      <c r="I11" s="11"/>
      <c r="J11" s="11">
        <f t="shared" si="0"/>
        <v>-648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23022</v>
      </c>
      <c r="C12" s="11">
        <v>23122</v>
      </c>
      <c r="D12" s="11">
        <v>9271</v>
      </c>
      <c r="E12" s="11">
        <v>8765</v>
      </c>
      <c r="F12" s="11">
        <v>18771</v>
      </c>
      <c r="G12" s="11">
        <v>17000</v>
      </c>
      <c r="H12" s="11"/>
      <c r="I12" s="11"/>
      <c r="J12" s="11">
        <f t="shared" si="0"/>
        <v>-2177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23610</v>
      </c>
      <c r="C13" s="11">
        <v>23122</v>
      </c>
      <c r="D13" s="11">
        <v>9488</v>
      </c>
      <c r="E13" s="11">
        <v>8765</v>
      </c>
      <c r="F13" s="11">
        <v>20405</v>
      </c>
      <c r="G13" s="11">
        <v>17000</v>
      </c>
      <c r="H13" s="11"/>
      <c r="I13" s="11"/>
      <c r="J13" s="11">
        <f t="shared" si="0"/>
        <v>-4616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23480</v>
      </c>
      <c r="C14" s="11">
        <v>24500</v>
      </c>
      <c r="D14" s="11">
        <v>9321</v>
      </c>
      <c r="E14" s="11">
        <v>8765</v>
      </c>
      <c r="F14" s="11">
        <v>20324</v>
      </c>
      <c r="G14" s="11">
        <v>17000</v>
      </c>
      <c r="H14" s="11"/>
      <c r="I14" s="11"/>
      <c r="J14" s="11">
        <f t="shared" si="0"/>
        <v>-2860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23333</v>
      </c>
      <c r="C15" s="11">
        <v>22983</v>
      </c>
      <c r="D15" s="11">
        <v>9228</v>
      </c>
      <c r="E15" s="11">
        <v>9000</v>
      </c>
      <c r="F15" s="11">
        <v>20040</v>
      </c>
      <c r="G15" s="11">
        <v>18000</v>
      </c>
      <c r="H15" s="11"/>
      <c r="I15" s="11"/>
      <c r="J15" s="11">
        <f t="shared" si="0"/>
        <v>-2618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23201</v>
      </c>
      <c r="C16" s="11">
        <v>17587</v>
      </c>
      <c r="D16" s="11">
        <v>8408</v>
      </c>
      <c r="E16" s="11">
        <v>9500</v>
      </c>
      <c r="F16" s="11">
        <v>10408</v>
      </c>
      <c r="G16" s="11">
        <v>20000</v>
      </c>
      <c r="H16" s="11"/>
      <c r="I16" s="11"/>
      <c r="J16" s="11">
        <f t="shared" si="0"/>
        <v>5070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22975</v>
      </c>
      <c r="C17" s="11">
        <v>21628</v>
      </c>
      <c r="D17" s="11">
        <v>9703</v>
      </c>
      <c r="E17" s="11">
        <v>9500</v>
      </c>
      <c r="F17" s="11">
        <v>8613</v>
      </c>
      <c r="G17" s="11">
        <v>20000</v>
      </c>
      <c r="H17" s="11">
        <v>0</v>
      </c>
      <c r="I17" s="11"/>
      <c r="J17" s="11">
        <f t="shared" si="0"/>
        <v>9837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22471</v>
      </c>
      <c r="C18" s="11">
        <v>19367</v>
      </c>
      <c r="D18" s="11">
        <v>9339</v>
      </c>
      <c r="E18" s="11">
        <v>9500</v>
      </c>
      <c r="F18" s="11">
        <v>8669</v>
      </c>
      <c r="G18" s="11">
        <v>20000</v>
      </c>
      <c r="H18" s="11">
        <v>648</v>
      </c>
      <c r="I18" s="11"/>
      <c r="J18" s="11">
        <f t="shared" si="0"/>
        <v>7740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22716</v>
      </c>
      <c r="C19" s="11">
        <v>16905</v>
      </c>
      <c r="D19" s="11">
        <v>9106</v>
      </c>
      <c r="E19" s="11">
        <v>9500</v>
      </c>
      <c r="F19" s="11">
        <v>9397</v>
      </c>
      <c r="G19" s="11">
        <v>9000</v>
      </c>
      <c r="H19" s="11"/>
      <c r="I19" s="11"/>
      <c r="J19" s="11">
        <f t="shared" si="0"/>
        <v>-5814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22617</v>
      </c>
      <c r="C20" s="11">
        <v>10973</v>
      </c>
      <c r="D20" s="11">
        <v>9795</v>
      </c>
      <c r="E20" s="11">
        <v>9500</v>
      </c>
      <c r="F20" s="11">
        <v>9770</v>
      </c>
      <c r="G20" s="11">
        <v>9000</v>
      </c>
      <c r="H20" s="11"/>
      <c r="I20" s="11"/>
      <c r="J20" s="11">
        <f t="shared" si="0"/>
        <v>-12709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22681</v>
      </c>
      <c r="C21" s="11">
        <v>23500</v>
      </c>
      <c r="D21" s="11">
        <v>9623</v>
      </c>
      <c r="E21" s="11">
        <v>9500</v>
      </c>
      <c r="F21" s="11">
        <v>9923</v>
      </c>
      <c r="G21" s="11">
        <v>9000</v>
      </c>
      <c r="H21" s="11"/>
      <c r="I21" s="11"/>
      <c r="J21" s="11">
        <f t="shared" si="0"/>
        <v>-227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423346</v>
      </c>
      <c r="C35" s="11">
        <f t="shared" ref="C35:I35" si="1">SUM(C4:C34)</f>
        <v>398854</v>
      </c>
      <c r="D35" s="11">
        <f t="shared" si="1"/>
        <v>166680</v>
      </c>
      <c r="E35" s="11">
        <f t="shared" si="1"/>
        <v>163537</v>
      </c>
      <c r="F35" s="11">
        <f t="shared" si="1"/>
        <v>153039</v>
      </c>
      <c r="G35" s="11">
        <f t="shared" si="1"/>
        <v>173000</v>
      </c>
      <c r="H35" s="11">
        <f t="shared" si="1"/>
        <v>1314</v>
      </c>
      <c r="I35" s="11">
        <f t="shared" si="1"/>
        <v>0</v>
      </c>
      <c r="J35" s="11">
        <f>SUM(J4:J34)</f>
        <v>-8988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+summary!P11</f>
        <v>3.26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-29300.879999999997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3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37042</v>
      </c>
      <c r="C39" s="25"/>
      <c r="E39" s="25"/>
      <c r="G39" s="25"/>
      <c r="I39" s="25"/>
      <c r="J39" s="415">
        <v>409454.99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63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37060</v>
      </c>
      <c r="J41" s="363">
        <f>+J39+J37</f>
        <v>380154.11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3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9" workbookViewId="2">
      <selection activeCell="F40" sqref="F40"/>
    </sheetView>
    <sheetView topLeftCell="A39" workbookViewId="3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0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79</v>
      </c>
      <c r="AD1" s="38" t="s">
        <v>80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126</v>
      </c>
      <c r="B4" s="236">
        <v>12353</v>
      </c>
      <c r="C4" s="24" t="s">
        <v>137</v>
      </c>
      <c r="D4" s="236">
        <v>500168</v>
      </c>
      <c r="E4" s="24" t="s">
        <v>81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121" t="s">
        <v>22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28261</v>
      </c>
      <c r="E6" s="24">
        <v>32518</v>
      </c>
      <c r="F6" s="24">
        <f>+E6-D6+C6-B6</f>
        <v>4257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15248</v>
      </c>
      <c r="E7" s="24">
        <v>16267</v>
      </c>
      <c r="F7" s="24">
        <f t="shared" ref="F7:F36" si="0">+E7-D7+C7-B7</f>
        <v>1019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15248</v>
      </c>
      <c r="E8" s="24">
        <v>16171</v>
      </c>
      <c r="F8" s="24">
        <f t="shared" si="0"/>
        <v>923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33781</v>
      </c>
      <c r="E9" s="24">
        <v>35902</v>
      </c>
      <c r="F9" s="24">
        <f t="shared" si="0"/>
        <v>2121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v>43200</v>
      </c>
      <c r="E10" s="24">
        <v>43017</v>
      </c>
      <c r="F10" s="24">
        <f t="shared" si="0"/>
        <v>-183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72748</v>
      </c>
      <c r="E11" s="24">
        <v>72064</v>
      </c>
      <c r="F11" s="24">
        <f t="shared" si="0"/>
        <v>-684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v>39748</v>
      </c>
      <c r="E12" s="24">
        <v>42722</v>
      </c>
      <c r="F12" s="24">
        <f t="shared" si="0"/>
        <v>2974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97083</v>
      </c>
      <c r="E13" s="24">
        <v>82378</v>
      </c>
      <c r="F13" s="24">
        <f t="shared" si="0"/>
        <v>-14705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90041</v>
      </c>
      <c r="E14" s="24">
        <v>103739</v>
      </c>
      <c r="F14" s="24">
        <f t="shared" si="0"/>
        <v>13698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75041</v>
      </c>
      <c r="E15" s="24">
        <v>75942</v>
      </c>
      <c r="F15" s="24">
        <f t="shared" si="0"/>
        <v>901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56886</v>
      </c>
      <c r="E16" s="24">
        <v>57625</v>
      </c>
      <c r="F16" s="24">
        <f t="shared" si="0"/>
        <v>739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29748</v>
      </c>
      <c r="E17" s="24">
        <v>31461</v>
      </c>
      <c r="F17" s="24">
        <f t="shared" si="0"/>
        <v>1713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88919</v>
      </c>
      <c r="E18" s="24">
        <v>90366</v>
      </c>
      <c r="F18" s="24">
        <f t="shared" si="0"/>
        <v>1447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79148</v>
      </c>
      <c r="E19" s="24">
        <v>78922</v>
      </c>
      <c r="F19" s="24">
        <f t="shared" si="0"/>
        <v>-226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81301</v>
      </c>
      <c r="E20" s="24">
        <v>80189</v>
      </c>
      <c r="F20" s="24">
        <f t="shared" si="0"/>
        <v>-1112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82227</v>
      </c>
      <c r="E21" s="24">
        <v>85181</v>
      </c>
      <c r="F21" s="24">
        <f t="shared" si="0"/>
        <v>2954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95132</v>
      </c>
      <c r="E22" s="24">
        <v>101901</v>
      </c>
      <c r="F22" s="24">
        <f t="shared" si="0"/>
        <v>6769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60108</v>
      </c>
      <c r="E23" s="24">
        <v>61461</v>
      </c>
      <c r="F23" s="24">
        <f t="shared" si="0"/>
        <v>1353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1083868</v>
      </c>
      <c r="E37" s="24">
        <f>SUM(E6:E36)</f>
        <v>1107826</v>
      </c>
      <c r="F37" s="24">
        <f>SUM(F6:F36)</f>
        <v>23958</v>
      </c>
      <c r="G37" s="367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82</v>
      </c>
      <c r="E38" s="14"/>
      <c r="F38" s="104">
        <f>+summary!P11</f>
        <v>3.26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78103.08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4">
        <v>37042</v>
      </c>
      <c r="E40" s="14"/>
      <c r="F40" s="410">
        <v>327664.28999999998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4">
        <v>37060</v>
      </c>
      <c r="E41" s="14"/>
      <c r="F41" s="104">
        <f>+F40+F39</f>
        <v>405767.37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5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6" workbookViewId="3">
      <selection activeCell="D47" sqref="D47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/>
      <c r="C8" s="11"/>
      <c r="D8" s="11">
        <v>2</v>
      </c>
      <c r="E8" s="11"/>
      <c r="F8" s="25">
        <f>+E8+C8-D8-B8</f>
        <v>-2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>
        <v>39</v>
      </c>
      <c r="E10" s="11">
        <v>40</v>
      </c>
      <c r="F10" s="25">
        <f t="shared" si="0"/>
        <v>1</v>
      </c>
    </row>
    <row r="11" spans="1:6" x14ac:dyDescent="0.2">
      <c r="A11" s="10">
        <v>4</v>
      </c>
      <c r="B11" s="11"/>
      <c r="C11" s="11"/>
      <c r="D11" s="11">
        <v>5</v>
      </c>
      <c r="E11" s="11"/>
      <c r="F11" s="25">
        <f t="shared" si="0"/>
        <v>-5</v>
      </c>
    </row>
    <row r="12" spans="1:6" x14ac:dyDescent="0.2">
      <c r="A12" s="10">
        <v>5</v>
      </c>
      <c r="B12" s="11"/>
      <c r="C12" s="11"/>
      <c r="D12" s="11">
        <v>9</v>
      </c>
      <c r="E12" s="11"/>
      <c r="F12" s="25">
        <f t="shared" si="0"/>
        <v>-9</v>
      </c>
    </row>
    <row r="13" spans="1:6" x14ac:dyDescent="0.2">
      <c r="A13" s="10">
        <v>6</v>
      </c>
      <c r="B13" s="11"/>
      <c r="C13" s="11"/>
      <c r="D13" s="11">
        <v>1</v>
      </c>
      <c r="E13" s="11"/>
      <c r="F13" s="25">
        <f t="shared" si="0"/>
        <v>-1</v>
      </c>
    </row>
    <row r="14" spans="1:6" x14ac:dyDescent="0.2">
      <c r="A14" s="10">
        <v>7</v>
      </c>
      <c r="B14" s="11"/>
      <c r="C14" s="11"/>
      <c r="D14" s="11">
        <v>8</v>
      </c>
      <c r="E14" s="11"/>
      <c r="F14" s="25">
        <f t="shared" si="0"/>
        <v>-8</v>
      </c>
    </row>
    <row r="15" spans="1:6" x14ac:dyDescent="0.2">
      <c r="A15" s="10">
        <v>8</v>
      </c>
      <c r="B15" s="11"/>
      <c r="C15" s="11"/>
      <c r="D15" s="11">
        <v>3</v>
      </c>
      <c r="E15" s="11"/>
      <c r="F15" s="25">
        <f t="shared" si="0"/>
        <v>-3</v>
      </c>
    </row>
    <row r="16" spans="1:6" x14ac:dyDescent="0.2">
      <c r="A16" s="10">
        <v>9</v>
      </c>
      <c r="B16" s="11"/>
      <c r="C16" s="11"/>
      <c r="D16" s="11">
        <v>8</v>
      </c>
      <c r="E16" s="11"/>
      <c r="F16" s="25">
        <f t="shared" si="0"/>
        <v>-8</v>
      </c>
    </row>
    <row r="17" spans="1:10" x14ac:dyDescent="0.2">
      <c r="A17" s="10">
        <v>10</v>
      </c>
      <c r="B17" s="11"/>
      <c r="C17" s="11"/>
      <c r="D17" s="11">
        <v>17</v>
      </c>
      <c r="E17" s="11"/>
      <c r="F17" s="25">
        <f t="shared" si="0"/>
        <v>-17</v>
      </c>
      <c r="J17" s="368"/>
    </row>
    <row r="18" spans="1:10" x14ac:dyDescent="0.2">
      <c r="A18" s="10">
        <v>11</v>
      </c>
      <c r="B18" s="11"/>
      <c r="C18" s="11"/>
      <c r="D18" s="11">
        <v>15</v>
      </c>
      <c r="E18" s="11"/>
      <c r="F18" s="25">
        <f t="shared" si="0"/>
        <v>-15</v>
      </c>
      <c r="J18" s="32"/>
    </row>
    <row r="19" spans="1:10" x14ac:dyDescent="0.2">
      <c r="A19" s="10">
        <v>12</v>
      </c>
      <c r="B19" s="11"/>
      <c r="C19" s="11"/>
      <c r="D19" s="11">
        <v>10</v>
      </c>
      <c r="E19" s="11"/>
      <c r="F19" s="25">
        <f t="shared" si="0"/>
        <v>-10</v>
      </c>
      <c r="J19" s="136"/>
    </row>
    <row r="20" spans="1:10" x14ac:dyDescent="0.2">
      <c r="A20" s="10">
        <v>13</v>
      </c>
      <c r="B20" s="11"/>
      <c r="C20" s="11"/>
      <c r="D20" s="11">
        <v>12</v>
      </c>
      <c r="E20" s="11"/>
      <c r="F20" s="25">
        <f t="shared" si="0"/>
        <v>-12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>
        <v>16</v>
      </c>
      <c r="E23" s="11"/>
      <c r="F23" s="25">
        <f t="shared" si="0"/>
        <v>-16</v>
      </c>
    </row>
    <row r="24" spans="1:10" x14ac:dyDescent="0.2">
      <c r="A24" s="10">
        <v>17</v>
      </c>
      <c r="B24" s="11"/>
      <c r="C24" s="11"/>
      <c r="D24" s="11">
        <v>15</v>
      </c>
      <c r="E24" s="11"/>
      <c r="F24" s="25">
        <f t="shared" si="0"/>
        <v>-15</v>
      </c>
    </row>
    <row r="25" spans="1:10" x14ac:dyDescent="0.2">
      <c r="A25" s="10">
        <v>18</v>
      </c>
      <c r="B25" s="11"/>
      <c r="C25" s="11"/>
      <c r="D25" s="11">
        <v>13</v>
      </c>
      <c r="E25" s="11"/>
      <c r="F25" s="25">
        <f t="shared" si="0"/>
        <v>-13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173</v>
      </c>
      <c r="E39" s="11">
        <f>SUM(E8:E38)</f>
        <v>40</v>
      </c>
      <c r="F39" s="25">
        <f>SUM(F8:F38)</f>
        <v>-133</v>
      </c>
    </row>
    <row r="40" spans="1:6" x14ac:dyDescent="0.2">
      <c r="A40" s="26"/>
      <c r="C40" s="14"/>
      <c r="F40" s="261">
        <f>+summary!P11</f>
        <v>3.26</v>
      </c>
    </row>
    <row r="41" spans="1:6" x14ac:dyDescent="0.2">
      <c r="F41" s="138">
        <f>+F40*F39</f>
        <v>-433.58</v>
      </c>
    </row>
    <row r="42" spans="1:6" x14ac:dyDescent="0.2">
      <c r="A42" s="57">
        <v>37042</v>
      </c>
      <c r="C42" s="15"/>
      <c r="F42" s="408">
        <v>-18571.37</v>
      </c>
    </row>
    <row r="43" spans="1:6" x14ac:dyDescent="0.2">
      <c r="A43" s="57">
        <v>37060</v>
      </c>
      <c r="C43" s="48"/>
      <c r="F43" s="138">
        <f>+F42+F41</f>
        <v>-19004.95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6" workbookViewId="3">
      <selection activeCell="F38" sqref="F38"/>
    </sheetView>
  </sheetViews>
  <sheetFormatPr defaultRowHeight="12.75" x14ac:dyDescent="0.2"/>
  <sheetData>
    <row r="5" spans="1:4" ht="15" x14ac:dyDescent="0.25">
      <c r="A5" s="134"/>
      <c r="B5" s="34" t="s">
        <v>121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261">
        <f>+summary!P11</f>
        <v>3.26</v>
      </c>
    </row>
    <row r="41" spans="1:4" x14ac:dyDescent="0.2">
      <c r="D41" s="138">
        <f>+D40*D39</f>
        <v>0</v>
      </c>
    </row>
    <row r="42" spans="1:4" x14ac:dyDescent="0.2">
      <c r="A42" s="57">
        <v>37042</v>
      </c>
      <c r="C42" s="15"/>
      <c r="D42" s="408">
        <v>326755</v>
      </c>
    </row>
    <row r="43" spans="1:4" x14ac:dyDescent="0.2">
      <c r="A43" s="57">
        <v>37059</v>
      </c>
      <c r="C43" s="48"/>
      <c r="D43" s="138">
        <f>+D42+D41</f>
        <v>326755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opLeftCell="A26" workbookViewId="2">
      <selection activeCell="D34" sqref="D34"/>
    </sheetView>
    <sheetView workbookViewId="3">
      <selection activeCell="B12" sqref="B1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144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-52917</v>
      </c>
      <c r="C6" s="11">
        <v>-37500</v>
      </c>
      <c r="D6" s="25">
        <f>+C6-B6</f>
        <v>15417</v>
      </c>
    </row>
    <row r="7" spans="1:4" x14ac:dyDescent="0.2">
      <c r="A7" s="10">
        <v>2</v>
      </c>
      <c r="B7" s="11">
        <v>-38872</v>
      </c>
      <c r="C7" s="11">
        <v>-40000</v>
      </c>
      <c r="D7" s="25">
        <f t="shared" ref="D7:D36" si="0">+C7-B7</f>
        <v>-1128</v>
      </c>
    </row>
    <row r="8" spans="1:4" x14ac:dyDescent="0.2">
      <c r="A8" s="10">
        <v>3</v>
      </c>
      <c r="B8" s="11">
        <v>-34322</v>
      </c>
      <c r="C8" s="11">
        <v>-40000</v>
      </c>
      <c r="D8" s="25">
        <f t="shared" si="0"/>
        <v>-5678</v>
      </c>
    </row>
    <row r="9" spans="1:4" x14ac:dyDescent="0.2">
      <c r="A9" s="10">
        <v>4</v>
      </c>
      <c r="B9" s="11">
        <v>-44422</v>
      </c>
      <c r="C9" s="11">
        <v>-29550</v>
      </c>
      <c r="D9" s="25">
        <f t="shared" si="0"/>
        <v>14872</v>
      </c>
    </row>
    <row r="10" spans="1:4" x14ac:dyDescent="0.2">
      <c r="A10" s="10">
        <v>5</v>
      </c>
      <c r="B10" s="11">
        <v>-41682</v>
      </c>
      <c r="C10" s="11">
        <v>-45983</v>
      </c>
      <c r="D10" s="25">
        <f t="shared" si="0"/>
        <v>-4301</v>
      </c>
    </row>
    <row r="11" spans="1:4" x14ac:dyDescent="0.2">
      <c r="A11" s="10">
        <v>6</v>
      </c>
      <c r="B11" s="11">
        <v>-60431</v>
      </c>
      <c r="C11" s="11">
        <v>-68633</v>
      </c>
      <c r="D11" s="25">
        <f t="shared" si="0"/>
        <v>-8202</v>
      </c>
    </row>
    <row r="12" spans="1:4" x14ac:dyDescent="0.2">
      <c r="A12" s="10">
        <v>7</v>
      </c>
      <c r="B12" s="11">
        <v>-62347</v>
      </c>
      <c r="C12" s="11">
        <v>-50000</v>
      </c>
      <c r="D12" s="25">
        <f t="shared" si="0"/>
        <v>12347</v>
      </c>
    </row>
    <row r="13" spans="1:4" x14ac:dyDescent="0.2">
      <c r="A13" s="10">
        <v>8</v>
      </c>
      <c r="B13" s="11">
        <v>-65929</v>
      </c>
      <c r="C13" s="11">
        <v>-79625</v>
      </c>
      <c r="D13" s="25">
        <f t="shared" si="0"/>
        <v>-13696</v>
      </c>
    </row>
    <row r="14" spans="1:4" x14ac:dyDescent="0.2">
      <c r="A14" s="10">
        <v>9</v>
      </c>
      <c r="B14" s="11">
        <v>-52330</v>
      </c>
      <c r="C14" s="11">
        <v>-64819</v>
      </c>
      <c r="D14" s="25">
        <f t="shared" si="0"/>
        <v>-12489</v>
      </c>
    </row>
    <row r="15" spans="1:4" x14ac:dyDescent="0.2">
      <c r="A15" s="10">
        <v>10</v>
      </c>
      <c r="B15" s="11">
        <v>-42397</v>
      </c>
      <c r="C15" s="11">
        <v>-50000</v>
      </c>
      <c r="D15" s="25">
        <f t="shared" si="0"/>
        <v>-7603</v>
      </c>
    </row>
    <row r="16" spans="1:4" x14ac:dyDescent="0.2">
      <c r="A16" s="10">
        <v>11</v>
      </c>
      <c r="B16" s="11">
        <v>-61555</v>
      </c>
      <c r="C16" s="11">
        <v>-49841</v>
      </c>
      <c r="D16" s="25">
        <f t="shared" si="0"/>
        <v>11714</v>
      </c>
    </row>
    <row r="17" spans="1:4" x14ac:dyDescent="0.2">
      <c r="A17" s="10">
        <v>12</v>
      </c>
      <c r="B17" s="11">
        <v>-55007</v>
      </c>
      <c r="C17" s="11">
        <v>-65300</v>
      </c>
      <c r="D17" s="25">
        <f t="shared" si="0"/>
        <v>-10293</v>
      </c>
    </row>
    <row r="18" spans="1:4" x14ac:dyDescent="0.2">
      <c r="A18" s="10">
        <v>13</v>
      </c>
      <c r="B18" s="11">
        <v>-63094</v>
      </c>
      <c r="C18" s="11">
        <v>-65300</v>
      </c>
      <c r="D18" s="25">
        <f t="shared" si="0"/>
        <v>-2206</v>
      </c>
    </row>
    <row r="19" spans="1:4" x14ac:dyDescent="0.2">
      <c r="A19" s="10">
        <v>14</v>
      </c>
      <c r="B19" s="11">
        <v>-61350</v>
      </c>
      <c r="C19" s="11">
        <v>-65241</v>
      </c>
      <c r="D19" s="25">
        <f t="shared" si="0"/>
        <v>-3891</v>
      </c>
    </row>
    <row r="20" spans="1:4" x14ac:dyDescent="0.2">
      <c r="A20" s="10">
        <v>15</v>
      </c>
      <c r="B20" s="11">
        <v>-43564</v>
      </c>
      <c r="C20" s="11">
        <v>-40000</v>
      </c>
      <c r="D20" s="25">
        <f t="shared" si="0"/>
        <v>3564</v>
      </c>
    </row>
    <row r="21" spans="1:4" x14ac:dyDescent="0.2">
      <c r="A21" s="10">
        <v>16</v>
      </c>
      <c r="B21" s="11">
        <v>-41479</v>
      </c>
      <c r="C21" s="11">
        <v>-40000</v>
      </c>
      <c r="D21" s="25">
        <f t="shared" si="0"/>
        <v>1479</v>
      </c>
    </row>
    <row r="22" spans="1:4" x14ac:dyDescent="0.2">
      <c r="A22" s="10">
        <v>17</v>
      </c>
      <c r="B22" s="11">
        <v>-41244</v>
      </c>
      <c r="C22" s="11">
        <v>-40001</v>
      </c>
      <c r="D22" s="25">
        <f t="shared" si="0"/>
        <v>1243</v>
      </c>
    </row>
    <row r="23" spans="1:4" x14ac:dyDescent="0.2">
      <c r="A23" s="10">
        <v>18</v>
      </c>
      <c r="B23" s="11">
        <v>-41244</v>
      </c>
      <c r="C23" s="11">
        <v>-50000</v>
      </c>
      <c r="D23" s="25">
        <f t="shared" si="0"/>
        <v>-8756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-904186</v>
      </c>
      <c r="C37" s="11">
        <f>SUM(C6:C36)</f>
        <v>-921793</v>
      </c>
      <c r="D37" s="25">
        <f>SUM(D6:D36)</f>
        <v>-17607</v>
      </c>
    </row>
    <row r="38" spans="1:4" x14ac:dyDescent="0.2">
      <c r="A38" s="26"/>
      <c r="C38" s="14"/>
      <c r="D38" s="376">
        <f>+summary!P11</f>
        <v>3.26</v>
      </c>
    </row>
    <row r="39" spans="1:4" x14ac:dyDescent="0.2">
      <c r="D39" s="138">
        <f>+D38*D37</f>
        <v>-57398.82</v>
      </c>
    </row>
    <row r="40" spans="1:4" x14ac:dyDescent="0.2">
      <c r="A40" s="57">
        <v>37042</v>
      </c>
      <c r="C40" s="15"/>
      <c r="D40" s="408">
        <v>-357096.85</v>
      </c>
    </row>
    <row r="41" spans="1:4" x14ac:dyDescent="0.2">
      <c r="A41" s="57">
        <v>37060</v>
      </c>
      <c r="C41" s="48"/>
      <c r="D41" s="138">
        <f>+D40+D39</f>
        <v>-414495.67</v>
      </c>
    </row>
  </sheetData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6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142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24912</v>
      </c>
      <c r="C6" s="11">
        <v>30000</v>
      </c>
      <c r="D6" s="25">
        <f>+C6-B6</f>
        <v>5088</v>
      </c>
    </row>
    <row r="7" spans="1:4" x14ac:dyDescent="0.2">
      <c r="A7" s="10">
        <v>2</v>
      </c>
      <c r="B7" s="11">
        <v>36015</v>
      </c>
      <c r="C7" s="11">
        <v>30000</v>
      </c>
      <c r="D7" s="25">
        <f t="shared" ref="D7:D36" si="0">+C7-B7</f>
        <v>-6015</v>
      </c>
    </row>
    <row r="8" spans="1:4" x14ac:dyDescent="0.2">
      <c r="A8" s="10">
        <v>3</v>
      </c>
      <c r="B8" s="11">
        <v>42137</v>
      </c>
      <c r="C8" s="11">
        <v>30000</v>
      </c>
      <c r="D8" s="25">
        <f t="shared" si="0"/>
        <v>-12137</v>
      </c>
    </row>
    <row r="9" spans="1:4" x14ac:dyDescent="0.2">
      <c r="A9" s="10">
        <v>4</v>
      </c>
      <c r="B9" s="11">
        <v>32489</v>
      </c>
      <c r="C9" s="11">
        <v>40000</v>
      </c>
      <c r="D9" s="25">
        <f t="shared" si="0"/>
        <v>7511</v>
      </c>
    </row>
    <row r="10" spans="1:4" x14ac:dyDescent="0.2">
      <c r="A10" s="10">
        <v>5</v>
      </c>
      <c r="B10" s="11">
        <v>39177</v>
      </c>
      <c r="C10" s="11">
        <v>38000</v>
      </c>
      <c r="D10" s="25">
        <f t="shared" si="0"/>
        <v>-1177</v>
      </c>
    </row>
    <row r="11" spans="1:4" x14ac:dyDescent="0.2">
      <c r="A11" s="10">
        <v>6</v>
      </c>
      <c r="B11" s="11">
        <v>39137</v>
      </c>
      <c r="C11" s="11">
        <v>38000</v>
      </c>
      <c r="D11" s="25">
        <f t="shared" si="0"/>
        <v>-1137</v>
      </c>
    </row>
    <row r="12" spans="1:4" x14ac:dyDescent="0.2">
      <c r="A12" s="10">
        <v>7</v>
      </c>
      <c r="B12" s="11">
        <v>29194</v>
      </c>
      <c r="C12" s="11">
        <v>38000</v>
      </c>
      <c r="D12" s="25">
        <f t="shared" si="0"/>
        <v>8806</v>
      </c>
    </row>
    <row r="13" spans="1:4" x14ac:dyDescent="0.2">
      <c r="A13" s="10">
        <v>8</v>
      </c>
      <c r="B13" s="11">
        <v>34268</v>
      </c>
      <c r="C13" s="11">
        <v>38000</v>
      </c>
      <c r="D13" s="25">
        <f t="shared" si="0"/>
        <v>3732</v>
      </c>
    </row>
    <row r="14" spans="1:4" x14ac:dyDescent="0.2">
      <c r="A14" s="10">
        <v>9</v>
      </c>
      <c r="B14" s="11">
        <v>33780</v>
      </c>
      <c r="C14" s="11">
        <v>37999</v>
      </c>
      <c r="D14" s="25">
        <f t="shared" si="0"/>
        <v>4219</v>
      </c>
    </row>
    <row r="15" spans="1:4" x14ac:dyDescent="0.2">
      <c r="A15" s="10">
        <v>10</v>
      </c>
      <c r="B15" s="11">
        <v>33193</v>
      </c>
      <c r="C15" s="11">
        <v>37999</v>
      </c>
      <c r="D15" s="25">
        <f t="shared" si="0"/>
        <v>4806</v>
      </c>
    </row>
    <row r="16" spans="1:4" x14ac:dyDescent="0.2">
      <c r="A16" s="10">
        <v>11</v>
      </c>
      <c r="B16" s="11">
        <v>2357</v>
      </c>
      <c r="C16" s="11">
        <v>23999</v>
      </c>
      <c r="D16" s="25">
        <f t="shared" si="0"/>
        <v>21642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346659</v>
      </c>
      <c r="C37" s="11">
        <f>SUM(C6:C36)</f>
        <v>381997</v>
      </c>
      <c r="D37" s="25">
        <f>SUM(D6:D36)</f>
        <v>35338</v>
      </c>
    </row>
    <row r="38" spans="1:4" x14ac:dyDescent="0.2">
      <c r="A38" s="26"/>
      <c r="C38" s="14"/>
      <c r="D38" s="376">
        <f>+summary!P12</f>
        <v>3.59</v>
      </c>
    </row>
    <row r="39" spans="1:4" x14ac:dyDescent="0.2">
      <c r="D39" s="138">
        <f>+D38*D37</f>
        <v>126863.42</v>
      </c>
    </row>
    <row r="40" spans="1:4" x14ac:dyDescent="0.2">
      <c r="A40" s="57">
        <v>37042</v>
      </c>
      <c r="C40" s="15"/>
      <c r="D40" s="408">
        <v>-112130.12</v>
      </c>
    </row>
    <row r="41" spans="1:4" x14ac:dyDescent="0.2">
      <c r="A41" s="57">
        <v>37060</v>
      </c>
      <c r="C41" s="48"/>
      <c r="D41" s="138">
        <f>+D40+D39</f>
        <v>14733.300000000003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abSelected="1" topLeftCell="A26" workbookViewId="1">
      <selection activeCell="J38" sqref="J38"/>
    </sheetView>
    <sheetView topLeftCell="A26" workbookViewId="2">
      <selection activeCell="J38" sqref="J38"/>
    </sheetView>
    <sheetView topLeftCell="A20" workbookViewId="3">
      <selection activeCell="F22" sqref="F22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136</v>
      </c>
      <c r="D1" s="1" t="s">
        <v>9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372408</v>
      </c>
      <c r="C4" s="11">
        <v>395000</v>
      </c>
      <c r="D4" s="11">
        <v>54996</v>
      </c>
      <c r="E4" s="11">
        <v>51737</v>
      </c>
      <c r="F4" s="11">
        <v>77854</v>
      </c>
      <c r="G4" s="11">
        <v>40670</v>
      </c>
      <c r="H4" s="11">
        <v>76796</v>
      </c>
      <c r="I4" s="11">
        <v>95022</v>
      </c>
      <c r="J4" s="11">
        <f t="shared" ref="J4:J34" si="0">+C4+E4+G4+I4-H4-F4-D4-B4</f>
        <v>375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371402</v>
      </c>
      <c r="C5" s="11">
        <v>400000</v>
      </c>
      <c r="D5" s="11">
        <v>51789</v>
      </c>
      <c r="E5" s="11">
        <v>50166</v>
      </c>
      <c r="F5" s="11">
        <v>82226</v>
      </c>
      <c r="G5" s="11">
        <v>75758</v>
      </c>
      <c r="H5" s="11">
        <v>63005</v>
      </c>
      <c r="I5" s="11">
        <v>67484</v>
      </c>
      <c r="J5" s="11">
        <f t="shared" si="0"/>
        <v>24986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374673</v>
      </c>
      <c r="C6" s="11">
        <v>377553</v>
      </c>
      <c r="D6" s="11">
        <v>45902</v>
      </c>
      <c r="E6" s="11">
        <v>49510</v>
      </c>
      <c r="F6" s="11">
        <v>79928</v>
      </c>
      <c r="G6" s="11">
        <v>75857</v>
      </c>
      <c r="H6" s="11">
        <v>63323</v>
      </c>
      <c r="I6" s="11">
        <v>63651</v>
      </c>
      <c r="J6" s="11">
        <f t="shared" si="0"/>
        <v>2745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391192</v>
      </c>
      <c r="C7" s="11">
        <v>400000</v>
      </c>
      <c r="D7" s="11">
        <v>74587</v>
      </c>
      <c r="E7" s="11">
        <v>76673</v>
      </c>
      <c r="F7" s="11">
        <v>73280</v>
      </c>
      <c r="G7" s="11">
        <v>73080</v>
      </c>
      <c r="H7" s="11">
        <v>120589</v>
      </c>
      <c r="I7" s="11">
        <v>107762</v>
      </c>
      <c r="J7" s="11">
        <f t="shared" si="0"/>
        <v>-2133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383957</v>
      </c>
      <c r="C8" s="11">
        <v>398502</v>
      </c>
      <c r="D8" s="11">
        <v>56653</v>
      </c>
      <c r="E8" s="11">
        <v>51016</v>
      </c>
      <c r="F8" s="11">
        <v>75484</v>
      </c>
      <c r="G8" s="11">
        <v>70290</v>
      </c>
      <c r="H8" s="11">
        <v>93011</v>
      </c>
      <c r="I8" s="11">
        <v>84699</v>
      </c>
      <c r="J8" s="11">
        <f t="shared" si="0"/>
        <v>-4598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359161</v>
      </c>
      <c r="C9" s="11">
        <v>377237</v>
      </c>
      <c r="D9" s="11">
        <v>37186</v>
      </c>
      <c r="E9" s="11">
        <v>32959</v>
      </c>
      <c r="F9" s="11">
        <v>76331</v>
      </c>
      <c r="G9" s="11">
        <v>75340</v>
      </c>
      <c r="H9" s="11">
        <v>67920</v>
      </c>
      <c r="I9" s="11">
        <v>61227</v>
      </c>
      <c r="J9" s="11">
        <f t="shared" si="0"/>
        <v>6165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356082</v>
      </c>
      <c r="C10" s="11">
        <v>400000</v>
      </c>
      <c r="D10" s="11">
        <v>72481</v>
      </c>
      <c r="E10" s="11">
        <v>70868</v>
      </c>
      <c r="F10" s="11">
        <v>80602</v>
      </c>
      <c r="G10" s="11">
        <v>85687</v>
      </c>
      <c r="H10" s="11">
        <v>73891</v>
      </c>
      <c r="I10" s="11">
        <v>74915</v>
      </c>
      <c r="J10" s="11">
        <f t="shared" si="0"/>
        <v>48414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347490</v>
      </c>
      <c r="C11" s="11">
        <v>341205</v>
      </c>
      <c r="D11" s="11">
        <v>80045</v>
      </c>
      <c r="E11" s="11">
        <v>69316</v>
      </c>
      <c r="F11" s="11">
        <v>80506</v>
      </c>
      <c r="G11" s="11">
        <v>77451</v>
      </c>
      <c r="H11" s="11">
        <v>95309</v>
      </c>
      <c r="I11" s="11">
        <v>96346</v>
      </c>
      <c r="J11" s="11">
        <f t="shared" si="0"/>
        <v>-19032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227021</v>
      </c>
      <c r="C12" s="11">
        <v>218582</v>
      </c>
      <c r="D12" s="11">
        <v>41724</v>
      </c>
      <c r="E12" s="11">
        <v>47018</v>
      </c>
      <c r="F12" s="11">
        <v>69337</v>
      </c>
      <c r="G12" s="11">
        <v>58706</v>
      </c>
      <c r="H12" s="11">
        <v>55471</v>
      </c>
      <c r="I12" s="11">
        <v>57915</v>
      </c>
      <c r="J12" s="11">
        <f t="shared" si="0"/>
        <v>-11332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206977</v>
      </c>
      <c r="C13" s="11">
        <v>218582</v>
      </c>
      <c r="D13" s="11">
        <v>57075</v>
      </c>
      <c r="E13" s="11">
        <v>47018</v>
      </c>
      <c r="F13" s="11">
        <v>62471</v>
      </c>
      <c r="G13" s="11">
        <v>58706</v>
      </c>
      <c r="H13" s="11">
        <v>60760</v>
      </c>
      <c r="I13" s="11">
        <v>57915</v>
      </c>
      <c r="J13" s="11">
        <f t="shared" si="0"/>
        <v>-5062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247615</v>
      </c>
      <c r="C14" s="11">
        <v>260374</v>
      </c>
      <c r="D14" s="11">
        <v>44330</v>
      </c>
      <c r="E14" s="11">
        <v>39034</v>
      </c>
      <c r="F14" s="11">
        <v>72487</v>
      </c>
      <c r="G14" s="11">
        <v>79683</v>
      </c>
      <c r="H14" s="11">
        <v>53273</v>
      </c>
      <c r="I14" s="11">
        <v>47378</v>
      </c>
      <c r="J14" s="11">
        <f t="shared" si="0"/>
        <v>8764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314990</v>
      </c>
      <c r="C15" s="11">
        <v>315860</v>
      </c>
      <c r="D15" s="11">
        <v>55833</v>
      </c>
      <c r="E15" s="11">
        <v>54940</v>
      </c>
      <c r="F15" s="11">
        <v>75985</v>
      </c>
      <c r="G15" s="11">
        <v>74409</v>
      </c>
      <c r="H15" s="11">
        <v>97302</v>
      </c>
      <c r="I15" s="11">
        <v>96007</v>
      </c>
      <c r="J15" s="11">
        <f t="shared" si="0"/>
        <v>-2894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324658</v>
      </c>
      <c r="C16" s="11">
        <v>318495</v>
      </c>
      <c r="D16" s="11">
        <v>39927</v>
      </c>
      <c r="E16" s="11">
        <v>48780</v>
      </c>
      <c r="F16" s="11">
        <v>69879</v>
      </c>
      <c r="G16" s="11">
        <v>66897</v>
      </c>
      <c r="H16" s="11">
        <v>82453</v>
      </c>
      <c r="I16" s="11">
        <v>76080</v>
      </c>
      <c r="J16" s="11">
        <f t="shared" si="0"/>
        <v>-6665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297028</v>
      </c>
      <c r="C17" s="11">
        <v>295559</v>
      </c>
      <c r="D17" s="11">
        <v>46805</v>
      </c>
      <c r="E17" s="11">
        <v>52236</v>
      </c>
      <c r="F17" s="11">
        <v>74314</v>
      </c>
      <c r="G17" s="11">
        <v>65706</v>
      </c>
      <c r="H17" s="11">
        <v>82731</v>
      </c>
      <c r="I17" s="11">
        <v>82045</v>
      </c>
      <c r="J17" s="11">
        <f t="shared" si="0"/>
        <v>-5332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314898</v>
      </c>
      <c r="C18" s="11">
        <v>332451</v>
      </c>
      <c r="D18" s="11">
        <v>54801</v>
      </c>
      <c r="E18" s="11">
        <v>46979</v>
      </c>
      <c r="F18" s="11">
        <v>66415</v>
      </c>
      <c r="G18" s="11">
        <v>62129</v>
      </c>
      <c r="H18" s="11">
        <v>97837</v>
      </c>
      <c r="I18" s="11">
        <v>88364</v>
      </c>
      <c r="J18" s="11">
        <f t="shared" si="0"/>
        <v>-4028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304910</v>
      </c>
      <c r="C19" s="11">
        <v>333503</v>
      </c>
      <c r="D19" s="11">
        <v>64885</v>
      </c>
      <c r="E19" s="11">
        <v>47967</v>
      </c>
      <c r="F19" s="11">
        <v>63434</v>
      </c>
      <c r="G19" s="11">
        <v>60662</v>
      </c>
      <c r="H19" s="11">
        <v>79061</v>
      </c>
      <c r="I19" s="11">
        <v>68700</v>
      </c>
      <c r="J19" s="11">
        <f t="shared" si="0"/>
        <v>-1458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302926</v>
      </c>
      <c r="C20" s="11">
        <v>334832</v>
      </c>
      <c r="D20" s="11">
        <v>69533</v>
      </c>
      <c r="E20" s="11">
        <v>44264</v>
      </c>
      <c r="F20" s="11">
        <v>66099</v>
      </c>
      <c r="G20" s="11">
        <v>61813</v>
      </c>
      <c r="H20" s="11">
        <v>77275</v>
      </c>
      <c r="I20" s="11">
        <v>66857</v>
      </c>
      <c r="J20" s="11">
        <f t="shared" si="0"/>
        <v>-8067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317994</v>
      </c>
      <c r="C21" s="11">
        <v>331948</v>
      </c>
      <c r="D21" s="11">
        <v>54897</v>
      </c>
      <c r="E21" s="11">
        <v>54895</v>
      </c>
      <c r="F21" s="11">
        <v>63349</v>
      </c>
      <c r="G21" s="11">
        <v>62127</v>
      </c>
      <c r="H21" s="11">
        <v>77264</v>
      </c>
      <c r="I21" s="11">
        <v>66556</v>
      </c>
      <c r="J21" s="11">
        <f t="shared" si="0"/>
        <v>2022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332220</v>
      </c>
      <c r="C22" s="11">
        <v>323242</v>
      </c>
      <c r="D22" s="11">
        <v>55852</v>
      </c>
      <c r="E22" s="11">
        <v>51857</v>
      </c>
      <c r="F22" s="11">
        <v>59277</v>
      </c>
      <c r="G22" s="11">
        <v>62085</v>
      </c>
      <c r="H22" s="11">
        <v>71415</v>
      </c>
      <c r="I22" s="11">
        <v>75600</v>
      </c>
      <c r="J22" s="11">
        <f t="shared" si="0"/>
        <v>-5980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6147602</v>
      </c>
      <c r="C35" s="11">
        <f t="shared" ref="C35:I35" si="1">SUM(C4:C34)</f>
        <v>6372925</v>
      </c>
      <c r="D35" s="11">
        <f t="shared" si="1"/>
        <v>1059301</v>
      </c>
      <c r="E35" s="11">
        <f t="shared" si="1"/>
        <v>987233</v>
      </c>
      <c r="F35" s="11">
        <f t="shared" si="1"/>
        <v>1369258</v>
      </c>
      <c r="G35" s="11">
        <f t="shared" si="1"/>
        <v>1287056</v>
      </c>
      <c r="H35" s="11">
        <f t="shared" si="1"/>
        <v>1488686</v>
      </c>
      <c r="I35" s="11">
        <f t="shared" si="1"/>
        <v>1434523</v>
      </c>
      <c r="J35" s="11">
        <f>SUM(J4:J34)</f>
        <v>16890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37042</v>
      </c>
      <c r="C38" s="25"/>
      <c r="E38" s="25"/>
      <c r="G38" s="25"/>
      <c r="I38" s="25"/>
      <c r="J38" s="406">
        <v>278779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37061</v>
      </c>
      <c r="J40" s="51">
        <f>+J38+J35</f>
        <v>295669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283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283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283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283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7" workbookViewId="3">
      <selection activeCell="C51" sqref="C51"/>
    </sheetView>
  </sheetViews>
  <sheetFormatPr defaultRowHeight="12.75" x14ac:dyDescent="0.2"/>
  <sheetData>
    <row r="3" spans="1:4" ht="15" x14ac:dyDescent="0.25">
      <c r="A3" s="134"/>
      <c r="B3" s="34" t="s">
        <v>145</v>
      </c>
    </row>
    <row r="4" spans="1:4" x14ac:dyDescent="0.2">
      <c r="A4" s="3"/>
      <c r="B4" s="59" t="s">
        <v>146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61566</v>
      </c>
      <c r="C6" s="11">
        <v>59996</v>
      </c>
      <c r="D6" s="25">
        <f>+C6-B6</f>
        <v>-1570</v>
      </c>
    </row>
    <row r="7" spans="1:4" x14ac:dyDescent="0.2">
      <c r="A7" s="10">
        <v>2</v>
      </c>
      <c r="B7" s="11">
        <v>49101</v>
      </c>
      <c r="C7" s="11">
        <v>48215</v>
      </c>
      <c r="D7" s="25">
        <f t="shared" ref="D7:D36" si="0">+C7-B7</f>
        <v>-886</v>
      </c>
    </row>
    <row r="8" spans="1:4" x14ac:dyDescent="0.2">
      <c r="A8" s="10">
        <v>3</v>
      </c>
      <c r="B8" s="11">
        <v>47890</v>
      </c>
      <c r="C8" s="11">
        <v>47831</v>
      </c>
      <c r="D8" s="25">
        <f t="shared" si="0"/>
        <v>-59</v>
      </c>
    </row>
    <row r="9" spans="1:4" x14ac:dyDescent="0.2">
      <c r="A9" s="10">
        <v>4</v>
      </c>
      <c r="B9" s="11">
        <v>48669</v>
      </c>
      <c r="C9" s="11">
        <v>48279</v>
      </c>
      <c r="D9" s="25">
        <f t="shared" si="0"/>
        <v>-390</v>
      </c>
    </row>
    <row r="10" spans="1:4" x14ac:dyDescent="0.2">
      <c r="A10" s="10">
        <v>5</v>
      </c>
      <c r="B10" s="11">
        <v>59532</v>
      </c>
      <c r="C10" s="11">
        <v>55693</v>
      </c>
      <c r="D10" s="25">
        <f t="shared" si="0"/>
        <v>-3839</v>
      </c>
    </row>
    <row r="11" spans="1:4" x14ac:dyDescent="0.2">
      <c r="A11" s="10">
        <v>6</v>
      </c>
      <c r="B11" s="11">
        <v>59879</v>
      </c>
      <c r="C11" s="11">
        <v>59675</v>
      </c>
      <c r="D11" s="25">
        <f t="shared" si="0"/>
        <v>-204</v>
      </c>
    </row>
    <row r="12" spans="1:4" x14ac:dyDescent="0.2">
      <c r="A12" s="10">
        <v>7</v>
      </c>
      <c r="B12" s="11">
        <v>54025</v>
      </c>
      <c r="C12" s="11">
        <v>54498</v>
      </c>
      <c r="D12" s="25">
        <f t="shared" si="0"/>
        <v>473</v>
      </c>
    </row>
    <row r="13" spans="1:4" x14ac:dyDescent="0.2">
      <c r="A13" s="10">
        <v>8</v>
      </c>
      <c r="B13" s="11">
        <v>52716</v>
      </c>
      <c r="C13" s="11">
        <v>54046</v>
      </c>
      <c r="D13" s="25">
        <f t="shared" si="0"/>
        <v>1330</v>
      </c>
    </row>
    <row r="14" spans="1:4" x14ac:dyDescent="0.2">
      <c r="A14" s="10">
        <v>9</v>
      </c>
      <c r="B14" s="11">
        <v>41062</v>
      </c>
      <c r="C14" s="11">
        <v>40500</v>
      </c>
      <c r="D14" s="25">
        <f t="shared" si="0"/>
        <v>-562</v>
      </c>
    </row>
    <row r="15" spans="1:4" x14ac:dyDescent="0.2">
      <c r="A15" s="10">
        <v>10</v>
      </c>
      <c r="B15" s="11">
        <v>41041</v>
      </c>
      <c r="C15" s="11">
        <v>39057</v>
      </c>
      <c r="D15" s="25">
        <f t="shared" si="0"/>
        <v>-1984</v>
      </c>
    </row>
    <row r="16" spans="1:4" x14ac:dyDescent="0.2">
      <c r="A16" s="10">
        <v>11</v>
      </c>
      <c r="B16" s="11">
        <v>46428</v>
      </c>
      <c r="C16" s="11">
        <v>46600</v>
      </c>
      <c r="D16" s="25">
        <f t="shared" si="0"/>
        <v>172</v>
      </c>
    </row>
    <row r="17" spans="1:4" x14ac:dyDescent="0.2">
      <c r="A17" s="10">
        <v>12</v>
      </c>
      <c r="B17" s="11">
        <v>60865</v>
      </c>
      <c r="C17" s="11">
        <v>62094</v>
      </c>
      <c r="D17" s="25">
        <f t="shared" si="0"/>
        <v>1229</v>
      </c>
    </row>
    <row r="18" spans="1:4" x14ac:dyDescent="0.2">
      <c r="A18" s="10">
        <v>13</v>
      </c>
      <c r="B18" s="11">
        <v>67308</v>
      </c>
      <c r="C18" s="11">
        <v>68120</v>
      </c>
      <c r="D18" s="25">
        <f t="shared" si="0"/>
        <v>812</v>
      </c>
    </row>
    <row r="19" spans="1:4" x14ac:dyDescent="0.2">
      <c r="A19" s="10">
        <v>14</v>
      </c>
      <c r="B19" s="11">
        <v>58840</v>
      </c>
      <c r="C19" s="11">
        <v>58055</v>
      </c>
      <c r="D19" s="25">
        <f t="shared" si="0"/>
        <v>-785</v>
      </c>
    </row>
    <row r="20" spans="1:4" x14ac:dyDescent="0.2">
      <c r="A20" s="10">
        <v>15</v>
      </c>
      <c r="B20" s="11">
        <v>62475</v>
      </c>
      <c r="C20" s="11">
        <v>60592</v>
      </c>
      <c r="D20" s="25">
        <f t="shared" si="0"/>
        <v>-1883</v>
      </c>
    </row>
    <row r="21" spans="1:4" x14ac:dyDescent="0.2">
      <c r="A21" s="10">
        <v>16</v>
      </c>
      <c r="B21" s="11">
        <v>63508</v>
      </c>
      <c r="C21" s="11">
        <v>64128</v>
      </c>
      <c r="D21" s="25">
        <f t="shared" si="0"/>
        <v>620</v>
      </c>
    </row>
    <row r="22" spans="1:4" x14ac:dyDescent="0.2">
      <c r="A22" s="10">
        <v>17</v>
      </c>
      <c r="B22" s="11">
        <v>58596</v>
      </c>
      <c r="C22" s="11">
        <v>61513</v>
      </c>
      <c r="D22" s="25">
        <f t="shared" si="0"/>
        <v>2917</v>
      </c>
    </row>
    <row r="23" spans="1:4" x14ac:dyDescent="0.2">
      <c r="A23" s="10">
        <v>18</v>
      </c>
      <c r="B23" s="11">
        <v>71871</v>
      </c>
      <c r="C23" s="11">
        <v>72615</v>
      </c>
      <c r="D23" s="25">
        <f t="shared" si="0"/>
        <v>744</v>
      </c>
    </row>
    <row r="24" spans="1:4" x14ac:dyDescent="0.2">
      <c r="A24" s="10">
        <v>19</v>
      </c>
      <c r="B24" s="11">
        <v>48147</v>
      </c>
      <c r="C24" s="11">
        <v>48683</v>
      </c>
      <c r="D24" s="25">
        <f t="shared" si="0"/>
        <v>536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1053519</v>
      </c>
      <c r="C37" s="11">
        <f>SUM(C6:C36)</f>
        <v>1050190</v>
      </c>
      <c r="D37" s="25">
        <f>SUM(D6:D36)</f>
        <v>-3329</v>
      </c>
    </row>
    <row r="38" spans="1:4" x14ac:dyDescent="0.2">
      <c r="A38" s="26"/>
      <c r="C38" s="14"/>
      <c r="D38" s="376">
        <f>+summary!P11</f>
        <v>3.26</v>
      </c>
    </row>
    <row r="39" spans="1:4" x14ac:dyDescent="0.2">
      <c r="D39" s="138">
        <f>+D38*D37</f>
        <v>-10852.539999999999</v>
      </c>
    </row>
    <row r="40" spans="1:4" x14ac:dyDescent="0.2">
      <c r="A40" s="57">
        <v>37042</v>
      </c>
      <c r="C40" s="15"/>
      <c r="D40" s="408">
        <v>817965.6</v>
      </c>
    </row>
    <row r="41" spans="1:4" x14ac:dyDescent="0.2">
      <c r="A41" s="57">
        <v>37061</v>
      </c>
      <c r="C41" s="48"/>
      <c r="D41" s="138">
        <f>+D40+D39</f>
        <v>807113.05999999994</v>
      </c>
    </row>
  </sheetData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topLeftCell="A26" workbookViewId="3">
      <selection activeCell="A42" sqref="A42"/>
    </sheetView>
  </sheetViews>
  <sheetFormatPr defaultRowHeight="12.75" x14ac:dyDescent="0.2"/>
  <sheetData>
    <row r="3" spans="1:5" ht="15" x14ac:dyDescent="0.25">
      <c r="A3" s="134"/>
      <c r="B3" s="3" t="s">
        <v>147</v>
      </c>
      <c r="C3" s="87"/>
      <c r="D3" s="87"/>
      <c r="E3" s="87"/>
    </row>
    <row r="4" spans="1:5" x14ac:dyDescent="0.2">
      <c r="A4" s="3"/>
      <c r="B4" s="379" t="s">
        <v>148</v>
      </c>
      <c r="C4" s="87"/>
      <c r="D4" s="3"/>
      <c r="E4" s="87"/>
    </row>
    <row r="5" spans="1:5" x14ac:dyDescent="0.2">
      <c r="A5" s="5" t="s">
        <v>12</v>
      </c>
      <c r="B5" s="6" t="s">
        <v>21</v>
      </c>
      <c r="C5" s="6" t="s">
        <v>22</v>
      </c>
    </row>
    <row r="6" spans="1:5" x14ac:dyDescent="0.2">
      <c r="A6" s="10">
        <v>1</v>
      </c>
      <c r="B6" s="11">
        <v>-1880</v>
      </c>
      <c r="C6" s="11">
        <v>-3499</v>
      </c>
      <c r="D6" s="25">
        <f>+C6-B6</f>
        <v>-1619</v>
      </c>
    </row>
    <row r="7" spans="1:5" x14ac:dyDescent="0.2">
      <c r="A7" s="10">
        <v>2</v>
      </c>
      <c r="B7" s="11">
        <v>-2029</v>
      </c>
      <c r="C7" s="11">
        <v>-3500</v>
      </c>
      <c r="D7" s="25">
        <f t="shared" ref="D7:D36" si="0">+C7-B7</f>
        <v>-1471</v>
      </c>
    </row>
    <row r="8" spans="1:5" x14ac:dyDescent="0.2">
      <c r="A8" s="10">
        <v>3</v>
      </c>
      <c r="B8" s="11">
        <v>-2037</v>
      </c>
      <c r="C8" s="11">
        <v>-3500</v>
      </c>
      <c r="D8" s="25">
        <f t="shared" si="0"/>
        <v>-1463</v>
      </c>
    </row>
    <row r="9" spans="1:5" x14ac:dyDescent="0.2">
      <c r="A9" s="10">
        <v>4</v>
      </c>
      <c r="B9" s="11">
        <v>-2033</v>
      </c>
      <c r="C9" s="11"/>
      <c r="D9" s="25">
        <f t="shared" si="0"/>
        <v>2033</v>
      </c>
    </row>
    <row r="10" spans="1:5" x14ac:dyDescent="0.2">
      <c r="A10" s="10">
        <v>5</v>
      </c>
      <c r="B10" s="11">
        <v>-2050</v>
      </c>
      <c r="C10" s="11">
        <v>-2818</v>
      </c>
      <c r="D10" s="25">
        <f t="shared" si="0"/>
        <v>-768</v>
      </c>
    </row>
    <row r="11" spans="1:5" x14ac:dyDescent="0.2">
      <c r="A11" s="10">
        <v>6</v>
      </c>
      <c r="B11" s="11">
        <v>-2079</v>
      </c>
      <c r="C11" s="11">
        <v>-2139</v>
      </c>
      <c r="D11" s="25">
        <f t="shared" si="0"/>
        <v>-60</v>
      </c>
    </row>
    <row r="12" spans="1:5" x14ac:dyDescent="0.2">
      <c r="A12" s="10">
        <v>7</v>
      </c>
      <c r="B12" s="11">
        <v>-1523</v>
      </c>
      <c r="C12" s="11">
        <v>-2139</v>
      </c>
      <c r="D12" s="25">
        <f t="shared" si="0"/>
        <v>-616</v>
      </c>
    </row>
    <row r="13" spans="1:5" x14ac:dyDescent="0.2">
      <c r="A13" s="10">
        <v>8</v>
      </c>
      <c r="B13" s="11">
        <v>-2085</v>
      </c>
      <c r="C13" s="11">
        <v>-2139</v>
      </c>
      <c r="D13" s="25">
        <f t="shared" si="0"/>
        <v>-54</v>
      </c>
    </row>
    <row r="14" spans="1:5" x14ac:dyDescent="0.2">
      <c r="A14" s="10">
        <v>9</v>
      </c>
      <c r="B14" s="11">
        <v>-1910</v>
      </c>
      <c r="C14" s="11">
        <v>-3500</v>
      </c>
      <c r="D14" s="25">
        <f t="shared" si="0"/>
        <v>-1590</v>
      </c>
    </row>
    <row r="15" spans="1:5" x14ac:dyDescent="0.2">
      <c r="A15" s="10">
        <v>10</v>
      </c>
      <c r="B15" s="11">
        <v>-2018</v>
      </c>
      <c r="C15" s="11">
        <v>-3500</v>
      </c>
      <c r="D15" s="25">
        <f t="shared" si="0"/>
        <v>-1482</v>
      </c>
    </row>
    <row r="16" spans="1:5" x14ac:dyDescent="0.2">
      <c r="A16" s="10">
        <v>11</v>
      </c>
      <c r="B16" s="11">
        <v>-2065</v>
      </c>
      <c r="C16" s="11">
        <v>-3500</v>
      </c>
      <c r="D16" s="25">
        <f t="shared" si="0"/>
        <v>-1435</v>
      </c>
    </row>
    <row r="17" spans="1:4" x14ac:dyDescent="0.2">
      <c r="A17" s="10">
        <v>12</v>
      </c>
      <c r="B17" s="11">
        <v>-2122</v>
      </c>
      <c r="C17" s="11">
        <v>-2139</v>
      </c>
      <c r="D17" s="25">
        <f t="shared" si="0"/>
        <v>-17</v>
      </c>
    </row>
    <row r="18" spans="1:4" x14ac:dyDescent="0.2">
      <c r="A18" s="10">
        <v>13</v>
      </c>
      <c r="B18" s="11">
        <v>-1863</v>
      </c>
      <c r="C18" s="11">
        <v>-2139</v>
      </c>
      <c r="D18" s="25">
        <f t="shared" si="0"/>
        <v>-276</v>
      </c>
    </row>
    <row r="19" spans="1:4" x14ac:dyDescent="0.2">
      <c r="A19" s="10">
        <v>14</v>
      </c>
      <c r="B19" s="11">
        <v>-762</v>
      </c>
      <c r="C19" s="11">
        <v>4</v>
      </c>
      <c r="D19" s="25">
        <f t="shared" si="0"/>
        <v>766</v>
      </c>
    </row>
    <row r="20" spans="1:4" x14ac:dyDescent="0.2">
      <c r="A20" s="10">
        <v>15</v>
      </c>
      <c r="B20" s="11">
        <v>-848</v>
      </c>
      <c r="C20" s="11">
        <v>-2139</v>
      </c>
      <c r="D20" s="25">
        <f t="shared" si="0"/>
        <v>-1291</v>
      </c>
    </row>
    <row r="21" spans="1:4" x14ac:dyDescent="0.2">
      <c r="A21" s="10">
        <v>16</v>
      </c>
      <c r="B21" s="11">
        <v>-1259</v>
      </c>
      <c r="C21" s="11">
        <v>-2453</v>
      </c>
      <c r="D21" s="25">
        <f t="shared" si="0"/>
        <v>-1194</v>
      </c>
    </row>
    <row r="22" spans="1:4" x14ac:dyDescent="0.2">
      <c r="A22" s="10">
        <v>17</v>
      </c>
      <c r="B22" s="11">
        <v>-1932</v>
      </c>
      <c r="C22" s="11">
        <v>-2453</v>
      </c>
      <c r="D22" s="25">
        <f t="shared" si="0"/>
        <v>-521</v>
      </c>
    </row>
    <row r="23" spans="1:4" x14ac:dyDescent="0.2">
      <c r="A23" s="10">
        <v>18</v>
      </c>
      <c r="B23" s="11">
        <v>-1963</v>
      </c>
      <c r="C23" s="11">
        <v>-2453</v>
      </c>
      <c r="D23" s="25">
        <f t="shared" si="0"/>
        <v>-490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-32458</v>
      </c>
      <c r="C37" s="11">
        <f>SUM(C6:C36)</f>
        <v>-44006</v>
      </c>
      <c r="D37" s="25">
        <f>SUM(D6:D36)</f>
        <v>-11548</v>
      </c>
    </row>
    <row r="38" spans="1:4" x14ac:dyDescent="0.2">
      <c r="A38" s="26"/>
      <c r="C38" s="14"/>
      <c r="D38" s="376">
        <f>+summary!P11</f>
        <v>3.26</v>
      </c>
    </row>
    <row r="39" spans="1:4" x14ac:dyDescent="0.2">
      <c r="D39" s="138">
        <f>+D38*D37</f>
        <v>-37646.479999999996</v>
      </c>
    </row>
    <row r="40" spans="1:4" x14ac:dyDescent="0.2">
      <c r="A40" s="57">
        <v>37042</v>
      </c>
      <c r="C40" s="15"/>
      <c r="D40" s="408">
        <v>-304459</v>
      </c>
    </row>
    <row r="41" spans="1:4" x14ac:dyDescent="0.2">
      <c r="A41" s="57">
        <v>37060</v>
      </c>
      <c r="C41" s="48"/>
      <c r="D41" s="138">
        <f>+D40+D39</f>
        <v>-342105.48</v>
      </c>
    </row>
  </sheetData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"/>
  <sheetViews>
    <sheetView workbookViewId="0"/>
    <sheetView topLeftCell="A26" workbookViewId="1">
      <selection activeCell="A42" sqref="A42"/>
    </sheetView>
    <sheetView workbookViewId="2"/>
    <sheetView topLeftCell="A20" workbookViewId="3">
      <selection activeCell="B25" sqref="B25"/>
    </sheetView>
  </sheetViews>
  <sheetFormatPr defaultRowHeight="12.75" x14ac:dyDescent="0.2"/>
  <cols>
    <col min="4" max="4" width="10.7109375" bestFit="1" customWidth="1"/>
  </cols>
  <sheetData>
    <row r="3" spans="1:4" ht="15" x14ac:dyDescent="0.25">
      <c r="A3" s="134"/>
      <c r="B3" s="3" t="s">
        <v>154</v>
      </c>
      <c r="C3" s="87"/>
      <c r="D3" s="87"/>
    </row>
    <row r="4" spans="1:4" x14ac:dyDescent="0.2">
      <c r="A4" s="3"/>
      <c r="B4" s="379" t="s">
        <v>150</v>
      </c>
      <c r="C4" s="87"/>
      <c r="D4" s="3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-13023</v>
      </c>
      <c r="C6" s="11">
        <v>-11000</v>
      </c>
      <c r="D6" s="25">
        <f>+C6-B6</f>
        <v>2023</v>
      </c>
    </row>
    <row r="7" spans="1:4" x14ac:dyDescent="0.2">
      <c r="A7" s="10">
        <v>2</v>
      </c>
      <c r="B7" s="11">
        <v>-20518</v>
      </c>
      <c r="C7" s="11">
        <v>-15000</v>
      </c>
      <c r="D7" s="25">
        <f t="shared" ref="D7:D36" si="0">+C7-B7</f>
        <v>5518</v>
      </c>
    </row>
    <row r="8" spans="1:4" x14ac:dyDescent="0.2">
      <c r="A8" s="10">
        <v>3</v>
      </c>
      <c r="B8" s="11">
        <v>0</v>
      </c>
      <c r="C8" s="11">
        <v>0</v>
      </c>
      <c r="D8" s="25">
        <f t="shared" si="0"/>
        <v>0</v>
      </c>
    </row>
    <row r="9" spans="1:4" x14ac:dyDescent="0.2">
      <c r="A9" s="10">
        <v>4</v>
      </c>
      <c r="B9" s="11">
        <v>-6053</v>
      </c>
      <c r="C9" s="11">
        <v>-7500</v>
      </c>
      <c r="D9" s="25">
        <f t="shared" si="0"/>
        <v>-1447</v>
      </c>
    </row>
    <row r="10" spans="1:4" x14ac:dyDescent="0.2">
      <c r="A10" s="10">
        <v>5</v>
      </c>
      <c r="B10" s="11">
        <v>-27198</v>
      </c>
      <c r="C10" s="11">
        <v>-10000</v>
      </c>
      <c r="D10" s="25">
        <f t="shared" si="0"/>
        <v>17198</v>
      </c>
    </row>
    <row r="11" spans="1:4" x14ac:dyDescent="0.2">
      <c r="A11" s="10">
        <v>6</v>
      </c>
      <c r="B11" s="11">
        <v>-20791</v>
      </c>
      <c r="C11" s="11">
        <v>-25000</v>
      </c>
      <c r="D11" s="25">
        <f t="shared" si="0"/>
        <v>-4209</v>
      </c>
    </row>
    <row r="12" spans="1:4" x14ac:dyDescent="0.2">
      <c r="A12" s="10">
        <v>7</v>
      </c>
      <c r="B12" s="11">
        <v>-20037</v>
      </c>
      <c r="C12" s="11">
        <v>-10000</v>
      </c>
      <c r="D12" s="25">
        <f t="shared" si="0"/>
        <v>10037</v>
      </c>
    </row>
    <row r="13" spans="1:4" x14ac:dyDescent="0.2">
      <c r="A13" s="10">
        <v>8</v>
      </c>
      <c r="B13" s="11">
        <v>-26317</v>
      </c>
      <c r="C13" s="11">
        <v>-25000</v>
      </c>
      <c r="D13" s="25">
        <f t="shared" si="0"/>
        <v>1317</v>
      </c>
    </row>
    <row r="14" spans="1:4" x14ac:dyDescent="0.2">
      <c r="A14" s="10">
        <v>9</v>
      </c>
      <c r="B14" s="11">
        <v>-65319</v>
      </c>
      <c r="C14" s="11">
        <v>-19998</v>
      </c>
      <c r="D14" s="25">
        <f t="shared" si="0"/>
        <v>45321</v>
      </c>
    </row>
    <row r="15" spans="1:4" x14ac:dyDescent="0.2">
      <c r="A15" s="10">
        <v>10</v>
      </c>
      <c r="B15" s="11">
        <v>-17199</v>
      </c>
      <c r="C15" s="11">
        <v>-19199</v>
      </c>
      <c r="D15" s="25">
        <f t="shared" si="0"/>
        <v>-2000</v>
      </c>
    </row>
    <row r="16" spans="1:4" x14ac:dyDescent="0.2">
      <c r="A16" s="10">
        <v>11</v>
      </c>
      <c r="B16" s="11"/>
      <c r="C16" s="11">
        <v>-19998</v>
      </c>
      <c r="D16" s="25">
        <f t="shared" si="0"/>
        <v>-19998</v>
      </c>
    </row>
    <row r="17" spans="1:4" x14ac:dyDescent="0.2">
      <c r="A17" s="10">
        <v>12</v>
      </c>
      <c r="B17" s="11">
        <v>-10287</v>
      </c>
      <c r="C17" s="11">
        <v>-35000</v>
      </c>
      <c r="D17" s="25">
        <f t="shared" si="0"/>
        <v>-24713</v>
      </c>
    </row>
    <row r="18" spans="1:4" x14ac:dyDescent="0.2">
      <c r="A18" s="10">
        <v>13</v>
      </c>
      <c r="B18" s="11">
        <v>-45272</v>
      </c>
      <c r="C18" s="11">
        <v>-60000</v>
      </c>
      <c r="D18" s="25">
        <f t="shared" si="0"/>
        <v>-14728</v>
      </c>
    </row>
    <row r="19" spans="1:4" x14ac:dyDescent="0.2">
      <c r="A19" s="10">
        <v>14</v>
      </c>
      <c r="B19" s="11">
        <v>-54959</v>
      </c>
      <c r="C19" s="11">
        <v>-64930</v>
      </c>
      <c r="D19" s="25">
        <f t="shared" si="0"/>
        <v>-9971</v>
      </c>
    </row>
    <row r="20" spans="1:4" x14ac:dyDescent="0.2">
      <c r="A20" s="10">
        <v>15</v>
      </c>
      <c r="B20" s="11">
        <v>-79416</v>
      </c>
      <c r="C20" s="11">
        <v>-80465</v>
      </c>
      <c r="D20" s="25">
        <f t="shared" si="0"/>
        <v>-1049</v>
      </c>
    </row>
    <row r="21" spans="1:4" x14ac:dyDescent="0.2">
      <c r="A21" s="10">
        <v>16</v>
      </c>
      <c r="B21" s="11">
        <v>-17950</v>
      </c>
      <c r="C21" s="11">
        <v>-30000</v>
      </c>
      <c r="D21" s="25">
        <f t="shared" si="0"/>
        <v>-12050</v>
      </c>
    </row>
    <row r="22" spans="1:4" x14ac:dyDescent="0.2">
      <c r="A22" s="10">
        <v>17</v>
      </c>
      <c r="B22" s="11">
        <v>-38641</v>
      </c>
      <c r="C22" s="11">
        <v>-25000</v>
      </c>
      <c r="D22" s="25">
        <f t="shared" si="0"/>
        <v>13641</v>
      </c>
    </row>
    <row r="23" spans="1:4" x14ac:dyDescent="0.2">
      <c r="A23" s="10">
        <v>18</v>
      </c>
      <c r="B23" s="11">
        <v>-50070</v>
      </c>
      <c r="C23" s="11">
        <v>-56274</v>
      </c>
      <c r="D23" s="25">
        <f t="shared" si="0"/>
        <v>-6204</v>
      </c>
    </row>
    <row r="24" spans="1:4" x14ac:dyDescent="0.2">
      <c r="A24" s="10">
        <v>19</v>
      </c>
      <c r="B24" s="11">
        <v>-76948</v>
      </c>
      <c r="C24" s="11">
        <v>-44811</v>
      </c>
      <c r="D24" s="25">
        <f t="shared" si="0"/>
        <v>32137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-589998</v>
      </c>
      <c r="C37" s="11">
        <f>SUM(C6:C36)</f>
        <v>-559175</v>
      </c>
      <c r="D37" s="25">
        <f>SUM(D6:D36)</f>
        <v>30823</v>
      </c>
    </row>
    <row r="38" spans="1:4" x14ac:dyDescent="0.2">
      <c r="A38" s="26"/>
      <c r="C38" s="14"/>
      <c r="D38" s="376">
        <f>+summary!P11</f>
        <v>3.26</v>
      </c>
    </row>
    <row r="39" spans="1:4" x14ac:dyDescent="0.2">
      <c r="D39" s="138">
        <f>+D38*D37</f>
        <v>100482.98</v>
      </c>
    </row>
    <row r="40" spans="1:4" x14ac:dyDescent="0.2">
      <c r="A40" s="57">
        <v>37042</v>
      </c>
      <c r="C40" s="15"/>
      <c r="D40" s="408">
        <v>57398.07</v>
      </c>
    </row>
    <row r="41" spans="1:4" x14ac:dyDescent="0.2">
      <c r="A41" s="57">
        <v>37061</v>
      </c>
      <c r="C41" s="48"/>
      <c r="D41" s="138">
        <f>+D40+D39</f>
        <v>157881.04999999999</v>
      </c>
    </row>
    <row r="42" spans="1:4" x14ac:dyDescent="0.2">
      <c r="D42" s="24"/>
    </row>
  </sheetData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tabSelected="1" workbookViewId="2"/>
    <sheetView workbookViewId="3">
      <selection activeCell="A19" sqref="A1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149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56659</v>
      </c>
      <c r="B5" s="373">
        <v>-1</v>
      </c>
      <c r="C5" s="90">
        <v>-7125</v>
      </c>
      <c r="D5" s="90">
        <f>+C5-B5</f>
        <v>-7124</v>
      </c>
      <c r="E5" s="287"/>
      <c r="F5" s="285"/>
    </row>
    <row r="6" spans="1:13" x14ac:dyDescent="0.2">
      <c r="A6" s="87">
        <v>500046</v>
      </c>
      <c r="B6" s="90"/>
      <c r="C6" s="90">
        <v>-428</v>
      </c>
      <c r="D6" s="90">
        <f t="shared" ref="D6:D11" si="0">+C6-B6</f>
        <v>-428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7"/>
      <c r="F7" s="285"/>
      <c r="L7" t="s">
        <v>27</v>
      </c>
      <c r="M7">
        <v>7.6</v>
      </c>
    </row>
    <row r="8" spans="1:13" x14ac:dyDescent="0.2">
      <c r="A8" s="87">
        <v>500134</v>
      </c>
      <c r="B8" s="92">
        <v>-246</v>
      </c>
      <c r="C8" s="90">
        <v>-287</v>
      </c>
      <c r="D8" s="90">
        <f t="shared" si="0"/>
        <v>-41</v>
      </c>
      <c r="E8" s="287"/>
      <c r="F8" s="285"/>
    </row>
    <row r="9" spans="1:13" x14ac:dyDescent="0.2">
      <c r="A9" s="87">
        <v>500528</v>
      </c>
      <c r="B9" s="92"/>
      <c r="C9" s="90"/>
      <c r="D9" s="90">
        <f t="shared" si="0"/>
        <v>0</v>
      </c>
      <c r="E9" s="287"/>
      <c r="F9" s="285"/>
    </row>
    <row r="10" spans="1:13" x14ac:dyDescent="0.2">
      <c r="A10" s="87">
        <v>500529</v>
      </c>
      <c r="B10" s="90"/>
      <c r="C10" s="331"/>
      <c r="D10" s="90">
        <f t="shared" si="0"/>
        <v>0</v>
      </c>
      <c r="E10" s="287"/>
      <c r="F10" s="285"/>
    </row>
    <row r="11" spans="1:13" x14ac:dyDescent="0.2">
      <c r="A11" s="87">
        <v>500619</v>
      </c>
      <c r="B11" s="331"/>
      <c r="C11" s="90"/>
      <c r="D11" s="387">
        <f t="shared" si="0"/>
        <v>0</v>
      </c>
      <c r="E11" s="287"/>
      <c r="F11" s="285"/>
    </row>
    <row r="12" spans="1:13" x14ac:dyDescent="0.2">
      <c r="A12" s="87"/>
      <c r="B12" s="88"/>
      <c r="C12" s="88"/>
      <c r="D12" s="88">
        <f>SUM(D5:D11)</f>
        <v>-7593</v>
      </c>
      <c r="E12" s="287"/>
      <c r="F12" s="285"/>
    </row>
    <row r="13" spans="1:13" x14ac:dyDescent="0.2">
      <c r="A13" s="87" t="s">
        <v>86</v>
      </c>
      <c r="B13" s="88"/>
      <c r="C13" s="88"/>
      <c r="D13" s="95">
        <f>+summary!P11</f>
        <v>3.26</v>
      </c>
      <c r="E13" s="289"/>
      <c r="F13" s="285"/>
    </row>
    <row r="14" spans="1:13" x14ac:dyDescent="0.2">
      <c r="A14" s="87"/>
      <c r="B14" s="88"/>
      <c r="C14" s="88"/>
      <c r="D14" s="96">
        <f>+D13*D12</f>
        <v>-24753.179999999997</v>
      </c>
      <c r="E14" s="209"/>
      <c r="F14" s="286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37042</v>
      </c>
      <c r="B16" s="88"/>
      <c r="C16" s="88"/>
      <c r="D16" s="418">
        <v>-843943.02</v>
      </c>
      <c r="E16" s="209"/>
      <c r="F16" s="66"/>
    </row>
    <row r="17" spans="1:7" x14ac:dyDescent="0.2">
      <c r="A17" s="87"/>
      <c r="B17" s="88"/>
      <c r="C17" s="88"/>
      <c r="D17" s="336"/>
      <c r="E17" s="209"/>
      <c r="F17" s="66"/>
    </row>
    <row r="18" spans="1:7" ht="13.5" thickBot="1" x14ac:dyDescent="0.25">
      <c r="A18" s="99">
        <v>37058</v>
      </c>
      <c r="B18" s="88"/>
      <c r="C18" s="88"/>
      <c r="D18" s="359">
        <f>+D16+D14</f>
        <v>-868696.20000000007</v>
      </c>
      <c r="E18" s="209"/>
      <c r="F18" s="66"/>
    </row>
    <row r="19" spans="1:7" ht="13.5" thickTop="1" x14ac:dyDescent="0.2">
      <c r="E19" s="29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workbookViewId="2"/>
    <sheetView topLeftCell="A26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158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-1145</v>
      </c>
      <c r="C6" s="11">
        <v>-1060</v>
      </c>
      <c r="D6" s="25">
        <f>+C6-B6</f>
        <v>85</v>
      </c>
    </row>
    <row r="7" spans="1:4" x14ac:dyDescent="0.2">
      <c r="A7" s="10">
        <v>2</v>
      </c>
      <c r="B7" s="11">
        <v>-20348</v>
      </c>
      <c r="C7" s="11">
        <v>-20060</v>
      </c>
      <c r="D7" s="25">
        <f t="shared" ref="D7:D36" si="0">+C7-B7</f>
        <v>288</v>
      </c>
    </row>
    <row r="8" spans="1:4" x14ac:dyDescent="0.2">
      <c r="A8" s="10">
        <v>3</v>
      </c>
      <c r="B8" s="11">
        <v>-20561</v>
      </c>
      <c r="C8" s="11">
        <v>-20060</v>
      </c>
      <c r="D8" s="25">
        <f t="shared" si="0"/>
        <v>501</v>
      </c>
    </row>
    <row r="9" spans="1:4" x14ac:dyDescent="0.2">
      <c r="A9" s="10">
        <v>4</v>
      </c>
      <c r="B9" s="11">
        <v>-203</v>
      </c>
      <c r="C9" s="11">
        <v>-1060</v>
      </c>
      <c r="D9" s="25">
        <f t="shared" si="0"/>
        <v>-857</v>
      </c>
    </row>
    <row r="10" spans="1:4" x14ac:dyDescent="0.2">
      <c r="A10" s="10">
        <v>5</v>
      </c>
      <c r="B10" s="11">
        <v>0</v>
      </c>
      <c r="C10" s="11">
        <v>-1060</v>
      </c>
      <c r="D10" s="25">
        <f t="shared" si="0"/>
        <v>-1060</v>
      </c>
    </row>
    <row r="11" spans="1:4" x14ac:dyDescent="0.2">
      <c r="A11" s="10">
        <v>6</v>
      </c>
      <c r="B11" s="11">
        <v>0</v>
      </c>
      <c r="C11" s="11">
        <v>-1060</v>
      </c>
      <c r="D11" s="25">
        <f t="shared" si="0"/>
        <v>-1060</v>
      </c>
    </row>
    <row r="12" spans="1:4" x14ac:dyDescent="0.2">
      <c r="A12" s="10">
        <v>7</v>
      </c>
      <c r="B12" s="11">
        <v>-8274</v>
      </c>
      <c r="C12" s="11">
        <v>-11060</v>
      </c>
      <c r="D12" s="25">
        <f t="shared" si="0"/>
        <v>-2786</v>
      </c>
    </row>
    <row r="13" spans="1:4" x14ac:dyDescent="0.2">
      <c r="A13" s="10">
        <v>8</v>
      </c>
      <c r="B13" s="11">
        <v>0</v>
      </c>
      <c r="C13" s="11">
        <v>-41060</v>
      </c>
      <c r="D13" s="25">
        <f t="shared" si="0"/>
        <v>-41060</v>
      </c>
    </row>
    <row r="14" spans="1:4" x14ac:dyDescent="0.2">
      <c r="A14" s="10">
        <v>9</v>
      </c>
      <c r="B14" s="11">
        <v>-35251</v>
      </c>
      <c r="C14" s="11">
        <v>-63560</v>
      </c>
      <c r="D14" s="25">
        <f t="shared" si="0"/>
        <v>-28309</v>
      </c>
    </row>
    <row r="15" spans="1:4" x14ac:dyDescent="0.2">
      <c r="A15" s="10">
        <v>10</v>
      </c>
      <c r="B15" s="11">
        <v>-43868</v>
      </c>
      <c r="C15" s="11">
        <v>-63560</v>
      </c>
      <c r="D15" s="25">
        <f t="shared" si="0"/>
        <v>-19692</v>
      </c>
    </row>
    <row r="16" spans="1:4" x14ac:dyDescent="0.2">
      <c r="A16" s="10">
        <v>11</v>
      </c>
      <c r="B16" s="11">
        <v>-59279</v>
      </c>
      <c r="C16" s="11">
        <v>-63560</v>
      </c>
      <c r="D16" s="25">
        <f t="shared" si="0"/>
        <v>-4281</v>
      </c>
    </row>
    <row r="17" spans="1:4" x14ac:dyDescent="0.2">
      <c r="A17" s="10">
        <v>12</v>
      </c>
      <c r="B17" s="11">
        <v>-534</v>
      </c>
      <c r="C17" s="11">
        <v>-137</v>
      </c>
      <c r="D17" s="25">
        <f t="shared" si="0"/>
        <v>397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>
        <v>-3105</v>
      </c>
      <c r="C20" s="11"/>
      <c r="D20" s="25">
        <f t="shared" si="0"/>
        <v>3105</v>
      </c>
    </row>
    <row r="21" spans="1:4" x14ac:dyDescent="0.2">
      <c r="A21" s="10">
        <v>16</v>
      </c>
      <c r="B21" s="11">
        <v>-26691</v>
      </c>
      <c r="C21" s="11"/>
      <c r="D21" s="25">
        <f t="shared" si="0"/>
        <v>26691</v>
      </c>
    </row>
    <row r="22" spans="1:4" x14ac:dyDescent="0.2">
      <c r="A22" s="10">
        <v>17</v>
      </c>
      <c r="B22" s="11">
        <v>-26641</v>
      </c>
      <c r="C22" s="11"/>
      <c r="D22" s="25">
        <f t="shared" si="0"/>
        <v>26641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-245900</v>
      </c>
      <c r="C37" s="11">
        <f>SUM(C6:C36)</f>
        <v>-287297</v>
      </c>
      <c r="D37" s="25">
        <f>SUM(D6:D36)</f>
        <v>-41397</v>
      </c>
    </row>
    <row r="38" spans="1:4" x14ac:dyDescent="0.2">
      <c r="A38" s="26"/>
      <c r="C38" s="14"/>
      <c r="D38" s="424"/>
    </row>
    <row r="39" spans="1:4" x14ac:dyDescent="0.2">
      <c r="D39" s="138"/>
    </row>
    <row r="40" spans="1:4" x14ac:dyDescent="0.2">
      <c r="A40" s="57">
        <v>37042</v>
      </c>
      <c r="C40" s="15"/>
      <c r="D40" s="406">
        <v>27926</v>
      </c>
    </row>
    <row r="41" spans="1:4" x14ac:dyDescent="0.2">
      <c r="A41" s="57">
        <v>37061</v>
      </c>
      <c r="C41" s="48"/>
      <c r="D41" s="25">
        <f>+D40+D37</f>
        <v>-13471</v>
      </c>
    </row>
  </sheetData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A41" sqref="A41"/>
    </sheetView>
    <sheetView workbookViewId="2">
      <selection activeCell="D41" sqref="D41"/>
    </sheetView>
    <sheetView topLeftCell="A27" workbookViewId="3">
      <selection activeCell="C51" sqref="C51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46</v>
      </c>
    </row>
    <row r="7" spans="1:4" x14ac:dyDescent="0.2">
      <c r="A7" s="10">
        <v>1</v>
      </c>
      <c r="B7" s="11">
        <v>184558</v>
      </c>
      <c r="C7" s="11">
        <v>185282</v>
      </c>
      <c r="D7" s="25">
        <f>+C7-B7</f>
        <v>724</v>
      </c>
    </row>
    <row r="8" spans="1:4" x14ac:dyDescent="0.2">
      <c r="A8" s="10">
        <v>2</v>
      </c>
      <c r="B8" s="11">
        <v>157855</v>
      </c>
      <c r="C8" s="11">
        <v>157662</v>
      </c>
      <c r="D8" s="25">
        <f>+C8-B8</f>
        <v>-193</v>
      </c>
    </row>
    <row r="9" spans="1:4" x14ac:dyDescent="0.2">
      <c r="A9" s="10">
        <v>3</v>
      </c>
      <c r="B9" s="11">
        <v>127105</v>
      </c>
      <c r="C9" s="11">
        <v>137736</v>
      </c>
      <c r="D9" s="25">
        <f t="shared" ref="D9:D37" si="0">+C9-B9</f>
        <v>10631</v>
      </c>
    </row>
    <row r="10" spans="1:4" x14ac:dyDescent="0.2">
      <c r="A10" s="10">
        <v>4</v>
      </c>
      <c r="B10" s="11">
        <v>0</v>
      </c>
      <c r="C10" s="11">
        <v>8195</v>
      </c>
      <c r="D10" s="25">
        <f t="shared" si="0"/>
        <v>8195</v>
      </c>
    </row>
    <row r="11" spans="1:4" x14ac:dyDescent="0.2">
      <c r="A11" s="10">
        <v>5</v>
      </c>
      <c r="B11" s="11">
        <v>155159</v>
      </c>
      <c r="C11" s="11">
        <v>154972</v>
      </c>
      <c r="D11" s="25">
        <f t="shared" si="0"/>
        <v>-187</v>
      </c>
    </row>
    <row r="12" spans="1:4" x14ac:dyDescent="0.2">
      <c r="A12" s="10">
        <v>6</v>
      </c>
      <c r="B12" s="11">
        <v>157812</v>
      </c>
      <c r="C12" s="11">
        <v>157813</v>
      </c>
      <c r="D12" s="25">
        <f t="shared" si="0"/>
        <v>1</v>
      </c>
    </row>
    <row r="13" spans="1:4" x14ac:dyDescent="0.2">
      <c r="A13" s="10">
        <v>7</v>
      </c>
      <c r="B13" s="11">
        <v>140854</v>
      </c>
      <c r="C13" s="11">
        <v>142812</v>
      </c>
      <c r="D13" s="25">
        <f t="shared" si="0"/>
        <v>1958</v>
      </c>
    </row>
    <row r="14" spans="1:4" x14ac:dyDescent="0.2">
      <c r="A14" s="10">
        <v>8</v>
      </c>
      <c r="B14" s="11">
        <v>158725</v>
      </c>
      <c r="C14" s="11">
        <v>158568</v>
      </c>
      <c r="D14" s="25">
        <f t="shared" si="0"/>
        <v>-157</v>
      </c>
    </row>
    <row r="15" spans="1:4" x14ac:dyDescent="0.2">
      <c r="A15" s="10">
        <v>9</v>
      </c>
      <c r="B15" s="11">
        <v>152333</v>
      </c>
      <c r="C15" s="11">
        <v>147466</v>
      </c>
      <c r="D15" s="25">
        <f t="shared" si="0"/>
        <v>-4867</v>
      </c>
    </row>
    <row r="16" spans="1:4" x14ac:dyDescent="0.2">
      <c r="A16" s="10">
        <v>10</v>
      </c>
      <c r="B16" s="11">
        <v>150573</v>
      </c>
      <c r="C16" s="11">
        <v>147466</v>
      </c>
      <c r="D16" s="25">
        <f t="shared" si="0"/>
        <v>-3107</v>
      </c>
    </row>
    <row r="17" spans="1:4" x14ac:dyDescent="0.2">
      <c r="A17" s="10">
        <v>11</v>
      </c>
      <c r="B17" s="11">
        <v>148998</v>
      </c>
      <c r="C17" s="11">
        <v>147884</v>
      </c>
      <c r="D17" s="25">
        <f t="shared" si="0"/>
        <v>-1114</v>
      </c>
    </row>
    <row r="18" spans="1:4" x14ac:dyDescent="0.2">
      <c r="A18" s="10">
        <v>12</v>
      </c>
      <c r="B18" s="11">
        <v>140891</v>
      </c>
      <c r="C18" s="11">
        <v>135919</v>
      </c>
      <c r="D18" s="25">
        <f t="shared" si="0"/>
        <v>-4972</v>
      </c>
    </row>
    <row r="19" spans="1:4" x14ac:dyDescent="0.2">
      <c r="A19" s="10">
        <v>13</v>
      </c>
      <c r="B19" s="11">
        <v>152551</v>
      </c>
      <c r="C19" s="11">
        <v>150884</v>
      </c>
      <c r="D19" s="25">
        <f t="shared" si="0"/>
        <v>-1667</v>
      </c>
    </row>
    <row r="20" spans="1:4" x14ac:dyDescent="0.2">
      <c r="A20" s="10">
        <v>14</v>
      </c>
      <c r="B20" s="11">
        <v>181781</v>
      </c>
      <c r="C20" s="11">
        <v>181066</v>
      </c>
      <c r="D20" s="25">
        <f t="shared" si="0"/>
        <v>-715</v>
      </c>
    </row>
    <row r="21" spans="1:4" x14ac:dyDescent="0.2">
      <c r="A21" s="10">
        <v>15</v>
      </c>
      <c r="B21" s="11">
        <v>162214</v>
      </c>
      <c r="C21" s="11">
        <v>160830</v>
      </c>
      <c r="D21" s="25">
        <f t="shared" si="0"/>
        <v>-1384</v>
      </c>
    </row>
    <row r="22" spans="1:4" x14ac:dyDescent="0.2">
      <c r="A22" s="10">
        <v>16</v>
      </c>
      <c r="B22" s="11">
        <v>160106</v>
      </c>
      <c r="C22" s="11">
        <v>158439</v>
      </c>
      <c r="D22" s="25">
        <f t="shared" si="0"/>
        <v>-1667</v>
      </c>
    </row>
    <row r="23" spans="1:4" x14ac:dyDescent="0.2">
      <c r="A23" s="10">
        <v>17</v>
      </c>
      <c r="B23" s="11">
        <v>165132</v>
      </c>
      <c r="C23" s="11">
        <v>163829</v>
      </c>
      <c r="D23" s="25">
        <f t="shared" si="0"/>
        <v>-1303</v>
      </c>
    </row>
    <row r="24" spans="1:4" x14ac:dyDescent="0.2">
      <c r="A24" s="10">
        <v>18</v>
      </c>
      <c r="B24" s="11">
        <v>159445</v>
      </c>
      <c r="C24" s="11">
        <v>162307</v>
      </c>
      <c r="D24" s="25">
        <f t="shared" si="0"/>
        <v>2862</v>
      </c>
    </row>
    <row r="25" spans="1:4" x14ac:dyDescent="0.2">
      <c r="A25" s="10">
        <v>19</v>
      </c>
      <c r="B25" s="11">
        <v>143789</v>
      </c>
      <c r="C25" s="11">
        <v>142715</v>
      </c>
      <c r="D25" s="25">
        <f t="shared" si="0"/>
        <v>-1074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2799881</v>
      </c>
      <c r="C38" s="11">
        <f>SUM(C7:C37)</f>
        <v>2801845</v>
      </c>
      <c r="D38" s="11">
        <f>SUM(D7:D37)</f>
        <v>1964</v>
      </c>
    </row>
    <row r="39" spans="1:4" x14ac:dyDescent="0.2">
      <c r="A39" s="26"/>
      <c r="C39" s="14"/>
      <c r="D39" s="106">
        <f>+summary!P10</f>
        <v>2.62</v>
      </c>
    </row>
    <row r="40" spans="1:4" x14ac:dyDescent="0.2">
      <c r="D40" s="138">
        <f>+D39*D38</f>
        <v>5145.68</v>
      </c>
    </row>
    <row r="41" spans="1:4" x14ac:dyDescent="0.2">
      <c r="A41" s="57">
        <v>37042</v>
      </c>
      <c r="C41" s="15"/>
      <c r="D41" s="419">
        <v>0</v>
      </c>
    </row>
    <row r="42" spans="1:4" x14ac:dyDescent="0.2">
      <c r="A42" s="57">
        <v>37061</v>
      </c>
      <c r="D42" s="363">
        <f>+D41+D40</f>
        <v>5145.68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B41" sqref="B41"/>
    </sheetView>
    <sheetView topLeftCell="A26" workbookViewId="2">
      <selection activeCell="H35" sqref="H35"/>
    </sheetView>
    <sheetView workbookViewId="3">
      <selection activeCell="B18" sqref="B18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/>
      <c r="C5" s="11"/>
      <c r="D5" s="11"/>
      <c r="E5" s="11"/>
      <c r="F5" s="11">
        <f>+B5+D5-C5-E5</f>
        <v>0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/>
      <c r="C6" s="11"/>
      <c r="D6" s="11"/>
      <c r="E6" s="11">
        <v>3639</v>
      </c>
      <c r="F6" s="11">
        <f t="shared" ref="F6:F35" si="0">+B6+D6-C6-E6</f>
        <v>-3639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4302</v>
      </c>
      <c r="C7" s="11"/>
      <c r="D7" s="11"/>
      <c r="E7" s="11">
        <v>3639</v>
      </c>
      <c r="F7" s="11">
        <f t="shared" si="0"/>
        <v>663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/>
      <c r="C8" s="11"/>
      <c r="D8" s="11"/>
      <c r="E8" s="11">
        <v>3639</v>
      </c>
      <c r="F8" s="11">
        <f t="shared" si="0"/>
        <v>-3639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18615</v>
      </c>
      <c r="C9" s="11"/>
      <c r="D9" s="11"/>
      <c r="E9" s="11">
        <v>10000</v>
      </c>
      <c r="F9" s="11">
        <f t="shared" si="0"/>
        <v>8615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26699</v>
      </c>
      <c r="C10" s="11"/>
      <c r="D10" s="11"/>
      <c r="E10" s="11">
        <v>26000</v>
      </c>
      <c r="F10" s="11">
        <f t="shared" si="0"/>
        <v>699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>
        <v>56421</v>
      </c>
      <c r="C11" s="11"/>
      <c r="D11" s="11"/>
      <c r="E11" s="11">
        <v>55000</v>
      </c>
      <c r="F11" s="11">
        <f t="shared" si="0"/>
        <v>1421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23123</v>
      </c>
      <c r="C12" s="11"/>
      <c r="D12" s="11"/>
      <c r="E12" s="11">
        <v>22806</v>
      </c>
      <c r="F12" s="11">
        <f t="shared" si="0"/>
        <v>317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>
        <v>301</v>
      </c>
      <c r="C13" s="11"/>
      <c r="D13" s="11"/>
      <c r="E13" s="11">
        <v>2577</v>
      </c>
      <c r="F13" s="11">
        <f t="shared" si="0"/>
        <v>-2276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/>
      <c r="E14" s="11">
        <v>2577</v>
      </c>
      <c r="F14" s="11">
        <f t="shared" si="0"/>
        <v>-2577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1242</v>
      </c>
      <c r="C15" s="11"/>
      <c r="D15" s="11"/>
      <c r="E15" s="11">
        <v>2577</v>
      </c>
      <c r="F15" s="11">
        <f t="shared" si="0"/>
        <v>-1335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19627</v>
      </c>
      <c r="C16" s="11"/>
      <c r="D16" s="11"/>
      <c r="E16" s="11">
        <v>20408</v>
      </c>
      <c r="F16" s="11">
        <f t="shared" si="0"/>
        <v>-781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3631</v>
      </c>
      <c r="C17" s="11"/>
      <c r="D17" s="11"/>
      <c r="E17" s="11">
        <v>5000</v>
      </c>
      <c r="F17" s="11">
        <f t="shared" si="0"/>
        <v>-1369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17373</v>
      </c>
      <c r="C18" s="11"/>
      <c r="D18" s="11"/>
      <c r="E18" s="11">
        <v>16000</v>
      </c>
      <c r="F18" s="11">
        <f t="shared" si="0"/>
        <v>1373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63088</v>
      </c>
      <c r="C19" s="11"/>
      <c r="D19" s="11"/>
      <c r="E19" s="11">
        <v>61408</v>
      </c>
      <c r="F19" s="11">
        <f t="shared" si="0"/>
        <v>1680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15643</v>
      </c>
      <c r="C20" s="11">
        <v>11182</v>
      </c>
      <c r="D20" s="11">
        <v>77567</v>
      </c>
      <c r="E20" s="11">
        <v>80510</v>
      </c>
      <c r="F20" s="11">
        <f t="shared" si="0"/>
        <v>1518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>
        <v>11182</v>
      </c>
      <c r="D21" s="11">
        <v>92407</v>
      </c>
      <c r="E21" s="11">
        <v>80510</v>
      </c>
      <c r="F21" s="11">
        <f t="shared" si="0"/>
        <v>715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>
        <v>37058</v>
      </c>
      <c r="C22" s="11">
        <v>922</v>
      </c>
      <c r="D22" s="11">
        <v>45734</v>
      </c>
      <c r="E22" s="11">
        <v>80510</v>
      </c>
      <c r="F22" s="11">
        <f t="shared" si="0"/>
        <v>1360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>
        <v>157</v>
      </c>
      <c r="E23" s="11">
        <v>6000</v>
      </c>
      <c r="F23" s="11">
        <f t="shared" si="0"/>
        <v>-5843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287123</v>
      </c>
      <c r="C36" s="44">
        <f>SUM(C5:C35)</f>
        <v>23286</v>
      </c>
      <c r="D36" s="43">
        <f>SUM(D5:D35)</f>
        <v>215865</v>
      </c>
      <c r="E36" s="44">
        <f>SUM(E5:E35)</f>
        <v>482800</v>
      </c>
      <c r="F36" s="11">
        <f>SUM(F5:F35)</f>
        <v>-3098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263837</v>
      </c>
      <c r="D37" s="24"/>
      <c r="E37" s="24">
        <f>+D36-E36</f>
        <v>-266935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37042</v>
      </c>
      <c r="C41" s="14"/>
      <c r="D41" s="50"/>
      <c r="E41" s="50"/>
      <c r="F41" s="248">
        <v>61895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37061</v>
      </c>
      <c r="C42" s="14"/>
      <c r="D42" s="50"/>
      <c r="E42" s="50"/>
      <c r="F42" s="51">
        <f>+F41+F36</f>
        <v>58797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26" workbookViewId="1">
      <selection activeCell="C12" sqref="C12"/>
    </sheetView>
    <sheetView topLeftCell="A26" workbookViewId="2">
      <selection activeCell="D38" sqref="D38"/>
    </sheetView>
    <sheetView topLeftCell="A26" workbookViewId="3">
      <selection activeCell="C47" sqref="C47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199560</v>
      </c>
      <c r="C4" s="11">
        <v>201126</v>
      </c>
      <c r="D4" s="25">
        <f>+C4-B4</f>
        <v>1566</v>
      </c>
    </row>
    <row r="5" spans="1:4" x14ac:dyDescent="0.2">
      <c r="A5" s="10">
        <v>2</v>
      </c>
      <c r="B5" s="11">
        <v>147248</v>
      </c>
      <c r="C5" s="11">
        <v>148629</v>
      </c>
      <c r="D5" s="25">
        <f t="shared" ref="D5:D34" si="0">+C5-B5</f>
        <v>1381</v>
      </c>
    </row>
    <row r="6" spans="1:4" x14ac:dyDescent="0.2">
      <c r="A6" s="10">
        <v>3</v>
      </c>
      <c r="B6" s="11">
        <v>192955</v>
      </c>
      <c r="C6" s="11">
        <v>194271</v>
      </c>
      <c r="D6" s="25">
        <f t="shared" si="0"/>
        <v>1316</v>
      </c>
    </row>
    <row r="7" spans="1:4" x14ac:dyDescent="0.2">
      <c r="A7" s="10">
        <v>4</v>
      </c>
      <c r="B7" s="11">
        <v>192652</v>
      </c>
      <c r="C7" s="11">
        <v>193485</v>
      </c>
      <c r="D7" s="25">
        <f t="shared" si="0"/>
        <v>833</v>
      </c>
    </row>
    <row r="8" spans="1:4" x14ac:dyDescent="0.2">
      <c r="A8" s="10">
        <v>5</v>
      </c>
      <c r="B8" s="11">
        <v>169009</v>
      </c>
      <c r="C8" s="11">
        <v>165596</v>
      </c>
      <c r="D8" s="25">
        <f t="shared" si="0"/>
        <v>-3413</v>
      </c>
    </row>
    <row r="9" spans="1:4" x14ac:dyDescent="0.2">
      <c r="A9" s="10">
        <v>6</v>
      </c>
      <c r="B9" s="11">
        <v>114940</v>
      </c>
      <c r="C9" s="11">
        <v>116973</v>
      </c>
      <c r="D9" s="25">
        <f t="shared" si="0"/>
        <v>2033</v>
      </c>
    </row>
    <row r="10" spans="1:4" x14ac:dyDescent="0.2">
      <c r="A10" s="10">
        <v>7</v>
      </c>
      <c r="B10" s="11">
        <v>160759</v>
      </c>
      <c r="C10" s="11">
        <v>162355</v>
      </c>
      <c r="D10" s="25">
        <f t="shared" si="0"/>
        <v>1596</v>
      </c>
    </row>
    <row r="11" spans="1:4" x14ac:dyDescent="0.2">
      <c r="A11" s="10">
        <v>8</v>
      </c>
      <c r="B11" s="11">
        <v>98370</v>
      </c>
      <c r="C11" s="11">
        <v>98207</v>
      </c>
      <c r="D11" s="25">
        <f t="shared" si="0"/>
        <v>-163</v>
      </c>
    </row>
    <row r="12" spans="1:4" x14ac:dyDescent="0.2">
      <c r="A12" s="10">
        <v>9</v>
      </c>
      <c r="B12" s="11">
        <v>62643</v>
      </c>
      <c r="C12" s="11">
        <v>63670</v>
      </c>
      <c r="D12" s="25">
        <f t="shared" si="0"/>
        <v>1027</v>
      </c>
    </row>
    <row r="13" spans="1:4" x14ac:dyDescent="0.2">
      <c r="A13" s="10">
        <v>10</v>
      </c>
      <c r="B13" s="11">
        <v>91985</v>
      </c>
      <c r="C13" s="11">
        <v>93377</v>
      </c>
      <c r="D13" s="25">
        <f t="shared" si="0"/>
        <v>1392</v>
      </c>
    </row>
    <row r="14" spans="1:4" x14ac:dyDescent="0.2">
      <c r="A14" s="10">
        <v>11</v>
      </c>
      <c r="B14" s="11">
        <v>102048</v>
      </c>
      <c r="C14" s="11">
        <v>103020</v>
      </c>
      <c r="D14" s="25">
        <f t="shared" si="0"/>
        <v>972</v>
      </c>
    </row>
    <row r="15" spans="1:4" x14ac:dyDescent="0.2">
      <c r="A15" s="10">
        <v>12</v>
      </c>
      <c r="B15" s="11">
        <v>66395</v>
      </c>
      <c r="C15" s="11">
        <v>66527</v>
      </c>
      <c r="D15" s="25">
        <f t="shared" si="0"/>
        <v>132</v>
      </c>
    </row>
    <row r="16" spans="1:4" x14ac:dyDescent="0.2">
      <c r="A16" s="10">
        <v>13</v>
      </c>
      <c r="B16" s="11">
        <v>82203</v>
      </c>
      <c r="C16" s="11">
        <v>82687</v>
      </c>
      <c r="D16" s="25">
        <f t="shared" si="0"/>
        <v>484</v>
      </c>
    </row>
    <row r="17" spans="1:4" x14ac:dyDescent="0.2">
      <c r="A17" s="10">
        <v>14</v>
      </c>
      <c r="B17" s="11">
        <v>24040</v>
      </c>
      <c r="C17" s="11">
        <v>26899</v>
      </c>
      <c r="D17" s="25">
        <f t="shared" si="0"/>
        <v>2859</v>
      </c>
    </row>
    <row r="18" spans="1:4" x14ac:dyDescent="0.2">
      <c r="A18" s="10">
        <v>15</v>
      </c>
      <c r="B18" s="11">
        <v>89433</v>
      </c>
      <c r="C18" s="11">
        <v>90967</v>
      </c>
      <c r="D18" s="25">
        <f t="shared" si="0"/>
        <v>1534</v>
      </c>
    </row>
    <row r="19" spans="1:4" x14ac:dyDescent="0.2">
      <c r="A19" s="10">
        <v>16</v>
      </c>
      <c r="B19" s="11">
        <v>74986</v>
      </c>
      <c r="C19" s="11">
        <v>75328</v>
      </c>
      <c r="D19" s="25">
        <f t="shared" si="0"/>
        <v>342</v>
      </c>
    </row>
    <row r="20" spans="1:4" x14ac:dyDescent="0.2">
      <c r="A20" s="10">
        <v>17</v>
      </c>
      <c r="B20" s="11">
        <v>55046</v>
      </c>
      <c r="C20" s="11">
        <v>56156</v>
      </c>
      <c r="D20" s="25">
        <f t="shared" si="0"/>
        <v>1110</v>
      </c>
    </row>
    <row r="21" spans="1:4" x14ac:dyDescent="0.2">
      <c r="A21" s="10">
        <v>18</v>
      </c>
      <c r="B21" s="11">
        <v>58054</v>
      </c>
      <c r="C21" s="11">
        <v>58951</v>
      </c>
      <c r="D21" s="25">
        <f t="shared" si="0"/>
        <v>897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1982326</v>
      </c>
      <c r="C35" s="11">
        <f>SUM(C4:C34)</f>
        <v>1998224</v>
      </c>
      <c r="D35" s="11">
        <f>SUM(D4:D34)</f>
        <v>15898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0">
        <v>37042</v>
      </c>
      <c r="D38" s="248">
        <v>-10045</v>
      </c>
    </row>
    <row r="39" spans="1:30" x14ac:dyDescent="0.2">
      <c r="A39" s="12"/>
      <c r="D39" s="24"/>
    </row>
    <row r="40" spans="1:30" x14ac:dyDescent="0.2">
      <c r="A40" s="250">
        <v>37060</v>
      </c>
      <c r="D40" s="24">
        <f>+D38+D35</f>
        <v>5853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39" sqref="C39"/>
    </sheetView>
    <sheetView topLeftCell="A26" workbookViewId="2">
      <selection activeCell="D38" sqref="D38"/>
    </sheetView>
    <sheetView workbookViewId="3">
      <selection activeCell="E21" sqref="E21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12</v>
      </c>
      <c r="B3" s="6" t="s">
        <v>22</v>
      </c>
      <c r="C3" s="6" t="s">
        <v>21</v>
      </c>
      <c r="D3" s="6" t="s">
        <v>22</v>
      </c>
      <c r="E3" s="6" t="s">
        <v>21</v>
      </c>
      <c r="H3" s="5"/>
      <c r="I3" s="6"/>
    </row>
    <row r="4" spans="1:11" x14ac:dyDescent="0.2">
      <c r="A4" s="10">
        <v>1</v>
      </c>
      <c r="B4" s="11">
        <v>782950</v>
      </c>
      <c r="C4" s="11">
        <v>779895</v>
      </c>
      <c r="D4" s="11">
        <v>30000</v>
      </c>
      <c r="E4" s="11">
        <v>29986</v>
      </c>
      <c r="F4" s="25">
        <f>+C4-B4+E4-D4</f>
        <v>-3069</v>
      </c>
      <c r="H4" s="10"/>
      <c r="I4" s="11"/>
    </row>
    <row r="5" spans="1:11" x14ac:dyDescent="0.2">
      <c r="A5" s="10">
        <v>2</v>
      </c>
      <c r="B5" s="11">
        <v>812800</v>
      </c>
      <c r="C5" s="11">
        <v>819915</v>
      </c>
      <c r="D5" s="11">
        <v>30000</v>
      </c>
      <c r="E5" s="11">
        <v>30022</v>
      </c>
      <c r="F5" s="25">
        <f t="shared" ref="F5:F34" si="0">+C5-B5+E5-D5</f>
        <v>7137</v>
      </c>
      <c r="H5" s="10"/>
      <c r="I5" s="11"/>
    </row>
    <row r="6" spans="1:11" x14ac:dyDescent="0.2">
      <c r="A6" s="10">
        <v>3</v>
      </c>
      <c r="B6" s="11">
        <v>804876</v>
      </c>
      <c r="C6" s="11">
        <v>803751</v>
      </c>
      <c r="D6" s="11"/>
      <c r="E6" s="11">
        <v>698</v>
      </c>
      <c r="F6" s="25">
        <f t="shared" si="0"/>
        <v>-427</v>
      </c>
      <c r="H6" s="10"/>
      <c r="I6" s="11"/>
    </row>
    <row r="7" spans="1:11" x14ac:dyDescent="0.2">
      <c r="A7" s="10">
        <v>4</v>
      </c>
      <c r="B7" s="11">
        <v>812800</v>
      </c>
      <c r="C7" s="11">
        <v>808945</v>
      </c>
      <c r="D7" s="11"/>
      <c r="E7" s="11"/>
      <c r="F7" s="25">
        <f t="shared" si="0"/>
        <v>-3855</v>
      </c>
      <c r="H7" s="10"/>
      <c r="I7" s="11"/>
      <c r="K7" s="25"/>
    </row>
    <row r="8" spans="1:11" x14ac:dyDescent="0.2">
      <c r="A8" s="10">
        <v>5</v>
      </c>
      <c r="B8" s="11">
        <v>810400</v>
      </c>
      <c r="C8" s="11">
        <v>807889</v>
      </c>
      <c r="D8" s="11"/>
      <c r="E8" s="11"/>
      <c r="F8" s="25">
        <f t="shared" si="0"/>
        <v>-2511</v>
      </c>
      <c r="H8" s="10"/>
      <c r="I8" s="11"/>
    </row>
    <row r="9" spans="1:11" x14ac:dyDescent="0.2">
      <c r="A9" s="10">
        <v>6</v>
      </c>
      <c r="B9" s="11">
        <v>813600</v>
      </c>
      <c r="C9" s="11">
        <v>791590</v>
      </c>
      <c r="D9" s="11">
        <v>20000</v>
      </c>
      <c r="E9" s="11">
        <v>21853</v>
      </c>
      <c r="F9" s="25">
        <f t="shared" si="0"/>
        <v>-20157</v>
      </c>
      <c r="H9" s="10"/>
      <c r="I9" s="11"/>
    </row>
    <row r="10" spans="1:11" x14ac:dyDescent="0.2">
      <c r="A10" s="10">
        <v>7</v>
      </c>
      <c r="B10" s="11">
        <v>813594</v>
      </c>
      <c r="C10" s="11">
        <v>805336</v>
      </c>
      <c r="D10" s="11"/>
      <c r="E10" s="11">
        <v>388</v>
      </c>
      <c r="F10" s="25">
        <f t="shared" si="0"/>
        <v>-7870</v>
      </c>
      <c r="H10" s="10"/>
      <c r="I10" s="11"/>
    </row>
    <row r="11" spans="1:11" x14ac:dyDescent="0.2">
      <c r="A11" s="10">
        <v>8</v>
      </c>
      <c r="B11" s="11">
        <v>767678</v>
      </c>
      <c r="C11" s="11">
        <v>779447</v>
      </c>
      <c r="D11" s="11">
        <v>20000</v>
      </c>
      <c r="E11" s="11">
        <v>20777</v>
      </c>
      <c r="F11" s="25">
        <f t="shared" si="0"/>
        <v>12546</v>
      </c>
      <c r="H11" s="10"/>
      <c r="I11" s="11"/>
    </row>
    <row r="12" spans="1:11" x14ac:dyDescent="0.2">
      <c r="A12" s="10">
        <v>9</v>
      </c>
      <c r="B12" s="11">
        <v>591120</v>
      </c>
      <c r="C12" s="11">
        <v>619044</v>
      </c>
      <c r="D12" s="11">
        <v>50000</v>
      </c>
      <c r="E12" s="11">
        <v>48771</v>
      </c>
      <c r="F12" s="25">
        <f t="shared" si="0"/>
        <v>26695</v>
      </c>
      <c r="H12" s="10"/>
      <c r="I12" s="11"/>
    </row>
    <row r="13" spans="1:11" x14ac:dyDescent="0.2">
      <c r="A13" s="10">
        <v>10</v>
      </c>
      <c r="B13" s="11">
        <v>591120</v>
      </c>
      <c r="C13" s="11">
        <v>599411</v>
      </c>
      <c r="D13" s="11">
        <v>20000</v>
      </c>
      <c r="E13" s="11">
        <v>20881</v>
      </c>
      <c r="F13" s="25">
        <f t="shared" si="0"/>
        <v>9172</v>
      </c>
      <c r="H13" s="10"/>
      <c r="I13" s="11"/>
    </row>
    <row r="14" spans="1:11" x14ac:dyDescent="0.2">
      <c r="A14" s="10">
        <v>11</v>
      </c>
      <c r="B14" s="11">
        <v>803925</v>
      </c>
      <c r="C14" s="11">
        <v>778362</v>
      </c>
      <c r="D14" s="11">
        <v>20000</v>
      </c>
      <c r="E14" s="11">
        <v>19954</v>
      </c>
      <c r="F14" s="25">
        <f t="shared" si="0"/>
        <v>-25609</v>
      </c>
      <c r="H14" s="10"/>
      <c r="I14" s="11"/>
    </row>
    <row r="15" spans="1:11" x14ac:dyDescent="0.2">
      <c r="A15" s="10">
        <v>12</v>
      </c>
      <c r="B15" s="11">
        <v>811200</v>
      </c>
      <c r="C15" s="11">
        <v>803990</v>
      </c>
      <c r="D15" s="11">
        <v>4700</v>
      </c>
      <c r="E15" s="11">
        <v>4657</v>
      </c>
      <c r="F15" s="25">
        <f t="shared" si="0"/>
        <v>-7253</v>
      </c>
      <c r="H15" s="10"/>
      <c r="I15" s="11"/>
    </row>
    <row r="16" spans="1:11" x14ac:dyDescent="0.2">
      <c r="A16" s="10">
        <v>13</v>
      </c>
      <c r="B16" s="11">
        <v>810400</v>
      </c>
      <c r="C16" s="11">
        <v>791338</v>
      </c>
      <c r="D16" s="11"/>
      <c r="E16" s="11">
        <v>19406</v>
      </c>
      <c r="F16" s="25">
        <f t="shared" si="0"/>
        <v>344</v>
      </c>
      <c r="H16" s="10"/>
      <c r="I16" s="11"/>
      <c r="K16" s="25"/>
    </row>
    <row r="17" spans="1:11" x14ac:dyDescent="0.2">
      <c r="A17" s="10">
        <v>14</v>
      </c>
      <c r="B17" s="11">
        <v>792272</v>
      </c>
      <c r="C17" s="11">
        <v>787949</v>
      </c>
      <c r="D17" s="11"/>
      <c r="E17" s="11">
        <v>8191</v>
      </c>
      <c r="F17" s="25">
        <f t="shared" si="0"/>
        <v>3868</v>
      </c>
      <c r="H17" s="10"/>
      <c r="I17" s="11"/>
    </row>
    <row r="18" spans="1:11" x14ac:dyDescent="0.2">
      <c r="A18" s="10">
        <v>15</v>
      </c>
      <c r="B18" s="11">
        <v>719280</v>
      </c>
      <c r="C18" s="11">
        <v>724681</v>
      </c>
      <c r="D18" s="11"/>
      <c r="E18" s="11">
        <v>1</v>
      </c>
      <c r="F18" s="25">
        <f t="shared" si="0"/>
        <v>5402</v>
      </c>
      <c r="H18" s="10"/>
      <c r="I18" s="11"/>
    </row>
    <row r="19" spans="1:11" x14ac:dyDescent="0.2">
      <c r="A19" s="10">
        <v>16</v>
      </c>
      <c r="B19" s="11">
        <v>571356</v>
      </c>
      <c r="C19" s="11">
        <v>601963</v>
      </c>
      <c r="D19" s="11">
        <v>11800</v>
      </c>
      <c r="E19" s="11">
        <v>12127</v>
      </c>
      <c r="F19" s="25">
        <f t="shared" si="0"/>
        <v>30934</v>
      </c>
      <c r="H19" s="10"/>
      <c r="I19" s="11"/>
    </row>
    <row r="20" spans="1:11" x14ac:dyDescent="0.2">
      <c r="A20" s="10">
        <v>17</v>
      </c>
      <c r="B20" s="11">
        <v>590611</v>
      </c>
      <c r="C20" s="11">
        <v>599439</v>
      </c>
      <c r="D20" s="11">
        <v>25000</v>
      </c>
      <c r="E20" s="11">
        <v>24976</v>
      </c>
      <c r="F20" s="25">
        <f t="shared" si="0"/>
        <v>8804</v>
      </c>
      <c r="H20" s="10"/>
      <c r="I20" s="11"/>
    </row>
    <row r="21" spans="1:11" x14ac:dyDescent="0.2">
      <c r="A21" s="10">
        <v>18</v>
      </c>
      <c r="B21" s="11">
        <v>810004</v>
      </c>
      <c r="C21" s="11">
        <v>792293</v>
      </c>
      <c r="D21" s="11"/>
      <c r="E21" s="11">
        <v>10026</v>
      </c>
      <c r="F21" s="25">
        <f t="shared" si="0"/>
        <v>-7685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13509986</v>
      </c>
      <c r="C35" s="11">
        <f>SUM(C4:C34)</f>
        <v>13495238</v>
      </c>
      <c r="D35" s="11">
        <f>SUM(D4:D34)</f>
        <v>231500</v>
      </c>
      <c r="E35" s="11">
        <f>SUM(E4:E34)</f>
        <v>272714</v>
      </c>
      <c r="F35" s="11">
        <f>SUM(F4:F34)</f>
        <v>26466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37042</v>
      </c>
      <c r="F38" s="407">
        <v>-21565</v>
      </c>
    </row>
    <row r="39" spans="1:45" x14ac:dyDescent="0.2">
      <c r="A39" s="2"/>
      <c r="F39" s="24"/>
    </row>
    <row r="40" spans="1:45" x14ac:dyDescent="0.2">
      <c r="A40" s="57">
        <v>37060</v>
      </c>
      <c r="F40" s="51">
        <f>+F38+F35</f>
        <v>4901</v>
      </c>
    </row>
    <row r="42" spans="1:45" x14ac:dyDescent="0.2">
      <c r="AF42" s="319"/>
      <c r="AG42" s="319"/>
      <c r="AH42" s="319"/>
      <c r="AI42" s="319"/>
      <c r="AJ42" s="319"/>
      <c r="AK42" s="319"/>
      <c r="AL42" s="319"/>
      <c r="AM42" s="319"/>
      <c r="AN42" s="319"/>
      <c r="AO42" s="319"/>
      <c r="AP42" s="319"/>
      <c r="AQ42" s="319"/>
      <c r="AR42" s="319"/>
      <c r="AS42" s="319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0"/>
      <c r="AG43" s="319"/>
      <c r="AH43" s="319"/>
      <c r="AI43" s="321"/>
      <c r="AJ43" s="320"/>
      <c r="AK43" s="319"/>
      <c r="AL43" s="319"/>
      <c r="AM43" s="321"/>
      <c r="AN43" s="320"/>
      <c r="AO43" s="319"/>
      <c r="AP43" s="319"/>
      <c r="AQ43" s="319"/>
      <c r="AR43" s="319"/>
      <c r="AS43" s="319"/>
    </row>
    <row r="44" spans="1:45" x14ac:dyDescent="0.2">
      <c r="K44"/>
      <c r="AF44" s="319"/>
      <c r="AG44" s="319"/>
      <c r="AH44" s="319"/>
      <c r="AI44" s="319"/>
      <c r="AJ44" s="319"/>
      <c r="AK44" s="319"/>
      <c r="AL44" s="319"/>
      <c r="AM44" s="319"/>
      <c r="AN44" s="319"/>
      <c r="AO44" s="319"/>
      <c r="AP44" s="319"/>
      <c r="AQ44" s="319"/>
      <c r="AR44" s="319"/>
      <c r="AS44" s="319"/>
    </row>
    <row r="45" spans="1:45" x14ac:dyDescent="0.2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22"/>
      <c r="AG45" s="322"/>
      <c r="AH45" s="319"/>
      <c r="AI45" s="323"/>
      <c r="AJ45" s="322"/>
      <c r="AK45" s="322"/>
      <c r="AL45" s="319"/>
      <c r="AM45" s="323"/>
      <c r="AN45" s="322"/>
      <c r="AO45" s="322"/>
      <c r="AP45" s="319"/>
      <c r="AQ45" s="319"/>
      <c r="AR45" s="319"/>
      <c r="AS45" s="319"/>
    </row>
    <row r="46" spans="1:45" x14ac:dyDescent="0.2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24"/>
      <c r="AG46" s="324"/>
      <c r="AH46" s="325"/>
      <c r="AI46" s="326"/>
      <c r="AJ46" s="324"/>
      <c r="AK46" s="324"/>
      <c r="AL46" s="325"/>
      <c r="AM46" s="326"/>
      <c r="AN46" s="324"/>
      <c r="AO46" s="324"/>
      <c r="AP46" s="325"/>
      <c r="AQ46" s="319"/>
      <c r="AR46" s="319"/>
      <c r="AS46" s="319"/>
    </row>
    <row r="47" spans="1:45" x14ac:dyDescent="0.2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24"/>
      <c r="AG47" s="324"/>
      <c r="AH47" s="325"/>
      <c r="AI47" s="326"/>
      <c r="AJ47" s="324"/>
      <c r="AK47" s="324"/>
      <c r="AL47" s="325"/>
      <c r="AM47" s="326"/>
      <c r="AN47" s="324"/>
      <c r="AO47" s="324"/>
      <c r="AP47" s="325"/>
      <c r="AQ47" s="319"/>
      <c r="AR47" s="319"/>
      <c r="AS47" s="319"/>
    </row>
    <row r="48" spans="1:45" x14ac:dyDescent="0.2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24"/>
      <c r="AG48" s="324"/>
      <c r="AH48" s="325"/>
      <c r="AI48" s="326"/>
      <c r="AJ48" s="324"/>
      <c r="AK48" s="324"/>
      <c r="AL48" s="325"/>
      <c r="AM48" s="326"/>
      <c r="AN48" s="324"/>
      <c r="AO48" s="324"/>
      <c r="AP48" s="325"/>
      <c r="AQ48" s="319"/>
      <c r="AR48" s="319"/>
      <c r="AS48" s="319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24"/>
      <c r="AG49" s="324"/>
      <c r="AH49" s="325"/>
      <c r="AI49" s="326"/>
      <c r="AJ49" s="324"/>
      <c r="AK49" s="324"/>
      <c r="AL49" s="325"/>
      <c r="AM49" s="326"/>
      <c r="AN49" s="324"/>
      <c r="AO49" s="324"/>
      <c r="AP49" s="325"/>
      <c r="AQ49" s="319"/>
      <c r="AR49" s="319"/>
      <c r="AS49" s="319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24"/>
      <c r="AG50" s="324"/>
      <c r="AH50" s="325"/>
      <c r="AI50" s="326"/>
      <c r="AJ50" s="324"/>
      <c r="AK50" s="324"/>
      <c r="AL50" s="325"/>
      <c r="AM50" s="326"/>
      <c r="AN50" s="324"/>
      <c r="AO50" s="324"/>
      <c r="AP50" s="325"/>
      <c r="AQ50" s="319"/>
      <c r="AR50" s="319"/>
      <c r="AS50" s="319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24"/>
      <c r="AG51" s="324"/>
      <c r="AH51" s="325"/>
      <c r="AI51" s="326"/>
      <c r="AJ51" s="324"/>
      <c r="AK51" s="324"/>
      <c r="AL51" s="325"/>
      <c r="AM51" s="326"/>
      <c r="AN51" s="324"/>
      <c r="AO51" s="324"/>
      <c r="AP51" s="325"/>
      <c r="AQ51" s="319"/>
      <c r="AR51" s="319"/>
      <c r="AS51" s="319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24"/>
      <c r="AG52" s="324"/>
      <c r="AH52" s="325"/>
      <c r="AI52" s="326"/>
      <c r="AJ52" s="324"/>
      <c r="AK52" s="324"/>
      <c r="AL52" s="325"/>
      <c r="AM52" s="326"/>
      <c r="AN52" s="324"/>
      <c r="AO52" s="324"/>
      <c r="AP52" s="325"/>
      <c r="AQ52" s="319"/>
      <c r="AR52" s="319"/>
      <c r="AS52" s="319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24"/>
      <c r="AG53" s="324"/>
      <c r="AH53" s="325"/>
      <c r="AI53" s="326"/>
      <c r="AJ53" s="324"/>
      <c r="AK53" s="324"/>
      <c r="AL53" s="325"/>
      <c r="AM53" s="326"/>
      <c r="AN53" s="324"/>
      <c r="AO53" s="324"/>
      <c r="AP53" s="325"/>
      <c r="AQ53" s="319"/>
      <c r="AR53" s="319"/>
      <c r="AS53" s="319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24"/>
      <c r="AG54" s="324"/>
      <c r="AH54" s="325"/>
      <c r="AI54" s="326"/>
      <c r="AJ54" s="324"/>
      <c r="AK54" s="324"/>
      <c r="AL54" s="325"/>
      <c r="AM54" s="326"/>
      <c r="AN54" s="324"/>
      <c r="AO54" s="324"/>
      <c r="AP54" s="325"/>
      <c r="AQ54" s="319"/>
      <c r="AR54" s="319"/>
      <c r="AS54" s="319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24"/>
      <c r="AG55" s="324"/>
      <c r="AH55" s="325"/>
      <c r="AI55" s="326"/>
      <c r="AJ55" s="324"/>
      <c r="AK55" s="324"/>
      <c r="AL55" s="325"/>
      <c r="AM55" s="326"/>
      <c r="AN55" s="324"/>
      <c r="AO55" s="324"/>
      <c r="AP55" s="325"/>
      <c r="AQ55" s="319"/>
      <c r="AR55" s="319"/>
      <c r="AS55" s="319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24"/>
      <c r="AG56" s="324"/>
      <c r="AH56" s="325"/>
      <c r="AI56" s="326"/>
      <c r="AJ56" s="324"/>
      <c r="AK56" s="324"/>
      <c r="AL56" s="325"/>
      <c r="AM56" s="326"/>
      <c r="AN56" s="324"/>
      <c r="AO56" s="324"/>
      <c r="AP56" s="325"/>
      <c r="AQ56" s="319"/>
      <c r="AR56" s="319"/>
      <c r="AS56" s="319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24"/>
      <c r="AG57" s="324"/>
      <c r="AH57" s="325"/>
      <c r="AI57" s="326"/>
      <c r="AJ57" s="324"/>
      <c r="AK57" s="324"/>
      <c r="AL57" s="325"/>
      <c r="AM57" s="326"/>
      <c r="AN57" s="324"/>
      <c r="AO57" s="324"/>
      <c r="AP57" s="325"/>
      <c r="AQ57" s="319"/>
      <c r="AR57" s="319"/>
      <c r="AS57" s="319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24"/>
      <c r="AG58" s="324"/>
      <c r="AH58" s="325"/>
      <c r="AI58" s="326"/>
      <c r="AJ58" s="324"/>
      <c r="AK58" s="324"/>
      <c r="AL58" s="325"/>
      <c r="AM58" s="326"/>
      <c r="AN58" s="324"/>
      <c r="AO58" s="324"/>
      <c r="AP58" s="325"/>
      <c r="AQ58" s="319"/>
      <c r="AR58" s="319"/>
      <c r="AS58" s="319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24"/>
      <c r="AG59" s="324"/>
      <c r="AH59" s="325"/>
      <c r="AI59" s="326"/>
      <c r="AJ59" s="324"/>
      <c r="AK59" s="324"/>
      <c r="AL59" s="325"/>
      <c r="AM59" s="326"/>
      <c r="AN59" s="324"/>
      <c r="AO59" s="324"/>
      <c r="AP59" s="325"/>
      <c r="AQ59" s="319"/>
      <c r="AR59" s="319"/>
      <c r="AS59" s="319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24"/>
      <c r="AG60" s="324"/>
      <c r="AH60" s="325"/>
      <c r="AI60" s="326"/>
      <c r="AJ60" s="324"/>
      <c r="AK60" s="324"/>
      <c r="AL60" s="325"/>
      <c r="AM60" s="326"/>
      <c r="AN60" s="324"/>
      <c r="AO60" s="324"/>
      <c r="AP60" s="325"/>
      <c r="AQ60" s="319"/>
      <c r="AR60" s="319"/>
      <c r="AS60" s="319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24"/>
      <c r="AG61" s="324"/>
      <c r="AH61" s="325"/>
      <c r="AI61" s="326"/>
      <c r="AJ61" s="324"/>
      <c r="AK61" s="324"/>
      <c r="AL61" s="325"/>
      <c r="AM61" s="326"/>
      <c r="AN61" s="324"/>
      <c r="AO61" s="324"/>
      <c r="AP61" s="325"/>
      <c r="AQ61" s="319"/>
      <c r="AR61" s="319"/>
      <c r="AS61" s="319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24"/>
      <c r="AG62" s="324"/>
      <c r="AH62" s="325"/>
      <c r="AI62" s="326"/>
      <c r="AJ62" s="324"/>
      <c r="AK62" s="324"/>
      <c r="AL62" s="325"/>
      <c r="AM62" s="326"/>
      <c r="AN62" s="324"/>
      <c r="AO62" s="324"/>
      <c r="AP62" s="325"/>
      <c r="AQ62" s="319"/>
      <c r="AR62" s="319"/>
      <c r="AS62" s="319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24"/>
      <c r="AG63" s="324"/>
      <c r="AH63" s="325"/>
      <c r="AI63" s="326"/>
      <c r="AJ63" s="324"/>
      <c r="AK63" s="324"/>
      <c r="AL63" s="325"/>
      <c r="AM63" s="326"/>
      <c r="AN63" s="324"/>
      <c r="AO63" s="324"/>
      <c r="AP63" s="325"/>
      <c r="AQ63" s="319"/>
      <c r="AR63" s="319"/>
      <c r="AS63" s="319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24"/>
      <c r="AG64" s="324"/>
      <c r="AH64" s="325"/>
      <c r="AI64" s="326"/>
      <c r="AJ64" s="324"/>
      <c r="AK64" s="324"/>
      <c r="AL64" s="325"/>
      <c r="AM64" s="326"/>
      <c r="AN64" s="324"/>
      <c r="AO64" s="324"/>
      <c r="AP64" s="325"/>
      <c r="AQ64" s="319"/>
      <c r="AR64" s="319"/>
      <c r="AS64" s="319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24"/>
      <c r="AG65" s="324"/>
      <c r="AH65" s="325"/>
      <c r="AI65" s="326"/>
      <c r="AJ65" s="324"/>
      <c r="AK65" s="324"/>
      <c r="AL65" s="325"/>
      <c r="AM65" s="326"/>
      <c r="AN65" s="324"/>
      <c r="AO65" s="324"/>
      <c r="AP65" s="325"/>
      <c r="AQ65" s="319"/>
      <c r="AR65" s="319"/>
      <c r="AS65" s="319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24"/>
      <c r="AG66" s="324"/>
      <c r="AH66" s="325"/>
      <c r="AI66" s="326"/>
      <c r="AJ66" s="324"/>
      <c r="AK66" s="324"/>
      <c r="AL66" s="325"/>
      <c r="AM66" s="326"/>
      <c r="AN66" s="324"/>
      <c r="AO66" s="324"/>
      <c r="AP66" s="325"/>
      <c r="AQ66" s="319"/>
      <c r="AR66" s="319"/>
      <c r="AS66" s="319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24"/>
      <c r="AG67" s="324"/>
      <c r="AH67" s="325"/>
      <c r="AI67" s="326"/>
      <c r="AJ67" s="324"/>
      <c r="AK67" s="324"/>
      <c r="AL67" s="325"/>
      <c r="AM67" s="326"/>
      <c r="AN67" s="324"/>
      <c r="AO67" s="324"/>
      <c r="AP67" s="325"/>
      <c r="AQ67" s="319"/>
      <c r="AR67" s="319"/>
      <c r="AS67" s="319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24"/>
      <c r="AG68" s="324"/>
      <c r="AH68" s="325"/>
      <c r="AI68" s="326"/>
      <c r="AJ68" s="324"/>
      <c r="AK68" s="324"/>
      <c r="AL68" s="325"/>
      <c r="AM68" s="326"/>
      <c r="AN68" s="324"/>
      <c r="AO68" s="324"/>
      <c r="AP68" s="325"/>
      <c r="AQ68" s="319"/>
      <c r="AR68" s="319"/>
      <c r="AS68" s="319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24"/>
      <c r="AG69" s="324"/>
      <c r="AH69" s="325"/>
      <c r="AI69" s="326"/>
      <c r="AJ69" s="324"/>
      <c r="AK69" s="324"/>
      <c r="AL69" s="325"/>
      <c r="AM69" s="326"/>
      <c r="AN69" s="324"/>
      <c r="AO69" s="324"/>
      <c r="AP69" s="325"/>
      <c r="AQ69" s="319"/>
      <c r="AR69" s="319"/>
      <c r="AS69" s="319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24"/>
      <c r="AG70" s="324"/>
      <c r="AH70" s="325"/>
      <c r="AI70" s="326"/>
      <c r="AJ70" s="324"/>
      <c r="AK70" s="324"/>
      <c r="AL70" s="325"/>
      <c r="AM70" s="326"/>
      <c r="AN70" s="324"/>
      <c r="AO70" s="324"/>
      <c r="AP70" s="325"/>
      <c r="AQ70" s="319"/>
      <c r="AR70" s="319"/>
      <c r="AS70" s="319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24"/>
      <c r="AG71" s="324"/>
      <c r="AH71" s="325"/>
      <c r="AI71" s="326"/>
      <c r="AJ71" s="324"/>
      <c r="AK71" s="324"/>
      <c r="AL71" s="325"/>
      <c r="AM71" s="326"/>
      <c r="AN71" s="324"/>
      <c r="AO71" s="324"/>
      <c r="AP71" s="325"/>
      <c r="AQ71" s="319"/>
      <c r="AR71" s="319"/>
      <c r="AS71" s="319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24"/>
      <c r="AG72" s="324"/>
      <c r="AH72" s="325"/>
      <c r="AI72" s="326"/>
      <c r="AJ72" s="324"/>
      <c r="AK72" s="324"/>
      <c r="AL72" s="325"/>
      <c r="AM72" s="326"/>
      <c r="AN72" s="324"/>
      <c r="AO72" s="324"/>
      <c r="AP72" s="325"/>
      <c r="AQ72" s="319"/>
      <c r="AR72" s="319"/>
      <c r="AS72" s="319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24"/>
      <c r="AG73" s="324"/>
      <c r="AH73" s="325"/>
      <c r="AI73" s="326"/>
      <c r="AJ73" s="324"/>
      <c r="AK73" s="324"/>
      <c r="AL73" s="325"/>
      <c r="AM73" s="326"/>
      <c r="AN73" s="324"/>
      <c r="AO73" s="324"/>
      <c r="AP73" s="325"/>
      <c r="AQ73" s="319"/>
      <c r="AR73" s="319"/>
      <c r="AS73" s="319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24"/>
      <c r="AG74" s="324"/>
      <c r="AH74" s="325"/>
      <c r="AI74" s="326"/>
      <c r="AJ74" s="324"/>
      <c r="AK74" s="324"/>
      <c r="AL74" s="325"/>
      <c r="AM74" s="326"/>
      <c r="AN74" s="324"/>
      <c r="AO74" s="324"/>
      <c r="AP74" s="325"/>
      <c r="AQ74" s="319"/>
      <c r="AR74" s="319"/>
      <c r="AS74" s="319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24"/>
      <c r="AG75" s="324"/>
      <c r="AH75" s="325"/>
      <c r="AI75" s="326"/>
      <c r="AJ75" s="324"/>
      <c r="AK75" s="324"/>
      <c r="AL75" s="325"/>
      <c r="AM75" s="326"/>
      <c r="AN75" s="324"/>
      <c r="AO75" s="324"/>
      <c r="AP75" s="325"/>
      <c r="AQ75" s="319"/>
      <c r="AR75" s="319"/>
      <c r="AS75" s="319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24"/>
      <c r="AG76" s="324"/>
      <c r="AH76" s="325"/>
      <c r="AI76" s="326"/>
      <c r="AJ76" s="324"/>
      <c r="AK76" s="324"/>
      <c r="AL76" s="325"/>
      <c r="AM76" s="326"/>
      <c r="AN76" s="324"/>
      <c r="AO76" s="324"/>
      <c r="AP76" s="325"/>
      <c r="AQ76" s="319"/>
      <c r="AR76" s="319"/>
      <c r="AS76" s="319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24"/>
      <c r="AG77" s="324"/>
      <c r="AH77" s="324"/>
      <c r="AI77" s="326"/>
      <c r="AJ77" s="324"/>
      <c r="AK77" s="324"/>
      <c r="AL77" s="324"/>
      <c r="AM77" s="326"/>
      <c r="AN77" s="324"/>
      <c r="AO77" s="324"/>
      <c r="AP77" s="324"/>
      <c r="AQ77" s="319"/>
      <c r="AR77" s="319"/>
      <c r="AS77" s="319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19"/>
      <c r="AG78" s="325"/>
      <c r="AH78" s="327"/>
      <c r="AI78" s="328"/>
      <c r="AJ78" s="319"/>
      <c r="AK78" s="325"/>
      <c r="AL78" s="327"/>
      <c r="AM78" s="328"/>
      <c r="AN78" s="319"/>
      <c r="AO78" s="325"/>
      <c r="AP78" s="327"/>
      <c r="AQ78" s="319"/>
      <c r="AR78" s="319"/>
      <c r="AS78" s="319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19"/>
      <c r="AG79" s="319"/>
      <c r="AH79" s="329"/>
      <c r="AI79" s="319"/>
      <c r="AJ79" s="319"/>
      <c r="AK79" s="319"/>
      <c r="AL79" s="329"/>
      <c r="AM79" s="319"/>
      <c r="AN79" s="319"/>
      <c r="AO79" s="319"/>
      <c r="AP79" s="329"/>
      <c r="AQ79" s="319"/>
      <c r="AR79" s="319"/>
      <c r="AS79" s="319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19"/>
      <c r="AG80" s="319"/>
      <c r="AH80" s="329"/>
      <c r="AI80" s="330"/>
      <c r="AJ80" s="319"/>
      <c r="AK80" s="319"/>
      <c r="AL80" s="329"/>
      <c r="AM80" s="330"/>
      <c r="AN80" s="319"/>
      <c r="AO80" s="319"/>
      <c r="AP80" s="329"/>
      <c r="AQ80" s="319"/>
      <c r="AR80" s="319"/>
      <c r="AS80" s="319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19"/>
      <c r="AG81" s="319"/>
      <c r="AH81" s="329"/>
      <c r="AI81" s="327"/>
      <c r="AJ81" s="319"/>
      <c r="AK81" s="319"/>
      <c r="AL81" s="329"/>
      <c r="AM81" s="327"/>
      <c r="AN81" s="319"/>
      <c r="AO81" s="319"/>
      <c r="AP81" s="329"/>
      <c r="AQ81" s="319"/>
      <c r="AR81" s="319"/>
      <c r="AS81" s="319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19"/>
      <c r="AG82" s="319"/>
      <c r="AH82" s="329"/>
      <c r="AI82" s="330"/>
      <c r="AJ82" s="319"/>
      <c r="AK82" s="319"/>
      <c r="AL82" s="329"/>
      <c r="AM82" s="330"/>
      <c r="AN82" s="319"/>
      <c r="AO82" s="319"/>
      <c r="AP82" s="329"/>
      <c r="AQ82" s="319"/>
      <c r="AR82" s="319"/>
      <c r="AS82" s="319"/>
    </row>
    <row r="83" spans="4:45" x14ac:dyDescent="0.2">
      <c r="AE83" s="32"/>
      <c r="AF83" s="319"/>
      <c r="AG83" s="319"/>
      <c r="AH83" s="319"/>
      <c r="AI83" s="319"/>
      <c r="AJ83" s="319"/>
      <c r="AK83" s="319"/>
      <c r="AL83" s="319"/>
      <c r="AM83" s="319"/>
      <c r="AN83" s="319"/>
      <c r="AO83" s="319"/>
      <c r="AP83" s="319"/>
      <c r="AQ83" s="319"/>
      <c r="AR83" s="319"/>
      <c r="AS83" s="319"/>
    </row>
    <row r="84" spans="4:45" x14ac:dyDescent="0.2">
      <c r="AE84" s="32"/>
      <c r="AF84" s="319"/>
      <c r="AG84" s="319"/>
      <c r="AH84" s="319"/>
      <c r="AI84" s="319"/>
      <c r="AJ84" s="319"/>
      <c r="AK84" s="319"/>
      <c r="AL84" s="319"/>
      <c r="AM84" s="319"/>
      <c r="AN84" s="319"/>
      <c r="AO84" s="319"/>
      <c r="AP84" s="319"/>
      <c r="AQ84" s="319"/>
      <c r="AR84" s="319"/>
      <c r="AS84" s="319"/>
    </row>
    <row r="85" spans="4:45" x14ac:dyDescent="0.2">
      <c r="AF85" s="319"/>
      <c r="AG85" s="319"/>
      <c r="AH85" s="319"/>
      <c r="AI85" s="319"/>
      <c r="AJ85" s="319"/>
      <c r="AK85" s="319"/>
      <c r="AL85" s="319"/>
      <c r="AM85" s="319"/>
      <c r="AN85" s="319"/>
      <c r="AO85" s="319"/>
      <c r="AP85" s="319"/>
      <c r="AQ85" s="319"/>
      <c r="AR85" s="319"/>
      <c r="AS85" s="319"/>
    </row>
    <row r="86" spans="4:45" x14ac:dyDescent="0.2">
      <c r="AF86" s="319"/>
      <c r="AG86" s="319"/>
      <c r="AH86" s="319"/>
      <c r="AI86" s="319"/>
      <c r="AJ86" s="319"/>
      <c r="AK86" s="319"/>
      <c r="AL86" s="319"/>
      <c r="AM86" s="319"/>
      <c r="AN86" s="319"/>
      <c r="AO86" s="319"/>
      <c r="AP86" s="319"/>
      <c r="AQ86" s="319"/>
      <c r="AR86" s="319"/>
      <c r="AS86" s="319"/>
    </row>
    <row r="87" spans="4:45" x14ac:dyDescent="0.2">
      <c r="AF87" s="319"/>
      <c r="AG87" s="319"/>
      <c r="AH87" s="319"/>
      <c r="AI87" s="319"/>
      <c r="AJ87" s="319"/>
      <c r="AK87" s="319"/>
      <c r="AL87" s="319"/>
      <c r="AM87" s="319"/>
      <c r="AN87" s="319"/>
      <c r="AO87" s="319"/>
      <c r="AP87" s="319"/>
      <c r="AQ87" s="319"/>
      <c r="AR87" s="319"/>
      <c r="AS87" s="319"/>
    </row>
    <row r="88" spans="4:45" x14ac:dyDescent="0.2">
      <c r="AF88" s="319"/>
      <c r="AG88" s="319"/>
      <c r="AH88" s="319"/>
      <c r="AI88" s="319"/>
      <c r="AJ88" s="319"/>
      <c r="AK88" s="319"/>
      <c r="AL88" s="319"/>
      <c r="AM88" s="319"/>
      <c r="AN88" s="319"/>
      <c r="AO88" s="319"/>
      <c r="AP88" s="319"/>
      <c r="AQ88" s="319"/>
      <c r="AR88" s="319"/>
      <c r="AS88" s="319"/>
    </row>
    <row r="89" spans="4:45" x14ac:dyDescent="0.2">
      <c r="AF89" s="319"/>
      <c r="AG89" s="319"/>
      <c r="AH89" s="319"/>
      <c r="AI89" s="319"/>
      <c r="AJ89" s="319"/>
      <c r="AK89" s="319"/>
      <c r="AL89" s="319"/>
      <c r="AM89" s="319"/>
      <c r="AN89" s="319"/>
      <c r="AO89" s="319"/>
      <c r="AP89" s="319"/>
      <c r="AQ89" s="319"/>
      <c r="AR89" s="319"/>
      <c r="AS89" s="319"/>
    </row>
    <row r="90" spans="4:45" x14ac:dyDescent="0.2">
      <c r="AF90" s="319"/>
      <c r="AG90" s="319"/>
      <c r="AH90" s="319"/>
      <c r="AI90" s="319"/>
      <c r="AJ90" s="319"/>
      <c r="AK90" s="319"/>
      <c r="AL90" s="319"/>
      <c r="AM90" s="319"/>
      <c r="AN90" s="319"/>
      <c r="AO90" s="319"/>
      <c r="AP90" s="319"/>
      <c r="AQ90" s="319"/>
      <c r="AR90" s="319"/>
      <c r="AS90" s="319"/>
    </row>
    <row r="91" spans="4:45" x14ac:dyDescent="0.2">
      <c r="AF91" s="319"/>
      <c r="AG91" s="319"/>
      <c r="AH91" s="319"/>
      <c r="AI91" s="319"/>
      <c r="AJ91" s="319"/>
      <c r="AK91" s="319"/>
      <c r="AL91" s="319"/>
      <c r="AM91" s="319"/>
      <c r="AN91" s="319"/>
      <c r="AO91" s="319"/>
      <c r="AP91" s="319"/>
      <c r="AQ91" s="319"/>
      <c r="AR91" s="319"/>
      <c r="AS91" s="319"/>
    </row>
    <row r="92" spans="4:45" x14ac:dyDescent="0.2">
      <c r="AF92" s="319"/>
      <c r="AG92" s="319"/>
      <c r="AH92" s="319"/>
      <c r="AI92" s="319"/>
      <c r="AJ92" s="319"/>
      <c r="AK92" s="319"/>
      <c r="AL92" s="319"/>
      <c r="AM92" s="319"/>
      <c r="AN92" s="319"/>
      <c r="AO92" s="319"/>
      <c r="AP92" s="319"/>
      <c r="AQ92" s="319"/>
      <c r="AR92" s="319"/>
      <c r="AS92" s="319"/>
    </row>
    <row r="93" spans="4:45" x14ac:dyDescent="0.2">
      <c r="AF93" s="319"/>
      <c r="AG93" s="319"/>
      <c r="AH93" s="319"/>
      <c r="AI93" s="319"/>
      <c r="AJ93" s="319"/>
      <c r="AK93" s="319"/>
      <c r="AL93" s="319"/>
      <c r="AM93" s="319"/>
      <c r="AN93" s="319"/>
      <c r="AO93" s="319"/>
      <c r="AP93" s="319"/>
      <c r="AQ93" s="319"/>
      <c r="AR93" s="319"/>
      <c r="AS93" s="319"/>
    </row>
    <row r="94" spans="4:45" x14ac:dyDescent="0.2">
      <c r="AF94" s="319"/>
      <c r="AG94" s="319"/>
      <c r="AH94" s="319"/>
      <c r="AI94" s="319"/>
      <c r="AJ94" s="319"/>
      <c r="AK94" s="319"/>
      <c r="AL94" s="319"/>
      <c r="AM94" s="319"/>
      <c r="AN94" s="319"/>
      <c r="AO94" s="319"/>
      <c r="AP94" s="319"/>
      <c r="AQ94" s="319"/>
      <c r="AR94" s="319"/>
      <c r="AS94" s="319"/>
    </row>
    <row r="95" spans="4:45" x14ac:dyDescent="0.2">
      <c r="AF95" s="319"/>
      <c r="AG95" s="319"/>
      <c r="AH95" s="319"/>
      <c r="AI95" s="319"/>
      <c r="AJ95" s="319"/>
      <c r="AK95" s="319"/>
      <c r="AL95" s="319"/>
      <c r="AM95" s="319"/>
      <c r="AN95" s="319"/>
      <c r="AO95" s="319"/>
      <c r="AP95" s="319"/>
      <c r="AQ95" s="319"/>
      <c r="AR95" s="319"/>
      <c r="AS95" s="319"/>
    </row>
    <row r="96" spans="4:45" x14ac:dyDescent="0.2">
      <c r="AF96" s="319"/>
      <c r="AG96" s="319"/>
      <c r="AH96" s="319"/>
      <c r="AI96" s="319"/>
      <c r="AJ96" s="319"/>
      <c r="AK96" s="319"/>
      <c r="AL96" s="319"/>
      <c r="AM96" s="319"/>
      <c r="AN96" s="319"/>
      <c r="AO96" s="319"/>
      <c r="AP96" s="319"/>
      <c r="AQ96" s="319"/>
      <c r="AR96" s="319"/>
      <c r="AS96" s="319"/>
    </row>
    <row r="97" spans="32:45" x14ac:dyDescent="0.2">
      <c r="AF97" s="319"/>
      <c r="AG97" s="319"/>
      <c r="AH97" s="319"/>
      <c r="AI97" s="319"/>
      <c r="AJ97" s="319"/>
      <c r="AK97" s="319"/>
      <c r="AL97" s="319"/>
      <c r="AM97" s="319"/>
      <c r="AN97" s="319"/>
      <c r="AO97" s="319"/>
      <c r="AP97" s="319"/>
      <c r="AQ97" s="319"/>
      <c r="AR97" s="319"/>
      <c r="AS97" s="319"/>
    </row>
    <row r="98" spans="32:45" x14ac:dyDescent="0.2">
      <c r="AF98" s="319"/>
      <c r="AG98" s="319"/>
      <c r="AH98" s="319"/>
      <c r="AI98" s="319"/>
      <c r="AJ98" s="319"/>
      <c r="AK98" s="319"/>
      <c r="AL98" s="319"/>
      <c r="AM98" s="319"/>
      <c r="AN98" s="319"/>
      <c r="AO98" s="319"/>
      <c r="AP98" s="319"/>
      <c r="AQ98" s="319"/>
      <c r="AR98" s="319"/>
      <c r="AS98" s="319"/>
    </row>
    <row r="99" spans="32:45" x14ac:dyDescent="0.2">
      <c r="AF99" s="319"/>
      <c r="AG99" s="319"/>
      <c r="AH99" s="319"/>
      <c r="AI99" s="319"/>
      <c r="AJ99" s="319"/>
      <c r="AK99" s="319"/>
      <c r="AL99" s="319"/>
      <c r="AM99" s="319"/>
      <c r="AN99" s="319"/>
      <c r="AO99" s="319"/>
      <c r="AP99" s="319"/>
      <c r="AQ99" s="319"/>
      <c r="AR99" s="319"/>
      <c r="AS99" s="319"/>
    </row>
    <row r="100" spans="32:45" x14ac:dyDescent="0.2">
      <c r="AF100" s="319"/>
      <c r="AG100" s="319"/>
      <c r="AH100" s="319"/>
      <c r="AI100" s="319"/>
      <c r="AJ100" s="319"/>
      <c r="AK100" s="319"/>
      <c r="AL100" s="319"/>
      <c r="AM100" s="319"/>
      <c r="AN100" s="319"/>
      <c r="AO100" s="319"/>
      <c r="AP100" s="319"/>
      <c r="AQ100" s="319"/>
      <c r="AR100" s="319"/>
      <c r="AS100" s="319"/>
    </row>
    <row r="101" spans="32:45" x14ac:dyDescent="0.2">
      <c r="AF101" s="319"/>
      <c r="AG101" s="319"/>
      <c r="AH101" s="319"/>
      <c r="AI101" s="319"/>
      <c r="AJ101" s="319"/>
      <c r="AK101" s="319"/>
      <c r="AL101" s="319"/>
      <c r="AM101" s="319"/>
      <c r="AN101" s="319"/>
      <c r="AO101" s="319"/>
      <c r="AP101" s="319"/>
      <c r="AQ101" s="319"/>
      <c r="AR101" s="319"/>
      <c r="AS101" s="319"/>
    </row>
    <row r="102" spans="32:45" x14ac:dyDescent="0.2">
      <c r="AF102" s="319"/>
      <c r="AG102" s="319"/>
      <c r="AH102" s="319"/>
      <c r="AI102" s="319"/>
      <c r="AJ102" s="319"/>
      <c r="AK102" s="319"/>
      <c r="AL102" s="319"/>
      <c r="AM102" s="319"/>
      <c r="AN102" s="319"/>
      <c r="AO102" s="319"/>
      <c r="AP102" s="319"/>
      <c r="AQ102" s="319"/>
      <c r="AR102" s="319"/>
      <c r="AS102" s="319"/>
    </row>
    <row r="103" spans="32:45" x14ac:dyDescent="0.2">
      <c r="AF103" s="319"/>
      <c r="AG103" s="319"/>
      <c r="AH103" s="319"/>
      <c r="AI103" s="319"/>
      <c r="AJ103" s="319"/>
      <c r="AK103" s="319"/>
      <c r="AL103" s="319"/>
      <c r="AM103" s="319"/>
      <c r="AN103" s="319"/>
      <c r="AO103" s="319"/>
      <c r="AP103" s="319"/>
      <c r="AQ103" s="319"/>
      <c r="AR103" s="319"/>
      <c r="AS103" s="319"/>
    </row>
    <row r="104" spans="32:45" x14ac:dyDescent="0.2">
      <c r="AF104" s="319"/>
      <c r="AG104" s="319"/>
      <c r="AH104" s="319"/>
      <c r="AI104" s="319"/>
      <c r="AJ104" s="319"/>
      <c r="AK104" s="319"/>
      <c r="AL104" s="319"/>
      <c r="AM104" s="319"/>
      <c r="AN104" s="319"/>
      <c r="AO104" s="319"/>
      <c r="AP104" s="319"/>
      <c r="AQ104" s="319"/>
      <c r="AR104" s="319"/>
      <c r="AS104" s="319"/>
    </row>
    <row r="105" spans="32:45" x14ac:dyDescent="0.2">
      <c r="AF105" s="319"/>
      <c r="AG105" s="319"/>
      <c r="AH105" s="319"/>
      <c r="AI105" s="319"/>
      <c r="AJ105" s="319"/>
      <c r="AK105" s="319"/>
      <c r="AL105" s="319"/>
      <c r="AM105" s="319"/>
      <c r="AN105" s="319"/>
      <c r="AO105" s="319"/>
      <c r="AP105" s="319"/>
      <c r="AQ105" s="319"/>
      <c r="AR105" s="319"/>
      <c r="AS105" s="31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E10" sqref="E10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30" workbookViewId="3">
      <selection activeCell="B47" sqref="B47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122911</v>
      </c>
      <c r="C4" s="11">
        <v>120605</v>
      </c>
      <c r="D4" s="11">
        <v>50961</v>
      </c>
      <c r="E4" s="11">
        <v>53638</v>
      </c>
      <c r="F4" s="11"/>
      <c r="G4" s="11"/>
      <c r="H4" s="11">
        <f>+G4-F4+D4-E4+B4-C4</f>
        <v>-371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145284</v>
      </c>
      <c r="C5" s="11">
        <v>108474</v>
      </c>
      <c r="D5" s="129">
        <v>50999</v>
      </c>
      <c r="E5" s="11">
        <v>88318</v>
      </c>
      <c r="F5" s="11"/>
      <c r="G5" s="11"/>
      <c r="H5" s="11">
        <f t="shared" ref="H5:H34" si="0">+G5-F5+D5-E5+B5-C5</f>
        <v>-509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146493</v>
      </c>
      <c r="C6" s="11">
        <v>108474</v>
      </c>
      <c r="D6" s="11">
        <v>50983</v>
      </c>
      <c r="E6" s="11">
        <v>88239</v>
      </c>
      <c r="F6" s="11"/>
      <c r="G6" s="11"/>
      <c r="H6" s="11">
        <f t="shared" si="0"/>
        <v>763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151669</v>
      </c>
      <c r="C7" s="11">
        <v>118425</v>
      </c>
      <c r="D7" s="129">
        <v>44619</v>
      </c>
      <c r="E7" s="11">
        <v>78318</v>
      </c>
      <c r="F7" s="11"/>
      <c r="G7" s="11"/>
      <c r="H7" s="11">
        <f t="shared" si="0"/>
        <v>-455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117062</v>
      </c>
      <c r="C8" s="11">
        <v>79555</v>
      </c>
      <c r="D8" s="11">
        <v>1308</v>
      </c>
      <c r="E8" s="11">
        <v>38315</v>
      </c>
      <c r="F8" s="11"/>
      <c r="G8" s="11"/>
      <c r="H8" s="11">
        <f t="shared" si="0"/>
        <v>500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148786</v>
      </c>
      <c r="C9" s="11">
        <v>84605</v>
      </c>
      <c r="D9" s="11">
        <v>9713</v>
      </c>
      <c r="E9" s="11">
        <v>73318</v>
      </c>
      <c r="F9" s="11"/>
      <c r="G9" s="11"/>
      <c r="H9" s="11">
        <f t="shared" si="0"/>
        <v>576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122811</v>
      </c>
      <c r="C10" s="11">
        <v>114605</v>
      </c>
      <c r="D10" s="11">
        <v>30005</v>
      </c>
      <c r="E10" s="11">
        <v>38318</v>
      </c>
      <c r="F10" s="11"/>
      <c r="G10" s="11"/>
      <c r="H10" s="11">
        <f t="shared" si="0"/>
        <v>-107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133311</v>
      </c>
      <c r="C11" s="11">
        <v>105004</v>
      </c>
      <c r="D11" s="129"/>
      <c r="E11" s="11">
        <v>40816</v>
      </c>
      <c r="F11" s="11"/>
      <c r="G11" s="11"/>
      <c r="H11" s="11">
        <f t="shared" si="0"/>
        <v>-12509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142548</v>
      </c>
      <c r="C12" s="11">
        <v>132998</v>
      </c>
      <c r="D12" s="11">
        <v>38291</v>
      </c>
      <c r="E12" s="11">
        <v>48318</v>
      </c>
      <c r="F12" s="11"/>
      <c r="G12" s="11"/>
      <c r="H12" s="11">
        <f t="shared" si="0"/>
        <v>-477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141287</v>
      </c>
      <c r="C13" s="11">
        <v>132998</v>
      </c>
      <c r="D13" s="11">
        <v>40004</v>
      </c>
      <c r="E13" s="11">
        <v>48318</v>
      </c>
      <c r="F13" s="11"/>
      <c r="G13" s="11"/>
      <c r="H13" s="11">
        <f t="shared" si="0"/>
        <v>-25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>
        <v>129046</v>
      </c>
      <c r="C14" s="11">
        <v>118196</v>
      </c>
      <c r="D14" s="11">
        <v>37928</v>
      </c>
      <c r="E14" s="11">
        <v>48177</v>
      </c>
      <c r="F14" s="11"/>
      <c r="G14" s="11"/>
      <c r="H14" s="11">
        <f t="shared" si="0"/>
        <v>601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125667</v>
      </c>
      <c r="C15" s="11">
        <v>87865</v>
      </c>
      <c r="D15" s="11">
        <v>221</v>
      </c>
      <c r="E15" s="11">
        <v>37474</v>
      </c>
      <c r="F15" s="11"/>
      <c r="G15" s="11"/>
      <c r="H15" s="11">
        <f t="shared" si="0"/>
        <v>549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121878</v>
      </c>
      <c r="C16" s="11">
        <v>53172</v>
      </c>
      <c r="D16" s="11">
        <v>1</v>
      </c>
      <c r="E16" s="11">
        <v>68265</v>
      </c>
      <c r="F16" s="11"/>
      <c r="G16" s="11"/>
      <c r="H16" s="11">
        <f t="shared" si="0"/>
        <v>442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117664</v>
      </c>
      <c r="C17" s="11">
        <v>53077</v>
      </c>
      <c r="D17" s="11"/>
      <c r="E17" s="11">
        <v>63264</v>
      </c>
      <c r="F17" s="11"/>
      <c r="G17" s="11"/>
      <c r="H17" s="11">
        <f t="shared" si="0"/>
        <v>1323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135506</v>
      </c>
      <c r="C18" s="11">
        <v>93618</v>
      </c>
      <c r="D18" s="11"/>
      <c r="E18" s="11">
        <v>38265</v>
      </c>
      <c r="F18" s="11"/>
      <c r="G18" s="11"/>
      <c r="H18" s="11">
        <f t="shared" si="0"/>
        <v>3623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128015</v>
      </c>
      <c r="C19" s="11">
        <v>147738</v>
      </c>
      <c r="D19" s="11">
        <v>28796</v>
      </c>
      <c r="E19" s="11">
        <v>38318</v>
      </c>
      <c r="F19" s="11"/>
      <c r="G19" s="11"/>
      <c r="H19" s="11">
        <f t="shared" si="0"/>
        <v>-29245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>
        <v>126287</v>
      </c>
      <c r="C20" s="11">
        <v>147012</v>
      </c>
      <c r="D20" s="11">
        <v>29394</v>
      </c>
      <c r="E20" s="11">
        <v>2</v>
      </c>
      <c r="F20" s="11"/>
      <c r="G20" s="11"/>
      <c r="H20" s="11">
        <f t="shared" si="0"/>
        <v>8667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>
        <v>146693</v>
      </c>
      <c r="C21" s="11">
        <v>144266</v>
      </c>
      <c r="D21" s="11">
        <v>63511</v>
      </c>
      <c r="E21" s="11">
        <v>56424</v>
      </c>
      <c r="F21" s="11"/>
      <c r="G21" s="11"/>
      <c r="H21" s="11">
        <f t="shared" si="0"/>
        <v>9514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>
        <v>139355</v>
      </c>
      <c r="C22" s="11">
        <v>71828</v>
      </c>
      <c r="D22" s="11">
        <v>929</v>
      </c>
      <c r="E22" s="11">
        <v>52111</v>
      </c>
      <c r="F22" s="11"/>
      <c r="G22" s="11"/>
      <c r="H22" s="11">
        <f t="shared" si="0"/>
        <v>16345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2542273</v>
      </c>
      <c r="C35" s="44">
        <f t="shared" si="1"/>
        <v>2022515</v>
      </c>
      <c r="D35" s="11">
        <f t="shared" si="1"/>
        <v>477663</v>
      </c>
      <c r="E35" s="44">
        <f t="shared" si="1"/>
        <v>998216</v>
      </c>
      <c r="F35" s="11">
        <f t="shared" si="1"/>
        <v>0</v>
      </c>
      <c r="G35" s="11">
        <f t="shared" si="1"/>
        <v>0</v>
      </c>
      <c r="H35" s="11">
        <f t="shared" si="1"/>
        <v>-795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3.26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-2591.6999999999998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5">
        <v>37042</v>
      </c>
      <c r="F38" s="47"/>
      <c r="G38" s="48"/>
      <c r="H38" s="408">
        <v>237513.04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37061</v>
      </c>
      <c r="F39" s="47"/>
      <c r="G39" s="47"/>
      <c r="H39" s="137">
        <f>+H38+H37</f>
        <v>234921.34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E37" sqref="E37"/>
    </sheetView>
    <sheetView topLeftCell="A26" workbookViewId="3">
      <selection activeCell="B35" sqref="B35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43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36</v>
      </c>
      <c r="D3" s="59" t="s">
        <v>44</v>
      </c>
      <c r="E3" s="4"/>
      <c r="F3" s="59" t="s">
        <v>45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38</v>
      </c>
      <c r="AB3" s="121"/>
      <c r="AC3" s="24"/>
      <c r="AD3" s="24"/>
      <c r="AE3" s="24"/>
      <c r="AF3" s="32"/>
      <c r="AG3" s="122" t="s">
        <v>39</v>
      </c>
      <c r="AH3" s="121"/>
      <c r="AM3" s="2" t="s">
        <v>40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46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375952</v>
      </c>
      <c r="E5" s="11">
        <v>369864</v>
      </c>
      <c r="F5" s="11"/>
      <c r="G5" s="11"/>
      <c r="H5" s="24">
        <f>+G5-F5+D5-E5+C5-B5</f>
        <v>6088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36</v>
      </c>
      <c r="AB5" s="24"/>
      <c r="AC5" s="24"/>
      <c r="AD5" s="58" t="s">
        <v>37</v>
      </c>
      <c r="AE5" s="58"/>
      <c r="AF5" s="4"/>
      <c r="AG5" s="2" t="s">
        <v>36</v>
      </c>
      <c r="AJ5" s="4" t="s">
        <v>37</v>
      </c>
      <c r="AK5" s="4"/>
      <c r="AL5" s="4"/>
      <c r="AM5" s="2" t="s">
        <v>36</v>
      </c>
      <c r="AO5" s="4" t="s">
        <v>37</v>
      </c>
      <c r="AP5" s="4"/>
    </row>
    <row r="6" spans="1:47" x14ac:dyDescent="0.2">
      <c r="A6" s="10">
        <v>2</v>
      </c>
      <c r="B6" s="11"/>
      <c r="C6" s="11"/>
      <c r="D6" s="129">
        <v>341297</v>
      </c>
      <c r="E6" s="11">
        <v>342034</v>
      </c>
      <c r="F6" s="11"/>
      <c r="G6" s="11"/>
      <c r="H6" s="24">
        <f t="shared" ref="H6:H35" si="0">+G6-F6+D6-E6+C6-B6</f>
        <v>-737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41</v>
      </c>
      <c r="AA6" s="40" t="s">
        <v>13</v>
      </c>
      <c r="AB6" s="40" t="s">
        <v>14</v>
      </c>
      <c r="AC6" s="40" t="s">
        <v>42</v>
      </c>
      <c r="AD6" s="40" t="s">
        <v>13</v>
      </c>
      <c r="AE6" s="40" t="s">
        <v>14</v>
      </c>
      <c r="AF6" s="6" t="s">
        <v>42</v>
      </c>
      <c r="AG6" s="6" t="s">
        <v>13</v>
      </c>
      <c r="AH6" s="40" t="s">
        <v>14</v>
      </c>
      <c r="AI6" s="6" t="s">
        <v>42</v>
      </c>
      <c r="AJ6" s="6" t="s">
        <v>13</v>
      </c>
      <c r="AK6" s="6" t="s">
        <v>14</v>
      </c>
      <c r="AL6" s="6" t="s">
        <v>42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347155</v>
      </c>
      <c r="E7" s="129">
        <v>344496</v>
      </c>
      <c r="F7" s="11"/>
      <c r="G7" s="11"/>
      <c r="H7" s="24">
        <f t="shared" si="0"/>
        <v>2659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337862</v>
      </c>
      <c r="E8" s="129">
        <v>353310</v>
      </c>
      <c r="F8" s="11"/>
      <c r="G8" s="11"/>
      <c r="H8" s="24">
        <f t="shared" si="0"/>
        <v>-15448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289974</v>
      </c>
      <c r="E9" s="11">
        <v>294293</v>
      </c>
      <c r="F9" s="11"/>
      <c r="G9" s="11"/>
      <c r="H9" s="24">
        <f t="shared" si="0"/>
        <v>-4319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188671</v>
      </c>
      <c r="E10" s="11">
        <v>181561</v>
      </c>
      <c r="F10" s="11"/>
      <c r="G10" s="11"/>
      <c r="H10" s="24">
        <f t="shared" si="0"/>
        <v>7110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336735</v>
      </c>
      <c r="E11" s="11">
        <v>358146</v>
      </c>
      <c r="F11" s="11"/>
      <c r="G11" s="11"/>
      <c r="H11" s="24">
        <f t="shared" si="0"/>
        <v>-21411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v>331513</v>
      </c>
      <c r="E12" s="11">
        <v>351416</v>
      </c>
      <c r="F12" s="11"/>
      <c r="G12" s="11"/>
      <c r="H12" s="24">
        <f t="shared" si="0"/>
        <v>-19903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315972</v>
      </c>
      <c r="E13" s="11">
        <v>363574</v>
      </c>
      <c r="F13" s="11"/>
      <c r="G13" s="11"/>
      <c r="H13" s="24">
        <f t="shared" si="0"/>
        <v>-47602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302020</v>
      </c>
      <c r="E14" s="11">
        <v>321680</v>
      </c>
      <c r="F14" s="11"/>
      <c r="G14" s="11"/>
      <c r="H14" s="24">
        <f t="shared" si="0"/>
        <v>-19660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323556</v>
      </c>
      <c r="E15" s="11">
        <v>318183</v>
      </c>
      <c r="F15" s="11"/>
      <c r="G15" s="11"/>
      <c r="H15" s="24">
        <f t="shared" si="0"/>
        <v>5373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v>360079</v>
      </c>
      <c r="E16" s="11">
        <v>360680</v>
      </c>
      <c r="F16" s="11"/>
      <c r="G16" s="11"/>
      <c r="H16" s="24">
        <f t="shared" si="0"/>
        <v>-601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332093</v>
      </c>
      <c r="E17" s="11">
        <v>352974</v>
      </c>
      <c r="F17" s="11"/>
      <c r="G17" s="11"/>
      <c r="H17" s="24">
        <f t="shared" si="0"/>
        <v>-20881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378062</v>
      </c>
      <c r="E18" s="11">
        <v>382230</v>
      </c>
      <c r="F18" s="11"/>
      <c r="G18" s="11"/>
      <c r="H18" s="24">
        <f t="shared" si="0"/>
        <v>-4168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355412</v>
      </c>
      <c r="E19" s="11">
        <v>356344</v>
      </c>
      <c r="F19" s="11"/>
      <c r="G19" s="11"/>
      <c r="H19" s="24">
        <f t="shared" si="0"/>
        <v>-932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307012</v>
      </c>
      <c r="E20" s="11">
        <v>305306</v>
      </c>
      <c r="F20" s="11"/>
      <c r="G20" s="11"/>
      <c r="H20" s="24">
        <f t="shared" si="0"/>
        <v>1706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294408</v>
      </c>
      <c r="E21" s="11">
        <v>301598</v>
      </c>
      <c r="F21" s="11"/>
      <c r="G21" s="11"/>
      <c r="H21" s="24">
        <f t="shared" si="0"/>
        <v>-7190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v>330776</v>
      </c>
      <c r="E22" s="11">
        <v>325454</v>
      </c>
      <c r="F22" s="11"/>
      <c r="G22" s="11"/>
      <c r="H22" s="24">
        <f t="shared" si="0"/>
        <v>5322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303963</v>
      </c>
      <c r="E23" s="11">
        <v>314900</v>
      </c>
      <c r="F23" s="11"/>
      <c r="G23" s="11"/>
      <c r="H23" s="24">
        <f t="shared" si="0"/>
        <v>-10937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6152512</v>
      </c>
      <c r="E36" s="11">
        <f t="shared" si="15"/>
        <v>6298043</v>
      </c>
      <c r="F36" s="11">
        <f t="shared" si="15"/>
        <v>0</v>
      </c>
      <c r="G36" s="11">
        <f t="shared" si="15"/>
        <v>0</v>
      </c>
      <c r="H36" s="11">
        <f t="shared" si="15"/>
        <v>-145531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37042</v>
      </c>
      <c r="B37" s="2" t="s">
        <v>47</v>
      </c>
      <c r="C37" s="412">
        <v>47545</v>
      </c>
      <c r="D37" s="364"/>
      <c r="E37" s="413">
        <f>236345+64615</f>
        <v>300960</v>
      </c>
      <c r="F37" s="24"/>
      <c r="G37" s="24"/>
      <c r="H37" s="241">
        <f>+C37+E37+G37</f>
        <v>348505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37061</v>
      </c>
      <c r="B38" s="2" t="s">
        <v>47</v>
      </c>
      <c r="C38" s="131">
        <f>+C37+C36-B36</f>
        <v>47545</v>
      </c>
      <c r="D38" s="260"/>
      <c r="E38" s="131">
        <f>+E37+D36-E36</f>
        <v>155429</v>
      </c>
      <c r="F38" s="260"/>
      <c r="G38" s="131"/>
      <c r="H38" s="131">
        <f>+H37+H36</f>
        <v>202974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1"/>
      <c r="E39" s="251"/>
      <c r="F39" s="255"/>
      <c r="G39" s="251"/>
      <c r="H39" s="374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4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9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4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6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6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6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6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D39" sqref="D39"/>
    </sheetView>
    <sheetView topLeftCell="A26" workbookViewId="3">
      <selection activeCell="C50" sqref="C50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48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46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123747</v>
      </c>
      <c r="C6" s="11">
        <v>125404</v>
      </c>
      <c r="D6" s="25">
        <f>+C6-B6</f>
        <v>1657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136303</v>
      </c>
      <c r="C7" s="11">
        <v>136568</v>
      </c>
      <c r="D7" s="25">
        <f>+C7-B7</f>
        <v>265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133829</v>
      </c>
      <c r="C8" s="11">
        <v>132786</v>
      </c>
      <c r="D8" s="25">
        <f t="shared" ref="D8:D36" si="0">+C8-B8</f>
        <v>-1043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121812</v>
      </c>
      <c r="C9" s="11">
        <v>124335</v>
      </c>
      <c r="D9" s="25">
        <f t="shared" si="0"/>
        <v>2523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135753</v>
      </c>
      <c r="C10" s="11">
        <v>135000</v>
      </c>
      <c r="D10" s="25">
        <f t="shared" si="0"/>
        <v>-753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93187</v>
      </c>
      <c r="C11" s="11">
        <v>92162</v>
      </c>
      <c r="D11" s="25">
        <f t="shared" si="0"/>
        <v>-1025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117640</v>
      </c>
      <c r="C12" s="11">
        <v>128075</v>
      </c>
      <c r="D12" s="25">
        <f t="shared" si="0"/>
        <v>10435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91512</v>
      </c>
      <c r="C13" s="11">
        <v>84712</v>
      </c>
      <c r="D13" s="25">
        <f t="shared" si="0"/>
        <v>-6800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84604</v>
      </c>
      <c r="C14" s="11">
        <v>91453</v>
      </c>
      <c r="D14" s="25">
        <f t="shared" si="0"/>
        <v>6849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90899</v>
      </c>
      <c r="C15" s="11">
        <v>91453</v>
      </c>
      <c r="D15" s="25">
        <f t="shared" si="0"/>
        <v>554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131808</v>
      </c>
      <c r="C16" s="11">
        <v>130588</v>
      </c>
      <c r="D16" s="25">
        <f t="shared" si="0"/>
        <v>-1220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135284</v>
      </c>
      <c r="C17" s="11">
        <v>139763</v>
      </c>
      <c r="D17" s="25">
        <f t="shared" si="0"/>
        <v>4479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122655</v>
      </c>
      <c r="C18" s="11">
        <v>120130</v>
      </c>
      <c r="D18" s="25">
        <f t="shared" si="0"/>
        <v>-2525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146110</v>
      </c>
      <c r="C19" s="11">
        <v>140982</v>
      </c>
      <c r="D19" s="25">
        <f t="shared" si="0"/>
        <v>-5128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126731</v>
      </c>
      <c r="C20" s="11">
        <v>124892</v>
      </c>
      <c r="D20" s="25">
        <f t="shared" si="0"/>
        <v>-1839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109303</v>
      </c>
      <c r="C21" s="11">
        <v>87448</v>
      </c>
      <c r="D21" s="25">
        <f t="shared" si="0"/>
        <v>-21855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92306</v>
      </c>
      <c r="C22" s="11">
        <v>88128</v>
      </c>
      <c r="D22" s="25">
        <f t="shared" si="0"/>
        <v>-4178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116598</v>
      </c>
      <c r="C23" s="11">
        <v>119654</v>
      </c>
      <c r="D23" s="25">
        <f t="shared" si="0"/>
        <v>3056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>
        <v>102987</v>
      </c>
      <c r="C24" s="11">
        <v>101351</v>
      </c>
      <c r="D24" s="25">
        <f t="shared" si="0"/>
        <v>-1636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2213068</v>
      </c>
      <c r="C37" s="11">
        <f>SUM(C6:C36)</f>
        <v>2194884</v>
      </c>
      <c r="D37" s="11">
        <f>SUM(D6:D36)</f>
        <v>-18184</v>
      </c>
      <c r="E37" s="10"/>
      <c r="F37" s="11"/>
      <c r="G37" s="11"/>
      <c r="H37" s="129"/>
      <c r="I37" s="270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1"/>
      <c r="I38" s="271"/>
      <c r="J38" s="251"/>
      <c r="K38" s="272"/>
      <c r="L38" s="251"/>
      <c r="M38" s="26"/>
      <c r="O38" s="14"/>
    </row>
    <row r="39" spans="1:16" x14ac:dyDescent="0.2">
      <c r="A39" s="57">
        <v>37042</v>
      </c>
      <c r="C39" s="15"/>
      <c r="D39" s="248">
        <v>94855</v>
      </c>
      <c r="E39" s="57"/>
      <c r="G39" s="15"/>
      <c r="H39" s="51"/>
      <c r="I39" s="273"/>
      <c r="J39" s="251"/>
      <c r="K39" s="274"/>
      <c r="L39" s="51"/>
      <c r="M39" s="57"/>
      <c r="O39" s="15"/>
      <c r="P39" s="24"/>
    </row>
    <row r="40" spans="1:16" x14ac:dyDescent="0.2">
      <c r="A40" s="57">
        <v>37061</v>
      </c>
      <c r="C40" s="48"/>
      <c r="D40" s="25">
        <f>+D39+D37</f>
        <v>76671</v>
      </c>
      <c r="E40" s="57"/>
      <c r="G40" s="48"/>
      <c r="H40" s="131"/>
      <c r="I40" s="273"/>
      <c r="J40" s="251"/>
      <c r="K40" s="275"/>
      <c r="L40" s="131"/>
      <c r="M40" s="57"/>
      <c r="O40" s="48"/>
      <c r="P40" s="130"/>
    </row>
    <row r="41" spans="1:16" x14ac:dyDescent="0.2">
      <c r="C41" s="47"/>
      <c r="H41" s="251"/>
      <c r="I41" s="251"/>
      <c r="J41" s="251"/>
      <c r="K41" s="251"/>
      <c r="L41" s="251"/>
    </row>
    <row r="42" spans="1:16" x14ac:dyDescent="0.2">
      <c r="A42" s="57"/>
      <c r="C42" s="50"/>
      <c r="D42" s="25"/>
      <c r="H42" s="251"/>
      <c r="I42" s="251"/>
      <c r="J42" s="251"/>
      <c r="K42" s="251"/>
      <c r="L42" s="251"/>
    </row>
    <row r="43" spans="1:16" x14ac:dyDescent="0.2">
      <c r="A43" s="57"/>
      <c r="C43" s="50"/>
      <c r="H43" s="251"/>
      <c r="I43" s="251"/>
      <c r="J43" s="251"/>
      <c r="K43" s="251"/>
      <c r="L43" s="251"/>
    </row>
    <row r="44" spans="1:16" x14ac:dyDescent="0.2">
      <c r="H44" s="251"/>
      <c r="I44" s="251"/>
      <c r="J44" s="251"/>
      <c r="K44" s="251"/>
      <c r="L44" s="251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23</vt:i4>
      </vt:variant>
    </vt:vector>
  </HeadingPairs>
  <TitlesOfParts>
    <vt:vector size="58" baseType="lpstr">
      <vt:lpstr>summary</vt:lpstr>
      <vt:lpstr>by type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2001-06-20T16:52:34Z</cp:lastPrinted>
  <dcterms:created xsi:type="dcterms:W3CDTF">2000-03-28T16:52:23Z</dcterms:created>
  <dcterms:modified xsi:type="dcterms:W3CDTF">2014-09-03T14:36:28Z</dcterms:modified>
</cp:coreProperties>
</file>