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firstSheet="1" activeTab="1"/>
    <workbookView xWindow="360" yWindow="90" windowWidth="9720" windowHeight="6795" tabRatio="895" activeTab="2"/>
    <workbookView xWindow="600" yWindow="285" windowWidth="9720" windowHeight="6600" firstSheet="28" activeTab="34"/>
    <workbookView xWindow="840" yWindow="480" windowWidth="10860" windowHeight="6405" activeTab="1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Abo'!$A$5:$F$44</definedName>
    <definedName name="_xlnm.Print_Area" localSheetId="0">'by type'!$A$11:$J$49</definedName>
    <definedName name="_xlnm.Print_Area" localSheetId="12">Conoco!$A$1:$F$41</definedName>
    <definedName name="_xlnm.Print_Area" localSheetId="16">DEFS!$A$1:$J$54</definedName>
    <definedName name="_xlnm.Print_Area" localSheetId="15">Duke!$A$2:$C$62</definedName>
    <definedName name="_xlnm.Print_Area" localSheetId="7">'El Paso'!$A$2:$I$38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PGETX!$A$1:$H$39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summary!$A$6:$F$52</definedName>
    <definedName name="_xlnm.Print_Area" localSheetId="2">williams!$A$1:$J$40</definedName>
    <definedName name="REVAL">#REF!</definedName>
    <definedName name="softball">#REF!</definedName>
    <definedName name="WRITEOFFS">#REF!</definedName>
  </definedNames>
  <calcPr calcId="152511" iterate="1" iterateCount="50"/>
</workbook>
</file>

<file path=xl/calcChain.xml><?xml version="1.0" encoding="utf-8"?>
<calcChain xmlns="http://schemas.openxmlformats.org/spreadsheetml/2006/main">
  <c r="D5" i="8" l="1"/>
  <c r="D18" i="8" s="1"/>
  <c r="D6" i="8"/>
  <c r="D7" i="8"/>
  <c r="D8" i="8"/>
  <c r="D9" i="8"/>
  <c r="D10" i="8"/>
  <c r="D11" i="8"/>
  <c r="D12" i="8"/>
  <c r="D13" i="8"/>
  <c r="D14" i="8"/>
  <c r="D15" i="8"/>
  <c r="D16" i="8"/>
  <c r="D17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F8" i="18"/>
  <c r="F39" i="18" s="1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P10" i="80"/>
  <c r="P11" i="80"/>
  <c r="D12" i="80"/>
  <c r="P12" i="80"/>
  <c r="D13" i="80"/>
  <c r="D14" i="80"/>
  <c r="D15" i="80"/>
  <c r="D16" i="80"/>
  <c r="D17" i="80"/>
  <c r="D18" i="80"/>
  <c r="D19" i="80"/>
  <c r="D20" i="80"/>
  <c r="D21" i="80"/>
  <c r="D22" i="80"/>
  <c r="D23" i="80"/>
  <c r="D24" i="80"/>
  <c r="D25" i="80"/>
  <c r="D26" i="80"/>
  <c r="D27" i="80"/>
  <c r="D28" i="80"/>
  <c r="D29" i="80"/>
  <c r="D30" i="80"/>
  <c r="D31" i="80"/>
  <c r="D32" i="80"/>
  <c r="D36" i="80"/>
  <c r="D37" i="80"/>
  <c r="D38" i="80"/>
  <c r="D39" i="80"/>
  <c r="D40" i="80"/>
  <c r="D41" i="80"/>
  <c r="D42" i="80"/>
  <c r="D43" i="80"/>
  <c r="D44" i="80"/>
  <c r="D45" i="80"/>
  <c r="D46" i="80"/>
  <c r="D6" i="74"/>
  <c r="D7" i="74"/>
  <c r="D8" i="74"/>
  <c r="D37" i="74" s="1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8" i="72"/>
  <c r="D9" i="72"/>
  <c r="D10" i="72"/>
  <c r="D11" i="72"/>
  <c r="D12" i="72"/>
  <c r="D13" i="72"/>
  <c r="D14" i="72"/>
  <c r="D39" i="72" s="1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5" i="78"/>
  <c r="D6" i="78"/>
  <c r="D7" i="78"/>
  <c r="D8" i="78"/>
  <c r="D9" i="78"/>
  <c r="D10" i="78"/>
  <c r="D11" i="78"/>
  <c r="D6" i="79"/>
  <c r="D7" i="79"/>
  <c r="D8" i="79"/>
  <c r="D37" i="79" s="1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8" i="7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F35" i="13" s="1"/>
  <c r="E35" i="13"/>
  <c r="C36" i="13"/>
  <c r="F40" i="13"/>
  <c r="F8" i="71"/>
  <c r="F9" i="71"/>
  <c r="F39" i="71" s="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35" i="73" s="1"/>
  <c r="F24" i="73"/>
  <c r="F25" i="73"/>
  <c r="F26" i="73"/>
  <c r="F27" i="73"/>
  <c r="F28" i="73"/>
  <c r="F29" i="73"/>
  <c r="F30" i="73"/>
  <c r="F31" i="73"/>
  <c r="F32" i="73"/>
  <c r="F33" i="73"/>
  <c r="F34" i="73"/>
  <c r="B35" i="73"/>
  <c r="C36" i="73" s="1"/>
  <c r="F36" i="73" s="1"/>
  <c r="C35" i="73"/>
  <c r="D35" i="73"/>
  <c r="E35" i="73"/>
  <c r="E36" i="73"/>
  <c r="C37" i="73"/>
  <c r="F39" i="73"/>
  <c r="H39" i="73"/>
  <c r="H40" i="73"/>
  <c r="B10" i="20"/>
  <c r="B11" i="20"/>
  <c r="B13" i="20"/>
  <c r="B14" i="20"/>
  <c r="B15" i="20"/>
  <c r="B16" i="20"/>
  <c r="B29" i="20"/>
  <c r="B44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M16" i="11" s="1"/>
  <c r="AC16" i="11"/>
  <c r="AF16" i="11"/>
  <c r="AI16" i="11"/>
  <c r="AL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I20" i="11"/>
  <c r="AL20" i="11"/>
  <c r="AM20" i="11"/>
  <c r="AN20" i="11"/>
  <c r="AO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I27" i="11"/>
  <c r="AL27" i="11"/>
  <c r="AM27" i="11"/>
  <c r="AN27" i="11"/>
  <c r="AO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I34" i="11"/>
  <c r="AL34" i="11"/>
  <c r="AM34" i="11"/>
  <c r="AN34" i="11"/>
  <c r="AO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8" i="11" s="1"/>
  <c r="B38" i="80" s="1"/>
  <c r="E36" i="11"/>
  <c r="F36" i="11"/>
  <c r="G36" i="11"/>
  <c r="AC36" i="11"/>
  <c r="AE36" i="11"/>
  <c r="AF36" i="11"/>
  <c r="AI36" i="11"/>
  <c r="AL36" i="11"/>
  <c r="AM36" i="11"/>
  <c r="AN36" i="11"/>
  <c r="AO36" i="11"/>
  <c r="AP36" i="11"/>
  <c r="H37" i="11"/>
  <c r="AA37" i="11"/>
  <c r="AM37" i="11" s="1"/>
  <c r="AC37" i="11"/>
  <c r="AF37" i="11"/>
  <c r="AI37" i="11"/>
  <c r="AL37" i="11"/>
  <c r="AN37" i="11"/>
  <c r="AO37" i="11"/>
  <c r="AP37" i="11"/>
  <c r="C38" i="11"/>
  <c r="AC38" i="11"/>
  <c r="AE38" i="11"/>
  <c r="AP38" i="11" s="1"/>
  <c r="AF38" i="11"/>
  <c r="AI38" i="11"/>
  <c r="AL38" i="11"/>
  <c r="AM38" i="11"/>
  <c r="AN38" i="11"/>
  <c r="AO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O47" i="11" s="1"/>
  <c r="AK47" i="11"/>
  <c r="AP47" i="11" s="1"/>
  <c r="AL47" i="11"/>
  <c r="AM47" i="11"/>
  <c r="AN47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D66" i="70"/>
  <c r="D67" i="70"/>
  <c r="D68" i="70"/>
  <c r="D69" i="70"/>
  <c r="D75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8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7" i="5" s="1"/>
  <c r="C36" i="5"/>
  <c r="D36" i="5"/>
  <c r="E36" i="5"/>
  <c r="J8" i="17"/>
  <c r="J9" i="17"/>
  <c r="J39" i="17" s="1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F3" i="67"/>
  <c r="F4" i="67"/>
  <c r="F5" i="67"/>
  <c r="F6" i="67"/>
  <c r="F7" i="67"/>
  <c r="F34" i="67" s="1"/>
  <c r="F38" i="67" s="1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D6" i="65"/>
  <c r="D18" i="65" s="1"/>
  <c r="D7" i="65"/>
  <c r="D8" i="65"/>
  <c r="D9" i="65"/>
  <c r="D10" i="65"/>
  <c r="D11" i="65"/>
  <c r="D12" i="65"/>
  <c r="D13" i="65"/>
  <c r="D14" i="65"/>
  <c r="D6" i="77"/>
  <c r="D7" i="77"/>
  <c r="D8" i="77"/>
  <c r="D37" i="77" s="1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F5" i="7"/>
  <c r="Z5" i="7"/>
  <c r="AD5" i="7" s="1"/>
  <c r="AF5" i="7" s="1"/>
  <c r="AG5" i="7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AH5" i="7"/>
  <c r="F6" i="7"/>
  <c r="Z6" i="7"/>
  <c r="AD6" i="7"/>
  <c r="AF6" i="7" s="1"/>
  <c r="F7" i="7"/>
  <c r="Z7" i="7"/>
  <c r="AD7" i="7"/>
  <c r="AF7" i="7"/>
  <c r="F8" i="7"/>
  <c r="Z8" i="7"/>
  <c r="AD8" i="7" s="1"/>
  <c r="AF8" i="7" s="1"/>
  <c r="F9" i="7"/>
  <c r="Z9" i="7"/>
  <c r="AD9" i="7" s="1"/>
  <c r="AF9" i="7" s="1"/>
  <c r="F10" i="7"/>
  <c r="Z10" i="7"/>
  <c r="AD10" i="7"/>
  <c r="AF10" i="7" s="1"/>
  <c r="F11" i="7"/>
  <c r="Z11" i="7"/>
  <c r="AD11" i="7"/>
  <c r="AF11" i="7"/>
  <c r="F12" i="7"/>
  <c r="Z12" i="7"/>
  <c r="AD12" i="7"/>
  <c r="AF12" i="7"/>
  <c r="F13" i="7"/>
  <c r="Z13" i="7"/>
  <c r="AD13" i="7" s="1"/>
  <c r="AF13" i="7" s="1"/>
  <c r="F14" i="7"/>
  <c r="Z14" i="7"/>
  <c r="AD14" i="7"/>
  <c r="AF14" i="7" s="1"/>
  <c r="F15" i="7"/>
  <c r="Z15" i="7"/>
  <c r="AD15" i="7"/>
  <c r="AF15" i="7"/>
  <c r="F16" i="7"/>
  <c r="Z16" i="7"/>
  <c r="AD16" i="7" s="1"/>
  <c r="AF16" i="7" s="1"/>
  <c r="F17" i="7"/>
  <c r="Z17" i="7"/>
  <c r="AD17" i="7" s="1"/>
  <c r="AF17" i="7" s="1"/>
  <c r="F18" i="7"/>
  <c r="AI18" i="7"/>
  <c r="F19" i="7"/>
  <c r="Z19" i="7"/>
  <c r="AD19" i="7" s="1"/>
  <c r="AF19" i="7" s="1"/>
  <c r="AH19" i="7" s="1"/>
  <c r="AG19" i="7"/>
  <c r="AI19" i="7"/>
  <c r="F20" i="7"/>
  <c r="F36" i="7" s="1"/>
  <c r="F41" i="7" s="1"/>
  <c r="Z20" i="7"/>
  <c r="AD20" i="7" s="1"/>
  <c r="AF20" i="7" s="1"/>
  <c r="F21" i="7"/>
  <c r="Z21" i="7"/>
  <c r="AD21" i="7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 s="1"/>
  <c r="D40" i="16" s="1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4" i="28"/>
  <c r="D5" i="28"/>
  <c r="D6" i="28"/>
  <c r="D7" i="28"/>
  <c r="D8" i="28"/>
  <c r="D9" i="28"/>
  <c r="D10" i="28"/>
  <c r="D11" i="28"/>
  <c r="D12" i="28"/>
  <c r="D13" i="28"/>
  <c r="D35" i="28" s="1"/>
  <c r="D40" i="28" s="1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H4" i="9"/>
  <c r="H5" i="9"/>
  <c r="H6" i="9"/>
  <c r="H7" i="9"/>
  <c r="H8" i="9"/>
  <c r="H9" i="9"/>
  <c r="H10" i="9"/>
  <c r="H35" i="9" s="1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6" i="9"/>
  <c r="D5" i="64"/>
  <c r="D6" i="64"/>
  <c r="D7" i="64"/>
  <c r="D8" i="64"/>
  <c r="D9" i="64"/>
  <c r="D10" i="64"/>
  <c r="D11" i="64"/>
  <c r="D12" i="64"/>
  <c r="D13" i="64"/>
  <c r="D17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 s="1"/>
  <c r="AU16" i="15"/>
  <c r="AU39" i="15" s="1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 s="1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 s="1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 s="1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AD39" i="15"/>
  <c r="AE39" i="15"/>
  <c r="AH39" i="15"/>
  <c r="AI39" i="15"/>
  <c r="AL39" i="15"/>
  <c r="AM39" i="15"/>
  <c r="AP39" i="15"/>
  <c r="AQ39" i="15"/>
  <c r="AT39" i="15"/>
  <c r="F40" i="15"/>
  <c r="AH52" i="15"/>
  <c r="AH54" i="15"/>
  <c r="AH56" i="15"/>
  <c r="F86" i="15"/>
  <c r="K86" i="15"/>
  <c r="F87" i="15"/>
  <c r="F101" i="15" s="1"/>
  <c r="C101" i="15" s="1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K101" i="15"/>
  <c r="K102" i="15"/>
  <c r="K103" i="15"/>
  <c r="K104" i="15"/>
  <c r="K105" i="15"/>
  <c r="K106" i="15"/>
  <c r="K107" i="15"/>
  <c r="F108" i="15"/>
  <c r="K108" i="15"/>
  <c r="K114" i="15" s="1"/>
  <c r="K109" i="15"/>
  <c r="K110" i="15"/>
  <c r="K111" i="15"/>
  <c r="K112" i="15"/>
  <c r="I113" i="15"/>
  <c r="K113" i="15" s="1"/>
  <c r="I114" i="15"/>
  <c r="F126" i="15"/>
  <c r="F133" i="15" s="1"/>
  <c r="F127" i="15"/>
  <c r="F128" i="15"/>
  <c r="F129" i="15"/>
  <c r="F130" i="15"/>
  <c r="F131" i="15"/>
  <c r="B132" i="15"/>
  <c r="F132" i="15"/>
  <c r="B133" i="15"/>
  <c r="B136" i="15" s="1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B168" i="15" s="1"/>
  <c r="B174" i="15" s="1"/>
  <c r="C166" i="15"/>
  <c r="C168" i="15"/>
  <c r="C174" i="15" s="1"/>
  <c r="F169" i="15"/>
  <c r="F170" i="15"/>
  <c r="F171" i="15"/>
  <c r="F172" i="15"/>
  <c r="F173" i="15"/>
  <c r="C175" i="15"/>
  <c r="C180" i="15" s="1"/>
  <c r="B176" i="15"/>
  <c r="B178" i="15"/>
  <c r="C178" i="15"/>
  <c r="B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P10" i="63"/>
  <c r="D39" i="69" s="1"/>
  <c r="P11" i="63"/>
  <c r="D40" i="72" s="1"/>
  <c r="D41" i="72" s="1"/>
  <c r="D43" i="72" s="1"/>
  <c r="B21" i="80" s="1"/>
  <c r="C21" i="80" s="1"/>
  <c r="D12" i="63"/>
  <c r="P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2" i="63"/>
  <c r="D33" i="63"/>
  <c r="D34" i="63"/>
  <c r="D35" i="63"/>
  <c r="D36" i="63"/>
  <c r="O40" i="63"/>
  <c r="D41" i="63"/>
  <c r="D42" i="63"/>
  <c r="D43" i="63"/>
  <c r="D44" i="63"/>
  <c r="D45" i="63"/>
  <c r="D46" i="63"/>
  <c r="D47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J4" i="2"/>
  <c r="J35" i="2" s="1"/>
  <c r="J40" i="2" s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D70" i="2"/>
  <c r="D73" i="2"/>
  <c r="D74" i="2"/>
  <c r="D75" i="2"/>
  <c r="C45" i="80" l="1"/>
  <c r="B45" i="80" s="1"/>
  <c r="C35" i="63"/>
  <c r="B35" i="63" s="1"/>
  <c r="B24" i="63"/>
  <c r="C24" i="63" s="1"/>
  <c r="D37" i="76"/>
  <c r="C21" i="63"/>
  <c r="B21" i="63" s="1"/>
  <c r="C37" i="80"/>
  <c r="B37" i="80" s="1"/>
  <c r="B20" i="63"/>
  <c r="C36" i="80"/>
  <c r="C16" i="63"/>
  <c r="B16" i="63" s="1"/>
  <c r="AH20" i="7"/>
  <c r="C46" i="80"/>
  <c r="B46" i="80" s="1"/>
  <c r="C46" i="63"/>
  <c r="B46" i="63" s="1"/>
  <c r="C133" i="15"/>
  <c r="F35" i="6"/>
  <c r="F40" i="6" s="1"/>
  <c r="D39" i="19"/>
  <c r="AF39" i="15"/>
  <c r="AF45" i="15" s="1"/>
  <c r="AV16" i="15"/>
  <c r="AV39" i="15" s="1"/>
  <c r="AJ39" i="15"/>
  <c r="AJ45" i="15" s="1"/>
  <c r="AI5" i="7"/>
  <c r="AH6" i="7"/>
  <c r="D37" i="75"/>
  <c r="H36" i="11"/>
  <c r="H38" i="11" s="1"/>
  <c r="D39" i="79"/>
  <c r="D41" i="79" s="1"/>
  <c r="AR39" i="15"/>
  <c r="AR45" i="15" s="1"/>
  <c r="AL48" i="11"/>
  <c r="AN39" i="15"/>
  <c r="AG20" i="7"/>
  <c r="AG21" i="7" s="1"/>
  <c r="AP27" i="11"/>
  <c r="AF27" i="11"/>
  <c r="D40" i="69"/>
  <c r="D42" i="69" s="1"/>
  <c r="D38" i="77"/>
  <c r="D39" i="77" s="1"/>
  <c r="D41" i="77" s="1"/>
  <c r="AP34" i="11"/>
  <c r="AF34" i="11"/>
  <c r="E37" i="73"/>
  <c r="C38" i="73"/>
  <c r="C40" i="73" s="1"/>
  <c r="E36" i="13"/>
  <c r="F37" i="22"/>
  <c r="D39" i="75"/>
  <c r="D41" i="75" s="1"/>
  <c r="AP20" i="11"/>
  <c r="AF20" i="11"/>
  <c r="H37" i="9"/>
  <c r="H39" i="9" s="1"/>
  <c r="C37" i="13"/>
  <c r="B30" i="20"/>
  <c r="D40" i="19"/>
  <c r="D19" i="65"/>
  <c r="D20" i="65" s="1"/>
  <c r="D24" i="65" s="1"/>
  <c r="J36" i="70"/>
  <c r="J37" i="70" s="1"/>
  <c r="J41" i="70" s="1"/>
  <c r="D38" i="74"/>
  <c r="D39" i="74" s="1"/>
  <c r="D41" i="74" s="1"/>
  <c r="D13" i="78"/>
  <c r="D14" i="78" s="1"/>
  <c r="D18" i="78" s="1"/>
  <c r="F38" i="22"/>
  <c r="F39" i="22" s="1"/>
  <c r="F41" i="22" s="1"/>
  <c r="D18" i="64"/>
  <c r="D19" i="64" s="1"/>
  <c r="D23" i="64" s="1"/>
  <c r="D38" i="76"/>
  <c r="D19" i="8"/>
  <c r="D20" i="8" s="1"/>
  <c r="D24" i="8" s="1"/>
  <c r="F40" i="71"/>
  <c r="F41" i="71" s="1"/>
  <c r="F43" i="71" s="1"/>
  <c r="J40" i="17"/>
  <c r="J41" i="17" s="1"/>
  <c r="J43" i="17" s="1"/>
  <c r="F39" i="15"/>
  <c r="F41" i="15" s="1"/>
  <c r="F43" i="15" s="1"/>
  <c r="E37" i="5"/>
  <c r="F40" i="18"/>
  <c r="F41" i="18" s="1"/>
  <c r="F43" i="18" s="1"/>
  <c r="D37" i="81"/>
  <c r="D41" i="81" s="1"/>
  <c r="F36" i="5"/>
  <c r="F42" i="5" s="1"/>
  <c r="D12" i="78"/>
  <c r="AH57" i="15"/>
  <c r="C43" i="80"/>
  <c r="B43" i="80" s="1"/>
  <c r="C31" i="63"/>
  <c r="B31" i="63" s="1"/>
  <c r="D35" i="68"/>
  <c r="D40" i="68" s="1"/>
  <c r="J35" i="70"/>
  <c r="D37" i="12"/>
  <c r="D40" i="12" s="1"/>
  <c r="C176" i="15"/>
  <c r="F176" i="15" s="1"/>
  <c r="B14" i="63" l="1"/>
  <c r="C14" i="63" s="1"/>
  <c r="B15" i="80"/>
  <c r="C15" i="80" s="1"/>
  <c r="B36" i="80"/>
  <c r="B30" i="80"/>
  <c r="C30" i="80" s="1"/>
  <c r="B42" i="63"/>
  <c r="C42" i="63" s="1"/>
  <c r="B20" i="80"/>
  <c r="C20" i="80" s="1"/>
  <c r="B25" i="63"/>
  <c r="C25" i="63" s="1"/>
  <c r="B45" i="63"/>
  <c r="C45" i="63" s="1"/>
  <c r="B28" i="80"/>
  <c r="C28" i="80" s="1"/>
  <c r="C40" i="80"/>
  <c r="B40" i="80" s="1"/>
  <c r="C27" i="63"/>
  <c r="B27" i="63" s="1"/>
  <c r="B26" i="80"/>
  <c r="C26" i="80" s="1"/>
  <c r="B47" i="63"/>
  <c r="C47" i="63" s="1"/>
  <c r="B12" i="80"/>
  <c r="B12" i="63"/>
  <c r="AR51" i="15"/>
  <c r="AR48" i="15"/>
  <c r="B22" i="63"/>
  <c r="C22" i="63" s="1"/>
  <c r="B19" i="80"/>
  <c r="C19" i="80" s="1"/>
  <c r="B25" i="80"/>
  <c r="C25" i="80" s="1"/>
  <c r="B36" i="63"/>
  <c r="C36" i="63" s="1"/>
  <c r="C42" i="80"/>
  <c r="B42" i="80" s="1"/>
  <c r="C29" i="63"/>
  <c r="B29" i="63" s="1"/>
  <c r="D41" i="19"/>
  <c r="D43" i="19" s="1"/>
  <c r="D39" i="76"/>
  <c r="D41" i="76" s="1"/>
  <c r="C30" i="20"/>
  <c r="C31" i="20" s="1"/>
  <c r="B17" i="20"/>
  <c r="C17" i="20" s="1"/>
  <c r="C18" i="20" s="1"/>
  <c r="B45" i="20"/>
  <c r="C45" i="20" s="1"/>
  <c r="C46" i="20" s="1"/>
  <c r="B29" i="80"/>
  <c r="C29" i="80" s="1"/>
  <c r="B43" i="63"/>
  <c r="C43" i="63" s="1"/>
  <c r="C23" i="63"/>
  <c r="B23" i="63" s="1"/>
  <c r="C39" i="80"/>
  <c r="B39" i="80" s="1"/>
  <c r="C28" i="63"/>
  <c r="B28" i="63" s="1"/>
  <c r="C41" i="80"/>
  <c r="B41" i="80" s="1"/>
  <c r="B34" i="63"/>
  <c r="C34" i="63" s="1"/>
  <c r="B27" i="80"/>
  <c r="C27" i="80" s="1"/>
  <c r="AH7" i="7"/>
  <c r="AI6" i="7"/>
  <c r="B17" i="80"/>
  <c r="C17" i="80" s="1"/>
  <c r="B18" i="63"/>
  <c r="C18" i="63" s="1"/>
  <c r="C44" i="80"/>
  <c r="B44" i="80" s="1"/>
  <c r="C33" i="63"/>
  <c r="B33" i="63" s="1"/>
  <c r="B14" i="80"/>
  <c r="C14" i="80" s="1"/>
  <c r="B15" i="63"/>
  <c r="C15" i="63" s="1"/>
  <c r="E37" i="13"/>
  <c r="E38" i="13" s="1"/>
  <c r="C38" i="13"/>
  <c r="C41" i="13" s="1"/>
  <c r="F37" i="73"/>
  <c r="F38" i="73" s="1"/>
  <c r="F40" i="73" s="1"/>
  <c r="F50" i="73" s="1"/>
  <c r="E38" i="73"/>
  <c r="E40" i="73" s="1"/>
  <c r="B102" i="15"/>
  <c r="AN45" i="15"/>
  <c r="AH21" i="7"/>
  <c r="AI21" i="7" s="1"/>
  <c r="AI20" i="7"/>
  <c r="B32" i="80"/>
  <c r="C32" i="80" s="1"/>
  <c r="B41" i="63"/>
  <c r="B31" i="80"/>
  <c r="C31" i="80" s="1"/>
  <c r="B44" i="63"/>
  <c r="C44" i="63" s="1"/>
  <c r="C20" i="63"/>
  <c r="C38" i="80"/>
  <c r="C47" i="80" s="1"/>
  <c r="B16" i="80"/>
  <c r="C16" i="80" s="1"/>
  <c r="B17" i="63"/>
  <c r="C17" i="63" s="1"/>
  <c r="B22" i="80"/>
  <c r="C22" i="80" s="1"/>
  <c r="B26" i="63"/>
  <c r="C26" i="63" s="1"/>
  <c r="B48" i="63" l="1"/>
  <c r="C41" i="63"/>
  <c r="C48" i="63" s="1"/>
  <c r="F38" i="13"/>
  <c r="E41" i="13"/>
  <c r="F41" i="13" s="1"/>
  <c r="AH8" i="7"/>
  <c r="AI7" i="7"/>
  <c r="C62" i="20"/>
  <c r="F52" i="73" s="1"/>
  <c r="F54" i="73" s="1"/>
  <c r="B47" i="80"/>
  <c r="C12" i="63"/>
  <c r="C12" i="80"/>
  <c r="F102" i="15"/>
  <c r="F103" i="15" s="1"/>
  <c r="B103" i="15"/>
  <c r="B105" i="15" s="1"/>
  <c r="F105" i="15" s="1"/>
  <c r="B13" i="63"/>
  <c r="C13" i="63" s="1"/>
  <c r="B13" i="80"/>
  <c r="C13" i="80" s="1"/>
  <c r="B32" i="63"/>
  <c r="C32" i="63" s="1"/>
  <c r="B24" i="80"/>
  <c r="C24" i="80" s="1"/>
  <c r="C103" i="15" l="1"/>
  <c r="AI8" i="7"/>
  <c r="AH9" i="7"/>
  <c r="B18" i="80"/>
  <c r="C18" i="80" s="1"/>
  <c r="C33" i="80" s="1"/>
  <c r="C49" i="80" s="1"/>
  <c r="B19" i="63"/>
  <c r="C19" i="63" s="1"/>
  <c r="C37" i="63" s="1"/>
  <c r="C50" i="63" s="1"/>
  <c r="B30" i="63"/>
  <c r="C30" i="63" s="1"/>
  <c r="B23" i="80"/>
  <c r="C23" i="80" s="1"/>
  <c r="AH10" i="7" l="1"/>
  <c r="AI9" i="7"/>
  <c r="B37" i="63"/>
  <c r="B50" i="63" s="1"/>
  <c r="B33" i="80"/>
  <c r="B49" i="80" s="1"/>
  <c r="AH11" i="7" l="1"/>
  <c r="AI10" i="7"/>
  <c r="AH12" i="7" l="1"/>
  <c r="AI11" i="7"/>
  <c r="AI12" i="7" l="1"/>
  <c r="AH13" i="7"/>
  <c r="AI13" i="7" l="1"/>
  <c r="AH14" i="7"/>
  <c r="AH15" i="7" l="1"/>
  <c r="AI14" i="7"/>
  <c r="AH16" i="7" l="1"/>
  <c r="AI15" i="7"/>
  <c r="AI16" i="7" l="1"/>
  <c r="AH17" i="7"/>
  <c r="AI17" i="7" s="1"/>
</calcChain>
</file>

<file path=xl/sharedStrings.xml><?xml version="1.0" encoding="utf-8"?>
<sst xmlns="http://schemas.openxmlformats.org/spreadsheetml/2006/main" count="586" uniqueCount="174">
  <si>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</si>
  <si>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</si>
  <si>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</si>
  <si>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</si>
  <si>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</si>
  <si>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</si>
  <si>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</si>
  <si>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</si>
  <si>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</si>
  <si>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</si>
  <si>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</si>
  <si>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</si>
  <si>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</si>
  <si>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</si>
  <si>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</si>
  <si>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</si>
  <si>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</si>
  <si>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</si>
  <si>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</si>
  <si>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</si>
  <si>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</si>
  <si>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</si>
  <si>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</si>
  <si>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</si>
  <si>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</si>
  <si>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</si>
  <si>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</si>
  <si>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</si>
  <si>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</si>
  <si>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</si>
  <si>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</si>
  <si>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</si>
  <si>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</si>
  <si>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</si>
  <si>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</si>
  <si>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</si>
  <si>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</si>
  <si>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</si>
  <si>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</si>
  <si>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</si>
  <si>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</si>
  <si>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</si>
  <si>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</si>
  <si>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</si>
  <si>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</si>
  <si>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</si>
  <si>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</si>
  <si>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</si>
  <si>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</si>
  <si>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</si>
  <si>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</si>
  <si>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</si>
  <si>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</si>
  <si>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</si>
  <si>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</si>
  <si>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</si>
  <si>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</si>
  <si>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</si>
  <si>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</si>
  <si>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</si>
  <si>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</si>
  <si>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</si>
  <si>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</si>
  <si>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</si>
  <si>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</si>
  <si>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</si>
  <si>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</si>
  <si>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</si>
  <si>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</si>
  <si>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</si>
  <si>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</si>
  <si>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</si>
  <si>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</si>
  <si>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</si>
  <si>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</si>
  <si>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</si>
  <si>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</si>
  <si>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</si>
  <si>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</si>
  <si>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</si>
  <si>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</si>
  <si>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</si>
  <si>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</si>
  <si>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</si>
  <si>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</si>
  <si>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</si>
  <si>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</si>
  <si>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</si>
  <si>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</si>
  <si>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</si>
  <si>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</si>
  <si>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</si>
  <si>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</si>
  <si>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</si>
  <si>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</si>
  <si>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</si>
  <si>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</si>
  <si>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</si>
  <si>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</si>
  <si>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</si>
  <si>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</si>
  <si>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</si>
  <si>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</si>
  <si>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</si>
  <si>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</si>
  <si>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</si>
  <si>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</si>
  <si>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</si>
  <si>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Cynthia Rivers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</si>
  <si>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</si>
  <si>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</si>
  <si>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</si>
  <si>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</si>
  <si>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</si>
  <si>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</si>
  <si>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</si>
  <si>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</si>
  <si>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</si>
  <si>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</si>
  <si>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</si>
  <si>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</si>
  <si>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</si>
  <si>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</si>
  <si>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</si>
  <si>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</si>
  <si>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</si>
  <si>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</si>
  <si>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</si>
  <si>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</si>
  <si>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</si>
  <si>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</si>
  <si>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</si>
  <si>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</si>
  <si>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</si>
  <si>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</si>
  <si>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</si>
  <si>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</si>
  <si>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</si>
  <si>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</si>
  <si>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being reconciled with CIG</t>
  </si>
  <si>
    <t>Calpine</t>
  </si>
  <si>
    <t>PG&amp;E TX/EPFS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</si>
  <si>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</si>
  <si>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</si>
  <si>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</si>
  <si>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</si>
  <si>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</si>
  <si>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</si>
  <si>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</si>
  <si>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</si>
  <si>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</si>
  <si>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</si>
  <si>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</si>
  <si>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</si>
  <si>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</si>
  <si>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</si>
  <si>
    <t>Amoco Abo fuel del</t>
  </si>
  <si>
    <t>ending 5/31/01 bal of $295,327 invoiced</t>
  </si>
  <si>
    <t>Hansford</t>
  </si>
  <si>
    <t>Panhandle Eastern</t>
  </si>
  <si>
    <t>$ valued totals</t>
  </si>
  <si>
    <t>volumetric totals</t>
  </si>
  <si>
    <t>Net $ valued/volumetric</t>
  </si>
  <si>
    <t>If index is high - payback should be done on Dollar Valued payables</t>
  </si>
  <si>
    <t xml:space="preserve">                             - payback should not be done on Volumetric payables</t>
  </si>
  <si>
    <t xml:space="preserve">                             - payback should not be done on Dollar valued receivables</t>
  </si>
  <si>
    <t xml:space="preserve">                             - payback should be done on Volumetric receivable   </t>
  </si>
  <si>
    <t>Milagro, Ignacio, Valverde, Kutz</t>
  </si>
  <si>
    <t>Zia and Maljamar</t>
  </si>
  <si>
    <t>Keystone - to be cashed out</t>
  </si>
  <si>
    <t>Ignacio, Valverde, Kutz, and Milagro</t>
  </si>
  <si>
    <t>Keystone - to be cashed out in 7/01</t>
  </si>
  <si>
    <t>6,000/day planned makeup during 7/01</t>
  </si>
  <si>
    <t>5,000/DAY scheduled for makeup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</si>
</sst>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4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10"/>
      <color indexed="10"/>
      <name val="Arial"/>
      <family val="2"/>
    </font>
    <font>
      <b/>
      <sz val="8"/>
      <color indexed="17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9"/>
      <color indexed="10"/>
      <name val="Arial"/>
      <family val="2"/>
    </font>
    <font>
      <sz val="9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39" fontId="0" fillId="0" borderId="0" xfId="1" applyNumberFormat="1" applyFont="1"/>
    <xf numFmtId="166" fontId="4" fillId="0" borderId="0" xfId="0" applyNumberFormat="1" applyFont="1" applyBorder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37" fontId="30" fillId="0" borderId="0" xfId="1" applyNumberFormat="1" applyFont="1" applyFill="1"/>
    <xf numFmtId="167" fontId="0" fillId="0" borderId="0" xfId="0" applyNumberFormat="1"/>
    <xf numFmtId="167" fontId="0" fillId="0" borderId="0" xfId="1" applyNumberFormat="1" applyFont="1"/>
    <xf numFmtId="43" fontId="0" fillId="0" borderId="0" xfId="0" applyNumberFormat="1"/>
    <xf numFmtId="7" fontId="9" fillId="0" borderId="0" xfId="0" applyNumberFormat="1" applyFont="1" applyFill="1" applyBorder="1"/>
    <xf numFmtId="210" fontId="0" fillId="0" borderId="0" xfId="1" applyNumberFormat="1" applyFont="1"/>
    <xf numFmtId="168" fontId="0" fillId="0" borderId="0" xfId="0" applyNumberFormat="1"/>
    <xf numFmtId="39" fontId="0" fillId="0" borderId="0" xfId="0" applyNumberFormat="1"/>
    <xf numFmtId="37" fontId="31" fillId="0" borderId="0" xfId="1" applyNumberFormat="1" applyFont="1" applyFill="1"/>
    <xf numFmtId="180" fontId="11" fillId="0" borderId="0" xfId="0" applyNumberFormat="1" applyFont="1" applyBorder="1"/>
    <xf numFmtId="43" fontId="4" fillId="0" borderId="0" xfId="1" applyFont="1" applyAlignment="1">
      <alignment horizontal="center"/>
    </xf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5" fontId="9" fillId="0" borderId="1" xfId="0" applyNumberFormat="1" applyFont="1" applyBorder="1"/>
    <xf numFmtId="166" fontId="32" fillId="0" borderId="0" xfId="1" applyNumberFormat="1" applyFont="1"/>
    <xf numFmtId="0" fontId="33" fillId="0" borderId="0" xfId="0" applyFont="1"/>
    <xf numFmtId="0" fontId="33" fillId="0" borderId="0" xfId="0" applyFont="1" applyBorder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5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79" fontId="0" fillId="0" borderId="0" xfId="2" applyNumberFormat="1" applyFont="1"/>
    <xf numFmtId="166" fontId="9" fillId="0" borderId="0" xfId="0" applyNumberFormat="1" applyFont="1" applyBorder="1"/>
    <xf numFmtId="43" fontId="9" fillId="0" borderId="0" xfId="1" applyNumberFormat="1" applyFont="1"/>
    <xf numFmtId="186" fontId="9" fillId="0" borderId="0" xfId="0" applyNumberFormat="1" applyFont="1"/>
    <xf numFmtId="5" fontId="14" fillId="0" borderId="0" xfId="0" applyNumberFormat="1" applyFont="1" applyBorder="1" applyAlignment="1">
      <alignment horizontal="right"/>
    </xf>
    <xf numFmtId="37" fontId="14" fillId="0" borderId="0" xfId="1" applyNumberFormat="1" applyFont="1" applyBorder="1" applyAlignment="1">
      <alignment horizontal="right"/>
    </xf>
    <xf numFmtId="37" fontId="36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5" fontId="14" fillId="0" borderId="0" xfId="0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4" fillId="0" borderId="0" xfId="0" applyNumberFormat="1" applyFon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14" fontId="0" fillId="0" borderId="0" xfId="0" applyNumberFormat="1" applyAlignment="1">
      <alignment horizontal="right"/>
    </xf>
    <xf numFmtId="37" fontId="14" fillId="0" borderId="0" xfId="1" applyNumberFormat="1" applyFont="1" applyBorder="1"/>
    <xf numFmtId="5" fontId="14" fillId="0" borderId="1" xfId="0" applyNumberFormat="1" applyFont="1" applyBorder="1"/>
    <xf numFmtId="5" fontId="14" fillId="0" borderId="0" xfId="0" applyNumberFormat="1" applyFont="1"/>
    <xf numFmtId="37" fontId="14" fillId="0" borderId="0" xfId="1" applyNumberFormat="1" applyFont="1"/>
    <xf numFmtId="5" fontId="14" fillId="0" borderId="3" xfId="0" applyNumberFormat="1" applyFont="1" applyBorder="1"/>
    <xf numFmtId="37" fontId="14" fillId="0" borderId="3" xfId="1" applyNumberFormat="1" applyFont="1" applyBorder="1"/>
    <xf numFmtId="0" fontId="37" fillId="0" borderId="0" xfId="0" applyFont="1"/>
    <xf numFmtId="0" fontId="38" fillId="0" borderId="0" xfId="0" applyFont="1"/>
    <xf numFmtId="5" fontId="38" fillId="0" borderId="0" xfId="0" applyNumberFormat="1" applyFont="1" applyAlignment="1">
      <alignment horizontal="right"/>
    </xf>
    <xf numFmtId="37" fontId="38" fillId="0" borderId="0" xfId="1" applyNumberFormat="1" applyFont="1" applyAlignment="1">
      <alignment horizontal="right"/>
    </xf>
    <xf numFmtId="0" fontId="38" fillId="0" borderId="0" xfId="0" applyFont="1" applyAlignment="1">
      <alignment horizontal="right"/>
    </xf>
    <xf numFmtId="0" fontId="11" fillId="0" borderId="1" xfId="0" applyFont="1" applyBorder="1"/>
    <xf numFmtId="5" fontId="0" fillId="0" borderId="1" xfId="0" applyNumberFormat="1" applyBorder="1"/>
    <xf numFmtId="37" fontId="0" fillId="0" borderId="1" xfId="1" applyNumberFormat="1" applyFont="1" applyBorder="1"/>
    <xf numFmtId="166" fontId="14" fillId="0" borderId="0" xfId="1" applyNumberFormat="1" applyFont="1" applyBorder="1"/>
    <xf numFmtId="166" fontId="14" fillId="0" borderId="1" xfId="1" applyNumberFormat="1" applyFont="1" applyBorder="1"/>
    <xf numFmtId="166" fontId="25" fillId="0" borderId="1" xfId="1" applyNumberFormat="1" applyFont="1" applyFill="1" applyBorder="1"/>
    <xf numFmtId="166" fontId="25" fillId="0" borderId="0" xfId="1" applyNumberFormat="1" applyFont="1" applyFill="1" applyBorder="1"/>
    <xf numFmtId="5" fontId="25" fillId="0" borderId="1" xfId="0" applyNumberFormat="1" applyFont="1" applyFill="1" applyBorder="1"/>
    <xf numFmtId="5" fontId="9" fillId="0" borderId="0" xfId="0" applyNumberFormat="1" applyFont="1" applyFill="1"/>
    <xf numFmtId="7" fontId="25" fillId="0" borderId="1" xfId="0" applyNumberFormat="1" applyFont="1" applyFill="1" applyBorder="1"/>
    <xf numFmtId="166" fontId="25" fillId="0" borderId="1" xfId="0" applyNumberFormat="1" applyFont="1" applyFill="1" applyBorder="1"/>
    <xf numFmtId="37" fontId="25" fillId="0" borderId="0" xfId="1" applyNumberFormat="1" applyFont="1" applyFill="1"/>
    <xf numFmtId="37" fontId="25" fillId="0" borderId="0" xfId="1" applyNumberFormat="1" applyFont="1" applyFill="1" applyBorder="1"/>
    <xf numFmtId="5" fontId="25" fillId="0" borderId="1" xfId="1" applyNumberFormat="1" applyFont="1" applyFill="1" applyBorder="1"/>
    <xf numFmtId="5" fontId="25" fillId="0" borderId="0" xfId="1" applyNumberFormat="1" applyFont="1" applyFill="1"/>
    <xf numFmtId="7" fontId="25" fillId="0" borderId="0" xfId="1" applyNumberFormat="1" applyFont="1" applyFill="1"/>
    <xf numFmtId="44" fontId="25" fillId="0" borderId="0" xfId="2" applyFont="1" applyFill="1"/>
    <xf numFmtId="7" fontId="39" fillId="0" borderId="1" xfId="1" applyNumberFormat="1" applyFont="1" applyFill="1" applyBorder="1"/>
    <xf numFmtId="5" fontId="25" fillId="0" borderId="0" xfId="0" applyNumberFormat="1" applyFont="1" applyFill="1"/>
    <xf numFmtId="192" fontId="25" fillId="0" borderId="0" xfId="0" applyNumberFormat="1" applyFont="1" applyFill="1"/>
    <xf numFmtId="7" fontId="25" fillId="0" borderId="0" xfId="0" applyNumberFormat="1" applyFont="1" applyFill="1"/>
    <xf numFmtId="5" fontId="25" fillId="0" borderId="0" xfId="1" applyNumberFormat="1" applyFont="1" applyFill="1" applyBorder="1"/>
    <xf numFmtId="5" fontId="25" fillId="0" borderId="0" xfId="0" applyNumberFormat="1" applyFont="1" applyFill="1" applyAlignment="1">
      <alignment horizontal="left" indent="2"/>
    </xf>
    <xf numFmtId="7" fontId="3" fillId="0" borderId="0" xfId="2" applyNumberFormat="1" applyFont="1" applyBorder="1"/>
    <xf numFmtId="14" fontId="0" fillId="0" borderId="0" xfId="0" applyNumberFormat="1" applyBorder="1" applyAlignment="1">
      <alignment horizontal="right"/>
    </xf>
    <xf numFmtId="166" fontId="14" fillId="0" borderId="3" xfId="1" applyNumberFormat="1" applyFont="1" applyBorder="1"/>
    <xf numFmtId="166" fontId="30" fillId="0" borderId="0" xfId="1" applyNumberFormat="1" applyFont="1" applyFill="1"/>
    <xf numFmtId="166" fontId="30" fillId="0" borderId="1" xfId="1" applyNumberFormat="1" applyFont="1" applyBorder="1"/>
    <xf numFmtId="166" fontId="30" fillId="0" borderId="0" xfId="1" applyNumberFormat="1" applyFont="1"/>
    <xf numFmtId="37" fontId="40" fillId="0" borderId="0" xfId="1" applyNumberFormat="1" applyFont="1" applyFill="1"/>
    <xf numFmtId="0" fontId="20" fillId="0" borderId="0" xfId="0" applyFont="1"/>
    <xf numFmtId="37" fontId="14" fillId="0" borderId="1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07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01"/>
    </sheetNames>
    <sheetDataSet>
      <sheetData sheetId="0">
        <row r="39">
          <cell r="H39">
            <v>2.83</v>
          </cell>
          <cell r="K39">
            <v>2.29</v>
          </cell>
          <cell r="M39">
            <v>2.65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workbookViewId="0"/>
    <sheetView workbookViewId="1"/>
    <sheetView workbookViewId="2"/>
    <sheetView topLeftCell="A30" workbookViewId="3">
      <selection activeCell="D18" sqref="D18"/>
    </sheetView>
  </sheetViews>
  <sheetFormatPr defaultRowHeight="12.75" x14ac:dyDescent="0.2"/>
  <cols>
    <col min="1" max="1" width="22.5703125" style="297" customWidth="1"/>
    <col min="2" max="2" width="10.7109375" style="253" bestFit="1" customWidth="1"/>
    <col min="3" max="3" width="10.28515625" style="298" bestFit="1" customWidth="1"/>
    <col min="4" max="4" width="10.7109375" customWidth="1"/>
    <col min="5" max="5" width="12" customWidth="1"/>
    <col min="6" max="6" width="15.140625" customWidth="1"/>
    <col min="10" max="10" width="12.7109375" customWidth="1"/>
  </cols>
  <sheetData>
    <row r="1" spans="1:20" ht="15" x14ac:dyDescent="0.25">
      <c r="A1" s="427"/>
    </row>
    <row r="2" spans="1:20" ht="15.75" x14ac:dyDescent="0.25">
      <c r="A2" s="53" t="s">
        <v>163</v>
      </c>
    </row>
    <row r="3" spans="1:20" ht="15.75" x14ac:dyDescent="0.25">
      <c r="A3" s="53" t="s">
        <v>166</v>
      </c>
    </row>
    <row r="4" spans="1:20" ht="15" customHeight="1" x14ac:dyDescent="0.25">
      <c r="A4" s="53" t="s">
        <v>165</v>
      </c>
    </row>
    <row r="5" spans="1:20" ht="15" customHeight="1" x14ac:dyDescent="0.25">
      <c r="A5" s="53" t="s">
        <v>164</v>
      </c>
    </row>
    <row r="6" spans="1:20" ht="20.100000000000001" customHeight="1" x14ac:dyDescent="0.25">
      <c r="A6" s="392" t="s">
        <v>155</v>
      </c>
    </row>
    <row r="7" spans="1:20" ht="18" customHeight="1" x14ac:dyDescent="0.2"/>
    <row r="8" spans="1:20" ht="18" customHeight="1" x14ac:dyDescent="0.2">
      <c r="A8" s="34" t="s">
        <v>5</v>
      </c>
    </row>
    <row r="9" spans="1:20" ht="18" customHeight="1" x14ac:dyDescent="0.2">
      <c r="A9" s="34" t="s">
        <v>6</v>
      </c>
      <c r="B9" s="268"/>
      <c r="O9" s="305" t="s">
        <v>82</v>
      </c>
      <c r="P9" s="306"/>
    </row>
    <row r="10" spans="1:20" ht="18" customHeight="1" x14ac:dyDescent="0.2">
      <c r="O10" s="307" t="s">
        <v>31</v>
      </c>
      <c r="P10" s="309">
        <f>+'[1]0701'!$K$39</f>
        <v>2.29</v>
      </c>
    </row>
    <row r="11" spans="1:20" ht="18" customHeight="1" x14ac:dyDescent="0.2">
      <c r="A11" s="393" t="s">
        <v>98</v>
      </c>
      <c r="B11" s="394" t="s">
        <v>18</v>
      </c>
      <c r="C11" s="395" t="s">
        <v>0</v>
      </c>
      <c r="D11" s="396" t="s">
        <v>85</v>
      </c>
      <c r="E11" s="393" t="s">
        <v>99</v>
      </c>
      <c r="F11" s="397" t="s">
        <v>111</v>
      </c>
      <c r="G11" s="301" t="s">
        <v>107</v>
      </c>
      <c r="O11" s="308" t="s">
        <v>32</v>
      </c>
      <c r="P11" s="310">
        <f>+'[1]0701'!$M$39</f>
        <v>2.65</v>
      </c>
    </row>
    <row r="12" spans="1:20" ht="18" customHeight="1" x14ac:dyDescent="0.2">
      <c r="A12" s="356" t="s">
        <v>95</v>
      </c>
      <c r="B12" s="374">
        <f>+NNG!$D$24</f>
        <v>1017832.9</v>
      </c>
      <c r="C12" s="386">
        <f>+B12/$P$11</f>
        <v>384087.88679245283</v>
      </c>
      <c r="D12" s="317">
        <f>+NNG!A24</f>
        <v>37075</v>
      </c>
      <c r="E12" s="314" t="s">
        <v>90</v>
      </c>
      <c r="F12" s="314" t="s">
        <v>110</v>
      </c>
      <c r="H12" s="64"/>
      <c r="O12" t="s">
        <v>127</v>
      </c>
      <c r="P12" s="269">
        <f>+'[1]0701'!$H$39</f>
        <v>2.83</v>
      </c>
    </row>
    <row r="13" spans="1:20" ht="15" customHeight="1" x14ac:dyDescent="0.2">
      <c r="A13" s="355" t="s">
        <v>145</v>
      </c>
      <c r="B13" s="374">
        <f>+SidR!D41</f>
        <v>880970.15</v>
      </c>
      <c r="C13" s="386">
        <f>+B13/$P$11</f>
        <v>332441.56603773584</v>
      </c>
      <c r="D13" s="65">
        <f>+SidR!A41</f>
        <v>37075</v>
      </c>
      <c r="E13" t="s">
        <v>90</v>
      </c>
      <c r="F13" t="s">
        <v>112</v>
      </c>
      <c r="G13" t="s">
        <v>169</v>
      </c>
    </row>
    <row r="14" spans="1:20" ht="15" customHeight="1" x14ac:dyDescent="0.2">
      <c r="A14" s="355" t="s">
        <v>87</v>
      </c>
      <c r="B14" s="374">
        <f>+PNM!$D$23</f>
        <v>669801.77</v>
      </c>
      <c r="C14" s="386">
        <f>+B14/$P$11</f>
        <v>252755.38490566038</v>
      </c>
      <c r="D14" s="65">
        <f>+PNM!A23</f>
        <v>37075</v>
      </c>
      <c r="E14" t="s">
        <v>90</v>
      </c>
      <c r="F14" t="s">
        <v>108</v>
      </c>
    </row>
    <row r="15" spans="1:20" ht="15" customHeight="1" x14ac:dyDescent="0.2">
      <c r="A15" s="355" t="s">
        <v>25</v>
      </c>
      <c r="B15" s="368">
        <f>+'Red C'!$F$43</f>
        <v>676795.97</v>
      </c>
      <c r="C15" s="369">
        <f>+B15/$P$10</f>
        <v>295544.09170305677</v>
      </c>
      <c r="D15" s="317">
        <f>+'Red C'!B43</f>
        <v>37076</v>
      </c>
      <c r="E15" t="s">
        <v>90</v>
      </c>
      <c r="F15" t="s">
        <v>125</v>
      </c>
    </row>
    <row r="16" spans="1:20" ht="15" customHeight="1" x14ac:dyDescent="0.2">
      <c r="A16" s="355" t="s">
        <v>117</v>
      </c>
      <c r="B16" s="374">
        <f>+KN_Westar!F41</f>
        <v>544472.21</v>
      </c>
      <c r="C16" s="386">
        <f t="shared" ref="C16:C29" si="0">+B16/$P$11</f>
        <v>205461.21132075472</v>
      </c>
      <c r="D16" s="65">
        <f>+KN_Westar!A41</f>
        <v>37075</v>
      </c>
      <c r="E16" t="s">
        <v>90</v>
      </c>
      <c r="F16" t="s">
        <v>110</v>
      </c>
      <c r="T16" s="269"/>
    </row>
    <row r="17" spans="1:20" ht="15" customHeight="1" x14ac:dyDescent="0.2">
      <c r="A17" s="355" t="s">
        <v>3</v>
      </c>
      <c r="B17" s="374">
        <f>+'Amoco Abo'!$F$43</f>
        <v>538621.14</v>
      </c>
      <c r="C17" s="386">
        <f>+B17/$P$11</f>
        <v>203253.2603773585</v>
      </c>
      <c r="D17" s="65">
        <f>+'Amoco Abo'!A43</f>
        <v>37075</v>
      </c>
      <c r="E17" t="s">
        <v>90</v>
      </c>
      <c r="F17" t="s">
        <v>109</v>
      </c>
      <c r="T17" s="269"/>
    </row>
    <row r="18" spans="1:20" ht="15" customHeight="1" x14ac:dyDescent="0.2">
      <c r="A18" s="355" t="s">
        <v>84</v>
      </c>
      <c r="B18" s="374">
        <f>+Conoco!$F$41</f>
        <v>519673.48</v>
      </c>
      <c r="C18" s="386">
        <f>+B18/$P$10</f>
        <v>226931.65065502183</v>
      </c>
      <c r="D18" s="317">
        <f>+Conoco!A41</f>
        <v>37076</v>
      </c>
      <c r="E18" t="s">
        <v>90</v>
      </c>
      <c r="F18" t="s">
        <v>109</v>
      </c>
      <c r="G18" t="s">
        <v>168</v>
      </c>
    </row>
    <row r="19" spans="1:20" ht="15" customHeight="1" x14ac:dyDescent="0.2">
      <c r="A19" s="355" t="s">
        <v>2</v>
      </c>
      <c r="B19" s="374">
        <f>+mewborne!$J$43</f>
        <v>351713.35</v>
      </c>
      <c r="C19" s="386">
        <f t="shared" si="0"/>
        <v>132722.01886792452</v>
      </c>
      <c r="D19" s="65">
        <f>+mewborne!A43</f>
        <v>37075</v>
      </c>
      <c r="E19" t="s">
        <v>90</v>
      </c>
      <c r="F19" t="s">
        <v>109</v>
      </c>
    </row>
    <row r="20" spans="1:20" ht="15" customHeight="1" x14ac:dyDescent="0.2">
      <c r="A20" s="355" t="s">
        <v>113</v>
      </c>
      <c r="B20" s="374">
        <f>+EOG!J41</f>
        <v>317459.59999999998</v>
      </c>
      <c r="C20" s="386">
        <f t="shared" si="0"/>
        <v>119796.0754716981</v>
      </c>
      <c r="D20" s="317">
        <f>+EOG!A41</f>
        <v>37075</v>
      </c>
      <c r="E20" t="s">
        <v>90</v>
      </c>
      <c r="F20" t="s">
        <v>112</v>
      </c>
    </row>
    <row r="21" spans="1:20" ht="15" customHeight="1" x14ac:dyDescent="0.2">
      <c r="A21" s="355" t="s">
        <v>120</v>
      </c>
      <c r="B21" s="374">
        <f>+CIG!D43</f>
        <v>326755</v>
      </c>
      <c r="C21" s="386">
        <f t="shared" si="0"/>
        <v>123303.77358490566</v>
      </c>
      <c r="D21" s="65">
        <f>+CIG!A43</f>
        <v>37075</v>
      </c>
      <c r="E21" t="s">
        <v>90</v>
      </c>
      <c r="F21" t="s">
        <v>123</v>
      </c>
      <c r="G21" t="s">
        <v>139</v>
      </c>
    </row>
    <row r="22" spans="1:20" ht="15" customHeight="1" x14ac:dyDescent="0.2">
      <c r="A22" s="355" t="s">
        <v>141</v>
      </c>
      <c r="B22" s="374">
        <f>+PGETX!$H$39</f>
        <v>294933.09999999998</v>
      </c>
      <c r="C22" s="386">
        <f t="shared" si="0"/>
        <v>111295.50943396226</v>
      </c>
      <c r="D22" s="65">
        <f>+PGETX!E39</f>
        <v>37076</v>
      </c>
      <c r="E22" t="s">
        <v>90</v>
      </c>
      <c r="F22" t="s">
        <v>112</v>
      </c>
    </row>
    <row r="23" spans="1:20" ht="15" customHeight="1" x14ac:dyDescent="0.2">
      <c r="A23" s="355" t="s">
        <v>138</v>
      </c>
      <c r="B23" s="374">
        <f>+DEFS!F54</f>
        <v>79086.299999999814</v>
      </c>
      <c r="C23" s="400">
        <f>+B23/$P$11</f>
        <v>29843.886792452762</v>
      </c>
      <c r="D23" s="65">
        <f>+DEFS!A40</f>
        <v>37075</v>
      </c>
      <c r="E23" t="s">
        <v>90</v>
      </c>
      <c r="F23" t="s">
        <v>110</v>
      </c>
      <c r="G23" s="32" t="s">
        <v>128</v>
      </c>
    </row>
    <row r="24" spans="1:20" ht="15" customHeight="1" x14ac:dyDescent="0.2">
      <c r="A24" s="355" t="s">
        <v>75</v>
      </c>
      <c r="B24" s="368">
        <f>+transcol!$D$43</f>
        <v>45712.15</v>
      </c>
      <c r="C24" s="369">
        <f t="shared" si="0"/>
        <v>17249.867924528302</v>
      </c>
      <c r="D24" s="65">
        <f>+transcol!A43</f>
        <v>37076</v>
      </c>
      <c r="E24" t="s">
        <v>90</v>
      </c>
      <c r="F24" t="s">
        <v>125</v>
      </c>
    </row>
    <row r="25" spans="1:20" ht="15" customHeight="1" x14ac:dyDescent="0.2">
      <c r="A25" s="356" t="s">
        <v>104</v>
      </c>
      <c r="B25" s="374">
        <f>+burlington!D42</f>
        <v>8792.86</v>
      </c>
      <c r="C25" s="386">
        <f>+B25/$P$10</f>
        <v>3839.6768558951967</v>
      </c>
      <c r="D25" s="317">
        <f>+burlington!A42</f>
        <v>37076</v>
      </c>
      <c r="E25" s="314" t="s">
        <v>90</v>
      </c>
      <c r="F25" t="s">
        <v>109</v>
      </c>
      <c r="G25" t="s">
        <v>157</v>
      </c>
    </row>
    <row r="26" spans="1:20" ht="15" customHeight="1" x14ac:dyDescent="0.2">
      <c r="A26" s="355" t="s">
        <v>119</v>
      </c>
      <c r="B26" s="374">
        <f>+Continental!F43</f>
        <v>-19408.25</v>
      </c>
      <c r="C26" s="400">
        <f>+B26/$P$11</f>
        <v>-7323.867924528302</v>
      </c>
      <c r="D26" s="65">
        <f>+Continental!A43</f>
        <v>37075</v>
      </c>
      <c r="E26" t="s">
        <v>90</v>
      </c>
      <c r="F26" t="s">
        <v>125</v>
      </c>
    </row>
    <row r="27" spans="1:20" ht="15" customHeight="1" x14ac:dyDescent="0.2">
      <c r="A27" s="356" t="s">
        <v>83</v>
      </c>
      <c r="B27" s="374">
        <f>+Agave!$D$24</f>
        <v>15611.949999999997</v>
      </c>
      <c r="C27" s="400">
        <f>+B27/$P$11</f>
        <v>5891.301886792452</v>
      </c>
      <c r="D27" s="317">
        <f>+Agave!A24</f>
        <v>37075</v>
      </c>
      <c r="E27" s="314" t="s">
        <v>90</v>
      </c>
      <c r="F27" s="314" t="s">
        <v>112</v>
      </c>
    </row>
    <row r="28" spans="1:20" ht="15" customHeight="1" x14ac:dyDescent="0.2">
      <c r="A28" s="355" t="s">
        <v>143</v>
      </c>
      <c r="B28" s="374">
        <f>+EPFS!D41</f>
        <v>-99106.2</v>
      </c>
      <c r="C28" s="400">
        <f>+B28/$P$12</f>
        <v>-35019.858657243814</v>
      </c>
      <c r="D28" s="317">
        <f>+EPFS!A41</f>
        <v>37076</v>
      </c>
      <c r="E28" t="s">
        <v>90</v>
      </c>
      <c r="F28" t="s">
        <v>110</v>
      </c>
    </row>
    <row r="29" spans="1:20" ht="15" customHeight="1" x14ac:dyDescent="0.2">
      <c r="A29" s="355" t="s">
        <v>154</v>
      </c>
      <c r="B29" s="374">
        <f>+'Citizens-Griffith'!D41</f>
        <v>-215290</v>
      </c>
      <c r="C29" s="386">
        <f t="shared" si="0"/>
        <v>-81241.509433962274</v>
      </c>
      <c r="D29" s="317">
        <f>+'Citizens-Griffith'!A41</f>
        <v>37076</v>
      </c>
      <c r="E29" t="s">
        <v>90</v>
      </c>
      <c r="F29" t="s">
        <v>109</v>
      </c>
    </row>
    <row r="30" spans="1:20" ht="15" customHeight="1" x14ac:dyDescent="0.2">
      <c r="A30" s="355" t="s">
        <v>147</v>
      </c>
      <c r="B30" s="374">
        <f>+'NS Steel'!D41</f>
        <v>-361997.1</v>
      </c>
      <c r="C30" s="400">
        <f>+B30/$P$10</f>
        <v>-158077.33624454148</v>
      </c>
      <c r="D30" s="65">
        <f>+'NS Steel'!A41</f>
        <v>37075</v>
      </c>
      <c r="E30" t="s">
        <v>90</v>
      </c>
      <c r="F30" t="s">
        <v>110</v>
      </c>
      <c r="G30" s="301"/>
    </row>
    <row r="31" spans="1:20" ht="15" customHeight="1" x14ac:dyDescent="0.2">
      <c r="A31" s="356" t="s">
        <v>140</v>
      </c>
      <c r="B31" s="374">
        <f>+Calpine!D41</f>
        <v>-201612.7</v>
      </c>
      <c r="C31" s="400">
        <f>+B31/$P$11</f>
        <v>-76080.264150943403</v>
      </c>
      <c r="D31" s="317">
        <f>+Calpine!A41</f>
        <v>37076</v>
      </c>
      <c r="E31" s="314" t="s">
        <v>90</v>
      </c>
      <c r="F31" s="314" t="s">
        <v>109</v>
      </c>
      <c r="G31" s="301"/>
    </row>
    <row r="32" spans="1:20" ht="15" customHeight="1" x14ac:dyDescent="0.2">
      <c r="A32" s="356" t="s">
        <v>149</v>
      </c>
      <c r="B32" s="387">
        <f>+Citizens!D18</f>
        <v>-886028.59</v>
      </c>
      <c r="C32" s="401">
        <f>+B32/$P$11</f>
        <v>-334350.41132075473</v>
      </c>
      <c r="D32" s="317">
        <f>+Citizens!A18</f>
        <v>37072</v>
      </c>
      <c r="E32" s="314" t="s">
        <v>90</v>
      </c>
      <c r="F32" s="314" t="s">
        <v>108</v>
      </c>
      <c r="G32" s="301"/>
    </row>
    <row r="33" spans="1:7" ht="15.95" customHeight="1" x14ac:dyDescent="0.2">
      <c r="A33" s="297" t="s">
        <v>160</v>
      </c>
      <c r="B33" s="253">
        <f>SUM(B12:B32)</f>
        <v>4504789.0899999989</v>
      </c>
      <c r="C33" s="298">
        <f>SUM(C12:C32)</f>
        <v>1752323.9148782257</v>
      </c>
    </row>
    <row r="34" spans="1:7" ht="15.95" customHeight="1" x14ac:dyDescent="0.2">
      <c r="A34" s="356"/>
      <c r="B34" s="374"/>
      <c r="C34" s="386"/>
      <c r="D34" s="317"/>
      <c r="E34" s="314"/>
      <c r="F34" s="314"/>
    </row>
    <row r="35" spans="1:7" ht="15.95" customHeight="1" x14ac:dyDescent="0.2">
      <c r="A35" s="393" t="s">
        <v>98</v>
      </c>
      <c r="B35" s="394" t="s">
        <v>18</v>
      </c>
      <c r="C35" s="395" t="s">
        <v>0</v>
      </c>
      <c r="D35" s="396" t="s">
        <v>85</v>
      </c>
      <c r="E35" s="393" t="s">
        <v>99</v>
      </c>
      <c r="F35" s="397" t="s">
        <v>111</v>
      </c>
      <c r="G35" s="301" t="s">
        <v>107</v>
      </c>
    </row>
    <row r="36" spans="1:7" ht="15.95" customHeight="1" x14ac:dyDescent="0.2">
      <c r="A36" s="356" t="s">
        <v>30</v>
      </c>
      <c r="B36" s="374">
        <f>+C36*$P$10</f>
        <v>669138</v>
      </c>
      <c r="C36" s="386">
        <f>+williams!J40</f>
        <v>292200</v>
      </c>
      <c r="D36" s="317">
        <f>+williams!A40</f>
        <v>37075</v>
      </c>
      <c r="E36" s="314" t="s">
        <v>89</v>
      </c>
      <c r="F36" s="314" t="s">
        <v>125</v>
      </c>
      <c r="G36" t="s">
        <v>170</v>
      </c>
    </row>
    <row r="37" spans="1:7" ht="15" customHeight="1" x14ac:dyDescent="0.2">
      <c r="A37" s="355" t="s">
        <v>97</v>
      </c>
      <c r="B37" s="374">
        <f>+C37*$P$11</f>
        <v>471257.45</v>
      </c>
      <c r="C37" s="386">
        <f>+NGPL!F38</f>
        <v>177833</v>
      </c>
      <c r="D37" s="65">
        <f>+NGPL!A38</f>
        <v>37076</v>
      </c>
      <c r="E37" t="s">
        <v>89</v>
      </c>
      <c r="F37" t="s">
        <v>125</v>
      </c>
      <c r="G37" t="s">
        <v>173</v>
      </c>
    </row>
    <row r="38" spans="1:7" ht="15" customHeight="1" x14ac:dyDescent="0.2">
      <c r="A38" s="355" t="s">
        <v>35</v>
      </c>
      <c r="B38" s="374">
        <f>+'El Paso'!E38*summary!P10+'El Paso'!C38*summary!P11</f>
        <v>517014.06999999995</v>
      </c>
      <c r="C38" s="386">
        <f>+'El Paso'!H38</f>
        <v>162513</v>
      </c>
      <c r="D38" s="65">
        <f>+'El Paso'!A38</f>
        <v>37076</v>
      </c>
      <c r="E38" t="s">
        <v>89</v>
      </c>
      <c r="F38" t="s">
        <v>110</v>
      </c>
      <c r="G38" t="s">
        <v>129</v>
      </c>
    </row>
    <row r="39" spans="1:7" ht="15" customHeight="1" x14ac:dyDescent="0.2">
      <c r="A39" s="355" t="s">
        <v>34</v>
      </c>
      <c r="B39" s="374">
        <f>+C39*$P$11</f>
        <v>332545.84999999998</v>
      </c>
      <c r="C39" s="400">
        <f>+SoCal!F40</f>
        <v>125489</v>
      </c>
      <c r="D39" s="385">
        <f>+SoCal!A40</f>
        <v>37076</v>
      </c>
      <c r="E39" t="s">
        <v>89</v>
      </c>
      <c r="F39" t="s">
        <v>108</v>
      </c>
    </row>
    <row r="40" spans="1:7" ht="15" customHeight="1" x14ac:dyDescent="0.2">
      <c r="A40" s="355" t="s">
        <v>33</v>
      </c>
      <c r="B40" s="374">
        <f>+C40*$P$11</f>
        <v>196380.9</v>
      </c>
      <c r="C40" s="386">
        <f>+Lonestar!F42</f>
        <v>74106</v>
      </c>
      <c r="D40" s="317">
        <f>+Lonestar!B42</f>
        <v>37076</v>
      </c>
      <c r="E40" t="s">
        <v>89</v>
      </c>
      <c r="F40" t="s">
        <v>112</v>
      </c>
    </row>
    <row r="41" spans="1:7" ht="15" customHeight="1" x14ac:dyDescent="0.2">
      <c r="A41" s="355" t="s">
        <v>7</v>
      </c>
      <c r="B41" s="374">
        <f>+C41*$P$10</f>
        <v>140067.85</v>
      </c>
      <c r="C41" s="386">
        <f>+Amoco!D40</f>
        <v>61165</v>
      </c>
      <c r="D41" s="65">
        <f>+Amoco!A40</f>
        <v>37076</v>
      </c>
      <c r="E41" t="s">
        <v>89</v>
      </c>
      <c r="F41" t="s">
        <v>125</v>
      </c>
    </row>
    <row r="42" spans="1:7" ht="15" customHeight="1" x14ac:dyDescent="0.2">
      <c r="A42" s="355" t="s">
        <v>159</v>
      </c>
      <c r="B42" s="368">
        <f>+C42*$P$11</f>
        <v>90304.05</v>
      </c>
      <c r="C42" s="369">
        <f>+PEPL!D41</f>
        <v>34077</v>
      </c>
      <c r="D42" s="65">
        <f>+PEPL!A41</f>
        <v>37076</v>
      </c>
      <c r="E42" t="s">
        <v>89</v>
      </c>
      <c r="F42" t="s">
        <v>112</v>
      </c>
      <c r="G42" t="s">
        <v>129</v>
      </c>
    </row>
    <row r="43" spans="1:7" ht="15" customHeight="1" x14ac:dyDescent="0.2">
      <c r="A43" s="355" t="s">
        <v>8</v>
      </c>
      <c r="B43" s="374">
        <f>+C43*$P$11</f>
        <v>46481</v>
      </c>
      <c r="C43" s="400">
        <f>+Oasis!D40</f>
        <v>17540</v>
      </c>
      <c r="D43" s="65">
        <f>+Oasis!B40</f>
        <v>37076</v>
      </c>
      <c r="E43" t="s">
        <v>89</v>
      </c>
      <c r="F43" t="s">
        <v>112</v>
      </c>
    </row>
    <row r="44" spans="1:7" ht="15" customHeight="1" x14ac:dyDescent="0.2">
      <c r="A44" s="355" t="s">
        <v>103</v>
      </c>
      <c r="B44" s="374">
        <f>+C44*$P$11</f>
        <v>38459.449999999997</v>
      </c>
      <c r="C44" s="386">
        <f>+Mojave!D40</f>
        <v>14513</v>
      </c>
      <c r="D44" s="65">
        <f>+Mojave!A40</f>
        <v>37075</v>
      </c>
      <c r="E44" t="s">
        <v>89</v>
      </c>
      <c r="F44" t="s">
        <v>110</v>
      </c>
    </row>
    <row r="45" spans="1:7" ht="15" customHeight="1" x14ac:dyDescent="0.2">
      <c r="A45" s="355" t="s">
        <v>1</v>
      </c>
      <c r="B45" s="374">
        <f>+C45*$P$10</f>
        <v>8972.2199999999993</v>
      </c>
      <c r="C45" s="400">
        <f>+NW!$F$41</f>
        <v>3918</v>
      </c>
      <c r="D45" s="317">
        <f>+NW!B41</f>
        <v>37076</v>
      </c>
      <c r="E45" t="s">
        <v>89</v>
      </c>
      <c r="F45" t="s">
        <v>109</v>
      </c>
    </row>
    <row r="46" spans="1:7" ht="15" customHeight="1" x14ac:dyDescent="0.2">
      <c r="A46" s="355" t="s">
        <v>124</v>
      </c>
      <c r="B46" s="387">
        <f>+C46*$P$11</f>
        <v>-38430.299999999996</v>
      </c>
      <c r="C46" s="401">
        <f>+'PG&amp;E'!D40</f>
        <v>-14502</v>
      </c>
      <c r="D46" s="65">
        <f>+'PG&amp;E'!A40</f>
        <v>37076</v>
      </c>
      <c r="E46" t="s">
        <v>89</v>
      </c>
      <c r="F46" t="s">
        <v>112</v>
      </c>
    </row>
    <row r="47" spans="1:7" ht="18" customHeight="1" x14ac:dyDescent="0.2">
      <c r="A47" s="297" t="s">
        <v>161</v>
      </c>
      <c r="B47" s="374">
        <f>SUM(B36:B46)</f>
        <v>2472190.5400000005</v>
      </c>
      <c r="C47" s="400">
        <f>SUM(C36:C46)</f>
        <v>948852</v>
      </c>
      <c r="D47" s="314"/>
    </row>
    <row r="48" spans="1:7" ht="18" customHeight="1" x14ac:dyDescent="0.2">
      <c r="B48" s="398"/>
      <c r="C48" s="399"/>
    </row>
    <row r="49" spans="1:5" ht="18" customHeight="1" thickBot="1" x14ac:dyDescent="0.25">
      <c r="A49" s="34" t="s">
        <v>162</v>
      </c>
      <c r="B49" s="390">
        <f>+B47+B33</f>
        <v>6976979.629999999</v>
      </c>
      <c r="C49" s="422">
        <f>+C47+C33</f>
        <v>2701175.9148782259</v>
      </c>
    </row>
    <row r="50" spans="1:5" ht="18" customHeight="1" thickTop="1" x14ac:dyDescent="0.2"/>
    <row r="51" spans="1:5" x14ac:dyDescent="0.2">
      <c r="C51" s="342"/>
    </row>
    <row r="54" spans="1:5" x14ac:dyDescent="0.2">
      <c r="A54" s="34" t="s">
        <v>101</v>
      </c>
    </row>
    <row r="57" spans="1:5" x14ac:dyDescent="0.2">
      <c r="C57" s="259"/>
      <c r="E57" s="340"/>
    </row>
    <row r="64" spans="1:5" x14ac:dyDescent="0.2">
      <c r="B64" s="311"/>
      <c r="C64" s="332"/>
    </row>
    <row r="65" spans="2:5" x14ac:dyDescent="0.2">
      <c r="B65" s="259"/>
    </row>
    <row r="66" spans="2:5" x14ac:dyDescent="0.2">
      <c r="B66" s="259"/>
    </row>
    <row r="67" spans="2:5" x14ac:dyDescent="0.2">
      <c r="B67" s="259"/>
    </row>
    <row r="68" spans="2:5" x14ac:dyDescent="0.2">
      <c r="B68" s="259"/>
      <c r="D68" s="64"/>
    </row>
    <row r="69" spans="2:5" x14ac:dyDescent="0.2">
      <c r="B69" s="259"/>
      <c r="C69" s="342"/>
    </row>
    <row r="70" spans="2:5" x14ac:dyDescent="0.2">
      <c r="B70" s="259"/>
      <c r="C70" s="342"/>
      <c r="D70" s="338"/>
      <c r="E70" s="343"/>
    </row>
    <row r="71" spans="2:5" x14ac:dyDescent="0.2">
      <c r="B71" s="259"/>
      <c r="C71" s="342"/>
      <c r="D71" s="269"/>
    </row>
    <row r="72" spans="2:5" x14ac:dyDescent="0.2">
      <c r="B72" s="259"/>
      <c r="C72" s="342"/>
      <c r="D72" s="269"/>
    </row>
    <row r="73" spans="2:5" x14ac:dyDescent="0.2">
      <c r="B73" s="259"/>
      <c r="C73" s="342"/>
      <c r="D73" s="31"/>
    </row>
    <row r="74" spans="2:5" x14ac:dyDescent="0.2">
      <c r="B74" s="259"/>
      <c r="C74" s="342"/>
      <c r="D74" s="344"/>
    </row>
    <row r="75" spans="2:5" x14ac:dyDescent="0.2">
      <c r="B75" s="339"/>
    </row>
    <row r="76" spans="2:5" x14ac:dyDescent="0.2">
      <c r="B76" s="339"/>
      <c r="D76" s="64"/>
    </row>
    <row r="77" spans="2:5" x14ac:dyDescent="0.2">
      <c r="B77" s="338"/>
      <c r="C77" s="259"/>
    </row>
    <row r="78" spans="2:5" x14ac:dyDescent="0.2">
      <c r="B78" s="338"/>
      <c r="C78" s="259"/>
    </row>
    <row r="79" spans="2:5" x14ac:dyDescent="0.2">
      <c r="B79" s="339"/>
      <c r="C79" s="259"/>
      <c r="D79" s="64"/>
    </row>
    <row r="80" spans="2:5" x14ac:dyDescent="0.2">
      <c r="B80" s="339"/>
      <c r="D80" s="64"/>
    </row>
    <row r="81" spans="2:3" x14ac:dyDescent="0.2">
      <c r="B81" s="339"/>
    </row>
    <row r="82" spans="2:3" x14ac:dyDescent="0.2">
      <c r="B82" s="311"/>
      <c r="C82" s="318"/>
    </row>
  </sheetData>
  <phoneticPr fontId="0" type="noConversion"/>
  <pageMargins left="0.75" right="0.75" top="0" bottom="0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topLeftCell="A26" workbookViewId="2">
      <selection activeCell="D42" sqref="D42"/>
    </sheetView>
    <sheetView topLeftCell="A24" workbookViewId="3">
      <selection activeCell="E35" sqref="E35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51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52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52</v>
      </c>
      <c r="AF5" s="12"/>
      <c r="AG5" s="12"/>
      <c r="AH5" s="58"/>
      <c r="AI5" s="58" t="s">
        <v>52</v>
      </c>
      <c r="AJ5" s="12"/>
      <c r="AK5" s="12"/>
      <c r="AL5" s="58"/>
      <c r="AM5" s="58" t="s">
        <v>52</v>
      </c>
      <c r="AN5" s="12"/>
      <c r="AO5" s="12"/>
      <c r="AP5" s="58"/>
      <c r="AQ5" s="58" t="s">
        <v>52</v>
      </c>
      <c r="AR5" s="12"/>
      <c r="AS5" s="12"/>
      <c r="AT5" s="58"/>
      <c r="AU5" s="58" t="s">
        <v>52</v>
      </c>
      <c r="AV5" s="12"/>
    </row>
    <row r="6" spans="1:48" x14ac:dyDescent="0.2">
      <c r="B6" s="40" t="s">
        <v>21</v>
      </c>
      <c r="C6" s="40" t="s">
        <v>22</v>
      </c>
      <c r="D6" s="40" t="s">
        <v>21</v>
      </c>
      <c r="E6" s="40" t="s">
        <v>22</v>
      </c>
      <c r="F6" s="6" t="s">
        <v>16</v>
      </c>
      <c r="G6" s="39"/>
      <c r="H6" s="139"/>
      <c r="I6" s="282"/>
      <c r="J6" s="281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13</v>
      </c>
      <c r="AE6" s="40" t="s">
        <v>14</v>
      </c>
      <c r="AF6" s="6" t="s">
        <v>16</v>
      </c>
      <c r="AG6" s="139"/>
      <c r="AH6" s="40" t="s">
        <v>13</v>
      </c>
      <c r="AI6" s="40" t="s">
        <v>14</v>
      </c>
      <c r="AJ6" s="6" t="s">
        <v>16</v>
      </c>
      <c r="AK6" s="139"/>
      <c r="AL6" s="40" t="s">
        <v>13</v>
      </c>
      <c r="AM6" s="40" t="s">
        <v>14</v>
      </c>
      <c r="AN6" s="6" t="s">
        <v>16</v>
      </c>
      <c r="AO6" s="139"/>
      <c r="AP6" s="40" t="s">
        <v>13</v>
      </c>
      <c r="AQ6" s="40" t="s">
        <v>14</v>
      </c>
      <c r="AR6" s="6" t="s">
        <v>16</v>
      </c>
      <c r="AS6" s="139"/>
      <c r="AT6" s="40" t="s">
        <v>13</v>
      </c>
      <c r="AU6" s="40" t="s">
        <v>14</v>
      </c>
      <c r="AV6" s="6" t="s">
        <v>16</v>
      </c>
    </row>
    <row r="7" spans="1:48" x14ac:dyDescent="0.2">
      <c r="B7" s="11"/>
      <c r="C7" s="11"/>
      <c r="D7" s="11"/>
      <c r="E7" s="11"/>
      <c r="F7" s="11"/>
      <c r="G7" s="143"/>
      <c r="H7" s="139"/>
      <c r="I7" s="276"/>
      <c r="J7" s="280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171921</v>
      </c>
      <c r="C8" s="11">
        <v>173730</v>
      </c>
      <c r="D8" s="11">
        <v>13339</v>
      </c>
      <c r="E8" s="11">
        <v>13033</v>
      </c>
      <c r="F8" s="11">
        <f>+C8-B8+E8-D8</f>
        <v>1503</v>
      </c>
      <c r="G8" s="143"/>
      <c r="H8" s="139"/>
      <c r="I8" s="276"/>
      <c r="J8" s="280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143612</v>
      </c>
      <c r="C9" s="11">
        <v>143853</v>
      </c>
      <c r="D9" s="11">
        <v>13690</v>
      </c>
      <c r="E9" s="11">
        <v>13033</v>
      </c>
      <c r="F9" s="11">
        <f t="shared" ref="F9:F39" si="5">+C9-B9+E9-D9</f>
        <v>-416</v>
      </c>
      <c r="G9" s="143"/>
      <c r="H9" s="139"/>
      <c r="I9" s="276"/>
      <c r="J9" s="280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151374</v>
      </c>
      <c r="C10" s="11">
        <v>153334</v>
      </c>
      <c r="D10" s="11">
        <v>13778</v>
      </c>
      <c r="E10" s="11">
        <v>13033</v>
      </c>
      <c r="F10" s="11">
        <f t="shared" si="5"/>
        <v>1215</v>
      </c>
      <c r="G10" s="143"/>
      <c r="H10" s="139"/>
      <c r="I10" s="276"/>
      <c r="J10" s="280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145402</v>
      </c>
      <c r="C11" s="11">
        <v>145396</v>
      </c>
      <c r="D11" s="11">
        <v>13266</v>
      </c>
      <c r="E11" s="11">
        <v>12163</v>
      </c>
      <c r="F11" s="11">
        <f t="shared" si="5"/>
        <v>-1109</v>
      </c>
      <c r="G11" s="143"/>
      <c r="H11" s="139"/>
      <c r="I11" s="283"/>
      <c r="J11" s="280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/>
      <c r="C12" s="11"/>
      <c r="D12" s="11"/>
      <c r="E12" s="11"/>
      <c r="F12" s="11">
        <f t="shared" si="5"/>
        <v>0</v>
      </c>
      <c r="G12" s="143"/>
      <c r="H12" s="139"/>
      <c r="I12" s="280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/>
      <c r="C13" s="11"/>
      <c r="D13" s="11"/>
      <c r="E13" s="11"/>
      <c r="F13" s="11">
        <f t="shared" si="5"/>
        <v>0</v>
      </c>
      <c r="G13" s="143"/>
      <c r="H13" s="139"/>
      <c r="I13" s="280"/>
      <c r="J13" s="280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/>
      <c r="C14" s="11"/>
      <c r="D14" s="11"/>
      <c r="E14" s="11"/>
      <c r="F14" s="11">
        <f t="shared" si="5"/>
        <v>0</v>
      </c>
      <c r="G14" s="143"/>
      <c r="H14" s="139"/>
      <c r="I14" s="280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/>
      <c r="C15" s="11"/>
      <c r="D15" s="11"/>
      <c r="E15" s="11"/>
      <c r="F15" s="11">
        <f t="shared" si="5"/>
        <v>0</v>
      </c>
      <c r="G15" s="143"/>
      <c r="H15" s="139"/>
      <c r="I15" s="280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/>
      <c r="C16" s="11"/>
      <c r="D16" s="11"/>
      <c r="E16" s="11"/>
      <c r="F16" s="11">
        <f t="shared" si="5"/>
        <v>0</v>
      </c>
      <c r="G16" s="143"/>
      <c r="H16" s="139"/>
      <c r="I16" s="280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39"/>
      <c r="I17" s="280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1"/>
      <c r="C21" s="11"/>
      <c r="D21" s="11"/>
      <c r="E21" s="11"/>
      <c r="F21" s="11">
        <f t="shared" si="5"/>
        <v>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1"/>
      <c r="C22" s="11"/>
      <c r="D22" s="11"/>
      <c r="E22" s="11"/>
      <c r="F22" s="11">
        <f t="shared" si="5"/>
        <v>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1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1"/>
      <c r="C24" s="11"/>
      <c r="D24" s="11"/>
      <c r="E24" s="11"/>
      <c r="F24" s="11">
        <f t="shared" si="5"/>
        <v>0</v>
      </c>
      <c r="G24" s="278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53</v>
      </c>
      <c r="B25" s="11"/>
      <c r="C25" s="11"/>
      <c r="D25" s="11"/>
      <c r="E25" s="11"/>
      <c r="F25" s="11">
        <f t="shared" si="5"/>
        <v>0</v>
      </c>
      <c r="G25" s="333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53</v>
      </c>
      <c r="AH25" s="11">
        <v>90438</v>
      </c>
      <c r="AI25" s="11">
        <v>89668</v>
      </c>
      <c r="AJ25" s="11">
        <f t="shared" si="1"/>
        <v>-770</v>
      </c>
      <c r="AK25" s="147" t="s">
        <v>53</v>
      </c>
      <c r="AL25" s="11">
        <v>119514</v>
      </c>
      <c r="AM25" s="11">
        <v>120375</v>
      </c>
      <c r="AN25" s="11">
        <f t="shared" si="2"/>
        <v>861</v>
      </c>
      <c r="AO25" s="147" t="s">
        <v>53</v>
      </c>
      <c r="AP25" s="11">
        <v>175778</v>
      </c>
      <c r="AQ25" s="11">
        <v>172040</v>
      </c>
      <c r="AR25" s="11">
        <f t="shared" si="3"/>
        <v>-3738</v>
      </c>
      <c r="AS25" s="147" t="s">
        <v>53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1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1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150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150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612309</v>
      </c>
      <c r="C39" s="150">
        <f>SUM(C8:C38)</f>
        <v>616313</v>
      </c>
      <c r="D39" s="150">
        <f>SUM(D8:D38)</f>
        <v>54073</v>
      </c>
      <c r="E39" s="150">
        <f>SUM(E8:E38)</f>
        <v>51262</v>
      </c>
      <c r="F39" s="11">
        <f t="shared" si="5"/>
        <v>1193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>
        <f>+summary!P10</f>
        <v>2.29</v>
      </c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2">
        <f>+F40*F39</f>
        <v>2731.9700000000003</v>
      </c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37072</v>
      </c>
      <c r="C42" s="153"/>
      <c r="D42" s="153"/>
      <c r="E42" s="153"/>
      <c r="F42" s="418">
        <v>674064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37076</v>
      </c>
      <c r="C43" s="142"/>
      <c r="D43" s="142"/>
      <c r="E43" s="142"/>
      <c r="F43" s="252">
        <f>+F42+F41</f>
        <v>676795.97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158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42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54</v>
      </c>
      <c r="AE45" s="142"/>
      <c r="AF45" s="152">
        <f>+AF42+AF39</f>
        <v>89870</v>
      </c>
      <c r="AG45" s="144"/>
      <c r="AH45" s="153" t="s">
        <v>55</v>
      </c>
      <c r="AI45" s="142"/>
      <c r="AJ45" s="152">
        <f>+AJ42+AJ39</f>
        <v>144671</v>
      </c>
      <c r="AK45" s="144"/>
      <c r="AL45" s="153" t="s">
        <v>56</v>
      </c>
      <c r="AM45" s="142"/>
      <c r="AN45" s="159">
        <f>+AN42+AN39</f>
        <v>218762</v>
      </c>
      <c r="AO45" s="144"/>
      <c r="AP45" s="153" t="s">
        <v>57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4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8:48" ht="13.5" thickTop="1" x14ac:dyDescent="0.2"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8:48" x14ac:dyDescent="0.2"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8:48" x14ac:dyDescent="0.2"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8:48" x14ac:dyDescent="0.2"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8:48" x14ac:dyDescent="0.2"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8:48" x14ac:dyDescent="0.2"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8:48" x14ac:dyDescent="0.2"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8:48" x14ac:dyDescent="0.2"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8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8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8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8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8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8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8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8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25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58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59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15</v>
      </c>
      <c r="C84" s="166" t="s">
        <v>60</v>
      </c>
      <c r="D84" s="166"/>
      <c r="E84" s="166"/>
      <c r="F84" s="146"/>
      <c r="H84" s="146"/>
      <c r="I84" s="166" t="s">
        <v>15</v>
      </c>
      <c r="J84" s="166" t="s">
        <v>60</v>
      </c>
      <c r="K84" s="146"/>
    </row>
    <row r="85" spans="1:11" x14ac:dyDescent="0.2">
      <c r="A85" s="146"/>
      <c r="B85" s="116" t="s">
        <v>52</v>
      </c>
      <c r="C85" s="116" t="s">
        <v>17</v>
      </c>
      <c r="D85" s="116"/>
      <c r="E85" s="116"/>
      <c r="F85" s="167" t="s">
        <v>29</v>
      </c>
      <c r="H85" s="146"/>
      <c r="I85" s="116" t="s">
        <v>52</v>
      </c>
      <c r="J85" s="116" t="s">
        <v>17</v>
      </c>
      <c r="K85" s="167" t="s">
        <v>29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61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62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63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64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65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35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25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58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59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15</v>
      </c>
      <c r="C124" s="154" t="s">
        <v>60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52</v>
      </c>
      <c r="C125" s="181" t="s">
        <v>17</v>
      </c>
      <c r="D125" s="181"/>
      <c r="E125" s="181"/>
      <c r="F125" s="182" t="s">
        <v>29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66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67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68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69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70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71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5" workbookViewId="2">
      <selection activeCell="D38" sqref="D38"/>
    </sheetView>
    <sheetView topLeftCell="A23" workbookViewId="3">
      <selection activeCell="B41" sqref="B41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72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21</v>
      </c>
      <c r="C4" s="58" t="s">
        <v>22</v>
      </c>
      <c r="D4" s="194" t="s">
        <v>46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-137341</v>
      </c>
      <c r="C5" s="24">
        <v>-136796</v>
      </c>
      <c r="D5" s="24">
        <f>+C5-B5</f>
        <v>545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-125680</v>
      </c>
      <c r="C6" s="51">
        <v>-124374</v>
      </c>
      <c r="D6" s="24">
        <f t="shared" ref="D6:D36" si="0">+C6-B6</f>
        <v>1306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-103730</v>
      </c>
      <c r="C7" s="51">
        <v>-110538</v>
      </c>
      <c r="D7" s="24">
        <f t="shared" si="0"/>
        <v>-6808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-64504</v>
      </c>
      <c r="C8" s="51">
        <v>-65000</v>
      </c>
      <c r="D8" s="24">
        <f t="shared" si="0"/>
        <v>-496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14"/>
      <c r="W34" s="314"/>
      <c r="X34" s="314"/>
      <c r="Y34" s="314"/>
      <c r="Z34" s="149"/>
      <c r="AA34" s="150"/>
      <c r="AB34" s="150"/>
      <c r="AC34" s="150"/>
      <c r="AD34" s="314"/>
      <c r="AE34" s="314"/>
      <c r="AF34" s="314"/>
      <c r="AG34" s="314"/>
      <c r="AH34" s="314"/>
      <c r="AI34" s="314"/>
      <c r="AJ34" s="314"/>
      <c r="AK34" s="314"/>
      <c r="AL34" s="314"/>
      <c r="AM34" s="314"/>
      <c r="AN34" s="314"/>
      <c r="AO34" s="314"/>
      <c r="AP34" s="314"/>
      <c r="AQ34" s="314"/>
      <c r="AR34" s="314"/>
      <c r="AS34" s="314"/>
      <c r="AT34" s="314"/>
      <c r="AU34" s="314"/>
      <c r="AV34" s="314"/>
      <c r="AW34" s="314"/>
      <c r="AX34" s="314"/>
      <c r="AY34" s="314"/>
      <c r="AZ34" s="314"/>
      <c r="BA34" s="314"/>
      <c r="BB34" s="314"/>
      <c r="BC34" s="314"/>
      <c r="BD34" s="314"/>
      <c r="BE34" s="314"/>
      <c r="BF34" s="314"/>
      <c r="BG34" s="314"/>
      <c r="BH34" s="314"/>
      <c r="BI34" s="314"/>
      <c r="BJ34" s="314"/>
      <c r="BK34" s="314"/>
      <c r="BL34" s="314"/>
      <c r="BM34" s="314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14"/>
      <c r="W35" s="314"/>
      <c r="X35" s="314"/>
      <c r="Y35" s="314"/>
      <c r="Z35" s="149"/>
      <c r="AA35" s="150"/>
      <c r="AB35" s="150"/>
      <c r="AC35" s="150"/>
      <c r="AD35" s="314"/>
      <c r="AE35" s="314"/>
      <c r="AF35" s="314"/>
      <c r="AG35" s="314"/>
      <c r="AH35" s="314"/>
      <c r="AI35" s="314"/>
      <c r="AJ35" s="314"/>
      <c r="AK35" s="314"/>
      <c r="AL35" s="314"/>
      <c r="AM35" s="314"/>
      <c r="AN35" s="314"/>
      <c r="AO35" s="314"/>
      <c r="AP35" s="314"/>
      <c r="AQ35" s="314"/>
      <c r="AR35" s="314"/>
      <c r="AS35" s="314"/>
      <c r="AT35" s="314"/>
      <c r="AU35" s="314"/>
      <c r="AV35" s="314"/>
      <c r="AW35" s="314"/>
      <c r="AX35" s="314"/>
      <c r="AY35" s="314"/>
      <c r="AZ35" s="314"/>
      <c r="BA35" s="314"/>
      <c r="BB35" s="314"/>
      <c r="BC35" s="314"/>
      <c r="BD35" s="314"/>
      <c r="BE35" s="314"/>
      <c r="BF35" s="314"/>
      <c r="BG35" s="314"/>
      <c r="BH35" s="314"/>
      <c r="BI35" s="314"/>
      <c r="BJ35" s="314"/>
      <c r="BK35" s="314"/>
      <c r="BL35" s="314"/>
      <c r="BM35" s="314"/>
    </row>
    <row r="36" spans="1:65" ht="14.1" customHeight="1" x14ac:dyDescent="0.2">
      <c r="A36" s="12"/>
      <c r="B36" s="24">
        <f>SUM(B5:B35)</f>
        <v>-431255</v>
      </c>
      <c r="C36" s="24">
        <f>SUM(C5:C35)</f>
        <v>-436708</v>
      </c>
      <c r="D36" s="24">
        <f t="shared" si="0"/>
        <v>-5453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14"/>
      <c r="W36" s="314"/>
      <c r="X36" s="314"/>
      <c r="Y36" s="314"/>
      <c r="Z36" s="149"/>
      <c r="AA36" s="150"/>
      <c r="AB36" s="150"/>
      <c r="AC36" s="150"/>
      <c r="AD36" s="314"/>
      <c r="AE36" s="314"/>
      <c r="AF36" s="314"/>
      <c r="AG36" s="314"/>
      <c r="AH36" s="314"/>
      <c r="AI36" s="314"/>
      <c r="AJ36" s="314"/>
      <c r="AK36" s="314"/>
      <c r="AL36" s="314"/>
      <c r="AM36" s="314"/>
      <c r="AN36" s="314"/>
      <c r="AO36" s="314"/>
      <c r="AP36" s="314"/>
      <c r="AQ36" s="314"/>
      <c r="AR36" s="314"/>
      <c r="AS36" s="314"/>
      <c r="AT36" s="314"/>
      <c r="AU36" s="314"/>
      <c r="AV36" s="314"/>
      <c r="AW36" s="314"/>
      <c r="AX36" s="314"/>
      <c r="AY36" s="314"/>
      <c r="AZ36" s="314"/>
      <c r="BA36" s="314"/>
      <c r="BB36" s="314"/>
      <c r="BC36" s="314"/>
      <c r="BD36" s="314"/>
      <c r="BE36" s="314"/>
      <c r="BF36" s="314"/>
      <c r="BG36" s="314"/>
      <c r="BH36" s="314"/>
      <c r="BI36" s="314"/>
      <c r="BJ36" s="314"/>
      <c r="BK36" s="314"/>
      <c r="BL36" s="314"/>
      <c r="BM36" s="314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14"/>
      <c r="W37" s="314"/>
      <c r="X37" s="314"/>
      <c r="Y37" s="314"/>
      <c r="Z37" s="206"/>
      <c r="AA37" s="208"/>
      <c r="AB37" s="208"/>
      <c r="AC37" s="208"/>
      <c r="AD37" s="314"/>
      <c r="AE37" s="314"/>
      <c r="AF37" s="314"/>
      <c r="AG37" s="314"/>
      <c r="AH37" s="314"/>
      <c r="AI37" s="314"/>
      <c r="AJ37" s="314"/>
      <c r="AK37" s="314"/>
      <c r="AL37" s="314"/>
      <c r="AM37" s="314"/>
      <c r="AN37" s="314"/>
      <c r="AO37" s="314"/>
      <c r="AP37" s="314"/>
      <c r="AQ37" s="314"/>
      <c r="AR37" s="314"/>
      <c r="AS37" s="314"/>
      <c r="AT37" s="314"/>
      <c r="AU37" s="314"/>
      <c r="AV37" s="314"/>
      <c r="AW37" s="314"/>
      <c r="AX37" s="314"/>
      <c r="AY37" s="314"/>
      <c r="AZ37" s="314"/>
      <c r="BA37" s="314"/>
      <c r="BB37" s="314"/>
      <c r="BC37" s="314"/>
      <c r="BD37" s="314"/>
      <c r="BE37" s="314"/>
      <c r="BF37" s="314"/>
      <c r="BG37" s="314"/>
      <c r="BH37" s="314"/>
      <c r="BI37" s="314"/>
      <c r="BJ37" s="314"/>
      <c r="BK37" s="314"/>
      <c r="BL37" s="314"/>
      <c r="BM37" s="314"/>
    </row>
    <row r="38" spans="1:65" x14ac:dyDescent="0.2">
      <c r="B38" s="256">
        <v>37072</v>
      </c>
      <c r="C38" s="24"/>
      <c r="D38" s="402">
        <v>22993</v>
      </c>
      <c r="E38" s="2"/>
      <c r="G38" s="24"/>
      <c r="H38" s="24"/>
      <c r="I38" s="150"/>
      <c r="J38" s="314"/>
      <c r="K38" s="150"/>
      <c r="L38" s="150"/>
      <c r="M38" s="150"/>
      <c r="N38" s="314"/>
      <c r="O38" s="150"/>
      <c r="P38" s="150"/>
      <c r="Q38" s="150"/>
      <c r="R38" s="314"/>
      <c r="S38" s="150"/>
      <c r="T38" s="150"/>
      <c r="U38" s="150"/>
      <c r="V38" s="314"/>
      <c r="W38" s="314"/>
      <c r="X38" s="314"/>
      <c r="Y38" s="314"/>
      <c r="Z38" s="314"/>
      <c r="AA38" s="150"/>
      <c r="AB38" s="150"/>
      <c r="AC38" s="150"/>
      <c r="AD38" s="314"/>
      <c r="AE38" s="314"/>
      <c r="AF38" s="314"/>
      <c r="AG38" s="314"/>
      <c r="AH38" s="314"/>
      <c r="AI38" s="314"/>
      <c r="AJ38" s="314"/>
      <c r="AK38" s="314"/>
      <c r="AL38" s="314"/>
      <c r="AM38" s="314"/>
      <c r="AN38" s="314"/>
      <c r="AO38" s="314"/>
      <c r="AP38" s="314"/>
      <c r="AQ38" s="314"/>
      <c r="AR38" s="314"/>
      <c r="AS38" s="314"/>
      <c r="AT38" s="314"/>
      <c r="AU38" s="314"/>
      <c r="AV38" s="314"/>
      <c r="AW38" s="314"/>
      <c r="AX38" s="314"/>
      <c r="AY38" s="314"/>
      <c r="AZ38" s="314"/>
      <c r="BA38" s="314"/>
      <c r="BB38" s="314"/>
      <c r="BC38" s="314"/>
      <c r="BD38" s="314"/>
      <c r="BE38" s="314"/>
      <c r="BF38" s="314"/>
      <c r="BG38" s="314"/>
      <c r="BH38" s="314"/>
      <c r="BI38" s="314"/>
      <c r="BJ38" s="314"/>
      <c r="BK38" s="314"/>
      <c r="BL38" s="314"/>
      <c r="BM38" s="314"/>
    </row>
    <row r="39" spans="1:65" x14ac:dyDescent="0.2">
      <c r="B39" s="256"/>
      <c r="C39" s="24"/>
      <c r="D39" s="24"/>
      <c r="E39" s="2"/>
      <c r="G39" s="24"/>
      <c r="H39" s="24"/>
      <c r="I39" s="150"/>
      <c r="J39" s="314"/>
      <c r="K39" s="150"/>
      <c r="L39" s="150"/>
      <c r="M39" s="150"/>
      <c r="N39" s="314"/>
      <c r="O39" s="150"/>
      <c r="P39" s="150"/>
      <c r="Q39" s="150"/>
      <c r="R39" s="314"/>
      <c r="S39" s="150"/>
      <c r="T39" s="150"/>
      <c r="U39" s="150"/>
      <c r="V39" s="314"/>
      <c r="W39" s="314"/>
      <c r="X39" s="314"/>
      <c r="Y39" s="314"/>
      <c r="Z39" s="314"/>
      <c r="AA39" s="150"/>
      <c r="AB39" s="150"/>
      <c r="AC39" s="150"/>
      <c r="AD39" s="314"/>
      <c r="AE39" s="314"/>
      <c r="AF39" s="314"/>
      <c r="AG39" s="314"/>
      <c r="AH39" s="314"/>
      <c r="AI39" s="314"/>
      <c r="AJ39" s="314"/>
      <c r="AK39" s="314"/>
      <c r="AL39" s="314"/>
      <c r="AM39" s="314"/>
      <c r="AN39" s="314"/>
      <c r="AO39" s="314"/>
      <c r="AP39" s="314"/>
      <c r="AQ39" s="314"/>
      <c r="AR39" s="314"/>
      <c r="AS39" s="314"/>
      <c r="AT39" s="314"/>
      <c r="AU39" s="314"/>
      <c r="AV39" s="314"/>
      <c r="AW39" s="314"/>
      <c r="AX39" s="314"/>
      <c r="AY39" s="314"/>
      <c r="AZ39" s="314"/>
      <c r="BA39" s="314"/>
      <c r="BB39" s="314"/>
      <c r="BC39" s="314"/>
      <c r="BD39" s="314"/>
      <c r="BE39" s="314"/>
      <c r="BF39" s="314"/>
      <c r="BG39" s="314"/>
      <c r="BH39" s="314"/>
      <c r="BI39" s="314"/>
      <c r="BJ39" s="314"/>
      <c r="BK39" s="314"/>
      <c r="BL39" s="314"/>
      <c r="BM39" s="314"/>
    </row>
    <row r="40" spans="1:65" ht="13.5" thickBot="1" x14ac:dyDescent="0.25">
      <c r="B40" s="256">
        <v>37076</v>
      </c>
      <c r="C40" s="24"/>
      <c r="D40" s="195">
        <f>+D36+D38</f>
        <v>17540</v>
      </c>
      <c r="E40" s="196"/>
      <c r="G40" s="24"/>
      <c r="H40" s="24"/>
      <c r="I40" s="150"/>
      <c r="J40" s="314"/>
      <c r="K40" s="150"/>
      <c r="L40" s="150"/>
      <c r="M40" s="150"/>
      <c r="N40" s="314"/>
      <c r="O40" s="150"/>
      <c r="P40" s="150"/>
      <c r="Q40" s="169"/>
      <c r="R40" s="314"/>
      <c r="S40" s="150"/>
      <c r="T40" s="150"/>
      <c r="U40" s="169"/>
      <c r="V40" s="314"/>
      <c r="W40" s="314"/>
      <c r="X40" s="314"/>
      <c r="Y40" s="314"/>
      <c r="Z40" s="314"/>
      <c r="AA40" s="150"/>
      <c r="AB40" s="150"/>
      <c r="AC40" s="169"/>
      <c r="AD40" s="314"/>
      <c r="AE40" s="314"/>
      <c r="AF40" s="314"/>
      <c r="AG40" s="314"/>
      <c r="AH40" s="314"/>
      <c r="AI40" s="314"/>
      <c r="AJ40" s="314"/>
      <c r="AK40" s="314"/>
      <c r="AL40" s="314"/>
      <c r="AM40" s="314"/>
      <c r="AN40" s="314"/>
      <c r="AO40" s="314"/>
      <c r="AP40" s="314"/>
      <c r="AQ40" s="314"/>
      <c r="AR40" s="314"/>
      <c r="AS40" s="314"/>
      <c r="AT40" s="314"/>
      <c r="AU40" s="314"/>
      <c r="AV40" s="314"/>
      <c r="AW40" s="314"/>
      <c r="AX40" s="314"/>
      <c r="AY40" s="314"/>
      <c r="AZ40" s="314"/>
      <c r="BA40" s="314"/>
      <c r="BB40" s="314"/>
      <c r="BC40" s="314"/>
      <c r="BD40" s="314"/>
      <c r="BE40" s="314"/>
      <c r="BF40" s="314"/>
      <c r="BG40" s="314"/>
      <c r="BH40" s="314"/>
      <c r="BI40" s="314"/>
      <c r="BJ40" s="314"/>
      <c r="BK40" s="314"/>
      <c r="BL40" s="314"/>
      <c r="BM40" s="314"/>
    </row>
    <row r="41" spans="1:65" ht="13.5" thickTop="1" x14ac:dyDescent="0.2">
      <c r="B41" s="257"/>
      <c r="C41"/>
      <c r="D41"/>
      <c r="E41" s="2"/>
      <c r="I41" s="314"/>
      <c r="J41" s="314"/>
      <c r="K41" s="314"/>
      <c r="L41" s="314"/>
      <c r="M41" s="314"/>
      <c r="N41" s="314"/>
      <c r="O41" s="314"/>
      <c r="P41" s="314"/>
      <c r="Q41" s="314"/>
      <c r="R41" s="314"/>
      <c r="S41" s="314"/>
      <c r="T41" s="314"/>
      <c r="U41" s="314"/>
      <c r="V41" s="314"/>
      <c r="W41" s="314"/>
      <c r="X41" s="314"/>
      <c r="Y41" s="314"/>
      <c r="Z41" s="314"/>
      <c r="AA41" s="314"/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314"/>
      <c r="AN41" s="314"/>
      <c r="AO41" s="314"/>
      <c r="AP41" s="314"/>
      <c r="AQ41" s="314"/>
      <c r="AR41" s="314"/>
      <c r="AS41" s="314"/>
      <c r="AT41" s="314"/>
      <c r="AU41" s="314"/>
      <c r="AV41" s="314"/>
      <c r="AW41" s="314"/>
      <c r="AX41" s="314"/>
      <c r="AY41" s="314"/>
      <c r="AZ41" s="314"/>
      <c r="BA41" s="314"/>
      <c r="BB41" s="314"/>
      <c r="BC41" s="314"/>
      <c r="BD41" s="314"/>
      <c r="BE41" s="314"/>
      <c r="BF41" s="314"/>
      <c r="BG41" s="314"/>
      <c r="BH41" s="314"/>
      <c r="BI41" s="314"/>
      <c r="BJ41" s="314"/>
      <c r="BK41" s="314"/>
      <c r="BL41" s="314"/>
      <c r="BM41" s="314"/>
    </row>
    <row r="42" spans="1:65" x14ac:dyDescent="0.2">
      <c r="B42" s="2"/>
      <c r="C42"/>
      <c r="D42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14"/>
      <c r="Z42" s="314"/>
      <c r="AA42" s="314"/>
      <c r="AB42" s="314"/>
      <c r="AC42" s="314"/>
      <c r="AD42" s="314"/>
      <c r="AE42" s="314"/>
      <c r="AF42" s="314"/>
      <c r="AG42" s="314"/>
      <c r="AH42" s="314"/>
      <c r="AI42" s="314"/>
      <c r="AJ42" s="314"/>
      <c r="AK42" s="314"/>
      <c r="AL42" s="314"/>
      <c r="AM42" s="314"/>
      <c r="AN42" s="314"/>
      <c r="AO42" s="314"/>
      <c r="AP42" s="314"/>
      <c r="AQ42" s="314"/>
      <c r="AR42" s="314"/>
      <c r="AS42" s="314"/>
      <c r="AT42" s="314"/>
      <c r="AU42" s="314"/>
      <c r="AV42" s="314"/>
      <c r="AW42" s="314"/>
      <c r="AX42" s="314"/>
      <c r="AY42" s="314"/>
      <c r="AZ42" s="314"/>
      <c r="BA42" s="314"/>
      <c r="BB42" s="314"/>
      <c r="BC42" s="314"/>
      <c r="BD42" s="314"/>
      <c r="BE42" s="314"/>
      <c r="BF42" s="314"/>
      <c r="BG42" s="314"/>
      <c r="BH42" s="314"/>
      <c r="BI42" s="314"/>
      <c r="BJ42" s="314"/>
      <c r="BK42" s="314"/>
      <c r="BL42" s="314"/>
      <c r="BM42" s="314"/>
    </row>
    <row r="43" spans="1:65" x14ac:dyDescent="0.2">
      <c r="B43"/>
      <c r="C43"/>
      <c r="D43"/>
      <c r="I43" s="314"/>
      <c r="J43" s="314"/>
      <c r="K43" s="314"/>
      <c r="L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14"/>
      <c r="Y43" s="314"/>
      <c r="Z43" s="314"/>
      <c r="AA43" s="314"/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314"/>
      <c r="AN43" s="314"/>
      <c r="AO43" s="314"/>
      <c r="AP43" s="314"/>
      <c r="AQ43" s="314"/>
      <c r="AR43" s="314"/>
      <c r="AS43" s="314"/>
      <c r="AT43" s="314"/>
      <c r="AU43" s="314"/>
      <c r="AV43" s="314"/>
      <c r="AW43" s="314"/>
      <c r="AX43" s="314"/>
      <c r="AY43" s="314"/>
      <c r="AZ43" s="314"/>
      <c r="BA43" s="314"/>
      <c r="BB43" s="314"/>
      <c r="BC43" s="314"/>
      <c r="BD43" s="314"/>
      <c r="BE43" s="314"/>
      <c r="BF43" s="314"/>
      <c r="BG43" s="314"/>
      <c r="BH43" s="314"/>
      <c r="BI43" s="314"/>
      <c r="BJ43" s="314"/>
      <c r="BK43" s="314"/>
      <c r="BL43" s="314"/>
      <c r="BM43" s="314"/>
    </row>
    <row r="44" spans="1:65" x14ac:dyDescent="0.2">
      <c r="B44"/>
      <c r="C44"/>
      <c r="D44"/>
      <c r="I44" s="314"/>
      <c r="J44" s="314"/>
      <c r="K44" s="314"/>
      <c r="L44" s="314"/>
      <c r="M44" s="314"/>
      <c r="N44" s="314"/>
      <c r="O44" s="314"/>
      <c r="P44" s="314"/>
      <c r="Q44" s="314"/>
      <c r="R44" s="314"/>
      <c r="S44" s="314"/>
      <c r="T44" s="314"/>
      <c r="U44" s="314"/>
      <c r="V44" s="314"/>
      <c r="W44" s="314"/>
      <c r="X44" s="314"/>
      <c r="Y44" s="314"/>
      <c r="Z44" s="314"/>
      <c r="AA44" s="314"/>
      <c r="AB44" s="314"/>
      <c r="AC44" s="314"/>
      <c r="AD44" s="314"/>
      <c r="AE44" s="314"/>
      <c r="AF44" s="314"/>
      <c r="AG44" s="314"/>
      <c r="AH44" s="314"/>
      <c r="AI44" s="314"/>
      <c r="AJ44" s="314"/>
      <c r="AK44" s="314"/>
      <c r="AL44" s="314"/>
      <c r="AM44" s="314"/>
      <c r="AN44" s="314"/>
      <c r="AO44" s="314"/>
      <c r="AP44" s="314"/>
      <c r="AQ44" s="314"/>
      <c r="AR44" s="314"/>
      <c r="AS44" s="314"/>
      <c r="AT44" s="314"/>
      <c r="AU44" s="314"/>
      <c r="AV44" s="314"/>
      <c r="AW44" s="314"/>
      <c r="AX44" s="314"/>
      <c r="AY44" s="314"/>
      <c r="AZ44" s="314"/>
      <c r="BA44" s="314"/>
      <c r="BB44" s="314"/>
      <c r="BC44" s="314"/>
      <c r="BD44" s="314"/>
      <c r="BE44" s="314"/>
      <c r="BF44" s="314"/>
      <c r="BG44" s="314"/>
      <c r="BH44" s="314"/>
      <c r="BI44" s="314"/>
      <c r="BJ44" s="314"/>
      <c r="BK44" s="314"/>
      <c r="BL44" s="314"/>
      <c r="BM44" s="314"/>
    </row>
    <row r="45" spans="1:65" x14ac:dyDescent="0.2">
      <c r="B45"/>
      <c r="C45"/>
      <c r="D45"/>
    </row>
    <row r="46" spans="1:65" x14ac:dyDescent="0.2">
      <c r="B46"/>
      <c r="C46"/>
      <c r="E46" s="31"/>
    </row>
    <row r="47" spans="1:65" x14ac:dyDescent="0.2">
      <c r="B47"/>
      <c r="C47"/>
      <c r="D47"/>
    </row>
    <row r="48" spans="1:65" x14ac:dyDescent="0.2">
      <c r="B48"/>
      <c r="C48"/>
      <c r="D48" s="31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3" workbookViewId="3">
      <selection activeCell="C8" sqref="C8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6"/>
      <c r="D3" s="88"/>
    </row>
    <row r="4" spans="1:13" x14ac:dyDescent="0.2">
      <c r="A4" s="87"/>
      <c r="B4" s="262" t="s">
        <v>21</v>
      </c>
      <c r="C4" s="262" t="s">
        <v>22</v>
      </c>
      <c r="D4" s="263" t="s">
        <v>52</v>
      </c>
    </row>
    <row r="5" spans="1:13" x14ac:dyDescent="0.2">
      <c r="A5" s="87">
        <v>56339</v>
      </c>
      <c r="B5" s="370">
        <v>97399</v>
      </c>
      <c r="C5" s="90">
        <v>104103</v>
      </c>
      <c r="D5" s="90">
        <f>+C5-B5</f>
        <v>6704</v>
      </c>
      <c r="E5" s="287"/>
      <c r="F5" s="285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7"/>
      <c r="F6" s="285"/>
      <c r="K6" s="65">
        <v>36531</v>
      </c>
      <c r="L6" t="s">
        <v>26</v>
      </c>
      <c r="M6">
        <v>0.5</v>
      </c>
    </row>
    <row r="7" spans="1:13" x14ac:dyDescent="0.2">
      <c r="A7" s="87">
        <v>500238</v>
      </c>
      <c r="B7" s="92">
        <v>90386</v>
      </c>
      <c r="C7" s="90">
        <v>66695</v>
      </c>
      <c r="D7" s="90">
        <f t="shared" si="0"/>
        <v>-23691</v>
      </c>
      <c r="E7" s="287"/>
      <c r="F7" s="285"/>
      <c r="L7" t="s">
        <v>27</v>
      </c>
      <c r="M7">
        <v>7.6</v>
      </c>
    </row>
    <row r="8" spans="1:13" x14ac:dyDescent="0.2">
      <c r="A8" s="87">
        <v>500239</v>
      </c>
      <c r="B8" s="331">
        <v>104839</v>
      </c>
      <c r="C8" s="90">
        <v>112850</v>
      </c>
      <c r="D8" s="90">
        <f t="shared" si="0"/>
        <v>8011</v>
      </c>
      <c r="E8" s="287"/>
      <c r="F8" s="285"/>
    </row>
    <row r="9" spans="1:13" x14ac:dyDescent="0.2">
      <c r="A9" s="87">
        <v>500293</v>
      </c>
      <c r="B9" s="92">
        <v>45567</v>
      </c>
      <c r="C9" s="90">
        <v>61288</v>
      </c>
      <c r="D9" s="90">
        <f t="shared" si="0"/>
        <v>15721</v>
      </c>
      <c r="E9" s="287"/>
      <c r="F9" s="285"/>
    </row>
    <row r="10" spans="1:13" x14ac:dyDescent="0.2">
      <c r="A10" s="87">
        <v>500302</v>
      </c>
      <c r="B10" s="331"/>
      <c r="C10" s="331">
        <v>1011</v>
      </c>
      <c r="D10" s="90">
        <f t="shared" si="0"/>
        <v>1011</v>
      </c>
      <c r="E10" s="287"/>
      <c r="F10" s="285"/>
    </row>
    <row r="11" spans="1:13" x14ac:dyDescent="0.2">
      <c r="A11" s="87">
        <v>500303</v>
      </c>
      <c r="B11" s="331">
        <v>18605</v>
      </c>
      <c r="C11" s="90">
        <v>33363</v>
      </c>
      <c r="D11" s="90">
        <f t="shared" si="0"/>
        <v>14758</v>
      </c>
      <c r="E11" s="287"/>
      <c r="F11" s="285"/>
    </row>
    <row r="12" spans="1:13" x14ac:dyDescent="0.2">
      <c r="A12" s="91">
        <v>500305</v>
      </c>
      <c r="B12" s="331">
        <v>96464</v>
      </c>
      <c r="C12" s="90">
        <v>135906</v>
      </c>
      <c r="D12" s="90">
        <f t="shared" si="0"/>
        <v>39442</v>
      </c>
      <c r="E12" s="288"/>
      <c r="F12" s="285"/>
    </row>
    <row r="13" spans="1:13" x14ac:dyDescent="0.2">
      <c r="A13" s="87">
        <v>500307</v>
      </c>
      <c r="B13" s="331">
        <v>13467</v>
      </c>
      <c r="C13" s="90">
        <v>14983</v>
      </c>
      <c r="D13" s="90">
        <f t="shared" si="0"/>
        <v>1516</v>
      </c>
      <c r="E13" s="287"/>
      <c r="F13" s="285"/>
    </row>
    <row r="14" spans="1:13" x14ac:dyDescent="0.2">
      <c r="A14" s="87">
        <v>500313</v>
      </c>
      <c r="B14" s="90"/>
      <c r="C14" s="331">
        <v>315</v>
      </c>
      <c r="D14" s="90">
        <f t="shared" si="0"/>
        <v>315</v>
      </c>
      <c r="E14" s="287"/>
      <c r="F14" s="285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7"/>
      <c r="F15" s="285"/>
    </row>
    <row r="16" spans="1:13" x14ac:dyDescent="0.2">
      <c r="A16" s="87">
        <v>500655</v>
      </c>
      <c r="B16" s="345">
        <v>49184</v>
      </c>
      <c r="C16" s="90"/>
      <c r="D16" s="90">
        <f t="shared" si="0"/>
        <v>-49184</v>
      </c>
      <c r="E16" s="287"/>
      <c r="F16" s="285"/>
    </row>
    <row r="17" spans="1:6" x14ac:dyDescent="0.2">
      <c r="A17" s="87">
        <v>500657</v>
      </c>
      <c r="B17" s="359">
        <v>16511</v>
      </c>
      <c r="C17" s="88">
        <v>18000</v>
      </c>
      <c r="D17" s="94">
        <f t="shared" si="0"/>
        <v>1489</v>
      </c>
      <c r="E17" s="287"/>
      <c r="F17" s="285"/>
    </row>
    <row r="18" spans="1:6" x14ac:dyDescent="0.2">
      <c r="A18" s="87"/>
      <c r="B18" s="88"/>
      <c r="C18" s="88"/>
      <c r="D18" s="88">
        <f>SUM(D5:D17)</f>
        <v>16092</v>
      </c>
      <c r="E18" s="287"/>
      <c r="F18" s="285"/>
    </row>
    <row r="19" spans="1:6" x14ac:dyDescent="0.2">
      <c r="A19" s="87" t="s">
        <v>86</v>
      </c>
      <c r="B19" s="88"/>
      <c r="C19" s="88"/>
      <c r="D19" s="95">
        <f>+summary!P11</f>
        <v>2.65</v>
      </c>
      <c r="E19" s="289"/>
      <c r="F19" s="285"/>
    </row>
    <row r="20" spans="1:6" x14ac:dyDescent="0.2">
      <c r="A20" s="87"/>
      <c r="B20" s="88"/>
      <c r="C20" s="88"/>
      <c r="D20" s="96">
        <f>+D19*D18</f>
        <v>42643.799999999996</v>
      </c>
      <c r="E20" s="209"/>
      <c r="F20" s="286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37072</v>
      </c>
      <c r="B22" s="88"/>
      <c r="C22" s="88"/>
      <c r="D22" s="414">
        <v>-27031.85</v>
      </c>
      <c r="E22" s="209"/>
      <c r="F22" s="66"/>
    </row>
    <row r="23" spans="1:6" x14ac:dyDescent="0.2">
      <c r="A23" s="87"/>
      <c r="B23" s="88"/>
      <c r="C23" s="88"/>
      <c r="D23" s="336"/>
      <c r="E23" s="209"/>
      <c r="F23" s="66"/>
    </row>
    <row r="24" spans="1:6" ht="13.5" thickBot="1" x14ac:dyDescent="0.25">
      <c r="A24" s="99">
        <v>37075</v>
      </c>
      <c r="B24" s="88"/>
      <c r="C24" s="88"/>
      <c r="D24" s="358">
        <f>+D22+D20</f>
        <v>15611.949999999997</v>
      </c>
      <c r="E24" s="209"/>
      <c r="F24" s="66"/>
    </row>
    <row r="25" spans="1:6" ht="13.5" thickTop="1" x14ac:dyDescent="0.2">
      <c r="E25" s="29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E40" sqref="E40"/>
    </sheetView>
    <sheetView topLeftCell="A28" workbookViewId="3">
      <selection activeCell="D35" sqref="D35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" style="32" bestFit="1" customWidth="1"/>
    <col min="4" max="4" width="8.85546875" style="32" customWidth="1"/>
    <col min="5" max="5" width="12.5703125" style="32" bestFit="1" customWidth="1"/>
    <col min="6" max="6" width="11.285156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49</v>
      </c>
      <c r="C2" s="205"/>
      <c r="D2" s="12" t="s">
        <v>50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48553</v>
      </c>
      <c r="C4" s="11">
        <v>48599</v>
      </c>
      <c r="D4" s="11">
        <v>29955</v>
      </c>
      <c r="E4" s="11">
        <v>31842</v>
      </c>
      <c r="F4" s="25">
        <f>+E4+C4-D4-B4</f>
        <v>1933</v>
      </c>
      <c r="G4" s="25"/>
    </row>
    <row r="5" spans="1:7" x14ac:dyDescent="0.2">
      <c r="A5" s="41">
        <v>2</v>
      </c>
      <c r="B5" s="11">
        <v>44345</v>
      </c>
      <c r="C5" s="11">
        <v>43773</v>
      </c>
      <c r="D5" s="11">
        <v>29721</v>
      </c>
      <c r="E5" s="11">
        <v>32000</v>
      </c>
      <c r="F5" s="25">
        <f t="shared" ref="F5:F34" si="0">+E5+C5-D5-B5</f>
        <v>1707</v>
      </c>
      <c r="G5" s="25"/>
    </row>
    <row r="6" spans="1:7" x14ac:dyDescent="0.2">
      <c r="A6" s="41">
        <v>3</v>
      </c>
      <c r="B6" s="11">
        <v>44746</v>
      </c>
      <c r="C6" s="11">
        <v>43773</v>
      </c>
      <c r="D6" s="11">
        <v>29848</v>
      </c>
      <c r="E6" s="11">
        <v>32000</v>
      </c>
      <c r="F6" s="25">
        <f t="shared" si="0"/>
        <v>1179</v>
      </c>
      <c r="G6" s="25"/>
    </row>
    <row r="7" spans="1:7" x14ac:dyDescent="0.2">
      <c r="A7" s="41">
        <v>4</v>
      </c>
      <c r="B7" s="11">
        <v>48478</v>
      </c>
      <c r="C7" s="11">
        <v>46658</v>
      </c>
      <c r="D7" s="11">
        <v>29716</v>
      </c>
      <c r="E7" s="11">
        <v>28940</v>
      </c>
      <c r="F7" s="25">
        <f t="shared" si="0"/>
        <v>-2596</v>
      </c>
      <c r="G7" s="25"/>
    </row>
    <row r="8" spans="1:7" x14ac:dyDescent="0.2">
      <c r="A8" s="41">
        <v>5</v>
      </c>
      <c r="B8" s="11"/>
      <c r="C8" s="11"/>
      <c r="D8" s="11"/>
      <c r="E8" s="11"/>
      <c r="F8" s="25">
        <f t="shared" si="0"/>
        <v>0</v>
      </c>
      <c r="G8" s="25"/>
    </row>
    <row r="9" spans="1:7" x14ac:dyDescent="0.2">
      <c r="A9" s="41">
        <v>6</v>
      </c>
      <c r="B9" s="11"/>
      <c r="C9" s="11"/>
      <c r="D9" s="11"/>
      <c r="E9" s="11"/>
      <c r="F9" s="25">
        <f t="shared" si="0"/>
        <v>0</v>
      </c>
      <c r="G9" s="25"/>
    </row>
    <row r="10" spans="1:7" x14ac:dyDescent="0.2">
      <c r="A10" s="41">
        <v>7</v>
      </c>
      <c r="B10" s="11"/>
      <c r="C10" s="11"/>
      <c r="D10" s="11"/>
      <c r="E10" s="11"/>
      <c r="F10" s="25">
        <f t="shared" si="0"/>
        <v>0</v>
      </c>
      <c r="G10" s="25"/>
    </row>
    <row r="11" spans="1:7" x14ac:dyDescent="0.2">
      <c r="A11" s="41">
        <v>8</v>
      </c>
      <c r="B11" s="11"/>
      <c r="C11" s="11"/>
      <c r="D11" s="11"/>
      <c r="E11" s="11"/>
      <c r="F11" s="25">
        <f t="shared" si="0"/>
        <v>0</v>
      </c>
      <c r="G11" s="25"/>
    </row>
    <row r="12" spans="1:7" x14ac:dyDescent="0.2">
      <c r="A12" s="41">
        <v>9</v>
      </c>
      <c r="B12" s="11"/>
      <c r="C12" s="11"/>
      <c r="D12" s="11"/>
      <c r="E12" s="11"/>
      <c r="F12" s="25">
        <f t="shared" si="0"/>
        <v>0</v>
      </c>
      <c r="G12" s="25"/>
    </row>
    <row r="13" spans="1:7" x14ac:dyDescent="0.2">
      <c r="A13" s="41">
        <v>10</v>
      </c>
      <c r="B13" s="11"/>
      <c r="C13" s="11"/>
      <c r="D13" s="11"/>
      <c r="E13" s="11"/>
      <c r="F13" s="25">
        <f t="shared" si="0"/>
        <v>0</v>
      </c>
      <c r="G13" s="25"/>
    </row>
    <row r="14" spans="1:7" x14ac:dyDescent="0.2">
      <c r="A14" s="41">
        <v>11</v>
      </c>
      <c r="B14" s="11"/>
      <c r="C14" s="11"/>
      <c r="D14" s="11"/>
      <c r="E14" s="11"/>
      <c r="F14" s="25">
        <f t="shared" si="0"/>
        <v>0</v>
      </c>
      <c r="G14" s="25"/>
    </row>
    <row r="15" spans="1:7" x14ac:dyDescent="0.2">
      <c r="A15" s="41">
        <v>12</v>
      </c>
      <c r="B15" s="11"/>
      <c r="C15" s="11"/>
      <c r="D15" s="11"/>
      <c r="E15" s="11"/>
      <c r="F15" s="25">
        <f t="shared" si="0"/>
        <v>0</v>
      </c>
      <c r="G15" s="25"/>
    </row>
    <row r="16" spans="1:7" x14ac:dyDescent="0.2">
      <c r="A16" s="41">
        <v>13</v>
      </c>
      <c r="B16" s="11"/>
      <c r="C16" s="11"/>
      <c r="D16" s="11"/>
      <c r="E16" s="11"/>
      <c r="F16" s="25">
        <f t="shared" si="0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0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0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0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0"/>
        <v>0</v>
      </c>
      <c r="G20" s="25"/>
    </row>
    <row r="21" spans="1:7" x14ac:dyDescent="0.2">
      <c r="A21" s="41">
        <v>18</v>
      </c>
      <c r="B21" s="11"/>
      <c r="C21" s="11"/>
      <c r="D21" s="11"/>
      <c r="E21" s="11"/>
      <c r="F21" s="25">
        <f t="shared" si="0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08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186122</v>
      </c>
      <c r="C35" s="11">
        <f>SUM(C4:C34)</f>
        <v>182803</v>
      </c>
      <c r="D35" s="11">
        <f>SUM(D4:D34)</f>
        <v>119240</v>
      </c>
      <c r="E35" s="11">
        <f>SUM(E4:E34)</f>
        <v>124782</v>
      </c>
      <c r="F35" s="11">
        <f>+E35-D35+C35-B35</f>
        <v>2223</v>
      </c>
    </row>
    <row r="36" spans="1:7" x14ac:dyDescent="0.2">
      <c r="A36" s="45"/>
      <c r="C36" s="14">
        <f>+C35-B35</f>
        <v>-3319</v>
      </c>
      <c r="D36" s="14"/>
      <c r="E36" s="14">
        <f>+E35-D35</f>
        <v>5542</v>
      </c>
      <c r="F36" s="47"/>
    </row>
    <row r="37" spans="1:7" x14ac:dyDescent="0.2">
      <c r="C37" s="15">
        <f>+summary!P11</f>
        <v>2.65</v>
      </c>
      <c r="D37" s="15"/>
      <c r="E37" s="15">
        <f>+C37</f>
        <v>2.65</v>
      </c>
      <c r="F37" s="24"/>
    </row>
    <row r="38" spans="1:7" x14ac:dyDescent="0.2">
      <c r="C38" s="48">
        <f>+C37*C36</f>
        <v>-8795.35</v>
      </c>
      <c r="D38" s="47"/>
      <c r="E38" s="48">
        <f>+E37*E36</f>
        <v>14686.3</v>
      </c>
      <c r="F38" s="46">
        <f>+E38+C38</f>
        <v>5890.9499999999989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37072</v>
      </c>
      <c r="C40" s="413">
        <v>2417720.29</v>
      </c>
      <c r="D40" s="111"/>
      <c r="E40" s="413">
        <v>-1903937.76</v>
      </c>
      <c r="F40" s="382">
        <f>+E40+C40</f>
        <v>513782.53</v>
      </c>
      <c r="G40" s="25"/>
    </row>
    <row r="41" spans="1:7" x14ac:dyDescent="0.2">
      <c r="A41" s="57">
        <v>37076</v>
      </c>
      <c r="C41" s="106">
        <f>+C40+C38</f>
        <v>2408924.94</v>
      </c>
      <c r="D41" s="106"/>
      <c r="E41" s="106">
        <f>+E40+E38</f>
        <v>-1889251.46</v>
      </c>
      <c r="F41" s="106">
        <f>+E41+C41</f>
        <v>519673.48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2.75" x14ac:dyDescent="0.2">
      <c r="A44" s="41"/>
      <c r="B44" s="11"/>
      <c r="C44" s="277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4" workbookViewId="3">
      <selection activeCell="D40" sqref="D40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">
      <c r="A5" s="10">
        <v>1</v>
      </c>
      <c r="B5" s="11">
        <v>164776</v>
      </c>
      <c r="C5" s="11">
        <v>208372</v>
      </c>
      <c r="D5" s="11"/>
      <c r="E5" s="11">
        <v>-45846</v>
      </c>
      <c r="F5" s="11">
        <f>+C5+E5-B5-D5</f>
        <v>-2250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115066</v>
      </c>
      <c r="C6" s="11">
        <v>197136</v>
      </c>
      <c r="D6" s="11"/>
      <c r="E6" s="11">
        <v>-84123</v>
      </c>
      <c r="F6" s="11">
        <f t="shared" ref="F6:F35" si="2">+C6+E6-B6-D6</f>
        <v>-2053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106244</v>
      </c>
      <c r="C7" s="11">
        <v>197136</v>
      </c>
      <c r="D7" s="11"/>
      <c r="E7" s="11">
        <v>-91292</v>
      </c>
      <c r="F7" s="11">
        <f t="shared" si="2"/>
        <v>-400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127004</v>
      </c>
      <c r="C8" s="11">
        <v>187111</v>
      </c>
      <c r="D8" s="11"/>
      <c r="E8" s="11">
        <v>-60293</v>
      </c>
      <c r="F8" s="11">
        <f t="shared" si="2"/>
        <v>-186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/>
      <c r="C9" s="11"/>
      <c r="D9" s="11"/>
      <c r="E9" s="11"/>
      <c r="F9" s="11">
        <f t="shared" si="2"/>
        <v>0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/>
      <c r="C10" s="11"/>
      <c r="D10" s="11"/>
      <c r="E10" s="11"/>
      <c r="F10" s="11">
        <f t="shared" si="2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513090</v>
      </c>
      <c r="C36" s="11">
        <f>SUM(C5:C35)</f>
        <v>789755</v>
      </c>
      <c r="D36" s="11">
        <f>SUM(D5:D35)</f>
        <v>0</v>
      </c>
      <c r="E36" s="11">
        <f>SUM(E5:E35)</f>
        <v>-281554</v>
      </c>
      <c r="F36" s="11">
        <f>SUM(F5:F35)</f>
        <v>-4889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37072</v>
      </c>
      <c r="F39" s="407">
        <v>8807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37076</v>
      </c>
      <c r="F41" s="383">
        <f>+F39+F36</f>
        <v>3918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276"/>
      <c r="E48" s="11"/>
      <c r="F48" s="11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4" workbookViewId="3">
      <selection activeCell="A43" sqref="A43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75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27686</v>
      </c>
      <c r="C8" s="11">
        <v>27476</v>
      </c>
      <c r="D8" s="11">
        <f>+C8-B8</f>
        <v>-210</v>
      </c>
      <c r="E8" s="10"/>
      <c r="F8" s="11"/>
      <c r="G8" s="11"/>
      <c r="H8" s="11"/>
    </row>
    <row r="9" spans="1:8" x14ac:dyDescent="0.2">
      <c r="A9" s="10">
        <v>2</v>
      </c>
      <c r="B9" s="11">
        <v>27971</v>
      </c>
      <c r="C9" s="11">
        <v>27476</v>
      </c>
      <c r="D9" s="11">
        <f t="shared" ref="D9:D38" si="0">+C9-B9</f>
        <v>-495</v>
      </c>
      <c r="E9" s="10"/>
      <c r="F9" s="11"/>
      <c r="G9" s="11"/>
      <c r="H9" s="11"/>
    </row>
    <row r="10" spans="1:8" x14ac:dyDescent="0.2">
      <c r="A10" s="10">
        <v>3</v>
      </c>
      <c r="B10" s="11">
        <v>81478</v>
      </c>
      <c r="C10" s="11">
        <v>81305</v>
      </c>
      <c r="D10" s="11">
        <f t="shared" si="0"/>
        <v>-173</v>
      </c>
      <c r="E10" s="10"/>
      <c r="F10" s="11"/>
      <c r="G10" s="11"/>
      <c r="H10" s="11"/>
    </row>
    <row r="11" spans="1:8" x14ac:dyDescent="0.2">
      <c r="A11" s="10">
        <v>4</v>
      </c>
      <c r="B11" s="11">
        <v>92415</v>
      </c>
      <c r="C11" s="11">
        <v>92044</v>
      </c>
      <c r="D11" s="11">
        <f t="shared" si="0"/>
        <v>-371</v>
      </c>
      <c r="E11" s="10"/>
      <c r="F11" s="11"/>
      <c r="G11" s="11"/>
      <c r="H11" s="11"/>
    </row>
    <row r="12" spans="1:8" x14ac:dyDescent="0.2">
      <c r="A12" s="10">
        <v>5</v>
      </c>
      <c r="B12" s="11"/>
      <c r="C12" s="11"/>
      <c r="D12" s="11">
        <f t="shared" si="0"/>
        <v>0</v>
      </c>
      <c r="E12" s="10"/>
      <c r="F12" s="11"/>
      <c r="G12" s="11"/>
      <c r="H12" s="11"/>
    </row>
    <row r="13" spans="1:8" x14ac:dyDescent="0.2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229550</v>
      </c>
      <c r="C39" s="11">
        <f>SUM(C8:C38)</f>
        <v>228301</v>
      </c>
      <c r="D39" s="11">
        <f>SUM(D8:D38)</f>
        <v>-1249</v>
      </c>
      <c r="E39" s="10"/>
      <c r="F39" s="11"/>
      <c r="G39" s="11"/>
      <c r="H39" s="11"/>
    </row>
    <row r="40" spans="1:8" x14ac:dyDescent="0.2">
      <c r="A40" s="26"/>
      <c r="D40" s="75">
        <f>+summary!P11</f>
        <v>2.65</v>
      </c>
      <c r="E40" s="26"/>
      <c r="H40" s="75"/>
    </row>
    <row r="41" spans="1:8" x14ac:dyDescent="0.2">
      <c r="D41" s="197">
        <f>+D40*D39</f>
        <v>-3309.85</v>
      </c>
      <c r="F41" s="253"/>
      <c r="H41" s="197"/>
    </row>
    <row r="42" spans="1:8" x14ac:dyDescent="0.2">
      <c r="A42" s="57">
        <v>37072</v>
      </c>
      <c r="D42" s="419">
        <v>49022</v>
      </c>
      <c r="E42" s="57"/>
      <c r="H42" s="197"/>
    </row>
    <row r="43" spans="1:8" x14ac:dyDescent="0.2">
      <c r="A43" s="57">
        <v>37076</v>
      </c>
      <c r="D43" s="198">
        <f>+D42+D41</f>
        <v>45712.15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workbookViewId="3">
      <selection activeCell="A8" sqref="A8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6" width="11.7109375" bestFit="1" customWidth="1"/>
    <col min="8" max="8" width="12" bestFit="1" customWidth="1"/>
  </cols>
  <sheetData>
    <row r="2" spans="1:10" x14ac:dyDescent="0.2">
      <c r="A2" s="2" t="s">
        <v>102</v>
      </c>
      <c r="G2" s="32"/>
      <c r="H2" s="15"/>
      <c r="I2" s="32"/>
      <c r="J2" s="32"/>
    </row>
    <row r="3" spans="1:10" x14ac:dyDescent="0.2">
      <c r="A3" s="2" t="s">
        <v>76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7">
        <v>37072</v>
      </c>
      <c r="C5" s="417">
        <v>966312.73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37075</v>
      </c>
      <c r="G7" s="32"/>
      <c r="H7" s="15"/>
      <c r="I7" s="32"/>
      <c r="J7" s="32"/>
    </row>
    <row r="8" spans="1:10" x14ac:dyDescent="0.2">
      <c r="A8" s="254">
        <v>60874</v>
      </c>
      <c r="B8" s="423">
        <v>337</v>
      </c>
      <c r="G8" s="32"/>
      <c r="H8" s="15"/>
      <c r="I8" s="32"/>
      <c r="J8" s="32"/>
    </row>
    <row r="9" spans="1:10" x14ac:dyDescent="0.2">
      <c r="A9" s="32">
        <v>500235</v>
      </c>
      <c r="B9" s="14"/>
      <c r="G9" s="32"/>
      <c r="H9" s="15"/>
      <c r="I9" s="32"/>
      <c r="J9" s="32"/>
    </row>
    <row r="10" spans="1:10" x14ac:dyDescent="0.2">
      <c r="A10" s="254">
        <v>500248</v>
      </c>
      <c r="B10" s="425">
        <f>2463-2113-1073</f>
        <v>-723</v>
      </c>
      <c r="G10" s="32"/>
      <c r="H10" s="15"/>
      <c r="I10" s="32"/>
      <c r="J10" s="32"/>
    </row>
    <row r="11" spans="1:10" x14ac:dyDescent="0.2">
      <c r="A11" s="254">
        <v>500251</v>
      </c>
      <c r="B11" s="354">
        <f>1654-1776</f>
        <v>-122</v>
      </c>
      <c r="G11" s="32"/>
      <c r="H11" s="15"/>
      <c r="I11" s="32"/>
      <c r="J11" s="32"/>
    </row>
    <row r="12" spans="1:10" x14ac:dyDescent="0.2">
      <c r="A12" s="254">
        <v>500254</v>
      </c>
      <c r="B12" s="354">
        <v>275</v>
      </c>
      <c r="G12" s="32"/>
      <c r="H12" s="15"/>
      <c r="I12" s="32"/>
      <c r="J12" s="32"/>
    </row>
    <row r="13" spans="1:10" x14ac:dyDescent="0.2">
      <c r="A13" s="32">
        <v>500255</v>
      </c>
      <c r="B13" s="354">
        <f>1654-1214-390</f>
        <v>50</v>
      </c>
      <c r="G13" s="32"/>
      <c r="H13" s="15"/>
      <c r="I13" s="32"/>
      <c r="J13" s="32"/>
    </row>
    <row r="14" spans="1:10" x14ac:dyDescent="0.2">
      <c r="A14" s="32">
        <v>500262</v>
      </c>
      <c r="B14" s="354">
        <f>689-837-426</f>
        <v>-574</v>
      </c>
      <c r="G14" s="32"/>
      <c r="H14" s="15"/>
      <c r="I14" s="32"/>
      <c r="J14" s="32"/>
    </row>
    <row r="15" spans="1:10" x14ac:dyDescent="0.2">
      <c r="A15" s="292">
        <v>500267</v>
      </c>
      <c r="B15" s="424">
        <f>172155-100648-52050</f>
        <v>19457</v>
      </c>
      <c r="G15" s="32"/>
      <c r="H15" s="15"/>
      <c r="I15" s="32"/>
      <c r="J15" s="32"/>
    </row>
    <row r="16" spans="1:10" x14ac:dyDescent="0.2">
      <c r="B16" s="14">
        <f>SUM(B8:B15)</f>
        <v>18700</v>
      </c>
      <c r="G16" s="32"/>
      <c r="H16" s="15"/>
      <c r="I16" s="32"/>
      <c r="J16" s="32"/>
    </row>
    <row r="17" spans="1:10" x14ac:dyDescent="0.2">
      <c r="B17" s="15">
        <f>+B30</f>
        <v>2.65</v>
      </c>
      <c r="C17" s="201">
        <f>+B17*B16</f>
        <v>49555</v>
      </c>
      <c r="G17" s="32"/>
      <c r="H17" s="15"/>
      <c r="I17" s="32"/>
      <c r="J17" s="32"/>
    </row>
    <row r="18" spans="1:10" x14ac:dyDescent="0.2">
      <c r="C18" s="363">
        <f>+C17+C5</f>
        <v>1015867.73</v>
      </c>
      <c r="E18" s="15"/>
      <c r="G18" s="32"/>
      <c r="H18" s="15"/>
      <c r="I18" s="32"/>
      <c r="J18" s="32"/>
    </row>
    <row r="19" spans="1:10" x14ac:dyDescent="0.2">
      <c r="E19" s="15"/>
      <c r="G19" s="32"/>
      <c r="H19" s="15"/>
      <c r="I19" s="32"/>
      <c r="J19" s="32"/>
    </row>
    <row r="20" spans="1:10" x14ac:dyDescent="0.2">
      <c r="A20" s="32" t="s">
        <v>94</v>
      </c>
      <c r="G20" s="32"/>
      <c r="H20" s="15"/>
      <c r="I20" s="32"/>
      <c r="J20" s="32"/>
    </row>
    <row r="21" spans="1:10" x14ac:dyDescent="0.2">
      <c r="A21" s="2" t="s">
        <v>77</v>
      </c>
      <c r="G21" s="32"/>
      <c r="H21" s="15"/>
      <c r="I21" s="32"/>
      <c r="J21" s="32"/>
    </row>
    <row r="22" spans="1:10" x14ac:dyDescent="0.2">
      <c r="G22" s="32"/>
      <c r="H22" s="15"/>
      <c r="I22" s="32"/>
      <c r="J22" s="32"/>
    </row>
    <row r="23" spans="1:10" x14ac:dyDescent="0.2">
      <c r="G23" s="32"/>
      <c r="H23" s="15"/>
      <c r="I23" s="32"/>
      <c r="J23" s="32"/>
    </row>
    <row r="24" spans="1:10" x14ac:dyDescent="0.2">
      <c r="A24" s="200">
        <v>37072</v>
      </c>
      <c r="C24" s="417">
        <v>275313.71999999997</v>
      </c>
      <c r="G24" s="32"/>
      <c r="H24" s="15"/>
      <c r="I24" s="32"/>
      <c r="J24" s="32"/>
    </row>
    <row r="25" spans="1:10" x14ac:dyDescent="0.2">
      <c r="F25" s="269"/>
      <c r="G25" s="32"/>
      <c r="H25" s="15"/>
      <c r="I25" s="32"/>
      <c r="J25" s="32"/>
    </row>
    <row r="26" spans="1:10" x14ac:dyDescent="0.2">
      <c r="A26" s="57">
        <v>37072</v>
      </c>
      <c r="G26" s="32"/>
      <c r="H26" s="15"/>
      <c r="I26" s="32"/>
      <c r="J26" s="32"/>
    </row>
    <row r="27" spans="1:10" x14ac:dyDescent="0.2">
      <c r="A27" s="32">
        <v>9164</v>
      </c>
      <c r="B27" s="212"/>
      <c r="G27" s="32"/>
      <c r="H27" s="15"/>
      <c r="I27" s="32"/>
      <c r="J27" s="32"/>
    </row>
    <row r="28" spans="1:10" x14ac:dyDescent="0.2">
      <c r="A28" s="32">
        <v>9167</v>
      </c>
      <c r="B28" s="212"/>
    </row>
    <row r="29" spans="1:10" x14ac:dyDescent="0.2">
      <c r="B29" s="14">
        <f>+B28+B27</f>
        <v>0</v>
      </c>
    </row>
    <row r="30" spans="1:10" x14ac:dyDescent="0.2">
      <c r="B30" s="15">
        <f>+summary!P11</f>
        <v>2.65</v>
      </c>
      <c r="C30" s="201">
        <f>+B30*B29</f>
        <v>0</v>
      </c>
    </row>
    <row r="31" spans="1:10" x14ac:dyDescent="0.2">
      <c r="C31" s="363">
        <f>+C30+C24</f>
        <v>275313.71999999997</v>
      </c>
      <c r="E31" s="15"/>
    </row>
    <row r="33" spans="1:6" x14ac:dyDescent="0.2">
      <c r="E33" s="274"/>
    </row>
    <row r="34" spans="1:6" x14ac:dyDescent="0.2">
      <c r="A34" s="32" t="s">
        <v>94</v>
      </c>
      <c r="E34" s="15"/>
    </row>
    <row r="35" spans="1:6" x14ac:dyDescent="0.2">
      <c r="A35" s="32" t="s">
        <v>78</v>
      </c>
      <c r="E35" s="15"/>
    </row>
    <row r="38" spans="1:6" x14ac:dyDescent="0.2">
      <c r="A38" s="49">
        <v>37072</v>
      </c>
      <c r="C38" s="417">
        <v>698975.46</v>
      </c>
      <c r="E38" s="15"/>
      <c r="F38" s="269"/>
    </row>
    <row r="40" spans="1:6" x14ac:dyDescent="0.2">
      <c r="A40" s="250">
        <v>37072</v>
      </c>
    </row>
    <row r="41" spans="1:6" x14ac:dyDescent="0.2">
      <c r="A41" s="254">
        <v>500241</v>
      </c>
      <c r="B41" s="14"/>
    </row>
    <row r="42" spans="1:6" x14ac:dyDescent="0.2">
      <c r="A42" s="32">
        <v>500391</v>
      </c>
      <c r="B42" s="212"/>
    </row>
    <row r="43" spans="1:6" x14ac:dyDescent="0.2">
      <c r="A43" s="32">
        <v>500392</v>
      </c>
      <c r="B43" s="258"/>
    </row>
    <row r="44" spans="1:6" x14ac:dyDescent="0.2">
      <c r="B44" s="14">
        <f>SUM(B41:B43)</f>
        <v>0</v>
      </c>
    </row>
    <row r="45" spans="1:6" x14ac:dyDescent="0.2">
      <c r="B45" s="201">
        <f>+B30</f>
        <v>2.65</v>
      </c>
      <c r="C45" s="201">
        <f>+B45*B44</f>
        <v>0</v>
      </c>
    </row>
    <row r="46" spans="1:6" x14ac:dyDescent="0.2">
      <c r="C46" s="363">
        <f>+C45+C38</f>
        <v>698975.46</v>
      </c>
      <c r="E46" s="206"/>
    </row>
    <row r="47" spans="1:6" x14ac:dyDescent="0.2">
      <c r="E47" s="217"/>
    </row>
    <row r="48" spans="1:6" x14ac:dyDescent="0.2">
      <c r="E48" s="206"/>
    </row>
    <row r="49" spans="1:9" x14ac:dyDescent="0.2">
      <c r="C49" s="341"/>
      <c r="E49" s="217"/>
    </row>
    <row r="50" spans="1:9" x14ac:dyDescent="0.2">
      <c r="A50" s="32" t="s">
        <v>94</v>
      </c>
      <c r="C50" s="255"/>
    </row>
    <row r="51" spans="1:9" x14ac:dyDescent="0.2">
      <c r="A51" s="32">
        <v>21665</v>
      </c>
      <c r="B51" s="15" t="s">
        <v>151</v>
      </c>
      <c r="C51" s="416">
        <v>73449.16</v>
      </c>
      <c r="D51" s="32" t="s">
        <v>130</v>
      </c>
      <c r="E51" s="50"/>
    </row>
    <row r="52" spans="1:9" x14ac:dyDescent="0.2">
      <c r="A52" s="32">
        <v>22664</v>
      </c>
      <c r="B52" s="15" t="s">
        <v>151</v>
      </c>
      <c r="C52" s="415">
        <v>23612.35</v>
      </c>
      <c r="D52" s="32" t="s">
        <v>131</v>
      </c>
    </row>
    <row r="53" spans="1:9" x14ac:dyDescent="0.2">
      <c r="A53" s="32">
        <v>20248</v>
      </c>
      <c r="B53" s="15" t="s">
        <v>152</v>
      </c>
      <c r="C53" s="351">
        <v>-15794</v>
      </c>
      <c r="D53" s="15"/>
      <c r="E53" s="15"/>
      <c r="H53" s="352"/>
    </row>
    <row r="54" spans="1:9" x14ac:dyDescent="0.2">
      <c r="A54" s="32">
        <v>25873</v>
      </c>
      <c r="C54" s="405">
        <v>-259</v>
      </c>
      <c r="D54" s="15"/>
      <c r="H54" s="15"/>
    </row>
    <row r="55" spans="1:9" x14ac:dyDescent="0.2">
      <c r="A55" s="32">
        <v>26758</v>
      </c>
      <c r="C55" s="47">
        <v>-596</v>
      </c>
      <c r="D55" s="15"/>
      <c r="H55" s="15"/>
    </row>
    <row r="56" spans="1:9" x14ac:dyDescent="0.2">
      <c r="A56" s="32">
        <v>26372</v>
      </c>
      <c r="C56" s="47">
        <v>2997.09</v>
      </c>
      <c r="D56" s="15"/>
      <c r="H56" s="15"/>
    </row>
    <row r="57" spans="1:9" x14ac:dyDescent="0.2">
      <c r="A57" s="32">
        <v>26700</v>
      </c>
      <c r="C57" s="47">
        <v>4077.9</v>
      </c>
      <c r="D57" s="15"/>
      <c r="H57" s="352"/>
    </row>
    <row r="58" spans="1:9" x14ac:dyDescent="0.2">
      <c r="A58" s="32">
        <v>26422</v>
      </c>
      <c r="C58" s="47">
        <v>8155.8</v>
      </c>
      <c r="D58" s="15"/>
      <c r="H58" s="47"/>
    </row>
    <row r="59" spans="1:9" x14ac:dyDescent="0.2">
      <c r="A59" s="32">
        <v>26661</v>
      </c>
      <c r="C59" s="47">
        <v>146862.35</v>
      </c>
      <c r="D59" s="15"/>
      <c r="H59" s="367"/>
      <c r="I59" s="32"/>
    </row>
    <row r="60" spans="1:9" x14ac:dyDescent="0.2">
      <c r="A60" s="32">
        <v>27291</v>
      </c>
      <c r="C60" s="47">
        <v>-17965</v>
      </c>
      <c r="D60" s="15"/>
    </row>
    <row r="61" spans="1:9" x14ac:dyDescent="0.2">
      <c r="A61" s="32">
        <v>27123</v>
      </c>
      <c r="C61" s="353">
        <v>-6425.19</v>
      </c>
      <c r="D61" s="15"/>
    </row>
    <row r="62" spans="1:9" x14ac:dyDescent="0.2">
      <c r="C62" s="352">
        <f>+C18+C31+C46+C51+C52+C53+C54+C55+C56+C57+C58+C59+C60+C61</f>
        <v>2208272.37</v>
      </c>
    </row>
    <row r="63" spans="1:9" x14ac:dyDescent="0.2">
      <c r="C63" s="352"/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47" workbookViewId="3">
      <selection activeCell="A64" sqref="A64"/>
    </sheetView>
  </sheetViews>
  <sheetFormatPr defaultRowHeight="12.75" x14ac:dyDescent="0.2"/>
  <cols>
    <col min="3" max="3" width="9.85546875" bestFit="1" customWidth="1"/>
    <col min="6" max="6" width="12.28515625" bestFit="1" customWidth="1"/>
    <col min="8" max="8" width="9.5703125" bestFit="1" customWidth="1"/>
    <col min="9" max="9" width="12.7109375" customWidth="1"/>
  </cols>
  <sheetData>
    <row r="1" spans="1:8" x14ac:dyDescent="0.2">
      <c r="A1" s="54"/>
      <c r="B1" s="349">
        <v>23995</v>
      </c>
      <c r="C1" s="236"/>
      <c r="D1" s="348">
        <v>22051</v>
      </c>
      <c r="F1" s="2"/>
      <c r="H1" s="118"/>
    </row>
    <row r="2" spans="1:8" x14ac:dyDescent="0.2">
      <c r="B2" s="12">
        <v>59687</v>
      </c>
      <c r="D2" s="12">
        <v>10703</v>
      </c>
      <c r="E2" s="4"/>
      <c r="F2" s="59"/>
      <c r="G2" s="4"/>
    </row>
    <row r="3" spans="1:8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/>
      <c r="G3" s="6"/>
      <c r="H3" s="115"/>
    </row>
    <row r="4" spans="1:8" x14ac:dyDescent="0.2">
      <c r="A4" s="10">
        <v>1</v>
      </c>
      <c r="B4" s="11">
        <v>0</v>
      </c>
      <c r="C4" s="11">
        <v>0</v>
      </c>
      <c r="D4" s="11">
        <v>24670</v>
      </c>
      <c r="E4" s="11">
        <v>23460</v>
      </c>
      <c r="F4" s="11">
        <f>+E4+C4-D4-B4</f>
        <v>-1210</v>
      </c>
      <c r="G4" s="11"/>
      <c r="H4" s="24"/>
    </row>
    <row r="5" spans="1:8" x14ac:dyDescent="0.2">
      <c r="A5" s="10">
        <v>2</v>
      </c>
      <c r="B5" s="11">
        <v>0</v>
      </c>
      <c r="C5" s="11">
        <v>0</v>
      </c>
      <c r="D5" s="11">
        <v>24668</v>
      </c>
      <c r="E5" s="11">
        <v>23536</v>
      </c>
      <c r="F5" s="11">
        <f t="shared" ref="F5:F34" si="0">+E5+C5-D5-B5</f>
        <v>-1132</v>
      </c>
      <c r="G5" s="11"/>
      <c r="H5" s="24"/>
    </row>
    <row r="6" spans="1:8" x14ac:dyDescent="0.2">
      <c r="A6" s="10">
        <v>3</v>
      </c>
      <c r="B6" s="11">
        <v>0</v>
      </c>
      <c r="C6" s="11">
        <v>0</v>
      </c>
      <c r="D6" s="129">
        <v>24650</v>
      </c>
      <c r="E6" s="11">
        <v>24000</v>
      </c>
      <c r="F6" s="11">
        <f t="shared" si="0"/>
        <v>-650</v>
      </c>
      <c r="G6" s="11"/>
      <c r="H6" s="24"/>
    </row>
    <row r="7" spans="1:8" x14ac:dyDescent="0.2">
      <c r="A7" s="10">
        <v>4</v>
      </c>
      <c r="B7" s="11"/>
      <c r="C7" s="11"/>
      <c r="D7" s="129"/>
      <c r="E7" s="11"/>
      <c r="F7" s="11">
        <f t="shared" si="0"/>
        <v>0</v>
      </c>
      <c r="G7" s="11"/>
      <c r="H7" s="24"/>
    </row>
    <row r="8" spans="1:8" x14ac:dyDescent="0.2">
      <c r="A8" s="10">
        <v>5</v>
      </c>
      <c r="B8" s="11"/>
      <c r="C8" s="11"/>
      <c r="D8" s="11"/>
      <c r="E8" s="11"/>
      <c r="F8" s="11">
        <f t="shared" si="0"/>
        <v>0</v>
      </c>
      <c r="G8" s="11"/>
      <c r="H8" s="24"/>
    </row>
    <row r="9" spans="1:8" x14ac:dyDescent="0.2">
      <c r="A9" s="10">
        <v>6</v>
      </c>
      <c r="B9" s="11"/>
      <c r="C9" s="11"/>
      <c r="D9" s="11"/>
      <c r="E9" s="11"/>
      <c r="F9" s="11">
        <f t="shared" si="0"/>
        <v>0</v>
      </c>
      <c r="G9" s="11"/>
      <c r="H9" s="24"/>
    </row>
    <row r="10" spans="1:8" x14ac:dyDescent="0.2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H10" s="24"/>
    </row>
    <row r="11" spans="1:8" x14ac:dyDescent="0.2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H11" s="24"/>
    </row>
    <row r="12" spans="1:8" x14ac:dyDescent="0.2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H12" s="24"/>
    </row>
    <row r="13" spans="1:8" x14ac:dyDescent="0.2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H13" s="24"/>
    </row>
    <row r="14" spans="1:8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H14" s="24"/>
    </row>
    <row r="15" spans="1:8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H15" s="24"/>
    </row>
    <row r="16" spans="1:8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H16" s="24"/>
    </row>
    <row r="17" spans="1:8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H17" s="24"/>
    </row>
    <row r="18" spans="1:8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H18" s="24"/>
    </row>
    <row r="19" spans="1:8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H19" s="24"/>
    </row>
    <row r="20" spans="1:8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H20" s="24"/>
    </row>
    <row r="21" spans="1:8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H21" s="24"/>
    </row>
    <row r="22" spans="1:8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H22" s="24"/>
    </row>
    <row r="23" spans="1:8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H23" s="24"/>
    </row>
    <row r="24" spans="1:8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H24" s="24"/>
    </row>
    <row r="25" spans="1:8" x14ac:dyDescent="0.2">
      <c r="A25" s="10">
        <v>22</v>
      </c>
      <c r="B25" s="11"/>
      <c r="C25" s="11"/>
      <c r="D25" s="11"/>
      <c r="E25" s="11"/>
      <c r="F25" s="11">
        <f t="shared" si="0"/>
        <v>0</v>
      </c>
      <c r="G25" s="11"/>
      <c r="H25" s="24"/>
    </row>
    <row r="26" spans="1:8" x14ac:dyDescent="0.2">
      <c r="A26" s="10">
        <v>23</v>
      </c>
      <c r="B26" s="11"/>
      <c r="C26" s="11"/>
      <c r="D26" s="11"/>
      <c r="E26" s="11"/>
      <c r="F26" s="11">
        <f t="shared" si="0"/>
        <v>0</v>
      </c>
      <c r="G26" s="11"/>
      <c r="H26" s="24"/>
    </row>
    <row r="27" spans="1:8" x14ac:dyDescent="0.2">
      <c r="A27" s="10">
        <v>24</v>
      </c>
      <c r="B27" s="11"/>
      <c r="C27" s="11"/>
      <c r="D27" s="11"/>
      <c r="E27" s="11"/>
      <c r="F27" s="11">
        <f t="shared" si="0"/>
        <v>0</v>
      </c>
      <c r="G27" s="11"/>
      <c r="H27" s="24"/>
    </row>
    <row r="28" spans="1:8" x14ac:dyDescent="0.2">
      <c r="A28" s="10">
        <v>25</v>
      </c>
      <c r="B28" s="11"/>
      <c r="C28" s="11"/>
      <c r="D28" s="11"/>
      <c r="E28" s="11"/>
      <c r="F28" s="11">
        <f t="shared" si="0"/>
        <v>0</v>
      </c>
      <c r="G28" s="11"/>
      <c r="H28" s="24"/>
    </row>
    <row r="29" spans="1:8" x14ac:dyDescent="0.2">
      <c r="A29" s="10">
        <v>26</v>
      </c>
      <c r="B29" s="11"/>
      <c r="C29" s="11"/>
      <c r="D29" s="11"/>
      <c r="E29" s="11"/>
      <c r="F29" s="11">
        <f t="shared" si="0"/>
        <v>0</v>
      </c>
      <c r="G29" s="11"/>
      <c r="H29" s="24"/>
    </row>
    <row r="30" spans="1:8" x14ac:dyDescent="0.2">
      <c r="A30" s="10">
        <v>27</v>
      </c>
      <c r="B30" s="11"/>
      <c r="C30" s="11"/>
      <c r="D30" s="11"/>
      <c r="E30" s="11"/>
      <c r="F30" s="11">
        <f t="shared" si="0"/>
        <v>0</v>
      </c>
      <c r="G30" s="11"/>
      <c r="H30" s="24"/>
    </row>
    <row r="31" spans="1:8" x14ac:dyDescent="0.2">
      <c r="A31" s="10">
        <v>28</v>
      </c>
      <c r="B31" s="11"/>
      <c r="C31" s="11"/>
      <c r="D31" s="11"/>
      <c r="E31" s="11"/>
      <c r="F31" s="11">
        <f t="shared" si="0"/>
        <v>0</v>
      </c>
      <c r="G31" s="11"/>
      <c r="H31" s="24"/>
    </row>
    <row r="32" spans="1:8" x14ac:dyDescent="0.2">
      <c r="A32" s="10">
        <v>29</v>
      </c>
      <c r="B32" s="11"/>
      <c r="C32" s="11"/>
      <c r="D32" s="11"/>
      <c r="E32" s="11"/>
      <c r="F32" s="11">
        <f t="shared" si="0"/>
        <v>0</v>
      </c>
      <c r="G32" s="11"/>
      <c r="H32" s="24"/>
    </row>
    <row r="33" spans="1:8" x14ac:dyDescent="0.2">
      <c r="A33" s="10">
        <v>30</v>
      </c>
      <c r="B33" s="11"/>
      <c r="C33" s="11"/>
      <c r="D33" s="11"/>
      <c r="E33" s="11"/>
      <c r="F33" s="11">
        <f t="shared" si="0"/>
        <v>0</v>
      </c>
      <c r="G33" s="11"/>
      <c r="H33" s="24"/>
    </row>
    <row r="34" spans="1:8" x14ac:dyDescent="0.2">
      <c r="A34" s="10">
        <v>31</v>
      </c>
      <c r="B34" s="11"/>
      <c r="C34" s="11"/>
      <c r="D34" s="11"/>
      <c r="E34" s="11"/>
      <c r="F34" s="11">
        <f t="shared" si="0"/>
        <v>0</v>
      </c>
      <c r="G34" s="11"/>
      <c r="H34" s="24"/>
    </row>
    <row r="35" spans="1:8" x14ac:dyDescent="0.2">
      <c r="A35" s="10"/>
      <c r="B35" s="11">
        <f>SUM(B4:B34)</f>
        <v>0</v>
      </c>
      <c r="C35" s="11">
        <f>SUM(C4:C34)</f>
        <v>0</v>
      </c>
      <c r="D35" s="11">
        <f>SUM(D4:D34)</f>
        <v>73988</v>
      </c>
      <c r="E35" s="11">
        <f>SUM(E4:E34)</f>
        <v>70996</v>
      </c>
      <c r="F35" s="11">
        <f>SUM(F4:F34)</f>
        <v>-2992</v>
      </c>
      <c r="G35" s="11"/>
      <c r="H35" s="11"/>
    </row>
    <row r="36" spans="1:8" x14ac:dyDescent="0.2">
      <c r="C36" s="25">
        <f>+C35-B35</f>
        <v>0</v>
      </c>
      <c r="E36" s="25">
        <f>+E35-D35</f>
        <v>-2992</v>
      </c>
      <c r="F36" s="25">
        <f>+E36+C36</f>
        <v>-2992</v>
      </c>
    </row>
    <row r="37" spans="1:8" x14ac:dyDescent="0.2">
      <c r="C37" s="350">
        <f>+summary!P12</f>
        <v>2.83</v>
      </c>
      <c r="E37" s="350">
        <f>+C37</f>
        <v>2.83</v>
      </c>
      <c r="F37" s="350">
        <f>+E37</f>
        <v>2.83</v>
      </c>
    </row>
    <row r="38" spans="1:8" x14ac:dyDescent="0.2">
      <c r="C38" s="138">
        <f>+C37*C36</f>
        <v>0</v>
      </c>
      <c r="E38" s="138">
        <f>+E37*E36</f>
        <v>-8467.36</v>
      </c>
      <c r="F38" s="138">
        <f>+F37*F36</f>
        <v>-8467.36</v>
      </c>
    </row>
    <row r="39" spans="1:8" x14ac:dyDescent="0.2">
      <c r="A39" s="57">
        <v>37042</v>
      </c>
      <c r="B39" s="2" t="s">
        <v>47</v>
      </c>
      <c r="C39" s="411">
        <v>-1027135</v>
      </c>
      <c r="D39" s="362"/>
      <c r="E39" s="411">
        <v>-464064</v>
      </c>
      <c r="F39" s="361">
        <f>+E39+C39</f>
        <v>-1491199</v>
      </c>
      <c r="G39" s="51"/>
      <c r="H39" s="24">
        <f>+F39+F44+F45+F46+F47+F48+F49</f>
        <v>-2120718.71</v>
      </c>
    </row>
    <row r="40" spans="1:8" x14ac:dyDescent="0.2">
      <c r="A40" s="57">
        <v>37075</v>
      </c>
      <c r="B40" s="2" t="s">
        <v>47</v>
      </c>
      <c r="C40" s="351">
        <f>+C39+C38</f>
        <v>-1027135</v>
      </c>
      <c r="D40" s="260"/>
      <c r="E40" s="351">
        <f>+E39+E38</f>
        <v>-472531.36</v>
      </c>
      <c r="F40" s="351">
        <f>+F39+F38</f>
        <v>-1499666.36</v>
      </c>
      <c r="G40" s="131"/>
      <c r="H40" s="131">
        <f>+Duke!C5+Duke!C24+Duke!C38+Duke!C51+Duke!C52+Duke!C53+Duke!C54+Duke!C55+Duke!C56+Duke!C57+Duke!C58+Duke!C59+Duke!C60+Duke!C61</f>
        <v>2158717.37</v>
      </c>
    </row>
    <row r="41" spans="1:8" x14ac:dyDescent="0.2">
      <c r="C41" s="377"/>
      <c r="D41" s="251"/>
      <c r="E41" s="251"/>
      <c r="F41" s="251"/>
      <c r="G41" s="251"/>
      <c r="H41" s="31"/>
    </row>
    <row r="42" spans="1:8" x14ac:dyDescent="0.2">
      <c r="C42" s="251"/>
      <c r="D42" s="251"/>
      <c r="E42" s="251"/>
      <c r="F42" s="274"/>
      <c r="G42" s="251"/>
    </row>
    <row r="43" spans="1:8" x14ac:dyDescent="0.2">
      <c r="B43" s="12" t="s">
        <v>122</v>
      </c>
      <c r="C43" s="251"/>
      <c r="D43" s="251"/>
      <c r="E43" s="251"/>
      <c r="F43" s="274"/>
      <c r="G43" s="251"/>
    </row>
    <row r="44" spans="1:8" x14ac:dyDescent="0.2">
      <c r="B44" s="12">
        <v>22864</v>
      </c>
      <c r="C44" s="251"/>
      <c r="D44" s="251"/>
      <c r="E44" s="251"/>
      <c r="F44" s="417">
        <v>-58339.66</v>
      </c>
      <c r="G44" s="255" t="s">
        <v>50</v>
      </c>
    </row>
    <row r="45" spans="1:8" x14ac:dyDescent="0.2">
      <c r="B45" s="12">
        <v>20379</v>
      </c>
      <c r="C45" s="251"/>
      <c r="D45" s="251"/>
      <c r="E45" s="251"/>
      <c r="F45" s="417">
        <v>-51695.87</v>
      </c>
      <c r="G45" s="255" t="s">
        <v>133</v>
      </c>
    </row>
    <row r="46" spans="1:8" x14ac:dyDescent="0.2">
      <c r="B46" s="12">
        <v>21459</v>
      </c>
      <c r="C46" s="251"/>
      <c r="D46" s="251"/>
      <c r="E46" s="251"/>
      <c r="F46" s="378">
        <v>10570.56</v>
      </c>
      <c r="G46" s="251"/>
    </row>
    <row r="47" spans="1:8" x14ac:dyDescent="0.2">
      <c r="B47" s="12">
        <v>26357</v>
      </c>
      <c r="C47" s="251"/>
      <c r="D47" s="251"/>
      <c r="E47" s="251"/>
      <c r="F47" s="417">
        <v>44144.84</v>
      </c>
      <c r="G47" s="255" t="s">
        <v>134</v>
      </c>
    </row>
    <row r="48" spans="1:8" x14ac:dyDescent="0.2">
      <c r="B48" s="12">
        <v>21544</v>
      </c>
      <c r="C48" s="251"/>
      <c r="D48" s="251"/>
      <c r="E48" s="251"/>
      <c r="F48" s="417">
        <v>61340.160000000003</v>
      </c>
      <c r="G48" s="255" t="s">
        <v>135</v>
      </c>
    </row>
    <row r="49" spans="2:7" x14ac:dyDescent="0.2">
      <c r="B49" s="12">
        <v>24532</v>
      </c>
      <c r="C49" s="251"/>
      <c r="D49" s="251"/>
      <c r="E49" s="251"/>
      <c r="F49" s="415">
        <v>-635539.74</v>
      </c>
      <c r="G49" s="255" t="s">
        <v>132</v>
      </c>
    </row>
    <row r="50" spans="2:7" x14ac:dyDescent="0.2">
      <c r="C50" s="251"/>
      <c r="D50" s="251"/>
      <c r="E50" s="251"/>
      <c r="F50" s="379">
        <f>SUM(F40:F49)</f>
        <v>-2129186.0700000003</v>
      </c>
      <c r="G50" s="251"/>
    </row>
    <row r="51" spans="2:7" x14ac:dyDescent="0.2">
      <c r="C51" s="251"/>
      <c r="D51" s="251"/>
      <c r="E51" s="251"/>
      <c r="F51" s="251"/>
      <c r="G51" s="251"/>
    </row>
    <row r="52" spans="2:7" x14ac:dyDescent="0.2">
      <c r="B52" s="2" t="s">
        <v>153</v>
      </c>
      <c r="F52" s="138">
        <f>+Duke!C62</f>
        <v>2208272.37</v>
      </c>
    </row>
    <row r="54" spans="2:7" x14ac:dyDescent="0.2">
      <c r="F54" s="104">
        <f>+F52+F50</f>
        <v>79086.299999999814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26" workbookViewId="2">
      <selection activeCell="C40" sqref="C40"/>
    </sheetView>
    <sheetView topLeftCell="A24" workbookViewId="3">
      <selection activeCell="I34" sqref="I34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73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/>
      <c r="C8" s="11"/>
      <c r="D8" s="11"/>
      <c r="E8" s="11"/>
      <c r="F8" s="11">
        <v>1110</v>
      </c>
      <c r="G8" s="11">
        <v>1243</v>
      </c>
      <c r="H8" s="11">
        <v>1812</v>
      </c>
      <c r="I8" s="11">
        <v>1669</v>
      </c>
      <c r="J8" s="25">
        <f>+C8-B8+E8-D8+G8-F8+I8-H8</f>
        <v>-10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/>
      <c r="C9" s="11"/>
      <c r="D9" s="11"/>
      <c r="E9" s="11"/>
      <c r="F9" s="11">
        <v>1157</v>
      </c>
      <c r="G9" s="11">
        <v>1277</v>
      </c>
      <c r="H9" s="11">
        <v>1766</v>
      </c>
      <c r="I9" s="11">
        <v>1699</v>
      </c>
      <c r="J9" s="25">
        <f t="shared" ref="J9:J38" si="0">+C9-B9+E9-D9+G9-F9+I9-H9</f>
        <v>53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/>
      <c r="C10" s="11"/>
      <c r="D10" s="11"/>
      <c r="E10" s="11"/>
      <c r="F10" s="11">
        <v>1153</v>
      </c>
      <c r="G10" s="11">
        <v>1277</v>
      </c>
      <c r="H10" s="11">
        <v>1747</v>
      </c>
      <c r="I10" s="11">
        <v>1699</v>
      </c>
      <c r="J10" s="25">
        <f t="shared" si="0"/>
        <v>76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/>
      <c r="C11" s="11"/>
      <c r="D11" s="11"/>
      <c r="E11" s="11"/>
      <c r="F11" s="11"/>
      <c r="G11" s="11"/>
      <c r="H11" s="11"/>
      <c r="I11" s="11"/>
      <c r="J11" s="25">
        <f t="shared" si="0"/>
        <v>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/>
      <c r="C12" s="11"/>
      <c r="D12" s="11"/>
      <c r="E12" s="11"/>
      <c r="F12" s="11"/>
      <c r="G12" s="11"/>
      <c r="H12" s="11"/>
      <c r="I12" s="11"/>
      <c r="J12" s="25">
        <f t="shared" si="0"/>
        <v>0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/>
      <c r="C13" s="11"/>
      <c r="D13" s="11"/>
      <c r="E13" s="11"/>
      <c r="F13" s="11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1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91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1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91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1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91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1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91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1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0</v>
      </c>
      <c r="C39" s="11">
        <f t="shared" si="1"/>
        <v>0</v>
      </c>
      <c r="D39" s="11">
        <f t="shared" si="1"/>
        <v>0</v>
      </c>
      <c r="E39" s="11">
        <f t="shared" si="1"/>
        <v>0</v>
      </c>
      <c r="F39" s="11">
        <f t="shared" si="1"/>
        <v>3420</v>
      </c>
      <c r="G39" s="11">
        <f t="shared" si="1"/>
        <v>3797</v>
      </c>
      <c r="H39" s="11">
        <f t="shared" si="1"/>
        <v>5325</v>
      </c>
      <c r="I39" s="11">
        <f t="shared" si="1"/>
        <v>5067</v>
      </c>
      <c r="J39" s="25">
        <f t="shared" si="1"/>
        <v>119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1">
        <f>+summary!P11</f>
        <v>2.65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315.34999999999997</v>
      </c>
      <c r="L41"/>
      <c r="R41" s="138"/>
      <c r="X41" s="138"/>
    </row>
    <row r="42" spans="1:24" x14ac:dyDescent="0.2">
      <c r="A42" s="57">
        <v>37072</v>
      </c>
      <c r="C42" s="15"/>
      <c r="J42" s="404">
        <v>351398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37075</v>
      </c>
      <c r="C43" s="48"/>
      <c r="J43" s="138">
        <f>+J42+J41</f>
        <v>351713.35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L46"/>
    </row>
    <row r="47" spans="1:24" x14ac:dyDescent="0.2">
      <c r="L47"/>
    </row>
    <row r="48" spans="1:24" x14ac:dyDescent="0.2">
      <c r="L48"/>
    </row>
    <row r="49" spans="12:12" x14ac:dyDescent="0.2">
      <c r="L49"/>
    </row>
    <row r="50" spans="12:12" x14ac:dyDescent="0.2">
      <c r="L50"/>
    </row>
    <row r="51" spans="12:12" x14ac:dyDescent="0.2">
      <c r="L51"/>
    </row>
    <row r="52" spans="12:12" x14ac:dyDescent="0.2">
      <c r="L52"/>
    </row>
    <row r="53" spans="12:12" x14ac:dyDescent="0.2">
      <c r="L53"/>
    </row>
    <row r="54" spans="12:12" x14ac:dyDescent="0.2">
      <c r="L54"/>
    </row>
    <row r="55" spans="12:12" x14ac:dyDescent="0.2">
      <c r="L55"/>
    </row>
    <row r="56" spans="12:12" x14ac:dyDescent="0.2">
      <c r="L56"/>
    </row>
    <row r="57" spans="12:12" x14ac:dyDescent="0.2">
      <c r="L57"/>
    </row>
    <row r="58" spans="12:12" x14ac:dyDescent="0.2">
      <c r="L58"/>
    </row>
    <row r="59" spans="12:12" x14ac:dyDescent="0.2">
      <c r="L59"/>
    </row>
    <row r="60" spans="12:12" x14ac:dyDescent="0.2">
      <c r="L60"/>
    </row>
    <row r="61" spans="12:12" x14ac:dyDescent="0.2">
      <c r="L61"/>
    </row>
    <row r="62" spans="12:12" x14ac:dyDescent="0.2">
      <c r="L62"/>
    </row>
    <row r="63" spans="12:12" x14ac:dyDescent="0.2">
      <c r="L63"/>
    </row>
    <row r="64" spans="12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43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4" workbookViewId="3">
      <selection activeCell="A44" sqref="A44"/>
    </sheetView>
  </sheetViews>
  <sheetFormatPr defaultRowHeight="12.75" x14ac:dyDescent="0.2"/>
  <cols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"/>
      <c r="B6" s="1" t="s">
        <v>74</v>
      </c>
      <c r="D6" s="1" t="s">
        <v>156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46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">
      <c r="A8" s="10">
        <v>1</v>
      </c>
      <c r="B8" s="11">
        <v>12299</v>
      </c>
      <c r="C8" s="11">
        <v>10388</v>
      </c>
      <c r="D8" s="11">
        <v>-556</v>
      </c>
      <c r="E8" s="11"/>
      <c r="F8" s="25">
        <f>+C8-B8+E8-D8</f>
        <v>-1355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">
      <c r="A9" s="10">
        <v>2</v>
      </c>
      <c r="B9" s="11">
        <v>11706</v>
      </c>
      <c r="C9" s="11">
        <v>10732</v>
      </c>
      <c r="D9" s="11">
        <v>-472</v>
      </c>
      <c r="E9" s="11"/>
      <c r="F9" s="25">
        <f t="shared" ref="F9:F38" si="0">+C9-B9+E9-D9</f>
        <v>-502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">
      <c r="A10" s="10">
        <v>3</v>
      </c>
      <c r="B10" s="11">
        <v>11910</v>
      </c>
      <c r="C10" s="11">
        <v>10841</v>
      </c>
      <c r="D10" s="11">
        <v>-486</v>
      </c>
      <c r="E10" s="11"/>
      <c r="F10" s="25">
        <f t="shared" si="0"/>
        <v>-583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">
      <c r="A11" s="10">
        <v>4</v>
      </c>
      <c r="B11" s="11"/>
      <c r="C11" s="11"/>
      <c r="D11" s="11"/>
      <c r="E11" s="11"/>
      <c r="F11" s="25">
        <f t="shared" si="0"/>
        <v>0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">
      <c r="A12" s="10">
        <v>5</v>
      </c>
      <c r="B12" s="11"/>
      <c r="C12" s="11"/>
      <c r="D12" s="11"/>
      <c r="E12" s="11"/>
      <c r="F12" s="25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">
      <c r="A13" s="10">
        <v>6</v>
      </c>
      <c r="B13" s="11"/>
      <c r="C13" s="11"/>
      <c r="D13" s="11"/>
      <c r="E13" s="11"/>
      <c r="F13" s="25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">
      <c r="A14" s="10">
        <v>7</v>
      </c>
      <c r="B14" s="11"/>
      <c r="C14" s="11"/>
      <c r="D14" s="11"/>
      <c r="E14" s="11"/>
      <c r="F14" s="25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">
      <c r="A15" s="10">
        <v>8</v>
      </c>
      <c r="B15" s="11"/>
      <c r="C15" s="11"/>
      <c r="D15" s="11"/>
      <c r="E15" s="11"/>
      <c r="F15" s="25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">
      <c r="A16" s="10">
        <v>9</v>
      </c>
      <c r="B16" s="11"/>
      <c r="C16" s="11"/>
      <c r="D16" s="11"/>
      <c r="E16" s="11"/>
      <c r="F16" s="25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">
      <c r="A17" s="10">
        <v>10</v>
      </c>
      <c r="B17" s="11"/>
      <c r="C17" s="11"/>
      <c r="D17" s="11"/>
      <c r="E17" s="11"/>
      <c r="F17" s="25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">
      <c r="A18" s="10">
        <v>11</v>
      </c>
      <c r="B18" s="11"/>
      <c r="C18" s="11"/>
      <c r="D18" s="11"/>
      <c r="E18" s="11"/>
      <c r="F18" s="25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">
      <c r="A19" s="10">
        <v>12</v>
      </c>
      <c r="B19" s="11"/>
      <c r="C19" s="11"/>
      <c r="D19" s="11"/>
      <c r="E19" s="11"/>
      <c r="F19" s="25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">
      <c r="A20" s="10">
        <v>13</v>
      </c>
      <c r="B20" s="11"/>
      <c r="C20" s="11"/>
      <c r="D20" s="11"/>
      <c r="E20" s="11"/>
      <c r="F20" s="25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">
      <c r="A21" s="10">
        <v>14</v>
      </c>
      <c r="B21" s="11"/>
      <c r="C21" s="11"/>
      <c r="D21" s="11"/>
      <c r="E21" s="11"/>
      <c r="F21" s="25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">
      <c r="A22" s="10">
        <v>15</v>
      </c>
      <c r="B22" s="11"/>
      <c r="C22" s="11"/>
      <c r="D22" s="11"/>
      <c r="E22" s="11"/>
      <c r="F22" s="25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">
      <c r="A23" s="10">
        <v>16</v>
      </c>
      <c r="B23" s="11"/>
      <c r="C23" s="11"/>
      <c r="D23" s="11"/>
      <c r="E23" s="11"/>
      <c r="F23" s="25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">
      <c r="A24" s="10">
        <v>17</v>
      </c>
      <c r="B24" s="11"/>
      <c r="C24" s="11"/>
      <c r="D24" s="11"/>
      <c r="E24" s="11"/>
      <c r="F24" s="25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">
      <c r="A25" s="10">
        <v>18</v>
      </c>
      <c r="B25" s="11"/>
      <c r="C25" s="11"/>
      <c r="D25" s="11"/>
      <c r="E25" s="11"/>
      <c r="F25" s="25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">
      <c r="A26" s="10">
        <v>19</v>
      </c>
      <c r="B26" s="11"/>
      <c r="C26" s="11"/>
      <c r="D26" s="11"/>
      <c r="E26" s="11"/>
      <c r="F26" s="25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">
      <c r="A27" s="10">
        <v>20</v>
      </c>
      <c r="B27" s="11"/>
      <c r="C27" s="11"/>
      <c r="D27" s="11"/>
      <c r="E27" s="11"/>
      <c r="F27" s="25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">
      <c r="A28" s="10">
        <v>21</v>
      </c>
      <c r="B28" s="11"/>
      <c r="C28" s="11"/>
      <c r="D28" s="11"/>
      <c r="E28" s="11"/>
      <c r="F28" s="25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">
      <c r="A29" s="10">
        <v>22</v>
      </c>
      <c r="B29" s="11"/>
      <c r="C29" s="11"/>
      <c r="D29" s="11"/>
      <c r="E29" s="11"/>
      <c r="F29" s="25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">
      <c r="A39" s="10"/>
      <c r="B39" s="11">
        <f>SUM(B8:B38)</f>
        <v>35915</v>
      </c>
      <c r="C39" s="11">
        <f>SUM(C8:C38)</f>
        <v>31961</v>
      </c>
      <c r="D39" s="11">
        <f>SUM(D8:D38)</f>
        <v>-1514</v>
      </c>
      <c r="E39" s="11">
        <f>SUM(E8:E38)</f>
        <v>0</v>
      </c>
      <c r="F39" s="11">
        <f>SUM(F8:F38)</f>
        <v>-2440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">
      <c r="A40" s="26"/>
      <c r="C40" s="14"/>
      <c r="D40" s="14"/>
      <c r="E40" s="14"/>
      <c r="F40" s="106">
        <f>+summary!P11</f>
        <v>2.65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">
      <c r="F41" s="138">
        <f>+F40*F39</f>
        <v>-6466</v>
      </c>
      <c r="J41" s="138"/>
      <c r="N41" s="138"/>
      <c r="R41" s="138"/>
      <c r="V41" s="138"/>
      <c r="Z41" s="138"/>
    </row>
    <row r="42" spans="1:26" x14ac:dyDescent="0.2">
      <c r="A42" s="57">
        <v>37072</v>
      </c>
      <c r="C42" s="15"/>
      <c r="D42" s="15"/>
      <c r="E42" s="15"/>
      <c r="F42" s="412">
        <v>545087.14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">
      <c r="A43" s="57">
        <v>37075</v>
      </c>
      <c r="C43" s="48"/>
      <c r="D43" s="48"/>
      <c r="E43" s="48"/>
      <c r="F43" s="110">
        <f>+F42+F41</f>
        <v>538621.14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3"/>
  <sheetViews>
    <sheetView tabSelected="1" topLeftCell="A38" workbookViewId="0">
      <selection activeCell="B15" sqref="B15"/>
    </sheetView>
    <sheetView topLeftCell="A7" workbookViewId="1">
      <selection activeCell="B16" sqref="B16"/>
    </sheetView>
    <sheetView topLeftCell="A14" workbookViewId="2">
      <selection activeCell="D45" sqref="D45"/>
    </sheetView>
    <sheetView tabSelected="1" topLeftCell="A6" workbookViewId="3">
      <selection activeCell="D46" sqref="D46"/>
    </sheetView>
  </sheetViews>
  <sheetFormatPr defaultRowHeight="12.75" x14ac:dyDescent="0.2"/>
  <cols>
    <col min="1" max="1" width="22.5703125" style="297" customWidth="1"/>
    <col min="2" max="2" width="11.85546875" style="253" customWidth="1"/>
    <col min="3" max="3" width="11.28515625" style="298" customWidth="1"/>
    <col min="4" max="4" width="10.7109375" bestFit="1" customWidth="1"/>
    <col min="5" max="5" width="12" bestFit="1" customWidth="1"/>
    <col min="6" max="6" width="15.140625" customWidth="1"/>
  </cols>
  <sheetData>
    <row r="2" spans="1:20" ht="15.75" x14ac:dyDescent="0.25">
      <c r="A2" s="53" t="s">
        <v>96</v>
      </c>
    </row>
    <row r="3" spans="1:20" ht="15.75" x14ac:dyDescent="0.25">
      <c r="A3" s="53" t="s">
        <v>91</v>
      </c>
    </row>
    <row r="4" spans="1:20" ht="15" customHeight="1" x14ac:dyDescent="0.25">
      <c r="A4" s="53" t="s">
        <v>93</v>
      </c>
    </row>
    <row r="5" spans="1:20" ht="15" customHeight="1" x14ac:dyDescent="0.25">
      <c r="A5" s="53" t="s">
        <v>92</v>
      </c>
    </row>
    <row r="6" spans="1:20" ht="20.100000000000001" customHeight="1" x14ac:dyDescent="0.25">
      <c r="A6" s="392" t="s">
        <v>155</v>
      </c>
    </row>
    <row r="7" spans="1:20" ht="18" customHeight="1" x14ac:dyDescent="0.2"/>
    <row r="8" spans="1:20" ht="18" customHeight="1" x14ac:dyDescent="0.2">
      <c r="A8" s="34" t="s">
        <v>5</v>
      </c>
    </row>
    <row r="9" spans="1:20" ht="18" customHeight="1" x14ac:dyDescent="0.2">
      <c r="A9" s="34" t="s">
        <v>6</v>
      </c>
      <c r="B9" s="268"/>
      <c r="O9" s="305" t="s">
        <v>82</v>
      </c>
      <c r="P9" s="306"/>
    </row>
    <row r="10" spans="1:20" ht="18" customHeight="1" x14ac:dyDescent="0.2">
      <c r="O10" s="307" t="s">
        <v>31</v>
      </c>
      <c r="P10" s="309">
        <f>+'[1]0701'!$K$39</f>
        <v>2.29</v>
      </c>
    </row>
    <row r="11" spans="1:20" ht="18" customHeight="1" x14ac:dyDescent="0.2">
      <c r="A11" s="393" t="s">
        <v>98</v>
      </c>
      <c r="B11" s="394" t="s">
        <v>18</v>
      </c>
      <c r="C11" s="395" t="s">
        <v>0</v>
      </c>
      <c r="D11" s="396" t="s">
        <v>85</v>
      </c>
      <c r="E11" s="393" t="s">
        <v>99</v>
      </c>
      <c r="F11" s="397" t="s">
        <v>111</v>
      </c>
      <c r="G11" s="301" t="s">
        <v>107</v>
      </c>
      <c r="O11" s="308" t="s">
        <v>32</v>
      </c>
      <c r="P11" s="310">
        <f>+'[1]0701'!$M$39</f>
        <v>2.65</v>
      </c>
    </row>
    <row r="12" spans="1:20" ht="18" customHeight="1" x14ac:dyDescent="0.2">
      <c r="A12" s="356" t="s">
        <v>95</v>
      </c>
      <c r="B12" s="374">
        <f>+NNG!$D$24</f>
        <v>1017832.9</v>
      </c>
      <c r="C12" s="386">
        <f>+B12/$P$11</f>
        <v>384087.88679245283</v>
      </c>
      <c r="D12" s="317">
        <f>+NNG!A24</f>
        <v>37075</v>
      </c>
      <c r="E12" s="314" t="s">
        <v>90</v>
      </c>
      <c r="F12" s="314" t="s">
        <v>110</v>
      </c>
      <c r="H12" s="64"/>
      <c r="O12" t="s">
        <v>127</v>
      </c>
      <c r="P12" s="269">
        <f>+'[1]0701'!$H$39</f>
        <v>2.83</v>
      </c>
    </row>
    <row r="13" spans="1:20" ht="15.95" customHeight="1" x14ac:dyDescent="0.2">
      <c r="A13" s="355" t="s">
        <v>145</v>
      </c>
      <c r="B13" s="374">
        <f>+SidR!D41</f>
        <v>880970.15</v>
      </c>
      <c r="C13" s="386">
        <f>+B13/$P$11</f>
        <v>332441.56603773584</v>
      </c>
      <c r="D13" s="65">
        <f>+SidR!A41</f>
        <v>37075</v>
      </c>
      <c r="E13" t="s">
        <v>90</v>
      </c>
      <c r="F13" t="s">
        <v>112</v>
      </c>
      <c r="G13" t="s">
        <v>171</v>
      </c>
    </row>
    <row r="14" spans="1:20" ht="15.95" customHeight="1" x14ac:dyDescent="0.2">
      <c r="A14" s="355" t="s">
        <v>25</v>
      </c>
      <c r="B14" s="368">
        <f>+'Red C'!$F$43</f>
        <v>676795.97</v>
      </c>
      <c r="C14" s="369">
        <f>+B14/$P$10</f>
        <v>295544.09170305677</v>
      </c>
      <c r="D14" s="317">
        <f>+'Red C'!B43</f>
        <v>37076</v>
      </c>
      <c r="E14" t="s">
        <v>90</v>
      </c>
      <c r="F14" t="s">
        <v>125</v>
      </c>
    </row>
    <row r="15" spans="1:20" ht="15.95" customHeight="1" x14ac:dyDescent="0.2">
      <c r="A15" s="355" t="s">
        <v>87</v>
      </c>
      <c r="B15" s="374">
        <f>+PNM!$D$23</f>
        <v>669801.77</v>
      </c>
      <c r="C15" s="386">
        <f>+B15/$P$11</f>
        <v>252755.38490566038</v>
      </c>
      <c r="D15" s="65">
        <f>+PNM!A23</f>
        <v>37075</v>
      </c>
      <c r="E15" t="s">
        <v>90</v>
      </c>
      <c r="F15" t="s">
        <v>108</v>
      </c>
      <c r="G15" t="s">
        <v>172</v>
      </c>
    </row>
    <row r="16" spans="1:20" ht="15.95" customHeight="1" x14ac:dyDescent="0.2">
      <c r="A16" s="356" t="s">
        <v>30</v>
      </c>
      <c r="B16" s="374">
        <f>+C16*$P$10</f>
        <v>669138</v>
      </c>
      <c r="C16" s="386">
        <f>+williams!J40</f>
        <v>292200</v>
      </c>
      <c r="D16" s="317">
        <f>+williams!A40</f>
        <v>37075</v>
      </c>
      <c r="E16" s="314" t="s">
        <v>89</v>
      </c>
      <c r="F16" s="314" t="s">
        <v>125</v>
      </c>
      <c r="G16" t="s">
        <v>167</v>
      </c>
      <c r="T16" s="269"/>
    </row>
    <row r="17" spans="1:20" ht="15.95" customHeight="1" x14ac:dyDescent="0.2">
      <c r="A17" s="355" t="s">
        <v>117</v>
      </c>
      <c r="B17" s="374">
        <f>+KN_Westar!F41</f>
        <v>544472.21</v>
      </c>
      <c r="C17" s="386">
        <f>+B17/$P$11</f>
        <v>205461.21132075472</v>
      </c>
      <c r="D17" s="65">
        <f>+KN_Westar!A41</f>
        <v>37075</v>
      </c>
      <c r="E17" t="s">
        <v>90</v>
      </c>
      <c r="F17" t="s">
        <v>110</v>
      </c>
      <c r="T17" s="269"/>
    </row>
    <row r="18" spans="1:20" ht="15.95" customHeight="1" x14ac:dyDescent="0.2">
      <c r="A18" s="355" t="s">
        <v>3</v>
      </c>
      <c r="B18" s="374">
        <f>+'Amoco Abo'!$F$43</f>
        <v>538621.14</v>
      </c>
      <c r="C18" s="386">
        <f>+B18/$P$11</f>
        <v>203253.2603773585</v>
      </c>
      <c r="D18" s="65">
        <f>+'Amoco Abo'!A43</f>
        <v>37075</v>
      </c>
      <c r="E18" t="s">
        <v>90</v>
      </c>
      <c r="F18" t="s">
        <v>109</v>
      </c>
    </row>
    <row r="19" spans="1:20" ht="15.95" customHeight="1" x14ac:dyDescent="0.2">
      <c r="A19" s="355" t="s">
        <v>84</v>
      </c>
      <c r="B19" s="374">
        <f>+Conoco!$F$41</f>
        <v>519673.48</v>
      </c>
      <c r="C19" s="386">
        <f>+B19/$P$10</f>
        <v>226931.65065502183</v>
      </c>
      <c r="D19" s="317">
        <f>+Conoco!A41</f>
        <v>37076</v>
      </c>
      <c r="E19" t="s">
        <v>90</v>
      </c>
      <c r="F19" t="s">
        <v>109</v>
      </c>
      <c r="G19" t="s">
        <v>168</v>
      </c>
    </row>
    <row r="20" spans="1:20" ht="15.95" customHeight="1" x14ac:dyDescent="0.2">
      <c r="A20" s="355" t="s">
        <v>35</v>
      </c>
      <c r="B20" s="374">
        <f>+'El Paso'!E38*summary!P10+'El Paso'!C38*summary!P11</f>
        <v>517014.06999999995</v>
      </c>
      <c r="C20" s="386">
        <f>+'El Paso'!H38</f>
        <v>162513</v>
      </c>
      <c r="D20" s="65">
        <f>+'El Paso'!A38</f>
        <v>37076</v>
      </c>
      <c r="E20" t="s">
        <v>89</v>
      </c>
      <c r="F20" t="s">
        <v>110</v>
      </c>
      <c r="G20" t="s">
        <v>129</v>
      </c>
    </row>
    <row r="21" spans="1:20" ht="15.95" customHeight="1" x14ac:dyDescent="0.2">
      <c r="A21" s="355" t="s">
        <v>97</v>
      </c>
      <c r="B21" s="374">
        <f>+C21*$P$11</f>
        <v>471257.45</v>
      </c>
      <c r="C21" s="386">
        <f>+NGPL!F38</f>
        <v>177833</v>
      </c>
      <c r="D21" s="65">
        <f>+NGPL!A38</f>
        <v>37076</v>
      </c>
      <c r="E21" t="s">
        <v>89</v>
      </c>
      <c r="F21" t="s">
        <v>125</v>
      </c>
      <c r="G21" t="s">
        <v>173</v>
      </c>
    </row>
    <row r="22" spans="1:20" ht="15.95" customHeight="1" x14ac:dyDescent="0.2">
      <c r="A22" s="355" t="s">
        <v>2</v>
      </c>
      <c r="B22" s="374">
        <f>+mewborne!$J$43</f>
        <v>351713.35</v>
      </c>
      <c r="C22" s="386">
        <f>+B22/$P$11</f>
        <v>132722.01886792452</v>
      </c>
      <c r="D22" s="65">
        <f>+mewborne!A43</f>
        <v>37075</v>
      </c>
      <c r="E22" t="s">
        <v>90</v>
      </c>
      <c r="F22" t="s">
        <v>109</v>
      </c>
    </row>
    <row r="23" spans="1:20" ht="15.95" customHeight="1" x14ac:dyDescent="0.2">
      <c r="A23" s="356" t="s">
        <v>34</v>
      </c>
      <c r="B23" s="374">
        <f>+C23*$P$11</f>
        <v>332545.84999999998</v>
      </c>
      <c r="C23" s="400">
        <f>+SoCal!F40</f>
        <v>125489</v>
      </c>
      <c r="D23" s="421">
        <f>+SoCal!A40</f>
        <v>37076</v>
      </c>
      <c r="E23" s="314" t="s">
        <v>89</v>
      </c>
      <c r="F23" s="314" t="s">
        <v>108</v>
      </c>
    </row>
    <row r="24" spans="1:20" ht="15.95" customHeight="1" x14ac:dyDescent="0.2">
      <c r="A24" s="355" t="s">
        <v>120</v>
      </c>
      <c r="B24" s="374">
        <f>+CIG!D43</f>
        <v>326755</v>
      </c>
      <c r="C24" s="386">
        <f>+B24/$P$11</f>
        <v>123303.77358490566</v>
      </c>
      <c r="D24" s="65">
        <f>+CIG!A43</f>
        <v>37075</v>
      </c>
      <c r="E24" t="s">
        <v>90</v>
      </c>
      <c r="F24" t="s">
        <v>123</v>
      </c>
      <c r="G24" t="s">
        <v>139</v>
      </c>
    </row>
    <row r="25" spans="1:20" ht="15.95" customHeight="1" x14ac:dyDescent="0.2">
      <c r="A25" s="355" t="s">
        <v>113</v>
      </c>
      <c r="B25" s="374">
        <f>+EOG!J41</f>
        <v>317459.59999999998</v>
      </c>
      <c r="C25" s="386">
        <f>+B25/$P$11</f>
        <v>119796.0754716981</v>
      </c>
      <c r="D25" s="317">
        <f>+EOG!A41</f>
        <v>37075</v>
      </c>
      <c r="E25" t="s">
        <v>90</v>
      </c>
      <c r="F25" t="s">
        <v>112</v>
      </c>
    </row>
    <row r="26" spans="1:20" ht="15.95" customHeight="1" x14ac:dyDescent="0.2">
      <c r="A26" s="355" t="s">
        <v>141</v>
      </c>
      <c r="B26" s="374">
        <f>+PGETX!$H$39</f>
        <v>294933.09999999998</v>
      </c>
      <c r="C26" s="386">
        <f>+B26/$P$11</f>
        <v>111295.50943396226</v>
      </c>
      <c r="D26" s="65">
        <f>+PGETX!E39</f>
        <v>37076</v>
      </c>
      <c r="E26" t="s">
        <v>90</v>
      </c>
      <c r="F26" t="s">
        <v>112</v>
      </c>
    </row>
    <row r="27" spans="1:20" ht="15.95" customHeight="1" x14ac:dyDescent="0.2">
      <c r="A27" s="355" t="s">
        <v>33</v>
      </c>
      <c r="B27" s="374">
        <f>+C27*$P$11</f>
        <v>196380.9</v>
      </c>
      <c r="C27" s="386">
        <f>+Lonestar!F42</f>
        <v>74106</v>
      </c>
      <c r="D27" s="317">
        <f>+Lonestar!B42</f>
        <v>37076</v>
      </c>
      <c r="E27" t="s">
        <v>89</v>
      </c>
      <c r="F27" t="s">
        <v>112</v>
      </c>
    </row>
    <row r="28" spans="1:20" ht="15.95" customHeight="1" x14ac:dyDescent="0.2">
      <c r="A28" s="355" t="s">
        <v>7</v>
      </c>
      <c r="B28" s="374">
        <f>+C28*$P$10</f>
        <v>140067.85</v>
      </c>
      <c r="C28" s="386">
        <f>+Amoco!D40</f>
        <v>61165</v>
      </c>
      <c r="D28" s="65">
        <f>+Amoco!A40</f>
        <v>37076</v>
      </c>
      <c r="E28" t="s">
        <v>89</v>
      </c>
      <c r="F28" t="s">
        <v>125</v>
      </c>
    </row>
    <row r="29" spans="1:20" ht="15.95" customHeight="1" x14ac:dyDescent="0.2">
      <c r="A29" s="355" t="s">
        <v>159</v>
      </c>
      <c r="B29" s="368">
        <f>+C29*$P$11</f>
        <v>90304.05</v>
      </c>
      <c r="C29" s="369">
        <f>+PEPL!D41</f>
        <v>34077</v>
      </c>
      <c r="D29" s="65">
        <f>+PEPL!A41</f>
        <v>37076</v>
      </c>
      <c r="E29" t="s">
        <v>89</v>
      </c>
      <c r="F29" t="s">
        <v>112</v>
      </c>
      <c r="G29" t="s">
        <v>158</v>
      </c>
    </row>
    <row r="30" spans="1:20" ht="15.95" customHeight="1" x14ac:dyDescent="0.2">
      <c r="A30" s="355" t="s">
        <v>138</v>
      </c>
      <c r="B30" s="374">
        <f>+DEFS!F54</f>
        <v>79086.299999999814</v>
      </c>
      <c r="C30" s="400">
        <f>+B30/$P$11</f>
        <v>29843.886792452762</v>
      </c>
      <c r="D30" s="65">
        <f>+DEFS!A40</f>
        <v>37075</v>
      </c>
      <c r="E30" t="s">
        <v>90</v>
      </c>
      <c r="F30" t="s">
        <v>110</v>
      </c>
      <c r="G30" t="s">
        <v>128</v>
      </c>
    </row>
    <row r="31" spans="1:20" ht="15.95" customHeight="1" x14ac:dyDescent="0.2">
      <c r="A31" s="355" t="s">
        <v>8</v>
      </c>
      <c r="B31" s="374">
        <f>+C31*$P$11</f>
        <v>46481</v>
      </c>
      <c r="C31" s="400">
        <f>+Oasis!D40</f>
        <v>17540</v>
      </c>
      <c r="D31" s="65">
        <f>+Oasis!B40</f>
        <v>37076</v>
      </c>
      <c r="E31" t="s">
        <v>89</v>
      </c>
      <c r="F31" t="s">
        <v>112</v>
      </c>
    </row>
    <row r="32" spans="1:20" ht="15.95" customHeight="1" x14ac:dyDescent="0.2">
      <c r="A32" s="355" t="s">
        <v>75</v>
      </c>
      <c r="B32" s="368">
        <f>+transcol!$D$43</f>
        <v>45712.15</v>
      </c>
      <c r="C32" s="369">
        <f>+B32/$P$11</f>
        <v>17249.867924528302</v>
      </c>
      <c r="D32" s="65">
        <f>+transcol!A43</f>
        <v>37076</v>
      </c>
      <c r="E32" t="s">
        <v>90</v>
      </c>
      <c r="F32" t="s">
        <v>125</v>
      </c>
    </row>
    <row r="33" spans="1:15" ht="15.95" customHeight="1" x14ac:dyDescent="0.2">
      <c r="A33" s="355" t="s">
        <v>103</v>
      </c>
      <c r="B33" s="374">
        <f>+C33*$P$11</f>
        <v>38459.449999999997</v>
      </c>
      <c r="C33" s="386">
        <f>+Mojave!D40</f>
        <v>14513</v>
      </c>
      <c r="D33" s="65">
        <f>+Mojave!A40</f>
        <v>37075</v>
      </c>
      <c r="E33" t="s">
        <v>89</v>
      </c>
      <c r="F33" t="s">
        <v>110</v>
      </c>
    </row>
    <row r="34" spans="1:15" ht="15.95" customHeight="1" x14ac:dyDescent="0.2">
      <c r="A34" s="356" t="s">
        <v>83</v>
      </c>
      <c r="B34" s="374">
        <f>+Agave!$D$24</f>
        <v>15611.949999999997</v>
      </c>
      <c r="C34" s="400">
        <f>+B34/$P$11</f>
        <v>5891.301886792452</v>
      </c>
      <c r="D34" s="317">
        <f>+Agave!A24</f>
        <v>37075</v>
      </c>
      <c r="E34" s="314" t="s">
        <v>90</v>
      </c>
      <c r="F34" s="314" t="s">
        <v>112</v>
      </c>
    </row>
    <row r="35" spans="1:15" ht="15.95" customHeight="1" x14ac:dyDescent="0.2">
      <c r="A35" s="355" t="s">
        <v>1</v>
      </c>
      <c r="B35" s="374">
        <f>+C35*$P$10</f>
        <v>8972.2199999999993</v>
      </c>
      <c r="C35" s="400">
        <f>+NW!$F$41</f>
        <v>3918</v>
      </c>
      <c r="D35" s="317">
        <f>+NW!B41</f>
        <v>37076</v>
      </c>
      <c r="E35" t="s">
        <v>89</v>
      </c>
      <c r="F35" t="s">
        <v>109</v>
      </c>
    </row>
    <row r="36" spans="1:15" ht="15.95" customHeight="1" x14ac:dyDescent="0.2">
      <c r="A36" s="356" t="s">
        <v>104</v>
      </c>
      <c r="B36" s="387">
        <f>+burlington!D42</f>
        <v>8792.86</v>
      </c>
      <c r="C36" s="428">
        <f>+B36/$P$10</f>
        <v>3839.6768558951967</v>
      </c>
      <c r="D36" s="317">
        <f>+burlington!A42</f>
        <v>37076</v>
      </c>
      <c r="E36" s="314" t="s">
        <v>90</v>
      </c>
      <c r="F36" t="s">
        <v>109</v>
      </c>
    </row>
    <row r="37" spans="1:15" ht="18" customHeight="1" x14ac:dyDescent="0.2">
      <c r="A37" s="297" t="s">
        <v>105</v>
      </c>
      <c r="B37" s="388">
        <f>SUM(B12:B36)</f>
        <v>8798852.7699999996</v>
      </c>
      <c r="C37" s="389">
        <f>SUM(C12:C36)</f>
        <v>3407771.1626101993</v>
      </c>
    </row>
    <row r="38" spans="1:15" ht="18" customHeight="1" x14ac:dyDescent="0.2">
      <c r="F38" s="364"/>
      <c r="O38">
        <v>50</v>
      </c>
    </row>
    <row r="39" spans="1:15" ht="18" customHeight="1" x14ac:dyDescent="0.2">
      <c r="O39">
        <v>79</v>
      </c>
    </row>
    <row r="40" spans="1:15" ht="18" customHeight="1" x14ac:dyDescent="0.2">
      <c r="A40" s="301" t="s">
        <v>98</v>
      </c>
      <c r="B40" s="302" t="s">
        <v>18</v>
      </c>
      <c r="C40" s="303" t="s">
        <v>0</v>
      </c>
      <c r="D40" s="304" t="s">
        <v>85</v>
      </c>
      <c r="E40" s="301" t="s">
        <v>99</v>
      </c>
      <c r="F40" s="334" t="s">
        <v>111</v>
      </c>
      <c r="G40" s="301" t="s">
        <v>107</v>
      </c>
      <c r="O40">
        <f>+O39*O38</f>
        <v>3950</v>
      </c>
    </row>
    <row r="41" spans="1:15" ht="18" customHeight="1" x14ac:dyDescent="0.2">
      <c r="A41" s="356" t="s">
        <v>149</v>
      </c>
      <c r="B41" s="374">
        <f>+Citizens!D18</f>
        <v>-886028.59</v>
      </c>
      <c r="C41" s="400">
        <f>+B41/$P$11</f>
        <v>-334350.41132075473</v>
      </c>
      <c r="D41" s="317">
        <f>+Citizens!A18</f>
        <v>37072</v>
      </c>
      <c r="E41" s="314" t="s">
        <v>90</v>
      </c>
      <c r="F41" s="314" t="s">
        <v>108</v>
      </c>
      <c r="G41" s="301"/>
    </row>
    <row r="42" spans="1:15" ht="18" customHeight="1" x14ac:dyDescent="0.2">
      <c r="A42" s="355" t="s">
        <v>147</v>
      </c>
      <c r="B42" s="374">
        <f>+'NS Steel'!D41</f>
        <v>-361997.1</v>
      </c>
      <c r="C42" s="400">
        <f>+B42/$P$10</f>
        <v>-158077.33624454148</v>
      </c>
      <c r="D42" s="65">
        <f>+'NS Steel'!A41</f>
        <v>37075</v>
      </c>
      <c r="E42" t="s">
        <v>90</v>
      </c>
      <c r="F42" t="s">
        <v>110</v>
      </c>
      <c r="G42" s="301"/>
    </row>
    <row r="43" spans="1:15" ht="18" customHeight="1" x14ac:dyDescent="0.2">
      <c r="A43" s="355" t="s">
        <v>154</v>
      </c>
      <c r="B43" s="374">
        <f>+'Citizens-Griffith'!D41</f>
        <v>-215290</v>
      </c>
      <c r="C43" s="386">
        <f>+B43/$P$11</f>
        <v>-81241.509433962274</v>
      </c>
      <c r="D43" s="317">
        <f>+'Citizens-Griffith'!A41</f>
        <v>37076</v>
      </c>
      <c r="E43" t="s">
        <v>90</v>
      </c>
      <c r="F43" t="s">
        <v>109</v>
      </c>
    </row>
    <row r="44" spans="1:15" ht="18" customHeight="1" x14ac:dyDescent="0.2">
      <c r="A44" s="356" t="s">
        <v>140</v>
      </c>
      <c r="B44" s="374">
        <f>+Calpine!D41</f>
        <v>-201612.7</v>
      </c>
      <c r="C44" s="400">
        <f>+B44/$P$11</f>
        <v>-76080.264150943403</v>
      </c>
      <c r="D44" s="317">
        <f>+Calpine!A41</f>
        <v>37076</v>
      </c>
      <c r="E44" s="314" t="s">
        <v>90</v>
      </c>
      <c r="F44" s="314" t="s">
        <v>109</v>
      </c>
      <c r="G44" s="301"/>
    </row>
    <row r="45" spans="1:15" ht="18" customHeight="1" x14ac:dyDescent="0.2">
      <c r="A45" s="355" t="s">
        <v>143</v>
      </c>
      <c r="B45" s="374">
        <f>+EPFS!D41</f>
        <v>-99106.2</v>
      </c>
      <c r="C45" s="400">
        <f>+B45/$P$12</f>
        <v>-35019.858657243814</v>
      </c>
      <c r="D45" s="317">
        <f>+EPFS!A41</f>
        <v>37076</v>
      </c>
      <c r="E45" t="s">
        <v>90</v>
      </c>
      <c r="F45" t="s">
        <v>110</v>
      </c>
    </row>
    <row r="46" spans="1:15" ht="18" customHeight="1" x14ac:dyDescent="0.2">
      <c r="A46" s="355" t="s">
        <v>124</v>
      </c>
      <c r="B46" s="374">
        <f>+C46*$P$11</f>
        <v>-38430.299999999996</v>
      </c>
      <c r="C46" s="400">
        <f>+'PG&amp;E'!D40</f>
        <v>-14502</v>
      </c>
      <c r="D46" s="65">
        <f>+'PG&amp;E'!A40</f>
        <v>37076</v>
      </c>
      <c r="E46" t="s">
        <v>89</v>
      </c>
      <c r="F46" t="s">
        <v>112</v>
      </c>
    </row>
    <row r="47" spans="1:15" ht="18" customHeight="1" x14ac:dyDescent="0.2">
      <c r="A47" s="355" t="s">
        <v>119</v>
      </c>
      <c r="B47" s="387">
        <f>+Continental!F43</f>
        <v>-19408.25</v>
      </c>
      <c r="C47" s="401">
        <f>+B47/$P$11</f>
        <v>-7323.867924528302</v>
      </c>
      <c r="D47" s="65">
        <f>+Continental!A43</f>
        <v>37075</v>
      </c>
      <c r="E47" t="s">
        <v>90</v>
      </c>
      <c r="F47" t="s">
        <v>125</v>
      </c>
    </row>
    <row r="48" spans="1:15" ht="18" customHeight="1" x14ac:dyDescent="0.2">
      <c r="A48" s="297" t="s">
        <v>106</v>
      </c>
      <c r="B48" s="374">
        <f>SUM(B41:B47)</f>
        <v>-1821873.14</v>
      </c>
      <c r="C48" s="400">
        <f>SUM(C41:C47)</f>
        <v>-706595.247731974</v>
      </c>
      <c r="D48" s="314"/>
    </row>
    <row r="49" spans="1:5" ht="18" customHeight="1" x14ac:dyDescent="0.2">
      <c r="B49" s="398"/>
      <c r="C49" s="399"/>
    </row>
    <row r="50" spans="1:5" ht="18" customHeight="1" thickBot="1" x14ac:dyDescent="0.25">
      <c r="A50" s="34" t="s">
        <v>100</v>
      </c>
      <c r="B50" s="390">
        <f>+B48+B37</f>
        <v>6976979.6299999999</v>
      </c>
      <c r="C50" s="391">
        <f>+C48+C37</f>
        <v>2701175.9148782254</v>
      </c>
    </row>
    <row r="51" spans="1:5" ht="18" customHeight="1" thickTop="1" x14ac:dyDescent="0.2"/>
    <row r="52" spans="1:5" x14ac:dyDescent="0.2">
      <c r="A52" s="34" t="s">
        <v>101</v>
      </c>
      <c r="C52" s="342"/>
    </row>
    <row r="58" spans="1:5" x14ac:dyDescent="0.2">
      <c r="C58" s="259"/>
      <c r="E58" s="340"/>
    </row>
    <row r="65" spans="2:5" x14ac:dyDescent="0.2">
      <c r="B65" s="311"/>
      <c r="C65" s="332"/>
    </row>
    <row r="66" spans="2:5" x14ac:dyDescent="0.2">
      <c r="B66" s="259"/>
    </row>
    <row r="67" spans="2:5" x14ac:dyDescent="0.2">
      <c r="B67" s="259"/>
    </row>
    <row r="68" spans="2:5" x14ac:dyDescent="0.2">
      <c r="B68" s="259"/>
    </row>
    <row r="69" spans="2:5" x14ac:dyDescent="0.2">
      <c r="B69" s="259"/>
      <c r="D69" s="64"/>
    </row>
    <row r="70" spans="2:5" x14ac:dyDescent="0.2">
      <c r="B70" s="259"/>
      <c r="C70" s="342"/>
    </row>
    <row r="71" spans="2:5" x14ac:dyDescent="0.2">
      <c r="B71" s="259"/>
      <c r="C71" s="342"/>
      <c r="D71" s="338"/>
      <c r="E71" s="343"/>
    </row>
    <row r="72" spans="2:5" x14ac:dyDescent="0.2">
      <c r="B72" s="259"/>
      <c r="C72" s="342"/>
      <c r="D72" s="269"/>
    </row>
    <row r="73" spans="2:5" x14ac:dyDescent="0.2">
      <c r="B73" s="259"/>
      <c r="C73" s="342"/>
      <c r="D73" s="269"/>
    </row>
    <row r="74" spans="2:5" x14ac:dyDescent="0.2">
      <c r="B74" s="259"/>
      <c r="C74" s="342"/>
      <c r="D74" s="31"/>
    </row>
    <row r="75" spans="2:5" x14ac:dyDescent="0.2">
      <c r="B75" s="259"/>
      <c r="C75" s="342"/>
      <c r="D75" s="344"/>
    </row>
    <row r="76" spans="2:5" x14ac:dyDescent="0.2">
      <c r="B76" s="339"/>
    </row>
    <row r="77" spans="2:5" x14ac:dyDescent="0.2">
      <c r="B77" s="339"/>
      <c r="D77" s="64"/>
    </row>
    <row r="78" spans="2:5" x14ac:dyDescent="0.2">
      <c r="B78" s="338"/>
      <c r="C78" s="259"/>
    </row>
    <row r="79" spans="2:5" x14ac:dyDescent="0.2">
      <c r="B79" s="338"/>
      <c r="C79" s="259"/>
    </row>
    <row r="80" spans="2:5" x14ac:dyDescent="0.2">
      <c r="B80" s="339"/>
      <c r="C80" s="259"/>
      <c r="D80" s="64"/>
    </row>
    <row r="81" spans="2:4" x14ac:dyDescent="0.2">
      <c r="B81" s="339"/>
      <c r="D81" s="64"/>
    </row>
    <row r="82" spans="2:4" x14ac:dyDescent="0.2">
      <c r="B82" s="339"/>
    </row>
    <row r="83" spans="2:4" x14ac:dyDescent="0.2">
      <c r="B83" s="311"/>
      <c r="C83" s="318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C10" sqref="C10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95</v>
      </c>
      <c r="B4" s="69"/>
      <c r="C4" s="293"/>
      <c r="D4" s="69"/>
    </row>
    <row r="5" spans="1:8" x14ac:dyDescent="0.2">
      <c r="B5" s="294" t="s">
        <v>21</v>
      </c>
      <c r="C5" s="294" t="s">
        <v>22</v>
      </c>
      <c r="D5" s="295" t="s">
        <v>52</v>
      </c>
    </row>
    <row r="6" spans="1:8" x14ac:dyDescent="0.2">
      <c r="A6" s="32">
        <v>1635</v>
      </c>
      <c r="B6" s="372"/>
      <c r="C6" s="80"/>
      <c r="D6" s="80">
        <f t="shared" ref="D6:D14" si="0">+C6-B6</f>
        <v>0</v>
      </c>
    </row>
    <row r="7" spans="1:8" x14ac:dyDescent="0.2">
      <c r="A7" s="32">
        <v>3531</v>
      </c>
      <c r="B7" s="337"/>
      <c r="C7" s="80"/>
      <c r="D7" s="80">
        <f t="shared" si="0"/>
        <v>0</v>
      </c>
    </row>
    <row r="8" spans="1:8" x14ac:dyDescent="0.2">
      <c r="A8" s="32">
        <v>60667</v>
      </c>
      <c r="B8" s="337">
        <v>-92986</v>
      </c>
      <c r="C8" s="80"/>
      <c r="D8" s="80">
        <f t="shared" si="0"/>
        <v>92986</v>
      </c>
      <c r="H8" s="255"/>
    </row>
    <row r="9" spans="1:8" x14ac:dyDescent="0.2">
      <c r="A9" s="32">
        <v>60749</v>
      </c>
      <c r="B9" s="337">
        <v>129853</v>
      </c>
      <c r="C9" s="80">
        <v>42093</v>
      </c>
      <c r="D9" s="80">
        <f t="shared" si="0"/>
        <v>-87760</v>
      </c>
      <c r="H9" s="255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5"/>
    </row>
    <row r="11" spans="1:8" x14ac:dyDescent="0.2">
      <c r="A11" s="32">
        <v>61334</v>
      </c>
      <c r="B11" s="337"/>
      <c r="C11" s="80"/>
      <c r="D11" s="80">
        <f t="shared" si="0"/>
        <v>0</v>
      </c>
      <c r="H11" s="255"/>
    </row>
    <row r="12" spans="1:8" x14ac:dyDescent="0.2">
      <c r="A12" s="32">
        <v>62960</v>
      </c>
      <c r="B12" s="337"/>
      <c r="C12" s="80"/>
      <c r="D12" s="80">
        <f t="shared" si="0"/>
        <v>0</v>
      </c>
      <c r="H12" s="255"/>
    </row>
    <row r="13" spans="1:8" x14ac:dyDescent="0.2">
      <c r="A13" s="296"/>
      <c r="B13" s="80"/>
      <c r="C13" s="80"/>
      <c r="D13" s="80">
        <f t="shared" si="0"/>
        <v>0</v>
      </c>
      <c r="H13" s="255"/>
    </row>
    <row r="14" spans="1:8" x14ac:dyDescent="0.2">
      <c r="B14" s="80"/>
      <c r="C14" s="80"/>
      <c r="D14" s="80">
        <f t="shared" si="0"/>
        <v>0</v>
      </c>
      <c r="H14" s="255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5226</v>
      </c>
    </row>
    <row r="19" spans="1:5" x14ac:dyDescent="0.2">
      <c r="A19" s="32" t="s">
        <v>86</v>
      </c>
      <c r="B19" s="69"/>
      <c r="C19" s="69"/>
      <c r="D19" s="73">
        <f>+summary!P11</f>
        <v>2.65</v>
      </c>
    </row>
    <row r="20" spans="1:5" x14ac:dyDescent="0.2">
      <c r="B20" s="69"/>
      <c r="C20" s="69"/>
      <c r="D20" s="75">
        <f>+D19*D18</f>
        <v>13848.9</v>
      </c>
    </row>
    <row r="21" spans="1:5" x14ac:dyDescent="0.2">
      <c r="B21" s="69"/>
      <c r="C21" s="80"/>
      <c r="D21" s="300"/>
      <c r="E21" s="255"/>
    </row>
    <row r="22" spans="1:5" x14ac:dyDescent="0.2">
      <c r="A22" s="49">
        <v>36707</v>
      </c>
      <c r="B22" s="69"/>
      <c r="C22" s="80"/>
      <c r="D22" s="410">
        <v>1003984</v>
      </c>
      <c r="E22" s="255"/>
    </row>
    <row r="23" spans="1:5" x14ac:dyDescent="0.2">
      <c r="B23" s="69"/>
      <c r="C23" s="80"/>
      <c r="D23" s="300"/>
      <c r="E23" s="255"/>
    </row>
    <row r="24" spans="1:5" ht="12" thickBot="1" x14ac:dyDescent="0.25">
      <c r="A24" s="49">
        <v>37075</v>
      </c>
      <c r="B24" s="69"/>
      <c r="C24" s="69"/>
      <c r="D24" s="381">
        <f>+D22+D20</f>
        <v>1017832.9</v>
      </c>
      <c r="E24" s="255"/>
    </row>
    <row r="25" spans="1:5" ht="12" thickTop="1" x14ac:dyDescent="0.2">
      <c r="B25" s="69"/>
      <c r="C25" s="69"/>
      <c r="D25" s="69"/>
      <c r="E25" s="25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2" workbookViewId="3">
      <selection activeCell="C6" sqref="C6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88</v>
      </c>
      <c r="B3" s="88"/>
      <c r="C3" s="266"/>
      <c r="D3" s="88"/>
    </row>
    <row r="4" spans="1:13" x14ac:dyDescent="0.2">
      <c r="A4" s="87"/>
      <c r="B4" s="262" t="s">
        <v>21</v>
      </c>
      <c r="C4" s="262" t="s">
        <v>22</v>
      </c>
      <c r="D4" s="263" t="s">
        <v>52</v>
      </c>
    </row>
    <row r="5" spans="1:13" x14ac:dyDescent="0.2">
      <c r="A5" s="87">
        <v>9236</v>
      </c>
      <c r="B5" s="426">
        <v>-7461</v>
      </c>
      <c r="C5" s="90">
        <v>-4980</v>
      </c>
      <c r="D5" s="90">
        <f t="shared" ref="D5:D13" si="0">+C5-B5</f>
        <v>2481</v>
      </c>
      <c r="E5" s="69"/>
      <c r="F5" s="70"/>
    </row>
    <row r="6" spans="1:13" x14ac:dyDescent="0.2">
      <c r="A6" s="87">
        <v>9238</v>
      </c>
      <c r="B6" s="331"/>
      <c r="C6" s="90"/>
      <c r="D6" s="90">
        <f t="shared" si="0"/>
        <v>0</v>
      </c>
      <c r="E6" s="287"/>
      <c r="F6" s="70"/>
      <c r="K6" s="65">
        <v>36531</v>
      </c>
      <c r="L6" t="s">
        <v>26</v>
      </c>
      <c r="M6">
        <v>0.5</v>
      </c>
    </row>
    <row r="7" spans="1:13" x14ac:dyDescent="0.2">
      <c r="A7" s="87">
        <v>56422</v>
      </c>
      <c r="B7" s="426">
        <v>-345471</v>
      </c>
      <c r="C7" s="90">
        <v>-340345</v>
      </c>
      <c r="D7" s="90">
        <f t="shared" si="0"/>
        <v>5126</v>
      </c>
      <c r="E7" s="287"/>
      <c r="F7" s="70"/>
    </row>
    <row r="8" spans="1:13" x14ac:dyDescent="0.2">
      <c r="A8" s="87">
        <v>58710</v>
      </c>
      <c r="B8" s="426">
        <v>-12104</v>
      </c>
      <c r="C8" s="90">
        <v>-189</v>
      </c>
      <c r="D8" s="90">
        <f t="shared" si="0"/>
        <v>11915</v>
      </c>
      <c r="E8" s="287"/>
      <c r="F8" s="70"/>
    </row>
    <row r="9" spans="1:13" x14ac:dyDescent="0.2">
      <c r="A9" s="87">
        <v>60921</v>
      </c>
      <c r="B9" s="331">
        <v>254704</v>
      </c>
      <c r="C9" s="90">
        <v>226066</v>
      </c>
      <c r="D9" s="90">
        <f t="shared" si="0"/>
        <v>-28638</v>
      </c>
      <c r="E9" s="287"/>
      <c r="F9" s="70"/>
    </row>
    <row r="10" spans="1:13" x14ac:dyDescent="0.2">
      <c r="A10" s="87">
        <v>78026</v>
      </c>
      <c r="B10" s="426">
        <v>6566</v>
      </c>
      <c r="C10" s="90">
        <v>5683</v>
      </c>
      <c r="D10" s="90">
        <f t="shared" si="0"/>
        <v>-883</v>
      </c>
      <c r="E10" s="287"/>
      <c r="F10" s="285"/>
    </row>
    <row r="11" spans="1:13" x14ac:dyDescent="0.2">
      <c r="A11" s="87">
        <v>500084</v>
      </c>
      <c r="B11" s="426"/>
      <c r="C11" s="90">
        <v>-3000</v>
      </c>
      <c r="D11" s="90">
        <f t="shared" si="0"/>
        <v>-3000</v>
      </c>
      <c r="E11" s="288"/>
      <c r="F11" s="285"/>
    </row>
    <row r="12" spans="1:13" x14ac:dyDescent="0.2">
      <c r="A12" s="357">
        <v>500085</v>
      </c>
      <c r="B12" s="426"/>
      <c r="C12" s="90"/>
      <c r="D12" s="90">
        <f t="shared" si="0"/>
        <v>0</v>
      </c>
      <c r="E12" s="287"/>
      <c r="F12" s="285"/>
    </row>
    <row r="13" spans="1:13" x14ac:dyDescent="0.2">
      <c r="A13" s="87">
        <v>500097</v>
      </c>
      <c r="B13" s="360"/>
      <c r="C13" s="90"/>
      <c r="D13" s="90">
        <f t="shared" si="0"/>
        <v>0</v>
      </c>
      <c r="E13" s="287"/>
      <c r="F13" s="285"/>
    </row>
    <row r="14" spans="1:13" x14ac:dyDescent="0.2">
      <c r="A14" s="87"/>
      <c r="B14" s="90"/>
      <c r="C14" s="90"/>
      <c r="D14" s="90"/>
      <c r="E14" s="287"/>
      <c r="F14" s="285"/>
    </row>
    <row r="15" spans="1:13" x14ac:dyDescent="0.2">
      <c r="A15" s="87"/>
      <c r="B15" s="90"/>
      <c r="C15" s="90"/>
      <c r="D15" s="90"/>
      <c r="E15" s="287"/>
      <c r="F15" s="285"/>
    </row>
    <row r="16" spans="1:13" x14ac:dyDescent="0.2">
      <c r="A16" s="87"/>
      <c r="B16" s="88"/>
      <c r="C16" s="88"/>
      <c r="D16" s="94"/>
      <c r="E16" s="287"/>
      <c r="F16" s="285"/>
    </row>
    <row r="17" spans="1:7" x14ac:dyDescent="0.2">
      <c r="A17" s="87"/>
      <c r="B17" s="88"/>
      <c r="C17" s="88"/>
      <c r="D17" s="88">
        <f>SUM(D5:D16)</f>
        <v>-12999</v>
      </c>
      <c r="E17" s="287"/>
      <c r="F17" s="285"/>
    </row>
    <row r="18" spans="1:7" x14ac:dyDescent="0.2">
      <c r="A18" s="87" t="s">
        <v>86</v>
      </c>
      <c r="B18" s="88"/>
      <c r="C18" s="88"/>
      <c r="D18" s="95">
        <f>+summary!P11</f>
        <v>2.65</v>
      </c>
      <c r="E18" s="289"/>
      <c r="F18" s="285"/>
    </row>
    <row r="19" spans="1:7" x14ac:dyDescent="0.2">
      <c r="A19" s="87"/>
      <c r="B19" s="88"/>
      <c r="C19" s="88"/>
      <c r="D19" s="96">
        <f>+D18*D17</f>
        <v>-34447.35</v>
      </c>
      <c r="E19" s="209"/>
      <c r="F19" s="286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37072</v>
      </c>
      <c r="B21" s="88"/>
      <c r="C21" s="88"/>
      <c r="D21" s="414">
        <v>704249.12</v>
      </c>
      <c r="E21" s="209"/>
      <c r="F21" s="66"/>
    </row>
    <row r="22" spans="1:7" x14ac:dyDescent="0.2">
      <c r="A22" s="87"/>
      <c r="B22" s="88"/>
      <c r="C22" s="88"/>
      <c r="D22" s="336"/>
      <c r="E22" s="209"/>
      <c r="F22" s="66"/>
    </row>
    <row r="23" spans="1:7" ht="13.5" thickBot="1" x14ac:dyDescent="0.25">
      <c r="A23" s="99">
        <v>37075</v>
      </c>
      <c r="B23" s="88"/>
      <c r="C23" s="88"/>
      <c r="D23" s="358">
        <f>+D21+D19</f>
        <v>669801.77</v>
      </c>
      <c r="E23" s="209"/>
      <c r="F23" s="66"/>
    </row>
    <row r="24" spans="1:7" ht="13.5" thickTop="1" x14ac:dyDescent="0.2">
      <c r="E24" s="290"/>
    </row>
    <row r="25" spans="1:7" x14ac:dyDescent="0.2">
      <c r="E25" s="29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15"/>
      <c r="E36" s="69"/>
      <c r="F36" s="70"/>
      <c r="G36" s="32"/>
    </row>
    <row r="37" spans="1:7" x14ac:dyDescent="0.2">
      <c r="B37" s="69"/>
      <c r="C37" s="69"/>
      <c r="D37" s="315"/>
      <c r="E37" s="69"/>
      <c r="F37" s="70"/>
      <c r="G37" s="32"/>
    </row>
    <row r="38" spans="1:7" x14ac:dyDescent="0.2">
      <c r="B38" s="69"/>
      <c r="C38" s="69"/>
      <c r="D38" s="315"/>
      <c r="E38" s="69"/>
      <c r="F38" s="70"/>
      <c r="G38" s="32"/>
    </row>
    <row r="39" spans="1:7" x14ac:dyDescent="0.2">
      <c r="B39" s="69"/>
      <c r="C39" s="69"/>
      <c r="D39" s="315"/>
      <c r="E39" s="69"/>
      <c r="F39" s="70"/>
      <c r="G39" s="32"/>
    </row>
    <row r="40" spans="1:7" x14ac:dyDescent="0.2">
      <c r="B40" s="69"/>
      <c r="C40" s="69"/>
      <c r="D40" s="315"/>
      <c r="E40" s="69"/>
      <c r="F40" s="70"/>
      <c r="G40" s="32"/>
    </row>
    <row r="41" spans="1:7" x14ac:dyDescent="0.2">
      <c r="B41" s="69"/>
      <c r="C41" s="69"/>
      <c r="D41" s="315"/>
      <c r="E41" s="69"/>
      <c r="F41" s="70"/>
      <c r="G41" s="32"/>
    </row>
    <row r="42" spans="1:7" x14ac:dyDescent="0.2">
      <c r="B42" s="69"/>
      <c r="C42" s="69"/>
      <c r="D42" s="315"/>
      <c r="E42" s="69"/>
      <c r="F42" s="70"/>
      <c r="G42" s="32"/>
    </row>
    <row r="43" spans="1:7" x14ac:dyDescent="0.2">
      <c r="B43" s="69"/>
      <c r="C43" s="69"/>
      <c r="D43" s="315"/>
      <c r="E43" s="69"/>
      <c r="F43" s="70"/>
      <c r="G43" s="32"/>
    </row>
    <row r="44" spans="1:7" x14ac:dyDescent="0.2">
      <c r="B44" s="69"/>
      <c r="C44" s="69"/>
      <c r="D44" s="316"/>
      <c r="E44" s="287"/>
      <c r="F44" s="285"/>
      <c r="G44" s="206"/>
    </row>
    <row r="45" spans="1:7" x14ac:dyDescent="0.2">
      <c r="B45" s="69"/>
      <c r="C45" s="69"/>
      <c r="D45" s="316"/>
      <c r="E45" s="287"/>
      <c r="F45" s="285"/>
      <c r="G45" s="206"/>
    </row>
    <row r="46" spans="1:7" x14ac:dyDescent="0.2">
      <c r="A46" s="32"/>
      <c r="B46" s="69"/>
      <c r="C46" s="69"/>
      <c r="D46" s="287"/>
      <c r="E46" s="287"/>
      <c r="F46" s="285"/>
      <c r="G46" s="206"/>
    </row>
    <row r="47" spans="1:7" x14ac:dyDescent="0.2">
      <c r="A47" s="32"/>
      <c r="B47" s="69"/>
      <c r="C47" s="69"/>
      <c r="D47" s="289"/>
      <c r="E47" s="289"/>
      <c r="F47" s="285"/>
      <c r="G47" s="206"/>
    </row>
    <row r="48" spans="1:7" x14ac:dyDescent="0.2">
      <c r="B48" s="69"/>
      <c r="C48" s="69"/>
      <c r="D48" s="287"/>
      <c r="E48" s="287"/>
      <c r="F48" s="286"/>
      <c r="G48" s="206"/>
    </row>
    <row r="49" spans="1:7" x14ac:dyDescent="0.2">
      <c r="B49" s="69"/>
      <c r="C49" s="69"/>
      <c r="D49" s="287"/>
      <c r="E49" s="287"/>
      <c r="F49" s="286"/>
      <c r="G49" s="206"/>
    </row>
    <row r="50" spans="1:7" x14ac:dyDescent="0.2">
      <c r="C50" s="312"/>
      <c r="D50" s="312"/>
      <c r="E50" s="312"/>
      <c r="F50" s="313"/>
      <c r="G50" s="314"/>
    </row>
    <row r="51" spans="1:7" x14ac:dyDescent="0.2">
      <c r="A51" s="32"/>
      <c r="C51" s="312"/>
      <c r="D51" s="312"/>
      <c r="E51" s="312"/>
      <c r="F51" s="313"/>
    </row>
    <row r="52" spans="1:7" x14ac:dyDescent="0.2">
      <c r="A52" s="32"/>
      <c r="C52" s="312"/>
      <c r="D52" s="312"/>
      <c r="E52" s="312"/>
      <c r="F52" s="313"/>
    </row>
    <row r="53" spans="1:7" x14ac:dyDescent="0.2">
      <c r="A53" s="32"/>
      <c r="C53" s="312"/>
      <c r="D53" s="312"/>
      <c r="E53" s="312"/>
      <c r="F53" s="313"/>
    </row>
    <row r="54" spans="1:7" x14ac:dyDescent="0.2">
      <c r="A54" s="32"/>
      <c r="C54" s="312"/>
      <c r="D54" s="312"/>
      <c r="E54" s="312"/>
      <c r="F54" s="313"/>
    </row>
    <row r="55" spans="1:7" x14ac:dyDescent="0.2">
      <c r="A55" s="32"/>
      <c r="C55" s="312"/>
      <c r="D55" s="312"/>
      <c r="E55" s="290"/>
      <c r="F55" s="290"/>
    </row>
    <row r="56" spans="1:7" x14ac:dyDescent="0.2">
      <c r="C56" s="312"/>
      <c r="D56" s="312"/>
      <c r="E56" s="290"/>
      <c r="F56" s="290"/>
    </row>
    <row r="57" spans="1:7" x14ac:dyDescent="0.2">
      <c r="C57" s="312"/>
      <c r="D57" s="312"/>
      <c r="E57" s="290"/>
      <c r="F57" s="290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24" workbookViewId="3">
      <selection activeCell="C30" sqref="C30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2" t="s">
        <v>21</v>
      </c>
      <c r="C2" s="262" t="s">
        <v>22</v>
      </c>
      <c r="D2" s="262" t="s">
        <v>21</v>
      </c>
      <c r="E2" s="262" t="s">
        <v>22</v>
      </c>
      <c r="F2" s="263" t="s">
        <v>52</v>
      </c>
    </row>
    <row r="3" spans="1:6" x14ac:dyDescent="0.2">
      <c r="A3">
        <v>1</v>
      </c>
      <c r="B3" s="90">
        <v>44045</v>
      </c>
      <c r="C3" s="90">
        <v>39043</v>
      </c>
      <c r="D3" s="90"/>
      <c r="E3" s="90"/>
      <c r="F3" s="90">
        <f>+E3-D3+C3-B3</f>
        <v>-5002</v>
      </c>
    </row>
    <row r="4" spans="1:6" x14ac:dyDescent="0.2">
      <c r="A4">
        <v>2</v>
      </c>
      <c r="B4" s="90">
        <v>48392</v>
      </c>
      <c r="C4" s="90">
        <v>43656</v>
      </c>
      <c r="D4" s="90"/>
      <c r="E4" s="90"/>
      <c r="F4" s="90">
        <f>+E4-D4+C4-B4</f>
        <v>-4736</v>
      </c>
    </row>
    <row r="5" spans="1:6" x14ac:dyDescent="0.2">
      <c r="A5">
        <v>3</v>
      </c>
      <c r="B5" s="90">
        <v>60040</v>
      </c>
      <c r="C5" s="90">
        <v>58397</v>
      </c>
      <c r="D5" s="90"/>
      <c r="E5" s="90"/>
      <c r="F5" s="90">
        <f>+E5-D5+C5-B5</f>
        <v>-1643</v>
      </c>
    </row>
    <row r="6" spans="1:6" x14ac:dyDescent="0.2">
      <c r="A6">
        <v>4</v>
      </c>
      <c r="B6" s="90">
        <v>52770</v>
      </c>
      <c r="C6" s="90">
        <v>47992</v>
      </c>
      <c r="D6" s="90"/>
      <c r="E6" s="90"/>
      <c r="F6" s="90">
        <f t="shared" ref="F6:F33" si="0">+E6-D6+C6-B6</f>
        <v>-4778</v>
      </c>
    </row>
    <row r="7" spans="1:6" x14ac:dyDescent="0.2">
      <c r="A7">
        <v>5</v>
      </c>
      <c r="B7" s="90"/>
      <c r="C7" s="90"/>
      <c r="D7" s="90"/>
      <c r="E7" s="90"/>
      <c r="F7" s="90">
        <f t="shared" si="0"/>
        <v>0</v>
      </c>
    </row>
    <row r="8" spans="1:6" x14ac:dyDescent="0.2">
      <c r="A8">
        <v>6</v>
      </c>
      <c r="B8" s="90"/>
      <c r="C8" s="90"/>
      <c r="D8" s="90"/>
      <c r="E8" s="90"/>
      <c r="F8" s="90">
        <f t="shared" si="0"/>
        <v>0</v>
      </c>
    </row>
    <row r="9" spans="1:6" x14ac:dyDescent="0.2">
      <c r="A9">
        <v>7</v>
      </c>
      <c r="B9" s="90"/>
      <c r="C9" s="90"/>
      <c r="D9" s="90"/>
      <c r="E9" s="90"/>
      <c r="F9" s="90">
        <f t="shared" si="0"/>
        <v>0</v>
      </c>
    </row>
    <row r="10" spans="1:6" x14ac:dyDescent="0.2">
      <c r="A10">
        <v>8</v>
      </c>
      <c r="B10" s="90"/>
      <c r="C10" s="90"/>
      <c r="D10" s="90"/>
      <c r="E10" s="90"/>
      <c r="F10" s="90">
        <f t="shared" si="0"/>
        <v>0</v>
      </c>
    </row>
    <row r="11" spans="1:6" x14ac:dyDescent="0.2">
      <c r="A11">
        <v>9</v>
      </c>
      <c r="B11" s="90"/>
      <c r="C11" s="90"/>
      <c r="D11" s="90"/>
      <c r="E11" s="90"/>
      <c r="F11" s="90">
        <f t="shared" si="0"/>
        <v>0</v>
      </c>
    </row>
    <row r="12" spans="1:6" x14ac:dyDescent="0.2">
      <c r="A12">
        <v>10</v>
      </c>
      <c r="B12" s="90"/>
      <c r="C12" s="90"/>
      <c r="D12" s="90"/>
      <c r="E12" s="90"/>
      <c r="F12" s="90">
        <f t="shared" si="0"/>
        <v>0</v>
      </c>
    </row>
    <row r="13" spans="1:6" x14ac:dyDescent="0.2">
      <c r="A13">
        <v>11</v>
      </c>
      <c r="B13" s="90"/>
      <c r="C13" s="90"/>
      <c r="D13" s="90"/>
      <c r="E13" s="90"/>
      <c r="F13" s="90">
        <f t="shared" si="0"/>
        <v>0</v>
      </c>
    </row>
    <row r="14" spans="1:6" x14ac:dyDescent="0.2">
      <c r="A14">
        <v>12</v>
      </c>
      <c r="B14" s="88"/>
      <c r="C14" s="88"/>
      <c r="D14" s="88"/>
      <c r="E14" s="88"/>
      <c r="F14" s="90">
        <f t="shared" si="0"/>
        <v>0</v>
      </c>
    </row>
    <row r="15" spans="1:6" x14ac:dyDescent="0.2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">
      <c r="A19">
        <v>17</v>
      </c>
      <c r="B19" s="88"/>
      <c r="C19" s="14"/>
      <c r="D19" s="14"/>
      <c r="E19" s="14"/>
      <c r="F19" s="90">
        <f t="shared" si="0"/>
        <v>0</v>
      </c>
    </row>
    <row r="20" spans="1:6" x14ac:dyDescent="0.2">
      <c r="A20">
        <v>18</v>
      </c>
      <c r="B20" s="375"/>
      <c r="C20" s="375"/>
      <c r="D20" s="14"/>
      <c r="E20" s="14"/>
      <c r="F20" s="90">
        <f t="shared" si="0"/>
        <v>0</v>
      </c>
    </row>
    <row r="21" spans="1:6" x14ac:dyDescent="0.2">
      <c r="A21">
        <v>19</v>
      </c>
      <c r="B21" s="375"/>
      <c r="C21" s="375"/>
      <c r="D21" s="14"/>
      <c r="E21" s="14"/>
      <c r="F21" s="90">
        <f t="shared" si="0"/>
        <v>0</v>
      </c>
    </row>
    <row r="22" spans="1:6" x14ac:dyDescent="0.2">
      <c r="A22">
        <v>20</v>
      </c>
      <c r="B22" s="375"/>
      <c r="C22" s="375"/>
      <c r="D22" s="14"/>
      <c r="E22" s="14"/>
      <c r="F22" s="90">
        <f t="shared" si="0"/>
        <v>0</v>
      </c>
    </row>
    <row r="23" spans="1:6" x14ac:dyDescent="0.2">
      <c r="A23">
        <v>21</v>
      </c>
      <c r="B23" s="375"/>
      <c r="C23" s="375"/>
      <c r="D23" s="14"/>
      <c r="E23" s="14"/>
      <c r="F23" s="90">
        <f t="shared" si="0"/>
        <v>0</v>
      </c>
    </row>
    <row r="24" spans="1:6" x14ac:dyDescent="0.2">
      <c r="A24">
        <v>22</v>
      </c>
      <c r="B24" s="375"/>
      <c r="C24" s="375"/>
      <c r="D24" s="14"/>
      <c r="E24" s="14"/>
      <c r="F24" s="90">
        <f t="shared" si="0"/>
        <v>0</v>
      </c>
    </row>
    <row r="25" spans="1:6" x14ac:dyDescent="0.2">
      <c r="A25">
        <v>23</v>
      </c>
      <c r="B25" s="375"/>
      <c r="C25" s="375"/>
      <c r="D25" s="14"/>
      <c r="E25" s="14"/>
      <c r="F25" s="90">
        <f t="shared" si="0"/>
        <v>0</v>
      </c>
    </row>
    <row r="26" spans="1:6" x14ac:dyDescent="0.2">
      <c r="A26">
        <v>24</v>
      </c>
      <c r="B26" s="375"/>
      <c r="C26" s="375"/>
      <c r="D26" s="14"/>
      <c r="E26" s="14"/>
      <c r="F26" s="90">
        <f t="shared" si="0"/>
        <v>0</v>
      </c>
    </row>
    <row r="27" spans="1:6" x14ac:dyDescent="0.2">
      <c r="A27">
        <v>25</v>
      </c>
      <c r="B27" s="375"/>
      <c r="C27" s="375"/>
      <c r="D27" s="14"/>
      <c r="E27" s="14"/>
      <c r="F27" s="90">
        <f t="shared" si="0"/>
        <v>0</v>
      </c>
    </row>
    <row r="28" spans="1:6" x14ac:dyDescent="0.2">
      <c r="A28">
        <v>26</v>
      </c>
      <c r="B28" s="375"/>
      <c r="C28" s="375"/>
      <c r="D28" s="14"/>
      <c r="E28" s="14"/>
      <c r="F28" s="90">
        <f t="shared" si="0"/>
        <v>0</v>
      </c>
    </row>
    <row r="29" spans="1:6" x14ac:dyDescent="0.2">
      <c r="A29">
        <v>27</v>
      </c>
      <c r="B29" s="375"/>
      <c r="C29" s="375"/>
      <c r="D29" s="14"/>
      <c r="E29" s="14"/>
      <c r="F29" s="90">
        <f t="shared" si="0"/>
        <v>0</v>
      </c>
    </row>
    <row r="30" spans="1:6" x14ac:dyDescent="0.2">
      <c r="A30">
        <v>28</v>
      </c>
      <c r="B30" s="375"/>
      <c r="C30" s="375"/>
      <c r="D30" s="14"/>
      <c r="E30" s="14"/>
      <c r="F30" s="90">
        <f t="shared" si="0"/>
        <v>0</v>
      </c>
    </row>
    <row r="31" spans="1:6" x14ac:dyDescent="0.2">
      <c r="A31">
        <v>29</v>
      </c>
      <c r="B31" s="375"/>
      <c r="C31" s="375"/>
      <c r="D31" s="14"/>
      <c r="E31" s="14"/>
      <c r="F31" s="90">
        <f t="shared" si="0"/>
        <v>0</v>
      </c>
    </row>
    <row r="32" spans="1:6" x14ac:dyDescent="0.2">
      <c r="A32">
        <v>30</v>
      </c>
      <c r="B32" s="375"/>
      <c r="C32" s="375"/>
      <c r="D32" s="14"/>
      <c r="E32" s="14"/>
      <c r="F32" s="90">
        <f t="shared" si="0"/>
        <v>0</v>
      </c>
    </row>
    <row r="33" spans="1:6" x14ac:dyDescent="0.2">
      <c r="A33">
        <v>31</v>
      </c>
      <c r="B33" s="375"/>
      <c r="C33" s="375"/>
      <c r="D33" s="14"/>
      <c r="E33" s="14"/>
      <c r="F33" s="90">
        <f t="shared" si="0"/>
        <v>0</v>
      </c>
    </row>
    <row r="34" spans="1:6" x14ac:dyDescent="0.2">
      <c r="B34" s="299">
        <f>SUM(B3:B33)</f>
        <v>205247</v>
      </c>
      <c r="C34" s="299">
        <f>SUM(C3:C33)</f>
        <v>189088</v>
      </c>
      <c r="D34" s="14">
        <f>SUM(D3:D33)</f>
        <v>0</v>
      </c>
      <c r="E34" s="14">
        <f>SUM(E3:E33)</f>
        <v>0</v>
      </c>
      <c r="F34" s="14">
        <f>SUM(F3:F33)</f>
        <v>-16159</v>
      </c>
    </row>
    <row r="35" spans="1:6" x14ac:dyDescent="0.2">
      <c r="D35" s="14"/>
      <c r="E35" s="14"/>
      <c r="F35" s="14"/>
    </row>
    <row r="36" spans="1:6" x14ac:dyDescent="0.2">
      <c r="F36" s="380"/>
    </row>
    <row r="37" spans="1:6" x14ac:dyDescent="0.2">
      <c r="A37" s="264">
        <v>37072</v>
      </c>
      <c r="B37" s="14"/>
      <c r="C37" s="14"/>
      <c r="D37" s="14"/>
      <c r="E37" s="14"/>
      <c r="F37" s="403">
        <v>193992</v>
      </c>
    </row>
    <row r="38" spans="1:6" x14ac:dyDescent="0.2">
      <c r="A38" s="264">
        <v>37076</v>
      </c>
      <c r="B38" s="14"/>
      <c r="C38" s="14"/>
      <c r="D38" s="14"/>
      <c r="E38" s="14"/>
      <c r="F38" s="150">
        <f>+F37+F34</f>
        <v>177833</v>
      </c>
    </row>
    <row r="39" spans="1:6" x14ac:dyDescent="0.2">
      <c r="F39" s="314"/>
    </row>
    <row r="40" spans="1:6" x14ac:dyDescent="0.2">
      <c r="F40" s="314"/>
    </row>
    <row r="41" spans="1:6" x14ac:dyDescent="0.2">
      <c r="F41" s="314"/>
    </row>
    <row r="42" spans="1:6" x14ac:dyDescent="0.2">
      <c r="F42" s="314"/>
    </row>
    <row r="43" spans="1:6" x14ac:dyDescent="0.2">
      <c r="F43" s="314"/>
    </row>
    <row r="44" spans="1:6" x14ac:dyDescent="0.2">
      <c r="F44" s="314"/>
    </row>
    <row r="45" spans="1:6" x14ac:dyDescent="0.2">
      <c r="F45" s="314"/>
    </row>
    <row r="46" spans="1:6" x14ac:dyDescent="0.2">
      <c r="F46" s="314"/>
    </row>
    <row r="47" spans="1:6" x14ac:dyDescent="0.2">
      <c r="F47" s="314"/>
    </row>
    <row r="48" spans="1:6" x14ac:dyDescent="0.2">
      <c r="F48" s="3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4" workbookViewId="3">
      <selection activeCell="A41" sqref="A41"/>
    </sheetView>
  </sheetViews>
  <sheetFormatPr defaultRowHeight="12.75" x14ac:dyDescent="0.2"/>
  <cols>
    <col min="2" max="2" width="9.285156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41797</v>
      </c>
      <c r="C4" s="11">
        <v>41815</v>
      </c>
      <c r="D4" s="25">
        <f>+C4-B4</f>
        <v>18</v>
      </c>
    </row>
    <row r="5" spans="1:4" x14ac:dyDescent="0.2">
      <c r="A5" s="10">
        <v>2</v>
      </c>
      <c r="B5" s="11">
        <v>36093</v>
      </c>
      <c r="C5" s="11">
        <v>36544</v>
      </c>
      <c r="D5" s="25">
        <f t="shared" ref="D5:D34" si="0">+C5-B5</f>
        <v>451</v>
      </c>
    </row>
    <row r="6" spans="1:4" x14ac:dyDescent="0.2">
      <c r="A6" s="10">
        <v>3</v>
      </c>
      <c r="B6" s="11">
        <v>35000</v>
      </c>
      <c r="C6" s="11">
        <v>35547</v>
      </c>
      <c r="D6" s="25">
        <f t="shared" si="0"/>
        <v>547</v>
      </c>
    </row>
    <row r="7" spans="1:4" x14ac:dyDescent="0.2">
      <c r="A7" s="10">
        <v>4</v>
      </c>
      <c r="B7" s="11"/>
      <c r="C7" s="11"/>
      <c r="D7" s="25">
        <f t="shared" si="0"/>
        <v>0</v>
      </c>
    </row>
    <row r="8" spans="1:4" x14ac:dyDescent="0.2">
      <c r="A8" s="10">
        <v>5</v>
      </c>
      <c r="B8" s="11"/>
      <c r="C8" s="11"/>
      <c r="D8" s="25">
        <f t="shared" si="0"/>
        <v>0</v>
      </c>
    </row>
    <row r="9" spans="1:4" x14ac:dyDescent="0.2">
      <c r="A9" s="10">
        <v>6</v>
      </c>
      <c r="B9" s="11"/>
      <c r="C9" s="11"/>
      <c r="D9" s="25">
        <f t="shared" si="0"/>
        <v>0</v>
      </c>
    </row>
    <row r="10" spans="1:4" x14ac:dyDescent="0.2">
      <c r="A10" s="10">
        <v>7</v>
      </c>
      <c r="B10" s="11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112890</v>
      </c>
      <c r="C35" s="11">
        <f>SUM(C4:C34)</f>
        <v>113906</v>
      </c>
      <c r="D35" s="11">
        <f>SUM(D4:D34)</f>
        <v>1016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37072</v>
      </c>
      <c r="D38" s="51">
        <v>13497</v>
      </c>
    </row>
    <row r="39" spans="1:4" x14ac:dyDescent="0.2">
      <c r="A39" s="2"/>
      <c r="D39" s="24"/>
    </row>
    <row r="40" spans="1:4" x14ac:dyDescent="0.2">
      <c r="A40" s="57">
        <v>37075</v>
      </c>
      <c r="D40" s="51">
        <f>+D38+D35</f>
        <v>14513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4" workbookViewId="3">
      <selection activeCell="H30" sqref="H30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114</v>
      </c>
      <c r="C2" s="4"/>
      <c r="D2" s="38" t="s">
        <v>115</v>
      </c>
      <c r="E2" s="4"/>
      <c r="F2" s="38" t="s">
        <v>116</v>
      </c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21134</v>
      </c>
      <c r="C4" s="11">
        <v>22000</v>
      </c>
      <c r="D4" s="11">
        <v>7139</v>
      </c>
      <c r="E4" s="11">
        <v>9000</v>
      </c>
      <c r="F4" s="11">
        <v>15626</v>
      </c>
      <c r="G4" s="11">
        <v>12000</v>
      </c>
      <c r="H4" s="11"/>
      <c r="I4" s="11"/>
      <c r="J4" s="11">
        <f t="shared" ref="J4:J34" si="0">+C4+E4+G4+I4-H4-F4-D4-B4</f>
        <v>-899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21084</v>
      </c>
      <c r="C5" s="11">
        <v>22000</v>
      </c>
      <c r="D5" s="11">
        <v>6941</v>
      </c>
      <c r="E5" s="11">
        <v>9000</v>
      </c>
      <c r="F5" s="11">
        <v>15057</v>
      </c>
      <c r="G5" s="11">
        <v>12000</v>
      </c>
      <c r="H5" s="11"/>
      <c r="I5" s="11"/>
      <c r="J5" s="11">
        <f t="shared" si="0"/>
        <v>-82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20925</v>
      </c>
      <c r="C6" s="11">
        <v>18000</v>
      </c>
      <c r="D6" s="11">
        <v>8033</v>
      </c>
      <c r="E6" s="11">
        <v>8000</v>
      </c>
      <c r="F6" s="11">
        <v>2291</v>
      </c>
      <c r="G6" s="11"/>
      <c r="H6" s="11">
        <v>1446</v>
      </c>
      <c r="I6" s="11"/>
      <c r="J6" s="11">
        <f t="shared" si="0"/>
        <v>-6695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/>
      <c r="C7" s="11"/>
      <c r="D7" s="11"/>
      <c r="E7" s="11"/>
      <c r="F7" s="11"/>
      <c r="G7" s="11"/>
      <c r="H7" s="11"/>
      <c r="I7" s="11"/>
      <c r="J7" s="11">
        <f t="shared" si="0"/>
        <v>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/>
      <c r="C8" s="11"/>
      <c r="D8" s="11"/>
      <c r="E8" s="11"/>
      <c r="F8" s="11"/>
      <c r="G8" s="11"/>
      <c r="H8" s="11"/>
      <c r="I8" s="11"/>
      <c r="J8" s="11">
        <f t="shared" si="0"/>
        <v>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/>
      <c r="C10" s="11"/>
      <c r="D10" s="11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63143</v>
      </c>
      <c r="C35" s="11">
        <f t="shared" ref="C35:I35" si="1">SUM(C4:C34)</f>
        <v>62000</v>
      </c>
      <c r="D35" s="11">
        <f t="shared" si="1"/>
        <v>22113</v>
      </c>
      <c r="E35" s="11">
        <f t="shared" si="1"/>
        <v>26000</v>
      </c>
      <c r="F35" s="11">
        <f t="shared" si="1"/>
        <v>32974</v>
      </c>
      <c r="G35" s="11">
        <f t="shared" si="1"/>
        <v>24000</v>
      </c>
      <c r="H35" s="11">
        <f t="shared" si="1"/>
        <v>1446</v>
      </c>
      <c r="I35" s="11">
        <f t="shared" si="1"/>
        <v>0</v>
      </c>
      <c r="J35" s="11">
        <f>SUM(J4:J34)</f>
        <v>-7676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+summary!P11</f>
        <v>2.65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-20341.399999999998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3"/>
      <c r="N38" s="18"/>
      <c r="R38" s="18"/>
      <c r="S38" s="19"/>
      <c r="T38" s="20"/>
      <c r="U38" s="16"/>
      <c r="V38" s="15"/>
      <c r="W38" s="13"/>
    </row>
    <row r="39" spans="1:23" x14ac:dyDescent="0.2">
      <c r="A39" s="56">
        <v>37072</v>
      </c>
      <c r="C39" s="25"/>
      <c r="E39" s="25"/>
      <c r="G39" s="25"/>
      <c r="I39" s="25"/>
      <c r="J39" s="411">
        <v>337801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61"/>
      <c r="N40" s="18"/>
      <c r="R40" s="18"/>
      <c r="S40" s="19"/>
      <c r="T40" s="20"/>
      <c r="U40" s="16"/>
      <c r="V40" s="15"/>
      <c r="W40" s="13"/>
    </row>
    <row r="41" spans="1:23" x14ac:dyDescent="0.2">
      <c r="A41" s="33">
        <v>37075</v>
      </c>
      <c r="J41" s="361">
        <f>+J39+J37</f>
        <v>317459.59999999998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3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9" workbookViewId="2">
      <selection activeCell="F40" sqref="F40"/>
    </sheetView>
    <sheetView topLeftCell="A36" workbookViewId="3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40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79</v>
      </c>
      <c r="AD1" s="38" t="s">
        <v>80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126</v>
      </c>
      <c r="B4" s="236">
        <v>12353</v>
      </c>
      <c r="C4" s="24" t="s">
        <v>137</v>
      </c>
      <c r="D4" s="236">
        <v>500168</v>
      </c>
      <c r="E4" s="24" t="s">
        <v>81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21</v>
      </c>
      <c r="C5" s="121" t="s">
        <v>22</v>
      </c>
      <c r="D5" s="121" t="s">
        <v>21</v>
      </c>
      <c r="E5" s="121" t="s">
        <v>22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-37797</v>
      </c>
      <c r="E6" s="24">
        <v>-39510</v>
      </c>
      <c r="F6" s="24">
        <f>+C6+E6-B6-D6</f>
        <v>-1713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-31170</v>
      </c>
      <c r="E7" s="24">
        <v>-33500</v>
      </c>
      <c r="F7" s="24">
        <f t="shared" ref="F7:F36" si="0">+C7+E7-B7-D7</f>
        <v>-2330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v>-35011</v>
      </c>
      <c r="E8" s="24">
        <v>-34553</v>
      </c>
      <c r="F8" s="24">
        <f t="shared" si="0"/>
        <v>458</v>
      </c>
      <c r="G8" s="216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/>
      <c r="F9" s="24">
        <f t="shared" si="0"/>
        <v>0</v>
      </c>
      <c r="G9" s="216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/>
      <c r="F10" s="24">
        <f t="shared" si="0"/>
        <v>0</v>
      </c>
      <c r="G10" s="217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17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17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17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17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17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17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17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17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17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17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17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17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17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7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7"/>
      <c r="O25" s="135"/>
      <c r="P25" s="205"/>
      <c r="Q25" s="218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7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7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7"/>
      <c r="O28" s="135"/>
      <c r="P28" s="205"/>
      <c r="Q28" s="135"/>
      <c r="R28" s="14"/>
      <c r="U28" s="14"/>
      <c r="V28" s="14"/>
      <c r="W28" s="75"/>
      <c r="X28" s="217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7"/>
      <c r="P29" s="205"/>
      <c r="Q29" s="135"/>
      <c r="R29" s="14"/>
      <c r="U29" s="14"/>
      <c r="V29" s="14"/>
      <c r="W29" s="75"/>
      <c r="X29" s="220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7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7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7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7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7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7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7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-103978</v>
      </c>
      <c r="E37" s="24">
        <f>SUM(E6:E36)</f>
        <v>-107563</v>
      </c>
      <c r="F37" s="24">
        <f>SUM(F6:F36)</f>
        <v>-3585</v>
      </c>
      <c r="G37" s="365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82</v>
      </c>
      <c r="E38" s="14"/>
      <c r="F38" s="104">
        <f>+summary!P11</f>
        <v>2.65</v>
      </c>
      <c r="G38" s="217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E39" s="14"/>
      <c r="F39" s="104">
        <f>+F38*F37</f>
        <v>-9500.25</v>
      </c>
      <c r="G39" s="221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264">
        <v>37072</v>
      </c>
      <c r="E40" s="14"/>
      <c r="F40" s="406">
        <v>553972.46</v>
      </c>
      <c r="G40" s="221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264">
        <v>37075</v>
      </c>
      <c r="E41" s="14"/>
      <c r="F41" s="104">
        <f>+F40+F39</f>
        <v>544472.21</v>
      </c>
      <c r="G41" s="221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9"/>
      <c r="E43" s="209"/>
      <c r="F43" s="206"/>
      <c r="G43" s="217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9"/>
      <c r="E44" s="209"/>
      <c r="F44" s="206"/>
      <c r="G44" s="217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C45" s="75"/>
      <c r="D45" s="215"/>
      <c r="E45" s="209"/>
      <c r="F45" s="206"/>
      <c r="G45" s="217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C46" s="75"/>
      <c r="D46" s="215"/>
      <c r="E46" s="209"/>
      <c r="F46" s="206"/>
      <c r="G46" s="217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C47" s="75"/>
      <c r="D47" s="215"/>
      <c r="E47" s="209"/>
      <c r="F47" s="206"/>
      <c r="G47" s="217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C48" s="209"/>
      <c r="D48" s="215"/>
      <c r="E48" s="209"/>
      <c r="F48" s="206"/>
      <c r="G48" s="217"/>
      <c r="AD48" s="101"/>
      <c r="AE48" s="214"/>
      <c r="AF48" s="24"/>
      <c r="AG48" s="24"/>
      <c r="AH48" s="106"/>
      <c r="AI48" s="143"/>
      <c r="AJ48" s="15"/>
    </row>
    <row r="49" spans="3:36" ht="18" customHeight="1" x14ac:dyDescent="0.2">
      <c r="C49" s="209"/>
      <c r="D49" s="215"/>
      <c r="E49" s="209"/>
      <c r="F49" s="206"/>
      <c r="G49" s="217"/>
      <c r="AD49" s="101"/>
      <c r="AE49" s="214"/>
      <c r="AF49" s="24"/>
      <c r="AG49" s="24"/>
      <c r="AH49" s="106"/>
      <c r="AI49" s="143"/>
      <c r="AJ49" s="15"/>
    </row>
    <row r="50" spans="3:36" ht="18" customHeight="1" x14ac:dyDescent="0.2">
      <c r="C50" s="217"/>
      <c r="D50" s="208"/>
      <c r="E50" s="209"/>
      <c r="F50" s="206"/>
      <c r="G50" s="206"/>
      <c r="AD50" s="101"/>
      <c r="AE50" s="214"/>
      <c r="AF50" s="24"/>
      <c r="AG50" s="24"/>
      <c r="AH50" s="106"/>
      <c r="AI50" s="222"/>
      <c r="AJ50" s="15"/>
    </row>
    <row r="51" spans="3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3"/>
    </row>
    <row r="52" spans="3:36" ht="18" customHeight="1" thickTop="1" x14ac:dyDescent="0.2">
      <c r="AD52" s="101"/>
      <c r="AE52" s="214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4"/>
    </row>
    <row r="55" spans="3:36" ht="17.100000000000001" customHeight="1" x14ac:dyDescent="0.2">
      <c r="AD55" s="224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5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6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6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7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8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5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9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9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30"/>
      <c r="D84" s="24"/>
      <c r="R84" s="14"/>
      <c r="S84" s="14"/>
      <c r="T84" s="14"/>
      <c r="U84" s="14"/>
      <c r="AD84" s="224"/>
      <c r="AE84" s="213"/>
      <c r="AF84" s="24"/>
      <c r="AG84" s="24"/>
      <c r="AH84" s="24"/>
      <c r="AI84" s="143"/>
      <c r="AJ84" s="231"/>
    </row>
    <row r="85" spans="3:36" ht="15" customHeight="1" thickTop="1" x14ac:dyDescent="0.2">
      <c r="C85" s="228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4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2"/>
      <c r="R87" s="14"/>
      <c r="S87" s="14"/>
      <c r="T87" s="14"/>
      <c r="U87" s="14"/>
      <c r="AD87" s="233"/>
      <c r="AE87" s="234"/>
      <c r="AF87" s="150"/>
      <c r="AG87" s="150"/>
      <c r="AH87" s="150"/>
      <c r="AI87" s="235"/>
      <c r="AJ87" s="217"/>
    </row>
    <row r="88" spans="3:36" ht="24.95" customHeight="1" thickTop="1" x14ac:dyDescent="0.2">
      <c r="C88" s="229"/>
      <c r="D88" s="24"/>
      <c r="R88" s="14"/>
      <c r="S88" s="14"/>
      <c r="T88" s="14"/>
      <c r="U88" s="14"/>
      <c r="AD88" s="38"/>
      <c r="AJ88" s="217"/>
    </row>
    <row r="89" spans="3:36" ht="15" customHeight="1" x14ac:dyDescent="0.2">
      <c r="D89" s="128"/>
      <c r="E89" s="110"/>
      <c r="F89" s="2"/>
      <c r="G89" s="12"/>
      <c r="H89" s="236"/>
      <c r="I89" s="128"/>
      <c r="J89" s="24"/>
      <c r="K89" s="12"/>
      <c r="L89" s="236"/>
      <c r="M89" s="24"/>
      <c r="N89" s="24"/>
      <c r="O89" s="12"/>
      <c r="P89" s="236"/>
      <c r="Q89" s="24"/>
      <c r="R89" s="24"/>
      <c r="S89" s="101"/>
      <c r="T89" s="236"/>
      <c r="U89" s="24"/>
      <c r="V89" s="24"/>
      <c r="AD89" s="237"/>
      <c r="AJ89" s="217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7"/>
      <c r="AJ90" s="217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7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7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7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7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7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7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8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8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8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9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8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8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8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6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8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8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9"/>
      <c r="D134" s="241"/>
      <c r="E134" s="110"/>
      <c r="F134" s="2"/>
      <c r="G134" s="2"/>
      <c r="R134" s="14"/>
      <c r="S134" s="12"/>
      <c r="T134" s="24"/>
      <c r="U134" s="24"/>
      <c r="V134" s="24"/>
      <c r="X134" s="238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2"/>
      <c r="D135" s="128"/>
      <c r="E135" s="110"/>
      <c r="F135" s="2"/>
      <c r="G135" s="2"/>
      <c r="R135" s="14"/>
      <c r="S135" s="12"/>
      <c r="T135" s="24"/>
      <c r="U135" s="24"/>
      <c r="V135" s="24"/>
      <c r="X135" s="238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8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8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8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3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6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3"/>
      <c r="AG168" s="243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4"/>
      <c r="AB169" s="87"/>
      <c r="AC169" s="87"/>
      <c r="AD169" s="101"/>
      <c r="AE169" s="214"/>
      <c r="AF169" s="243"/>
      <c r="AG169" s="243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4"/>
      <c r="AB170" s="87"/>
      <c r="AC170" s="87"/>
      <c r="AD170" s="101"/>
      <c r="AE170" s="214"/>
      <c r="AF170" s="243"/>
      <c r="AG170" s="243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4"/>
      <c r="AB171" s="87"/>
      <c r="AC171" s="87"/>
      <c r="AD171" s="101"/>
      <c r="AE171" s="214"/>
      <c r="AF171" s="243"/>
      <c r="AG171" s="243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4"/>
      <c r="AB172" s="87"/>
      <c r="AC172" s="87"/>
      <c r="AD172" s="101"/>
      <c r="AE172" s="214"/>
      <c r="AF172" s="24"/>
      <c r="AG172" s="243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4"/>
      <c r="AB173" s="87"/>
      <c r="AC173" s="87"/>
      <c r="AD173" s="101"/>
      <c r="AE173" s="214"/>
      <c r="AF173" s="243"/>
      <c r="AG173" s="243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4"/>
      <c r="AB174" s="87"/>
      <c r="AC174" s="87"/>
      <c r="AD174" s="101"/>
      <c r="AE174" s="214"/>
      <c r="AF174" s="243"/>
      <c r="AG174" s="243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4"/>
      <c r="AB175" s="87"/>
      <c r="AC175" s="87"/>
      <c r="AD175" s="101"/>
      <c r="AE175" s="214"/>
      <c r="AF175" s="24"/>
      <c r="AG175" s="243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4"/>
      <c r="AB176" s="87"/>
      <c r="AC176" s="87"/>
      <c r="AD176" s="101"/>
      <c r="AE176" s="214"/>
      <c r="AF176" s="24"/>
      <c r="AG176" s="243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4"/>
      <c r="AB177" s="87"/>
      <c r="AC177" s="87"/>
      <c r="AD177" s="101"/>
      <c r="AE177" s="214"/>
      <c r="AF177" s="24"/>
      <c r="AG177" s="243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4"/>
      <c r="AB178" s="87"/>
      <c r="AC178" s="87"/>
      <c r="AD178" s="101"/>
      <c r="AE178" s="214"/>
      <c r="AF178" s="24"/>
      <c r="AG178" s="243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4"/>
      <c r="AB179" s="87"/>
      <c r="AC179" s="87"/>
      <c r="AD179" s="101"/>
      <c r="AE179" s="214"/>
      <c r="AF179" s="24"/>
      <c r="AG179" s="243"/>
      <c r="AH179" s="24"/>
      <c r="AI179" s="143"/>
      <c r="AJ179" s="104"/>
    </row>
    <row r="180" spans="2:36" ht="15" customHeight="1" x14ac:dyDescent="0.2">
      <c r="C180" s="229"/>
      <c r="D180" s="241"/>
      <c r="E180" s="110"/>
      <c r="R180" s="12"/>
      <c r="S180" s="24"/>
      <c r="T180" s="24"/>
      <c r="U180" s="24"/>
      <c r="X180" s="87"/>
      <c r="Y180" s="87"/>
      <c r="Z180" s="87"/>
      <c r="AA180" s="244"/>
      <c r="AB180" s="87"/>
      <c r="AC180" s="87"/>
      <c r="AD180" s="101"/>
      <c r="AE180" s="214"/>
      <c r="AF180" s="24"/>
      <c r="AG180" s="243"/>
      <c r="AH180" s="24"/>
      <c r="AI180" s="143"/>
      <c r="AJ180" s="104"/>
    </row>
    <row r="181" spans="2:36" ht="15" customHeight="1" x14ac:dyDescent="0.2">
      <c r="C181" s="229"/>
      <c r="D181" s="241"/>
      <c r="E181" s="110"/>
      <c r="R181" s="12"/>
      <c r="S181" s="24"/>
      <c r="T181" s="24"/>
      <c r="U181" s="24"/>
      <c r="X181" s="87"/>
      <c r="Y181" s="87"/>
      <c r="Z181" s="87"/>
      <c r="AA181" s="244"/>
      <c r="AB181" s="87"/>
      <c r="AC181" s="87"/>
      <c r="AD181" s="101"/>
      <c r="AE181" s="214"/>
      <c r="AF181" s="24"/>
      <c r="AG181" s="243"/>
      <c r="AH181" s="24"/>
      <c r="AI181" s="143"/>
      <c r="AJ181" s="104"/>
    </row>
    <row r="182" spans="2:36" ht="15" customHeight="1" x14ac:dyDescent="0.2">
      <c r="C182" s="229"/>
      <c r="D182" s="241"/>
      <c r="E182" s="110"/>
      <c r="R182" s="12"/>
      <c r="S182" s="24"/>
      <c r="T182" s="24"/>
      <c r="U182" s="24"/>
      <c r="X182" s="87"/>
      <c r="Y182" s="87"/>
      <c r="Z182" s="87"/>
      <c r="AA182" s="244"/>
      <c r="AB182" s="87"/>
      <c r="AC182" s="87"/>
      <c r="AD182" s="101"/>
      <c r="AE182" s="214"/>
      <c r="AF182" s="24"/>
      <c r="AG182" s="243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4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4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4"/>
      <c r="AB185" s="87"/>
      <c r="AC185" s="87"/>
      <c r="AD185" s="101"/>
      <c r="AE185" s="214"/>
      <c r="AF185" s="24"/>
      <c r="AG185" s="243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4"/>
      <c r="AB186" s="87"/>
      <c r="AC186" s="87"/>
      <c r="AD186" s="101"/>
      <c r="AE186" s="214"/>
      <c r="AF186" s="24"/>
      <c r="AG186" s="243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4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4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4"/>
      <c r="AB189" s="87"/>
      <c r="AC189" s="87"/>
      <c r="AD189" s="101"/>
      <c r="AE189" s="214"/>
      <c r="AF189" s="243"/>
      <c r="AG189" s="243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4"/>
      <c r="AB190" s="87"/>
      <c r="AC190" s="87"/>
      <c r="AD190" s="101"/>
      <c r="AE190" s="214"/>
      <c r="AF190" s="243"/>
      <c r="AG190" s="243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4"/>
      <c r="AB191" s="87"/>
      <c r="AC191" s="87"/>
      <c r="AD191" s="101"/>
      <c r="AE191" s="214"/>
      <c r="AF191" s="243"/>
      <c r="AG191" s="243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4"/>
      <c r="AB192" s="87"/>
      <c r="AC192" s="87"/>
      <c r="AD192" s="101"/>
      <c r="AE192" s="214"/>
      <c r="AF192" s="243"/>
      <c r="AG192" s="243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4"/>
      <c r="AB193" s="87"/>
      <c r="AC193" s="87"/>
      <c r="AD193" s="101"/>
      <c r="AE193" s="214"/>
      <c r="AF193" s="24"/>
      <c r="AG193" s="243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4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4"/>
      <c r="AB195" s="87"/>
      <c r="AC195" s="87"/>
      <c r="AD195" s="101"/>
      <c r="AE195" s="214"/>
      <c r="AF195" s="243"/>
      <c r="AG195" s="243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4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4"/>
      <c r="AB197" s="87"/>
      <c r="AC197" s="87"/>
      <c r="AD197" s="101"/>
      <c r="AE197" s="214"/>
      <c r="AF197" s="243"/>
      <c r="AG197" s="243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3"/>
      <c r="AG199" s="243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3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3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3"/>
      <c r="AG202" s="243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3"/>
      <c r="AG203" s="243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3"/>
      <c r="AG204" s="243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6"/>
      <c r="T207" s="24"/>
      <c r="U207" s="24"/>
      <c r="AD207" s="101"/>
      <c r="AE207" s="214"/>
      <c r="AF207" s="243"/>
      <c r="AG207" s="243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3"/>
      <c r="AG208" s="243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3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3"/>
      <c r="AG210" s="243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3"/>
      <c r="AG211" s="243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3"/>
      <c r="AG212" s="243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3"/>
      <c r="AG213" s="243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3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1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1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1"/>
      <c r="AG217" s="241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5"/>
      <c r="AG218" s="245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5"/>
      <c r="AG219" s="245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5"/>
      <c r="AG220" s="245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5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3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3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3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1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1"/>
      <c r="AG226" s="241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1"/>
      <c r="AG227" s="241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1"/>
      <c r="AG228" s="241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1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1"/>
      <c r="AG230" s="245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1"/>
      <c r="AG231" s="245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1"/>
      <c r="AG232" s="245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3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1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1"/>
      <c r="AG239" s="246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1"/>
      <c r="AG240" s="246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1"/>
      <c r="AG241" s="246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1"/>
      <c r="AG242" s="245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1"/>
      <c r="AG243" s="246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1"/>
      <c r="AG244" s="245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1"/>
      <c r="AG245" s="245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3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7"/>
      <c r="AG247" s="248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7"/>
      <c r="AG248" s="247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9"/>
      <c r="AG249" s="246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9"/>
      <c r="AG250" s="246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7"/>
      <c r="AG251" s="247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3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7"/>
      <c r="AG255" s="245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7"/>
      <c r="AG256" s="247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9"/>
      <c r="AG257" s="246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7"/>
      <c r="AG258" s="247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3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9"/>
      <c r="AG263" s="248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7"/>
      <c r="AG264" s="247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7"/>
      <c r="AG265" s="247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3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3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3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3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3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9"/>
      <c r="AG271" s="245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9"/>
      <c r="AG272" s="247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7"/>
      <c r="AG273" s="247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3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3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3"/>
      <c r="AG276" s="243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9"/>
      <c r="AG278" s="248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9"/>
      <c r="AG279" s="246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9"/>
      <c r="AG280" s="246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3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3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3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4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4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3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4" workbookViewId="3">
      <selection activeCell="A44" sqref="A44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">
      <c r="A8" s="10">
        <v>1</v>
      </c>
      <c r="B8" s="11"/>
      <c r="C8" s="11"/>
      <c r="D8" s="11">
        <v>18</v>
      </c>
      <c r="E8" s="11"/>
      <c r="F8" s="25">
        <f>+E8+C8-D8-B8</f>
        <v>-18</v>
      </c>
    </row>
    <row r="9" spans="1:6" x14ac:dyDescent="0.2">
      <c r="A9" s="10">
        <v>2</v>
      </c>
      <c r="B9" s="11"/>
      <c r="C9" s="11"/>
      <c r="D9" s="11">
        <v>7</v>
      </c>
      <c r="E9" s="11"/>
      <c r="F9" s="25">
        <f t="shared" ref="F9:F38" si="0">+E9+C9-D9-B9</f>
        <v>-7</v>
      </c>
    </row>
    <row r="10" spans="1:6" x14ac:dyDescent="0.2">
      <c r="A10" s="10">
        <v>3</v>
      </c>
      <c r="B10" s="11"/>
      <c r="C10" s="11"/>
      <c r="D10" s="11">
        <v>20</v>
      </c>
      <c r="E10" s="11"/>
      <c r="F10" s="25">
        <f t="shared" si="0"/>
        <v>-20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66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45</v>
      </c>
      <c r="E39" s="11">
        <f>SUM(E8:E38)</f>
        <v>0</v>
      </c>
      <c r="F39" s="25">
        <f>SUM(F8:F38)</f>
        <v>-45</v>
      </c>
    </row>
    <row r="40" spans="1:6" x14ac:dyDescent="0.2">
      <c r="A40" s="26"/>
      <c r="C40" s="14"/>
      <c r="F40" s="261">
        <f>+summary!P11</f>
        <v>2.65</v>
      </c>
    </row>
    <row r="41" spans="1:6" x14ac:dyDescent="0.2">
      <c r="F41" s="138">
        <f>+F40*F39</f>
        <v>-119.25</v>
      </c>
    </row>
    <row r="42" spans="1:6" x14ac:dyDescent="0.2">
      <c r="A42" s="57">
        <v>37072</v>
      </c>
      <c r="C42" s="15"/>
      <c r="F42" s="404">
        <v>-19289</v>
      </c>
    </row>
    <row r="43" spans="1:6" x14ac:dyDescent="0.2">
      <c r="A43" s="57">
        <v>37075</v>
      </c>
      <c r="C43" s="48"/>
      <c r="F43" s="138">
        <f>+F42+F41</f>
        <v>-19408.25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5" workbookViewId="3">
      <selection activeCell="A44" sqref="A44"/>
    </sheetView>
  </sheetViews>
  <sheetFormatPr defaultRowHeight="12.75" x14ac:dyDescent="0.2"/>
  <sheetData>
    <row r="5" spans="1:4" ht="15" x14ac:dyDescent="0.25">
      <c r="A5" s="134"/>
      <c r="B5" s="34" t="s">
        <v>121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12</v>
      </c>
      <c r="B7" s="6" t="s">
        <v>21</v>
      </c>
      <c r="C7" s="6" t="s">
        <v>22</v>
      </c>
    </row>
    <row r="8" spans="1:4" x14ac:dyDescent="0.2">
      <c r="A8" s="10">
        <v>1</v>
      </c>
      <c r="B8" s="11">
        <v>0</v>
      </c>
      <c r="C8" s="11">
        <v>0</v>
      </c>
      <c r="D8" s="25">
        <f>+C8-B8</f>
        <v>0</v>
      </c>
    </row>
    <row r="9" spans="1:4" x14ac:dyDescent="0.2">
      <c r="A9" s="10">
        <v>2</v>
      </c>
      <c r="B9" s="11">
        <v>0</v>
      </c>
      <c r="C9" s="11">
        <v>0</v>
      </c>
      <c r="D9" s="25">
        <f t="shared" ref="D9:D38" si="0">+C9-B9</f>
        <v>0</v>
      </c>
    </row>
    <row r="10" spans="1:4" x14ac:dyDescent="0.2">
      <c r="A10" s="10">
        <v>3</v>
      </c>
      <c r="B10" s="11">
        <v>0</v>
      </c>
      <c r="C10" s="11">
        <v>0</v>
      </c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261">
        <f>+summary!P11</f>
        <v>2.65</v>
      </c>
    </row>
    <row r="41" spans="1:4" x14ac:dyDescent="0.2">
      <c r="D41" s="138">
        <f>+D40*D39</f>
        <v>0</v>
      </c>
    </row>
    <row r="42" spans="1:4" x14ac:dyDescent="0.2">
      <c r="A42" s="57">
        <v>37072</v>
      </c>
      <c r="C42" s="15"/>
      <c r="D42" s="404">
        <v>326755</v>
      </c>
    </row>
    <row r="43" spans="1:4" x14ac:dyDescent="0.2">
      <c r="A43" s="57">
        <v>37075</v>
      </c>
      <c r="C43" s="48"/>
      <c r="D43" s="138">
        <f>+D42+D41</f>
        <v>326755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/>
    <sheetView topLeftCell="A26" workbookViewId="2">
      <selection activeCell="D34" sqref="D34"/>
    </sheetView>
    <sheetView topLeftCell="A26" workbookViewId="3">
      <selection activeCell="A42" sqref="A42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144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-41811</v>
      </c>
      <c r="C6" s="11">
        <v>-40000</v>
      </c>
      <c r="D6" s="25">
        <f>+C6-B6</f>
        <v>1811</v>
      </c>
    </row>
    <row r="7" spans="1:4" x14ac:dyDescent="0.2">
      <c r="A7" s="10">
        <v>2</v>
      </c>
      <c r="B7" s="11">
        <v>-75942</v>
      </c>
      <c r="C7" s="11">
        <v>-40000</v>
      </c>
      <c r="D7" s="25">
        <f t="shared" ref="D7:D36" si="0">+C7-B7</f>
        <v>35942</v>
      </c>
    </row>
    <row r="8" spans="1:4" x14ac:dyDescent="0.2">
      <c r="A8" s="10">
        <v>3</v>
      </c>
      <c r="B8" s="11">
        <v>-74100</v>
      </c>
      <c r="C8" s="11">
        <v>-50000</v>
      </c>
      <c r="D8" s="25">
        <f t="shared" si="0"/>
        <v>24100</v>
      </c>
    </row>
    <row r="9" spans="1:4" x14ac:dyDescent="0.2">
      <c r="A9" s="10">
        <v>4</v>
      </c>
      <c r="B9" s="11">
        <v>-68369</v>
      </c>
      <c r="C9" s="11">
        <v>-65300</v>
      </c>
      <c r="D9" s="25">
        <f t="shared" si="0"/>
        <v>3069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-260222</v>
      </c>
      <c r="C37" s="11">
        <f>SUM(C6:C36)</f>
        <v>-195300</v>
      </c>
      <c r="D37" s="25">
        <f>SUM(D6:D36)</f>
        <v>64922</v>
      </c>
    </row>
    <row r="38" spans="1:4" x14ac:dyDescent="0.2">
      <c r="A38" s="26"/>
      <c r="C38" s="14"/>
      <c r="D38" s="373">
        <f>+summary!P11</f>
        <v>2.65</v>
      </c>
    </row>
    <row r="39" spans="1:4" x14ac:dyDescent="0.2">
      <c r="D39" s="138">
        <f>+D38*D37</f>
        <v>172043.3</v>
      </c>
    </row>
    <row r="40" spans="1:4" x14ac:dyDescent="0.2">
      <c r="A40" s="57">
        <v>37072</v>
      </c>
      <c r="C40" s="15"/>
      <c r="D40" s="404">
        <v>-373656</v>
      </c>
    </row>
    <row r="41" spans="1:4" x14ac:dyDescent="0.2">
      <c r="A41" s="57">
        <v>37076</v>
      </c>
      <c r="C41" s="48"/>
      <c r="D41" s="138">
        <f>+D40+D39</f>
        <v>-201612.7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topLeftCell="A26" workbookViewId="2">
      <selection activeCell="D41" sqref="D41"/>
    </sheetView>
    <sheetView topLeftCell="A24" workbookViewId="3">
      <selection activeCell="C33" sqref="C33"/>
    </sheetView>
  </sheetViews>
  <sheetFormatPr defaultRowHeight="12.75" x14ac:dyDescent="0.2"/>
  <sheetData>
    <row r="3" spans="1:4" ht="15" x14ac:dyDescent="0.25">
      <c r="A3" s="134"/>
      <c r="B3" s="34" t="s">
        <v>142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41397</v>
      </c>
      <c r="C6" s="11">
        <v>40000</v>
      </c>
      <c r="D6" s="25">
        <f>+C6-B6</f>
        <v>-1397</v>
      </c>
    </row>
    <row r="7" spans="1:4" x14ac:dyDescent="0.2">
      <c r="A7" s="10">
        <v>2</v>
      </c>
      <c r="B7" s="11">
        <v>45176</v>
      </c>
      <c r="C7" s="11">
        <v>42000</v>
      </c>
      <c r="D7" s="25">
        <f t="shared" ref="D7:D36" si="0">+C7-B7</f>
        <v>-3176</v>
      </c>
    </row>
    <row r="8" spans="1:4" x14ac:dyDescent="0.2">
      <c r="A8" s="10">
        <v>3</v>
      </c>
      <c r="B8" s="11">
        <v>44413</v>
      </c>
      <c r="C8" s="11">
        <v>42000</v>
      </c>
      <c r="D8" s="25">
        <f t="shared" si="0"/>
        <v>-2413</v>
      </c>
    </row>
    <row r="9" spans="1:4" x14ac:dyDescent="0.2">
      <c r="A9" s="10">
        <v>4</v>
      </c>
      <c r="B9" s="11">
        <v>42918</v>
      </c>
      <c r="C9" s="11">
        <v>40464</v>
      </c>
      <c r="D9" s="25">
        <f t="shared" si="0"/>
        <v>-2454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173904</v>
      </c>
      <c r="C37" s="11">
        <f>SUM(C6:C36)</f>
        <v>164464</v>
      </c>
      <c r="D37" s="25">
        <f>SUM(D6:D36)</f>
        <v>-9440</v>
      </c>
    </row>
    <row r="38" spans="1:4" x14ac:dyDescent="0.2">
      <c r="A38" s="26"/>
      <c r="C38" s="14"/>
      <c r="D38" s="373">
        <f>+summary!P12</f>
        <v>2.83</v>
      </c>
    </row>
    <row r="39" spans="1:4" x14ac:dyDescent="0.2">
      <c r="D39" s="138">
        <f>+D38*D37</f>
        <v>-26715.200000000001</v>
      </c>
    </row>
    <row r="40" spans="1:4" x14ac:dyDescent="0.2">
      <c r="A40" s="57">
        <v>37072</v>
      </c>
      <c r="C40" s="15"/>
      <c r="D40" s="404">
        <v>-72391</v>
      </c>
    </row>
    <row r="41" spans="1:4" x14ac:dyDescent="0.2">
      <c r="A41" s="57">
        <v>37076</v>
      </c>
      <c r="C41" s="48"/>
      <c r="D41" s="138">
        <f>+D40+D39</f>
        <v>-99106.2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topLeftCell="A26" workbookViewId="1">
      <selection activeCell="J38" sqref="J38"/>
    </sheetView>
    <sheetView topLeftCell="A26" workbookViewId="2">
      <selection activeCell="J38" sqref="J38"/>
    </sheetView>
    <sheetView workbookViewId="3">
      <selection activeCell="E8" sqref="E8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136</v>
      </c>
      <c r="D1" s="1" t="s">
        <v>9</v>
      </c>
      <c r="F1" s="1" t="s">
        <v>10</v>
      </c>
      <c r="H1" s="1" t="s">
        <v>11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351698</v>
      </c>
      <c r="C4" s="11">
        <v>350476</v>
      </c>
      <c r="D4" s="11">
        <v>53117</v>
      </c>
      <c r="E4" s="11">
        <v>45924</v>
      </c>
      <c r="F4" s="11">
        <v>82042</v>
      </c>
      <c r="G4" s="11">
        <v>94042</v>
      </c>
      <c r="H4" s="11">
        <v>78203</v>
      </c>
      <c r="I4" s="11">
        <v>73803</v>
      </c>
      <c r="J4" s="11">
        <f t="shared" ref="J4:J34" si="0">+C4+E4+G4+I4-H4-F4-D4-B4</f>
        <v>-815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362354</v>
      </c>
      <c r="C5" s="11">
        <v>371662</v>
      </c>
      <c r="D5" s="11">
        <v>51911</v>
      </c>
      <c r="E5" s="11">
        <v>42633</v>
      </c>
      <c r="F5" s="11">
        <v>83617</v>
      </c>
      <c r="G5" s="11">
        <v>93854</v>
      </c>
      <c r="H5" s="11">
        <v>79048</v>
      </c>
      <c r="I5" s="11">
        <v>73052</v>
      </c>
      <c r="J5" s="11">
        <f t="shared" si="0"/>
        <v>4271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365025</v>
      </c>
      <c r="C6" s="11">
        <v>376259</v>
      </c>
      <c r="D6" s="11">
        <v>55426</v>
      </c>
      <c r="E6" s="11">
        <v>51697</v>
      </c>
      <c r="F6" s="11">
        <v>78010</v>
      </c>
      <c r="G6" s="11">
        <v>79498</v>
      </c>
      <c r="H6" s="11">
        <v>93776</v>
      </c>
      <c r="I6" s="11">
        <v>87381</v>
      </c>
      <c r="J6" s="11">
        <f t="shared" si="0"/>
        <v>2598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325437</v>
      </c>
      <c r="C7" s="11">
        <v>340000</v>
      </c>
      <c r="D7" s="11">
        <v>69673</v>
      </c>
      <c r="E7" s="11">
        <v>50321</v>
      </c>
      <c r="F7" s="11">
        <v>77206</v>
      </c>
      <c r="G7" s="11">
        <v>88206</v>
      </c>
      <c r="H7" s="11">
        <v>97217</v>
      </c>
      <c r="I7" s="11">
        <v>90822</v>
      </c>
      <c r="J7" s="11">
        <f t="shared" si="0"/>
        <v>-184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/>
      <c r="C8" s="11"/>
      <c r="D8" s="11"/>
      <c r="E8" s="11"/>
      <c r="F8" s="11"/>
      <c r="G8" s="11"/>
      <c r="H8" s="11"/>
      <c r="I8" s="11"/>
      <c r="J8" s="11">
        <f t="shared" si="0"/>
        <v>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/>
      <c r="C10" s="11"/>
      <c r="D10" s="11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1404514</v>
      </c>
      <c r="C35" s="11">
        <f t="shared" ref="C35:I35" si="1">SUM(C4:C34)</f>
        <v>1438397</v>
      </c>
      <c r="D35" s="11">
        <f t="shared" si="1"/>
        <v>230127</v>
      </c>
      <c r="E35" s="11">
        <f t="shared" si="1"/>
        <v>190575</v>
      </c>
      <c r="F35" s="11">
        <f t="shared" si="1"/>
        <v>320875</v>
      </c>
      <c r="G35" s="11">
        <f t="shared" si="1"/>
        <v>355600</v>
      </c>
      <c r="H35" s="11">
        <f t="shared" si="1"/>
        <v>348244</v>
      </c>
      <c r="I35" s="11">
        <f t="shared" si="1"/>
        <v>325058</v>
      </c>
      <c r="J35" s="11">
        <f>SUM(J4:J34)</f>
        <v>5870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37072</v>
      </c>
      <c r="C38" s="25"/>
      <c r="E38" s="25"/>
      <c r="G38" s="25"/>
      <c r="I38" s="25"/>
      <c r="J38" s="402">
        <v>286330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37075</v>
      </c>
      <c r="J40" s="51">
        <f>+J38+J35</f>
        <v>292200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283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283">
        <v>2.3800000000000002E-2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283">
        <v>1.5299999999999999E-2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283">
        <f>+D71-D72</f>
        <v>8.5000000000000023E-3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4" workbookViewId="3">
      <selection activeCell="B32" sqref="B32"/>
    </sheetView>
  </sheetViews>
  <sheetFormatPr defaultRowHeight="12.75" x14ac:dyDescent="0.2"/>
  <sheetData>
    <row r="3" spans="1:4" ht="15" x14ac:dyDescent="0.25">
      <c r="A3" s="134"/>
      <c r="B3" s="34" t="s">
        <v>145</v>
      </c>
    </row>
    <row r="4" spans="1:4" x14ac:dyDescent="0.2">
      <c r="A4" s="3"/>
      <c r="B4" s="59" t="s">
        <v>146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60371</v>
      </c>
      <c r="C6" s="11">
        <v>70065</v>
      </c>
      <c r="D6" s="25">
        <f>+C6-B6</f>
        <v>9694</v>
      </c>
    </row>
    <row r="7" spans="1:4" x14ac:dyDescent="0.2">
      <c r="A7" s="10">
        <v>2</v>
      </c>
      <c r="B7" s="11">
        <v>72797</v>
      </c>
      <c r="C7" s="11">
        <v>71930</v>
      </c>
      <c r="D7" s="25">
        <f t="shared" ref="D7:D36" si="0">+C7-B7</f>
        <v>-867</v>
      </c>
    </row>
    <row r="8" spans="1:4" x14ac:dyDescent="0.2">
      <c r="A8" s="10">
        <v>3</v>
      </c>
      <c r="B8" s="11">
        <v>61156</v>
      </c>
      <c r="C8" s="11">
        <v>61980</v>
      </c>
      <c r="D8" s="25">
        <f t="shared" si="0"/>
        <v>824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194324</v>
      </c>
      <c r="C37" s="11">
        <f>SUM(C6:C36)</f>
        <v>203975</v>
      </c>
      <c r="D37" s="25">
        <f>SUM(D6:D36)</f>
        <v>9651</v>
      </c>
    </row>
    <row r="38" spans="1:4" x14ac:dyDescent="0.2">
      <c r="A38" s="26"/>
      <c r="C38" s="14"/>
      <c r="D38" s="373">
        <f>+summary!P11</f>
        <v>2.65</v>
      </c>
    </row>
    <row r="39" spans="1:4" x14ac:dyDescent="0.2">
      <c r="D39" s="138">
        <f>+D38*D37</f>
        <v>25575.149999999998</v>
      </c>
    </row>
    <row r="40" spans="1:4" x14ac:dyDescent="0.2">
      <c r="A40" s="57">
        <v>37072</v>
      </c>
      <c r="C40" s="15"/>
      <c r="D40" s="404">
        <v>855395</v>
      </c>
    </row>
    <row r="41" spans="1:4" x14ac:dyDescent="0.2">
      <c r="A41" s="57">
        <v>37075</v>
      </c>
      <c r="C41" s="48"/>
      <c r="D41" s="138">
        <f>+D40+D39</f>
        <v>880970.15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1"/>
  <sheetViews>
    <sheetView workbookViewId="0"/>
    <sheetView workbookViewId="1"/>
    <sheetView topLeftCell="A26" workbookViewId="2">
      <selection activeCell="D40" sqref="D40"/>
    </sheetView>
    <sheetView topLeftCell="A24" workbookViewId="3">
      <selection activeCell="B33" sqref="B33"/>
    </sheetView>
  </sheetViews>
  <sheetFormatPr defaultRowHeight="12.75" x14ac:dyDescent="0.2"/>
  <sheetData>
    <row r="3" spans="1:5" ht="15" x14ac:dyDescent="0.25">
      <c r="A3" s="134"/>
      <c r="B3" s="3" t="s">
        <v>147</v>
      </c>
      <c r="C3" s="87"/>
      <c r="D3" s="87"/>
      <c r="E3" s="87"/>
    </row>
    <row r="4" spans="1:5" x14ac:dyDescent="0.2">
      <c r="A4" s="3"/>
      <c r="B4" s="376" t="s">
        <v>148</v>
      </c>
      <c r="C4" s="87"/>
      <c r="D4" s="3"/>
      <c r="E4" s="87"/>
    </row>
    <row r="5" spans="1:5" x14ac:dyDescent="0.2">
      <c r="A5" s="5" t="s">
        <v>12</v>
      </c>
      <c r="B5" s="6" t="s">
        <v>21</v>
      </c>
      <c r="C5" s="6" t="s">
        <v>22</v>
      </c>
    </row>
    <row r="6" spans="1:5" x14ac:dyDescent="0.2">
      <c r="A6" s="10">
        <v>1</v>
      </c>
      <c r="B6" s="11"/>
      <c r="C6" s="11">
        <v>-2198</v>
      </c>
      <c r="D6" s="25">
        <f>+C6-B6</f>
        <v>-2198</v>
      </c>
    </row>
    <row r="7" spans="1:5" x14ac:dyDescent="0.2">
      <c r="A7" s="10">
        <v>2</v>
      </c>
      <c r="B7" s="11">
        <v>-2087</v>
      </c>
      <c r="C7" s="11">
        <v>-3232</v>
      </c>
      <c r="D7" s="25">
        <f t="shared" ref="D7:D36" si="0">+C7-B7</f>
        <v>-1145</v>
      </c>
    </row>
    <row r="8" spans="1:5" x14ac:dyDescent="0.2">
      <c r="A8" s="10">
        <v>3</v>
      </c>
      <c r="B8" s="11">
        <v>-2</v>
      </c>
      <c r="C8" s="11">
        <v>-2673</v>
      </c>
      <c r="D8" s="25">
        <f t="shared" si="0"/>
        <v>-2671</v>
      </c>
    </row>
    <row r="9" spans="1:5" x14ac:dyDescent="0.2">
      <c r="A9" s="10">
        <v>4</v>
      </c>
      <c r="B9" s="11"/>
      <c r="C9" s="11"/>
      <c r="D9" s="25">
        <f t="shared" si="0"/>
        <v>0</v>
      </c>
    </row>
    <row r="10" spans="1:5" x14ac:dyDescent="0.2">
      <c r="A10" s="10">
        <v>5</v>
      </c>
      <c r="B10" s="11"/>
      <c r="C10" s="11"/>
      <c r="D10" s="25">
        <f t="shared" si="0"/>
        <v>0</v>
      </c>
    </row>
    <row r="11" spans="1:5" x14ac:dyDescent="0.2">
      <c r="A11" s="10">
        <v>6</v>
      </c>
      <c r="B11" s="11"/>
      <c r="C11" s="11"/>
      <c r="D11" s="25">
        <f t="shared" si="0"/>
        <v>0</v>
      </c>
    </row>
    <row r="12" spans="1:5" x14ac:dyDescent="0.2">
      <c r="A12" s="10">
        <v>7</v>
      </c>
      <c r="B12" s="11"/>
      <c r="C12" s="11"/>
      <c r="D12" s="25">
        <f t="shared" si="0"/>
        <v>0</v>
      </c>
    </row>
    <row r="13" spans="1:5" x14ac:dyDescent="0.2">
      <c r="A13" s="10">
        <v>8</v>
      </c>
      <c r="B13" s="11"/>
      <c r="C13" s="11"/>
      <c r="D13" s="25">
        <f t="shared" si="0"/>
        <v>0</v>
      </c>
    </row>
    <row r="14" spans="1:5" x14ac:dyDescent="0.2">
      <c r="A14" s="10">
        <v>9</v>
      </c>
      <c r="B14" s="11"/>
      <c r="C14" s="11"/>
      <c r="D14" s="25">
        <f t="shared" si="0"/>
        <v>0</v>
      </c>
    </row>
    <row r="15" spans="1:5" x14ac:dyDescent="0.2">
      <c r="A15" s="10">
        <v>10</v>
      </c>
      <c r="B15" s="11"/>
      <c r="C15" s="11"/>
      <c r="D15" s="25">
        <f t="shared" si="0"/>
        <v>0</v>
      </c>
    </row>
    <row r="16" spans="1:5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-2089</v>
      </c>
      <c r="C37" s="11">
        <f>SUM(C6:C36)</f>
        <v>-8103</v>
      </c>
      <c r="D37" s="25">
        <f>SUM(D6:D36)</f>
        <v>-6014</v>
      </c>
    </row>
    <row r="38" spans="1:4" x14ac:dyDescent="0.2">
      <c r="A38" s="26"/>
      <c r="C38" s="14"/>
      <c r="D38" s="373">
        <f>+summary!P11</f>
        <v>2.65</v>
      </c>
    </row>
    <row r="39" spans="1:4" x14ac:dyDescent="0.2">
      <c r="D39" s="138">
        <f>+D38*D37</f>
        <v>-15937.1</v>
      </c>
    </row>
    <row r="40" spans="1:4" x14ac:dyDescent="0.2">
      <c r="A40" s="57">
        <v>37072</v>
      </c>
      <c r="C40" s="15"/>
      <c r="D40" s="404">
        <v>-346060</v>
      </c>
    </row>
    <row r="41" spans="1:4" x14ac:dyDescent="0.2">
      <c r="A41" s="57">
        <v>37075</v>
      </c>
      <c r="C41" s="48"/>
      <c r="D41" s="138">
        <f>+D40+D39</f>
        <v>-361997.1</v>
      </c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2"/>
  <sheetViews>
    <sheetView workbookViewId="0"/>
    <sheetView topLeftCell="A26" workbookViewId="1">
      <selection activeCell="A42" sqref="A42"/>
    </sheetView>
    <sheetView workbookViewId="2"/>
    <sheetView topLeftCell="A24" workbookViewId="3">
      <selection activeCell="A40" sqref="A4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154</v>
      </c>
      <c r="C3" s="87"/>
      <c r="D3" s="87"/>
    </row>
    <row r="4" spans="1:4" x14ac:dyDescent="0.2">
      <c r="A4" s="3"/>
      <c r="B4" s="376" t="s">
        <v>150</v>
      </c>
      <c r="C4" s="87"/>
      <c r="D4" s="3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0</v>
      </c>
      <c r="C6" s="11">
        <v>0</v>
      </c>
      <c r="D6" s="25">
        <f>+C6-B6</f>
        <v>0</v>
      </c>
    </row>
    <row r="7" spans="1:4" x14ac:dyDescent="0.2">
      <c r="A7" s="10">
        <v>2</v>
      </c>
      <c r="B7" s="11">
        <v>0</v>
      </c>
      <c r="C7" s="11">
        <v>0</v>
      </c>
      <c r="D7" s="25">
        <f t="shared" ref="D7:D36" si="0">+C7-B7</f>
        <v>0</v>
      </c>
    </row>
    <row r="8" spans="1:4" x14ac:dyDescent="0.2">
      <c r="A8" s="10">
        <v>3</v>
      </c>
      <c r="B8" s="11">
        <v>0</v>
      </c>
      <c r="C8" s="11">
        <v>0</v>
      </c>
      <c r="D8" s="25">
        <f t="shared" si="0"/>
        <v>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73">
        <f>+summary!P11</f>
        <v>2.65</v>
      </c>
    </row>
    <row r="39" spans="1:4" x14ac:dyDescent="0.2">
      <c r="D39" s="138">
        <f>+D38*D37</f>
        <v>0</v>
      </c>
    </row>
    <row r="40" spans="1:4" x14ac:dyDescent="0.2">
      <c r="A40" s="57">
        <v>37072</v>
      </c>
      <c r="C40" s="15"/>
      <c r="D40" s="404">
        <v>-215290</v>
      </c>
    </row>
    <row r="41" spans="1:4" x14ac:dyDescent="0.2">
      <c r="A41" s="57">
        <v>37076</v>
      </c>
      <c r="C41" s="48"/>
      <c r="D41" s="138">
        <f>+D40+D39</f>
        <v>-215290</v>
      </c>
    </row>
    <row r="42" spans="1:4" x14ac:dyDescent="0.2">
      <c r="D42" s="2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workbookViewId="3">
      <selection activeCell="D17" sqref="D17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149</v>
      </c>
      <c r="B3" s="88"/>
      <c r="C3" s="266"/>
      <c r="D3" s="88"/>
    </row>
    <row r="4" spans="1:13" x14ac:dyDescent="0.2">
      <c r="A4" s="87"/>
      <c r="B4" s="262" t="s">
        <v>21</v>
      </c>
      <c r="C4" s="262" t="s">
        <v>22</v>
      </c>
      <c r="D4" s="263" t="s">
        <v>52</v>
      </c>
    </row>
    <row r="5" spans="1:13" x14ac:dyDescent="0.2">
      <c r="A5" s="87">
        <v>56659</v>
      </c>
      <c r="B5" s="370"/>
      <c r="C5" s="90"/>
      <c r="D5" s="90">
        <f>+C5-B5</f>
        <v>0</v>
      </c>
      <c r="E5" s="287"/>
      <c r="F5" s="285"/>
    </row>
    <row r="6" spans="1:13" x14ac:dyDescent="0.2">
      <c r="A6" s="87">
        <v>500046</v>
      </c>
      <c r="B6" s="90"/>
      <c r="C6" s="90"/>
      <c r="D6" s="90">
        <f t="shared" ref="D6:D11" si="0">+C6-B6</f>
        <v>0</v>
      </c>
      <c r="E6" s="287"/>
      <c r="F6" s="285"/>
      <c r="K6" s="65">
        <v>36531</v>
      </c>
      <c r="L6" t="s">
        <v>26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7"/>
      <c r="F7" s="285"/>
      <c r="L7" t="s">
        <v>27</v>
      </c>
      <c r="M7">
        <v>7.6</v>
      </c>
    </row>
    <row r="8" spans="1:13" x14ac:dyDescent="0.2">
      <c r="A8" s="87">
        <v>500134</v>
      </c>
      <c r="B8" s="92"/>
      <c r="C8" s="90"/>
      <c r="D8" s="90">
        <f t="shared" si="0"/>
        <v>0</v>
      </c>
      <c r="E8" s="287"/>
      <c r="F8" s="285"/>
    </row>
    <row r="9" spans="1:13" x14ac:dyDescent="0.2">
      <c r="A9" s="87">
        <v>500528</v>
      </c>
      <c r="B9" s="92"/>
      <c r="C9" s="90"/>
      <c r="D9" s="90">
        <f t="shared" si="0"/>
        <v>0</v>
      </c>
      <c r="E9" s="287"/>
      <c r="F9" s="285"/>
    </row>
    <row r="10" spans="1:13" x14ac:dyDescent="0.2">
      <c r="A10" s="87">
        <v>500529</v>
      </c>
      <c r="B10" s="90"/>
      <c r="C10" s="331"/>
      <c r="D10" s="90">
        <f t="shared" si="0"/>
        <v>0</v>
      </c>
      <c r="E10" s="287"/>
      <c r="F10" s="285"/>
    </row>
    <row r="11" spans="1:13" x14ac:dyDescent="0.2">
      <c r="A11" s="87">
        <v>500619</v>
      </c>
      <c r="B11" s="331"/>
      <c r="C11" s="90"/>
      <c r="D11" s="384">
        <f t="shared" si="0"/>
        <v>0</v>
      </c>
      <c r="E11" s="287"/>
      <c r="F11" s="285"/>
    </row>
    <row r="12" spans="1:13" x14ac:dyDescent="0.2">
      <c r="A12" s="87"/>
      <c r="B12" s="88"/>
      <c r="C12" s="88"/>
      <c r="D12" s="88">
        <f>SUM(D5:D11)</f>
        <v>0</v>
      </c>
      <c r="E12" s="287"/>
      <c r="F12" s="285"/>
    </row>
    <row r="13" spans="1:13" x14ac:dyDescent="0.2">
      <c r="A13" s="87" t="s">
        <v>86</v>
      </c>
      <c r="B13" s="88"/>
      <c r="C13" s="88"/>
      <c r="D13" s="95">
        <f>+summary!P11</f>
        <v>2.65</v>
      </c>
      <c r="E13" s="289"/>
      <c r="F13" s="285"/>
    </row>
    <row r="14" spans="1:13" x14ac:dyDescent="0.2">
      <c r="A14" s="87"/>
      <c r="B14" s="88"/>
      <c r="C14" s="88"/>
      <c r="D14" s="96">
        <f>+D13*D12</f>
        <v>0</v>
      </c>
      <c r="E14" s="209"/>
      <c r="F14" s="286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37072</v>
      </c>
      <c r="B16" s="88"/>
      <c r="C16" s="88"/>
      <c r="D16" s="414">
        <v>-886028.59</v>
      </c>
      <c r="E16" s="209"/>
      <c r="F16" s="66"/>
    </row>
    <row r="17" spans="1:7" x14ac:dyDescent="0.2">
      <c r="A17" s="87"/>
      <c r="B17" s="88"/>
      <c r="C17" s="88"/>
      <c r="D17" s="336"/>
      <c r="E17" s="209"/>
      <c r="F17" s="66"/>
    </row>
    <row r="18" spans="1:7" ht="13.5" thickBot="1" x14ac:dyDescent="0.25">
      <c r="A18" s="99">
        <v>37072</v>
      </c>
      <c r="B18" s="88"/>
      <c r="C18" s="88"/>
      <c r="D18" s="358">
        <f>+D16+D14</f>
        <v>-886028.59</v>
      </c>
      <c r="E18" s="209"/>
      <c r="F18" s="66"/>
    </row>
    <row r="19" spans="1:7" ht="13.5" thickTop="1" x14ac:dyDescent="0.2">
      <c r="E19" s="29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workbookViewId="2"/>
    <sheetView topLeftCell="A24" workbookViewId="3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158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/>
      <c r="C6" s="11">
        <v>-10000</v>
      </c>
      <c r="D6" s="25">
        <f>+C6-B6</f>
        <v>-10000</v>
      </c>
    </row>
    <row r="7" spans="1:4" x14ac:dyDescent="0.2">
      <c r="A7" s="10">
        <v>2</v>
      </c>
      <c r="B7" s="11"/>
      <c r="C7" s="11">
        <v>-10000</v>
      </c>
      <c r="D7" s="25">
        <f t="shared" ref="D7:D36" si="0">+C7-B7</f>
        <v>-10000</v>
      </c>
    </row>
    <row r="8" spans="1:4" x14ac:dyDescent="0.2">
      <c r="A8" s="10">
        <v>3</v>
      </c>
      <c r="B8" s="11"/>
      <c r="C8" s="11"/>
      <c r="D8" s="25">
        <f t="shared" si="0"/>
        <v>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-20000</v>
      </c>
      <c r="D37" s="25">
        <f>SUM(D6:D36)</f>
        <v>-20000</v>
      </c>
    </row>
    <row r="38" spans="1:4" x14ac:dyDescent="0.2">
      <c r="A38" s="26"/>
      <c r="C38" s="14"/>
      <c r="D38" s="420"/>
    </row>
    <row r="39" spans="1:4" x14ac:dyDescent="0.2">
      <c r="D39" s="138"/>
    </row>
    <row r="40" spans="1:4" x14ac:dyDescent="0.2">
      <c r="A40" s="57">
        <v>37072</v>
      </c>
      <c r="C40" s="15"/>
      <c r="D40" s="402">
        <v>54077</v>
      </c>
    </row>
    <row r="41" spans="1:4" x14ac:dyDescent="0.2">
      <c r="A41" s="57">
        <v>37076</v>
      </c>
      <c r="C41" s="48"/>
      <c r="D41" s="25">
        <f>+D40+D37</f>
        <v>34077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37" sqref="C37"/>
    </sheetView>
    <sheetView topLeftCell="A26" workbookViewId="1">
      <selection activeCell="A41" sqref="A41"/>
    </sheetView>
    <sheetView tabSelected="1" workbookViewId="2">
      <selection activeCell="D41" sqref="D41"/>
    </sheetView>
    <sheetView workbookViewId="3">
      <selection activeCell="C11" sqref="C11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12</v>
      </c>
      <c r="B6" s="6" t="s">
        <v>21</v>
      </c>
      <c r="C6" s="6" t="s">
        <v>22</v>
      </c>
      <c r="D6" s="6" t="s">
        <v>46</v>
      </c>
    </row>
    <row r="7" spans="1:4" x14ac:dyDescent="0.2">
      <c r="A7" s="10">
        <v>1</v>
      </c>
      <c r="B7" s="11">
        <v>162000</v>
      </c>
      <c r="C7" s="11">
        <v>164214</v>
      </c>
      <c r="D7" s="25">
        <f>+C7-B7</f>
        <v>2214</v>
      </c>
    </row>
    <row r="8" spans="1:4" x14ac:dyDescent="0.2">
      <c r="A8" s="10">
        <v>2</v>
      </c>
      <c r="B8" s="11">
        <v>165112</v>
      </c>
      <c r="C8" s="11">
        <v>164214</v>
      </c>
      <c r="D8" s="25">
        <f>+C8-B8</f>
        <v>-898</v>
      </c>
    </row>
    <row r="9" spans="1:4" x14ac:dyDescent="0.2">
      <c r="A9" s="10">
        <v>3</v>
      </c>
      <c r="B9" s="11">
        <v>166252</v>
      </c>
      <c r="C9" s="11">
        <v>167214</v>
      </c>
      <c r="D9" s="25">
        <f t="shared" ref="D9:D37" si="0">+C9-B9</f>
        <v>962</v>
      </c>
    </row>
    <row r="10" spans="1:4" x14ac:dyDescent="0.2">
      <c r="A10" s="10">
        <v>4</v>
      </c>
      <c r="B10" s="11">
        <v>159596</v>
      </c>
      <c r="C10" s="11">
        <v>159052</v>
      </c>
      <c r="D10" s="25">
        <f t="shared" si="0"/>
        <v>-544</v>
      </c>
    </row>
    <row r="11" spans="1:4" x14ac:dyDescent="0.2">
      <c r="A11" s="10">
        <v>5</v>
      </c>
      <c r="B11" s="11"/>
      <c r="C11" s="11"/>
      <c r="D11" s="25">
        <f t="shared" si="0"/>
        <v>0</v>
      </c>
    </row>
    <row r="12" spans="1:4" x14ac:dyDescent="0.2">
      <c r="A12" s="10">
        <v>6</v>
      </c>
      <c r="B12" s="11"/>
      <c r="C12" s="11"/>
      <c r="D12" s="25">
        <f t="shared" si="0"/>
        <v>0</v>
      </c>
    </row>
    <row r="13" spans="1:4" x14ac:dyDescent="0.2">
      <c r="A13" s="10">
        <v>7</v>
      </c>
      <c r="B13" s="11"/>
      <c r="C13" s="11"/>
      <c r="D13" s="25">
        <f t="shared" si="0"/>
        <v>0</v>
      </c>
    </row>
    <row r="14" spans="1:4" x14ac:dyDescent="0.2">
      <c r="A14" s="10">
        <v>8</v>
      </c>
      <c r="B14" s="11"/>
      <c r="C14" s="11"/>
      <c r="D14" s="25">
        <f t="shared" si="0"/>
        <v>0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652960</v>
      </c>
      <c r="C38" s="11">
        <f>SUM(C7:C37)</f>
        <v>654694</v>
      </c>
      <c r="D38" s="11">
        <f>SUM(D7:D37)</f>
        <v>1734</v>
      </c>
    </row>
    <row r="39" spans="1:4" x14ac:dyDescent="0.2">
      <c r="A39" s="26"/>
      <c r="C39" s="14"/>
      <c r="D39" s="106">
        <f>+summary!P10</f>
        <v>2.29</v>
      </c>
    </row>
    <row r="40" spans="1:4" x14ac:dyDescent="0.2">
      <c r="D40" s="138">
        <f>+D39*D38</f>
        <v>3970.86</v>
      </c>
    </row>
    <row r="41" spans="1:4" x14ac:dyDescent="0.2">
      <c r="A41" s="57">
        <v>37072</v>
      </c>
      <c r="C41" s="15"/>
      <c r="D41" s="415">
        <v>4822</v>
      </c>
    </row>
    <row r="42" spans="1:4" x14ac:dyDescent="0.2">
      <c r="A42" s="57">
        <v>37076</v>
      </c>
      <c r="D42" s="361">
        <f>+D41+D40</f>
        <v>8792.86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26" workbookViewId="2">
      <selection activeCell="H35" sqref="H35"/>
    </sheetView>
    <sheetView topLeftCell="A24" workbookViewId="3">
      <selection activeCell="B32" sqref="B32"/>
    </sheetView>
  </sheetViews>
  <sheetFormatPr defaultRowHeight="12.75" x14ac:dyDescent="0.2"/>
  <cols>
    <col min="2" max="2" width="9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-22211</v>
      </c>
      <c r="C5" s="11">
        <v>-17333</v>
      </c>
      <c r="D5" s="11"/>
      <c r="E5" s="11">
        <v>-4000</v>
      </c>
      <c r="F5" s="11">
        <f>+C5-B5+E5-D5</f>
        <v>878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-25985</v>
      </c>
      <c r="C6" s="11">
        <v>-18363</v>
      </c>
      <c r="D6" s="11"/>
      <c r="E6" s="11">
        <v>-6075</v>
      </c>
      <c r="F6" s="11">
        <f t="shared" ref="F6:F35" si="0">+C6-B6+E6-D6</f>
        <v>1547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-55902</v>
      </c>
      <c r="C7" s="11">
        <v>-35058</v>
      </c>
      <c r="D7" s="11"/>
      <c r="E7" s="11">
        <v>-19575</v>
      </c>
      <c r="F7" s="11">
        <f t="shared" si="0"/>
        <v>1269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-46173</v>
      </c>
      <c r="C8" s="11"/>
      <c r="D8" s="11"/>
      <c r="E8" s="11">
        <v>-45075</v>
      </c>
      <c r="F8" s="11">
        <f t="shared" si="0"/>
        <v>1098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/>
      <c r="C9" s="11"/>
      <c r="D9" s="11"/>
      <c r="E9" s="11"/>
      <c r="F9" s="11">
        <f t="shared" si="0"/>
        <v>0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1"/>
      <c r="C11" s="11"/>
      <c r="D11" s="11"/>
      <c r="E11" s="11"/>
      <c r="F11" s="11">
        <f t="shared" si="0"/>
        <v>0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/>
      <c r="C12" s="11"/>
      <c r="D12" s="11"/>
      <c r="E12" s="11"/>
      <c r="F12" s="11">
        <f t="shared" si="0"/>
        <v>0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1"/>
      <c r="C13" s="11"/>
      <c r="D13" s="11"/>
      <c r="E13" s="11"/>
      <c r="F13" s="11">
        <f t="shared" si="0"/>
        <v>0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/>
      <c r="C14" s="11"/>
      <c r="D14" s="11"/>
      <c r="E14" s="11"/>
      <c r="F14" s="11">
        <f t="shared" si="0"/>
        <v>0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-150271</v>
      </c>
      <c r="C36" s="44">
        <f>SUM(C5:C35)</f>
        <v>-70754</v>
      </c>
      <c r="D36" s="43">
        <f>SUM(D5:D35)</f>
        <v>0</v>
      </c>
      <c r="E36" s="44">
        <f>SUM(E5:E35)</f>
        <v>-74725</v>
      </c>
      <c r="F36" s="11">
        <f>SUM(F5:F35)</f>
        <v>4792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-79517</v>
      </c>
      <c r="D37" s="24"/>
      <c r="E37" s="24">
        <f>+D36-E36</f>
        <v>74725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37072</v>
      </c>
      <c r="C41" s="14"/>
      <c r="D41" s="50"/>
      <c r="E41" s="50"/>
      <c r="F41" s="248">
        <v>69314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37076</v>
      </c>
      <c r="C42" s="14"/>
      <c r="D42" s="50"/>
      <c r="E42" s="50"/>
      <c r="F42" s="51">
        <f>+F41+F36</f>
        <v>74106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6" workbookViewId="2">
      <selection activeCell="D38" sqref="D38"/>
    </sheetView>
    <sheetView topLeftCell="A24" workbookViewId="3">
      <selection activeCell="A39" sqref="A39"/>
    </sheetView>
  </sheetViews>
  <sheetFormatPr defaultRowHeight="12.75" x14ac:dyDescent="0.2"/>
  <cols>
    <col min="1" max="1" width="7.855468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12</v>
      </c>
      <c r="B3" s="6" t="s">
        <v>21</v>
      </c>
      <c r="C3" s="6" t="s">
        <v>22</v>
      </c>
    </row>
    <row r="4" spans="1:4" x14ac:dyDescent="0.2">
      <c r="A4" s="10">
        <v>1</v>
      </c>
      <c r="B4" s="11">
        <v>-110977</v>
      </c>
      <c r="C4" s="11">
        <v>-108476</v>
      </c>
      <c r="D4" s="25">
        <f>+C4-B4</f>
        <v>2501</v>
      </c>
    </row>
    <row r="5" spans="1:4" x14ac:dyDescent="0.2">
      <c r="A5" s="10">
        <v>2</v>
      </c>
      <c r="B5" s="11">
        <v>-126065</v>
      </c>
      <c r="C5" s="11">
        <v>-133671</v>
      </c>
      <c r="D5" s="25">
        <f t="shared" ref="D5:D34" si="0">+C5-B5</f>
        <v>-7606</v>
      </c>
    </row>
    <row r="6" spans="1:4" x14ac:dyDescent="0.2">
      <c r="A6" s="10">
        <v>3</v>
      </c>
      <c r="B6" s="11">
        <v>-159519</v>
      </c>
      <c r="C6" s="11">
        <v>-157560</v>
      </c>
      <c r="D6" s="25">
        <f t="shared" si="0"/>
        <v>1959</v>
      </c>
    </row>
    <row r="7" spans="1:4" x14ac:dyDescent="0.2">
      <c r="A7" s="10">
        <v>4</v>
      </c>
      <c r="B7" s="11">
        <v>-159784</v>
      </c>
      <c r="C7" s="11">
        <v>-158380</v>
      </c>
      <c r="D7" s="25">
        <f t="shared" si="0"/>
        <v>1404</v>
      </c>
    </row>
    <row r="8" spans="1:4" x14ac:dyDescent="0.2">
      <c r="A8" s="10">
        <v>5</v>
      </c>
      <c r="B8" s="11"/>
      <c r="C8" s="11"/>
      <c r="D8" s="25">
        <f t="shared" si="0"/>
        <v>0</v>
      </c>
    </row>
    <row r="9" spans="1:4" x14ac:dyDescent="0.2">
      <c r="A9" s="10">
        <v>6</v>
      </c>
      <c r="B9" s="11"/>
      <c r="C9" s="11"/>
      <c r="D9" s="25">
        <f t="shared" si="0"/>
        <v>0</v>
      </c>
    </row>
    <row r="10" spans="1:4" x14ac:dyDescent="0.2">
      <c r="A10" s="10">
        <v>7</v>
      </c>
      <c r="B10" s="11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-556345</v>
      </c>
      <c r="C35" s="11">
        <f>SUM(C4:C34)</f>
        <v>-558087</v>
      </c>
      <c r="D35" s="11">
        <f>SUM(D4:D34)</f>
        <v>-1742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50">
        <v>37072</v>
      </c>
      <c r="D38" s="248">
        <v>-12760</v>
      </c>
    </row>
    <row r="39" spans="1:30" x14ac:dyDescent="0.2">
      <c r="A39" s="12"/>
      <c r="D39" s="24"/>
    </row>
    <row r="40" spans="1:30" x14ac:dyDescent="0.2">
      <c r="A40" s="250">
        <v>37076</v>
      </c>
      <c r="D40" s="24">
        <f>+D38+D35</f>
        <v>-14502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K44"/>
    </row>
    <row r="45" spans="1:30" x14ac:dyDescent="0.2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6" workbookViewId="2">
      <selection activeCell="D38" sqref="D38"/>
    </sheetView>
    <sheetView topLeftCell="A24" workbookViewId="3">
      <selection activeCell="A40" sqref="A40"/>
    </sheetView>
  </sheetViews>
  <sheetFormatPr defaultRowHeight="12.75" x14ac:dyDescent="0.2"/>
  <cols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H3" s="5"/>
      <c r="I3" s="6"/>
    </row>
    <row r="4" spans="1:11" x14ac:dyDescent="0.2">
      <c r="A4" s="10">
        <v>1</v>
      </c>
      <c r="B4" s="11">
        <v>-681864</v>
      </c>
      <c r="C4" s="11">
        <v>-671501</v>
      </c>
      <c r="D4" s="11">
        <v>-49417</v>
      </c>
      <c r="E4" s="11">
        <v>-50000</v>
      </c>
      <c r="F4" s="25">
        <f>+E4+C4-D4-B4</f>
        <v>9780</v>
      </c>
      <c r="H4" s="10"/>
      <c r="I4" s="11"/>
    </row>
    <row r="5" spans="1:11" x14ac:dyDescent="0.2">
      <c r="A5" s="10">
        <v>2</v>
      </c>
      <c r="B5" s="11">
        <v>-793585</v>
      </c>
      <c r="C5" s="11">
        <v>-805600</v>
      </c>
      <c r="D5" s="11">
        <v>-24999</v>
      </c>
      <c r="E5" s="11">
        <v>-25000</v>
      </c>
      <c r="F5" s="25">
        <f t="shared" ref="F5:F34" si="0">+C5-B5+E5-D5</f>
        <v>-12016</v>
      </c>
      <c r="H5" s="10"/>
      <c r="I5" s="11"/>
    </row>
    <row r="6" spans="1:11" x14ac:dyDescent="0.2">
      <c r="A6" s="10">
        <v>3</v>
      </c>
      <c r="B6" s="11">
        <v>-803904</v>
      </c>
      <c r="C6" s="11">
        <v>-807198</v>
      </c>
      <c r="D6" s="11">
        <v>-24995</v>
      </c>
      <c r="E6" s="11">
        <v>-25000</v>
      </c>
      <c r="F6" s="25">
        <f t="shared" si="0"/>
        <v>-3299</v>
      </c>
      <c r="H6" s="10"/>
      <c r="I6" s="11"/>
    </row>
    <row r="7" spans="1:11" x14ac:dyDescent="0.2">
      <c r="A7" s="10">
        <v>4</v>
      </c>
      <c r="B7" s="11">
        <v>-774286</v>
      </c>
      <c r="C7" s="11">
        <v>-766773</v>
      </c>
      <c r="D7" s="11">
        <v>-25002</v>
      </c>
      <c r="E7" s="11">
        <v>-25000</v>
      </c>
      <c r="F7" s="25">
        <f t="shared" si="0"/>
        <v>7515</v>
      </c>
      <c r="H7" s="10"/>
      <c r="I7" s="11"/>
      <c r="K7" s="25"/>
    </row>
    <row r="8" spans="1:11" x14ac:dyDescent="0.2">
      <c r="A8" s="10">
        <v>5</v>
      </c>
      <c r="B8" s="11"/>
      <c r="C8" s="11"/>
      <c r="D8" s="11"/>
      <c r="E8" s="11"/>
      <c r="F8" s="25">
        <f t="shared" si="0"/>
        <v>0</v>
      </c>
      <c r="H8" s="10"/>
      <c r="I8" s="11"/>
    </row>
    <row r="9" spans="1:11" x14ac:dyDescent="0.2">
      <c r="A9" s="10">
        <v>6</v>
      </c>
      <c r="B9" s="11"/>
      <c r="C9" s="11"/>
      <c r="D9" s="11"/>
      <c r="E9" s="11"/>
      <c r="F9" s="25">
        <f t="shared" si="0"/>
        <v>0</v>
      </c>
      <c r="H9" s="10"/>
      <c r="I9" s="11"/>
    </row>
    <row r="10" spans="1:11" x14ac:dyDescent="0.2">
      <c r="A10" s="10">
        <v>7</v>
      </c>
      <c r="B10" s="11"/>
      <c r="C10" s="11"/>
      <c r="D10" s="11"/>
      <c r="E10" s="11"/>
      <c r="F10" s="25">
        <f t="shared" si="0"/>
        <v>0</v>
      </c>
      <c r="H10" s="10"/>
      <c r="I10" s="11"/>
    </row>
    <row r="11" spans="1:11" x14ac:dyDescent="0.2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">
      <c r="A13" s="10">
        <v>10</v>
      </c>
      <c r="B13" s="11"/>
      <c r="C13" s="11"/>
      <c r="D13" s="11"/>
      <c r="E13" s="11"/>
      <c r="F13" s="25">
        <f t="shared" si="0"/>
        <v>0</v>
      </c>
      <c r="H13" s="10"/>
      <c r="I13" s="11"/>
    </row>
    <row r="14" spans="1:11" x14ac:dyDescent="0.2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1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-3053639</v>
      </c>
      <c r="C35" s="11">
        <f>SUM(C4:C34)</f>
        <v>-3051072</v>
      </c>
      <c r="D35" s="11">
        <f>SUM(D4:D34)</f>
        <v>-124413</v>
      </c>
      <c r="E35" s="11">
        <f>SUM(E4:E34)</f>
        <v>-125000</v>
      </c>
      <c r="F35" s="11">
        <f>SUM(F4:F34)</f>
        <v>1980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37072</v>
      </c>
      <c r="F38" s="403">
        <v>123509</v>
      </c>
    </row>
    <row r="39" spans="1:45" x14ac:dyDescent="0.2">
      <c r="A39" s="2"/>
      <c r="F39" s="24"/>
    </row>
    <row r="40" spans="1:45" x14ac:dyDescent="0.2">
      <c r="A40" s="57">
        <v>37076</v>
      </c>
      <c r="F40" s="51">
        <f>+F38+F35</f>
        <v>125489</v>
      </c>
    </row>
    <row r="42" spans="1:45" x14ac:dyDescent="0.2">
      <c r="AF42" s="319"/>
      <c r="AG42" s="319"/>
      <c r="AH42" s="319"/>
      <c r="AI42" s="319"/>
      <c r="AJ42" s="319"/>
      <c r="AK42" s="319"/>
      <c r="AL42" s="319"/>
      <c r="AM42" s="319"/>
      <c r="AN42" s="319"/>
      <c r="AO42" s="319"/>
      <c r="AP42" s="319"/>
      <c r="AQ42" s="319"/>
      <c r="AR42" s="319"/>
      <c r="AS42" s="319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20"/>
      <c r="AG43" s="319"/>
      <c r="AH43" s="319"/>
      <c r="AI43" s="321"/>
      <c r="AJ43" s="320"/>
      <c r="AK43" s="319"/>
      <c r="AL43" s="319"/>
      <c r="AM43" s="321"/>
      <c r="AN43" s="320"/>
      <c r="AO43" s="319"/>
      <c r="AP43" s="319"/>
      <c r="AQ43" s="319"/>
      <c r="AR43" s="319"/>
      <c r="AS43" s="319"/>
    </row>
    <row r="44" spans="1:45" x14ac:dyDescent="0.2">
      <c r="K44"/>
      <c r="AF44" s="319"/>
      <c r="AG44" s="319"/>
      <c r="AH44" s="319"/>
      <c r="AI44" s="319"/>
      <c r="AJ44" s="319"/>
      <c r="AK44" s="319"/>
      <c r="AL44" s="319"/>
      <c r="AM44" s="319"/>
      <c r="AN44" s="319"/>
      <c r="AO44" s="319"/>
      <c r="AP44" s="319"/>
      <c r="AQ44" s="319"/>
      <c r="AR44" s="319"/>
      <c r="AS44" s="319"/>
    </row>
    <row r="45" spans="1:45" x14ac:dyDescent="0.2">
      <c r="A45" s="5"/>
      <c r="B45" s="6"/>
      <c r="C45" s="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22"/>
      <c r="AG45" s="322"/>
      <c r="AH45" s="319"/>
      <c r="AI45" s="323"/>
      <c r="AJ45" s="322"/>
      <c r="AK45" s="322"/>
      <c r="AL45" s="319"/>
      <c r="AM45" s="323"/>
      <c r="AN45" s="322"/>
      <c r="AO45" s="322"/>
      <c r="AP45" s="319"/>
      <c r="AQ45" s="319"/>
      <c r="AR45" s="319"/>
      <c r="AS45" s="319"/>
    </row>
    <row r="46" spans="1:45" x14ac:dyDescent="0.2">
      <c r="A46" s="10"/>
      <c r="B46" s="11"/>
      <c r="C46" s="11"/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24"/>
      <c r="AG46" s="324"/>
      <c r="AH46" s="325"/>
      <c r="AI46" s="326"/>
      <c r="AJ46" s="324"/>
      <c r="AK46" s="324"/>
      <c r="AL46" s="325"/>
      <c r="AM46" s="326"/>
      <c r="AN46" s="324"/>
      <c r="AO46" s="324"/>
      <c r="AP46" s="325"/>
      <c r="AQ46" s="319"/>
      <c r="AR46" s="319"/>
      <c r="AS46" s="319"/>
    </row>
    <row r="47" spans="1:45" x14ac:dyDescent="0.2">
      <c r="A47" s="10"/>
      <c r="B47" s="11"/>
      <c r="C47" s="11"/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24"/>
      <c r="AG47" s="324"/>
      <c r="AH47" s="325"/>
      <c r="AI47" s="326"/>
      <c r="AJ47" s="324"/>
      <c r="AK47" s="324"/>
      <c r="AL47" s="325"/>
      <c r="AM47" s="326"/>
      <c r="AN47" s="324"/>
      <c r="AO47" s="324"/>
      <c r="AP47" s="325"/>
      <c r="AQ47" s="319"/>
      <c r="AR47" s="319"/>
      <c r="AS47" s="319"/>
    </row>
    <row r="48" spans="1:45" x14ac:dyDescent="0.2">
      <c r="A48" s="10"/>
      <c r="B48" s="11"/>
      <c r="C48" s="11"/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24"/>
      <c r="AG48" s="324"/>
      <c r="AH48" s="325"/>
      <c r="AI48" s="326"/>
      <c r="AJ48" s="324"/>
      <c r="AK48" s="324"/>
      <c r="AL48" s="325"/>
      <c r="AM48" s="326"/>
      <c r="AN48" s="324"/>
      <c r="AO48" s="324"/>
      <c r="AP48" s="325"/>
      <c r="AQ48" s="319"/>
      <c r="AR48" s="319"/>
      <c r="AS48" s="319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24"/>
      <c r="AG49" s="324"/>
      <c r="AH49" s="325"/>
      <c r="AI49" s="326"/>
      <c r="AJ49" s="324"/>
      <c r="AK49" s="324"/>
      <c r="AL49" s="325"/>
      <c r="AM49" s="326"/>
      <c r="AN49" s="324"/>
      <c r="AO49" s="324"/>
      <c r="AP49" s="325"/>
      <c r="AQ49" s="319"/>
      <c r="AR49" s="319"/>
      <c r="AS49" s="319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24"/>
      <c r="AG50" s="324"/>
      <c r="AH50" s="325"/>
      <c r="AI50" s="326"/>
      <c r="AJ50" s="324"/>
      <c r="AK50" s="324"/>
      <c r="AL50" s="325"/>
      <c r="AM50" s="326"/>
      <c r="AN50" s="324"/>
      <c r="AO50" s="324"/>
      <c r="AP50" s="325"/>
      <c r="AQ50" s="319"/>
      <c r="AR50" s="319"/>
      <c r="AS50" s="319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24"/>
      <c r="AG51" s="324"/>
      <c r="AH51" s="325"/>
      <c r="AI51" s="326"/>
      <c r="AJ51" s="324"/>
      <c r="AK51" s="324"/>
      <c r="AL51" s="325"/>
      <c r="AM51" s="326"/>
      <c r="AN51" s="324"/>
      <c r="AO51" s="324"/>
      <c r="AP51" s="325"/>
      <c r="AQ51" s="319"/>
      <c r="AR51" s="319"/>
      <c r="AS51" s="319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24"/>
      <c r="AG52" s="324"/>
      <c r="AH52" s="325"/>
      <c r="AI52" s="326"/>
      <c r="AJ52" s="324"/>
      <c r="AK52" s="324"/>
      <c r="AL52" s="325"/>
      <c r="AM52" s="326"/>
      <c r="AN52" s="324"/>
      <c r="AO52" s="324"/>
      <c r="AP52" s="325"/>
      <c r="AQ52" s="319"/>
      <c r="AR52" s="319"/>
      <c r="AS52" s="319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24"/>
      <c r="AG53" s="324"/>
      <c r="AH53" s="325"/>
      <c r="AI53" s="326"/>
      <c r="AJ53" s="324"/>
      <c r="AK53" s="324"/>
      <c r="AL53" s="325"/>
      <c r="AM53" s="326"/>
      <c r="AN53" s="324"/>
      <c r="AO53" s="324"/>
      <c r="AP53" s="325"/>
      <c r="AQ53" s="319"/>
      <c r="AR53" s="319"/>
      <c r="AS53" s="319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24"/>
      <c r="AG54" s="324"/>
      <c r="AH54" s="325"/>
      <c r="AI54" s="326"/>
      <c r="AJ54" s="324"/>
      <c r="AK54" s="324"/>
      <c r="AL54" s="325"/>
      <c r="AM54" s="326"/>
      <c r="AN54" s="324"/>
      <c r="AO54" s="324"/>
      <c r="AP54" s="325"/>
      <c r="AQ54" s="319"/>
      <c r="AR54" s="319"/>
      <c r="AS54" s="319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24"/>
      <c r="AG55" s="324"/>
      <c r="AH55" s="325"/>
      <c r="AI55" s="326"/>
      <c r="AJ55" s="324"/>
      <c r="AK55" s="324"/>
      <c r="AL55" s="325"/>
      <c r="AM55" s="326"/>
      <c r="AN55" s="324"/>
      <c r="AO55" s="324"/>
      <c r="AP55" s="325"/>
      <c r="AQ55" s="319"/>
      <c r="AR55" s="319"/>
      <c r="AS55" s="319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24"/>
      <c r="AG56" s="324"/>
      <c r="AH56" s="325"/>
      <c r="AI56" s="326"/>
      <c r="AJ56" s="324"/>
      <c r="AK56" s="324"/>
      <c r="AL56" s="325"/>
      <c r="AM56" s="326"/>
      <c r="AN56" s="324"/>
      <c r="AO56" s="324"/>
      <c r="AP56" s="325"/>
      <c r="AQ56" s="319"/>
      <c r="AR56" s="319"/>
      <c r="AS56" s="319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24"/>
      <c r="AG57" s="324"/>
      <c r="AH57" s="325"/>
      <c r="AI57" s="326"/>
      <c r="AJ57" s="324"/>
      <c r="AK57" s="324"/>
      <c r="AL57" s="325"/>
      <c r="AM57" s="326"/>
      <c r="AN57" s="324"/>
      <c r="AO57" s="324"/>
      <c r="AP57" s="325"/>
      <c r="AQ57" s="319"/>
      <c r="AR57" s="319"/>
      <c r="AS57" s="319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24"/>
      <c r="AG58" s="324"/>
      <c r="AH58" s="325"/>
      <c r="AI58" s="326"/>
      <c r="AJ58" s="324"/>
      <c r="AK58" s="324"/>
      <c r="AL58" s="325"/>
      <c r="AM58" s="326"/>
      <c r="AN58" s="324"/>
      <c r="AO58" s="324"/>
      <c r="AP58" s="325"/>
      <c r="AQ58" s="319"/>
      <c r="AR58" s="319"/>
      <c r="AS58" s="319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24"/>
      <c r="AG59" s="324"/>
      <c r="AH59" s="325"/>
      <c r="AI59" s="326"/>
      <c r="AJ59" s="324"/>
      <c r="AK59" s="324"/>
      <c r="AL59" s="325"/>
      <c r="AM59" s="326"/>
      <c r="AN59" s="324"/>
      <c r="AO59" s="324"/>
      <c r="AP59" s="325"/>
      <c r="AQ59" s="319"/>
      <c r="AR59" s="319"/>
      <c r="AS59" s="319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24"/>
      <c r="AG60" s="324"/>
      <c r="AH60" s="325"/>
      <c r="AI60" s="326"/>
      <c r="AJ60" s="324"/>
      <c r="AK60" s="324"/>
      <c r="AL60" s="325"/>
      <c r="AM60" s="326"/>
      <c r="AN60" s="324"/>
      <c r="AO60" s="324"/>
      <c r="AP60" s="325"/>
      <c r="AQ60" s="319"/>
      <c r="AR60" s="319"/>
      <c r="AS60" s="319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24"/>
      <c r="AG61" s="324"/>
      <c r="AH61" s="325"/>
      <c r="AI61" s="326"/>
      <c r="AJ61" s="324"/>
      <c r="AK61" s="324"/>
      <c r="AL61" s="325"/>
      <c r="AM61" s="326"/>
      <c r="AN61" s="324"/>
      <c r="AO61" s="324"/>
      <c r="AP61" s="325"/>
      <c r="AQ61" s="319"/>
      <c r="AR61" s="319"/>
      <c r="AS61" s="319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24"/>
      <c r="AG62" s="324"/>
      <c r="AH62" s="325"/>
      <c r="AI62" s="326"/>
      <c r="AJ62" s="324"/>
      <c r="AK62" s="324"/>
      <c r="AL62" s="325"/>
      <c r="AM62" s="326"/>
      <c r="AN62" s="324"/>
      <c r="AO62" s="324"/>
      <c r="AP62" s="325"/>
      <c r="AQ62" s="319"/>
      <c r="AR62" s="319"/>
      <c r="AS62" s="319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24"/>
      <c r="AG63" s="324"/>
      <c r="AH63" s="325"/>
      <c r="AI63" s="326"/>
      <c r="AJ63" s="324"/>
      <c r="AK63" s="324"/>
      <c r="AL63" s="325"/>
      <c r="AM63" s="326"/>
      <c r="AN63" s="324"/>
      <c r="AO63" s="324"/>
      <c r="AP63" s="325"/>
      <c r="AQ63" s="319"/>
      <c r="AR63" s="319"/>
      <c r="AS63" s="319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24"/>
      <c r="AG64" s="324"/>
      <c r="AH64" s="325"/>
      <c r="AI64" s="326"/>
      <c r="AJ64" s="324"/>
      <c r="AK64" s="324"/>
      <c r="AL64" s="325"/>
      <c r="AM64" s="326"/>
      <c r="AN64" s="324"/>
      <c r="AO64" s="324"/>
      <c r="AP64" s="325"/>
      <c r="AQ64" s="319"/>
      <c r="AR64" s="319"/>
      <c r="AS64" s="319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24"/>
      <c r="AG65" s="324"/>
      <c r="AH65" s="325"/>
      <c r="AI65" s="326"/>
      <c r="AJ65" s="324"/>
      <c r="AK65" s="324"/>
      <c r="AL65" s="325"/>
      <c r="AM65" s="326"/>
      <c r="AN65" s="324"/>
      <c r="AO65" s="324"/>
      <c r="AP65" s="325"/>
      <c r="AQ65" s="319"/>
      <c r="AR65" s="319"/>
      <c r="AS65" s="319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24"/>
      <c r="AG66" s="324"/>
      <c r="AH66" s="325"/>
      <c r="AI66" s="326"/>
      <c r="AJ66" s="324"/>
      <c r="AK66" s="324"/>
      <c r="AL66" s="325"/>
      <c r="AM66" s="326"/>
      <c r="AN66" s="324"/>
      <c r="AO66" s="324"/>
      <c r="AP66" s="325"/>
      <c r="AQ66" s="319"/>
      <c r="AR66" s="319"/>
      <c r="AS66" s="319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24"/>
      <c r="AG67" s="324"/>
      <c r="AH67" s="325"/>
      <c r="AI67" s="326"/>
      <c r="AJ67" s="324"/>
      <c r="AK67" s="324"/>
      <c r="AL67" s="325"/>
      <c r="AM67" s="326"/>
      <c r="AN67" s="324"/>
      <c r="AO67" s="324"/>
      <c r="AP67" s="325"/>
      <c r="AQ67" s="319"/>
      <c r="AR67" s="319"/>
      <c r="AS67" s="319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24"/>
      <c r="AG68" s="324"/>
      <c r="AH68" s="325"/>
      <c r="AI68" s="326"/>
      <c r="AJ68" s="324"/>
      <c r="AK68" s="324"/>
      <c r="AL68" s="325"/>
      <c r="AM68" s="326"/>
      <c r="AN68" s="324"/>
      <c r="AO68" s="324"/>
      <c r="AP68" s="325"/>
      <c r="AQ68" s="319"/>
      <c r="AR68" s="319"/>
      <c r="AS68" s="319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24"/>
      <c r="AG69" s="324"/>
      <c r="AH69" s="325"/>
      <c r="AI69" s="326"/>
      <c r="AJ69" s="324"/>
      <c r="AK69" s="324"/>
      <c r="AL69" s="325"/>
      <c r="AM69" s="326"/>
      <c r="AN69" s="324"/>
      <c r="AO69" s="324"/>
      <c r="AP69" s="325"/>
      <c r="AQ69" s="319"/>
      <c r="AR69" s="319"/>
      <c r="AS69" s="319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24"/>
      <c r="AG70" s="324"/>
      <c r="AH70" s="325"/>
      <c r="AI70" s="326"/>
      <c r="AJ70" s="324"/>
      <c r="AK70" s="324"/>
      <c r="AL70" s="325"/>
      <c r="AM70" s="326"/>
      <c r="AN70" s="324"/>
      <c r="AO70" s="324"/>
      <c r="AP70" s="325"/>
      <c r="AQ70" s="319"/>
      <c r="AR70" s="319"/>
      <c r="AS70" s="319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24"/>
      <c r="AG71" s="324"/>
      <c r="AH71" s="325"/>
      <c r="AI71" s="326"/>
      <c r="AJ71" s="324"/>
      <c r="AK71" s="324"/>
      <c r="AL71" s="325"/>
      <c r="AM71" s="326"/>
      <c r="AN71" s="324"/>
      <c r="AO71" s="324"/>
      <c r="AP71" s="325"/>
      <c r="AQ71" s="319"/>
      <c r="AR71" s="319"/>
      <c r="AS71" s="319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24"/>
      <c r="AG72" s="324"/>
      <c r="AH72" s="325"/>
      <c r="AI72" s="326"/>
      <c r="AJ72" s="324"/>
      <c r="AK72" s="324"/>
      <c r="AL72" s="325"/>
      <c r="AM72" s="326"/>
      <c r="AN72" s="324"/>
      <c r="AO72" s="324"/>
      <c r="AP72" s="325"/>
      <c r="AQ72" s="319"/>
      <c r="AR72" s="319"/>
      <c r="AS72" s="319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24"/>
      <c r="AG73" s="324"/>
      <c r="AH73" s="325"/>
      <c r="AI73" s="326"/>
      <c r="AJ73" s="324"/>
      <c r="AK73" s="324"/>
      <c r="AL73" s="325"/>
      <c r="AM73" s="326"/>
      <c r="AN73" s="324"/>
      <c r="AO73" s="324"/>
      <c r="AP73" s="325"/>
      <c r="AQ73" s="319"/>
      <c r="AR73" s="319"/>
      <c r="AS73" s="319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24"/>
      <c r="AG74" s="324"/>
      <c r="AH74" s="325"/>
      <c r="AI74" s="326"/>
      <c r="AJ74" s="324"/>
      <c r="AK74" s="324"/>
      <c r="AL74" s="325"/>
      <c r="AM74" s="326"/>
      <c r="AN74" s="324"/>
      <c r="AO74" s="324"/>
      <c r="AP74" s="325"/>
      <c r="AQ74" s="319"/>
      <c r="AR74" s="319"/>
      <c r="AS74" s="319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24"/>
      <c r="AG75" s="324"/>
      <c r="AH75" s="325"/>
      <c r="AI75" s="326"/>
      <c r="AJ75" s="324"/>
      <c r="AK75" s="324"/>
      <c r="AL75" s="325"/>
      <c r="AM75" s="326"/>
      <c r="AN75" s="324"/>
      <c r="AO75" s="324"/>
      <c r="AP75" s="325"/>
      <c r="AQ75" s="319"/>
      <c r="AR75" s="319"/>
      <c r="AS75" s="319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24"/>
      <c r="AG76" s="324"/>
      <c r="AH76" s="325"/>
      <c r="AI76" s="326"/>
      <c r="AJ76" s="324"/>
      <c r="AK76" s="324"/>
      <c r="AL76" s="325"/>
      <c r="AM76" s="326"/>
      <c r="AN76" s="324"/>
      <c r="AO76" s="324"/>
      <c r="AP76" s="325"/>
      <c r="AQ76" s="319"/>
      <c r="AR76" s="319"/>
      <c r="AS76" s="319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24"/>
      <c r="AG77" s="324"/>
      <c r="AH77" s="324"/>
      <c r="AI77" s="326"/>
      <c r="AJ77" s="324"/>
      <c r="AK77" s="324"/>
      <c r="AL77" s="324"/>
      <c r="AM77" s="326"/>
      <c r="AN77" s="324"/>
      <c r="AO77" s="324"/>
      <c r="AP77" s="324"/>
      <c r="AQ77" s="319"/>
      <c r="AR77" s="319"/>
      <c r="AS77" s="319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19"/>
      <c r="AG78" s="325"/>
      <c r="AH78" s="327"/>
      <c r="AI78" s="328"/>
      <c r="AJ78" s="319"/>
      <c r="AK78" s="325"/>
      <c r="AL78" s="327"/>
      <c r="AM78" s="328"/>
      <c r="AN78" s="319"/>
      <c r="AO78" s="325"/>
      <c r="AP78" s="327"/>
      <c r="AQ78" s="319"/>
      <c r="AR78" s="319"/>
      <c r="AS78" s="319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19"/>
      <c r="AG79" s="319"/>
      <c r="AH79" s="329"/>
      <c r="AI79" s="319"/>
      <c r="AJ79" s="319"/>
      <c r="AK79" s="319"/>
      <c r="AL79" s="329"/>
      <c r="AM79" s="319"/>
      <c r="AN79" s="319"/>
      <c r="AO79" s="319"/>
      <c r="AP79" s="329"/>
      <c r="AQ79" s="319"/>
      <c r="AR79" s="319"/>
      <c r="AS79" s="319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19"/>
      <c r="AG80" s="319"/>
      <c r="AH80" s="329"/>
      <c r="AI80" s="330"/>
      <c r="AJ80" s="319"/>
      <c r="AK80" s="319"/>
      <c r="AL80" s="329"/>
      <c r="AM80" s="330"/>
      <c r="AN80" s="319"/>
      <c r="AO80" s="319"/>
      <c r="AP80" s="329"/>
      <c r="AQ80" s="319"/>
      <c r="AR80" s="319"/>
      <c r="AS80" s="319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19"/>
      <c r="AG81" s="319"/>
      <c r="AH81" s="329"/>
      <c r="AI81" s="327"/>
      <c r="AJ81" s="319"/>
      <c r="AK81" s="319"/>
      <c r="AL81" s="329"/>
      <c r="AM81" s="327"/>
      <c r="AN81" s="319"/>
      <c r="AO81" s="319"/>
      <c r="AP81" s="329"/>
      <c r="AQ81" s="319"/>
      <c r="AR81" s="319"/>
      <c r="AS81" s="319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19"/>
      <c r="AG82" s="319"/>
      <c r="AH82" s="329"/>
      <c r="AI82" s="330"/>
      <c r="AJ82" s="319"/>
      <c r="AK82" s="319"/>
      <c r="AL82" s="329"/>
      <c r="AM82" s="330"/>
      <c r="AN82" s="319"/>
      <c r="AO82" s="319"/>
      <c r="AP82" s="329"/>
      <c r="AQ82" s="319"/>
      <c r="AR82" s="319"/>
      <c r="AS82" s="319"/>
    </row>
    <row r="83" spans="4:45" x14ac:dyDescent="0.2">
      <c r="AE83" s="32"/>
      <c r="AF83" s="319"/>
      <c r="AG83" s="319"/>
      <c r="AH83" s="319"/>
      <c r="AI83" s="319"/>
      <c r="AJ83" s="319"/>
      <c r="AK83" s="319"/>
      <c r="AL83" s="319"/>
      <c r="AM83" s="319"/>
      <c r="AN83" s="319"/>
      <c r="AO83" s="319"/>
      <c r="AP83" s="319"/>
      <c r="AQ83" s="319"/>
      <c r="AR83" s="319"/>
      <c r="AS83" s="319"/>
    </row>
    <row r="84" spans="4:45" x14ac:dyDescent="0.2">
      <c r="AE84" s="32"/>
      <c r="AF84" s="319"/>
      <c r="AG84" s="319"/>
      <c r="AH84" s="319"/>
      <c r="AI84" s="319"/>
      <c r="AJ84" s="319"/>
      <c r="AK84" s="319"/>
      <c r="AL84" s="319"/>
      <c r="AM84" s="319"/>
      <c r="AN84" s="319"/>
      <c r="AO84" s="319"/>
      <c r="AP84" s="319"/>
      <c r="AQ84" s="319"/>
      <c r="AR84" s="319"/>
      <c r="AS84" s="319"/>
    </row>
    <row r="85" spans="4:45" x14ac:dyDescent="0.2">
      <c r="AF85" s="319"/>
      <c r="AG85" s="319"/>
      <c r="AH85" s="319"/>
      <c r="AI85" s="319"/>
      <c r="AJ85" s="319"/>
      <c r="AK85" s="319"/>
      <c r="AL85" s="319"/>
      <c r="AM85" s="319"/>
      <c r="AN85" s="319"/>
      <c r="AO85" s="319"/>
      <c r="AP85" s="319"/>
      <c r="AQ85" s="319"/>
      <c r="AR85" s="319"/>
      <c r="AS85" s="319"/>
    </row>
    <row r="86" spans="4:45" x14ac:dyDescent="0.2">
      <c r="AF86" s="319"/>
      <c r="AG86" s="319"/>
      <c r="AH86" s="319"/>
      <c r="AI86" s="319"/>
      <c r="AJ86" s="319"/>
      <c r="AK86" s="319"/>
      <c r="AL86" s="319"/>
      <c r="AM86" s="319"/>
      <c r="AN86" s="319"/>
      <c r="AO86" s="319"/>
      <c r="AP86" s="319"/>
      <c r="AQ86" s="319"/>
      <c r="AR86" s="319"/>
      <c r="AS86" s="319"/>
    </row>
    <row r="87" spans="4:45" x14ac:dyDescent="0.2">
      <c r="AF87" s="319"/>
      <c r="AG87" s="319"/>
      <c r="AH87" s="319"/>
      <c r="AI87" s="319"/>
      <c r="AJ87" s="319"/>
      <c r="AK87" s="319"/>
      <c r="AL87" s="319"/>
      <c r="AM87" s="319"/>
      <c r="AN87" s="319"/>
      <c r="AO87" s="319"/>
      <c r="AP87" s="319"/>
      <c r="AQ87" s="319"/>
      <c r="AR87" s="319"/>
      <c r="AS87" s="319"/>
    </row>
    <row r="88" spans="4:45" x14ac:dyDescent="0.2">
      <c r="AF88" s="319"/>
      <c r="AG88" s="319"/>
      <c r="AH88" s="319"/>
      <c r="AI88" s="319"/>
      <c r="AJ88" s="319"/>
      <c r="AK88" s="319"/>
      <c r="AL88" s="319"/>
      <c r="AM88" s="319"/>
      <c r="AN88" s="319"/>
      <c r="AO88" s="319"/>
      <c r="AP88" s="319"/>
      <c r="AQ88" s="319"/>
      <c r="AR88" s="319"/>
      <c r="AS88" s="319"/>
    </row>
    <row r="89" spans="4:45" x14ac:dyDescent="0.2">
      <c r="AF89" s="319"/>
      <c r="AG89" s="319"/>
      <c r="AH89" s="319"/>
      <c r="AI89" s="319"/>
      <c r="AJ89" s="319"/>
      <c r="AK89" s="319"/>
      <c r="AL89" s="319"/>
      <c r="AM89" s="319"/>
      <c r="AN89" s="319"/>
      <c r="AO89" s="319"/>
      <c r="AP89" s="319"/>
      <c r="AQ89" s="319"/>
      <c r="AR89" s="319"/>
      <c r="AS89" s="319"/>
    </row>
    <row r="90" spans="4:45" x14ac:dyDescent="0.2">
      <c r="AF90" s="319"/>
      <c r="AG90" s="319"/>
      <c r="AH90" s="319"/>
      <c r="AI90" s="319"/>
      <c r="AJ90" s="319"/>
      <c r="AK90" s="319"/>
      <c r="AL90" s="319"/>
      <c r="AM90" s="319"/>
      <c r="AN90" s="319"/>
      <c r="AO90" s="319"/>
      <c r="AP90" s="319"/>
      <c r="AQ90" s="319"/>
      <c r="AR90" s="319"/>
      <c r="AS90" s="319"/>
    </row>
    <row r="91" spans="4:45" x14ac:dyDescent="0.2">
      <c r="AF91" s="319"/>
      <c r="AG91" s="319"/>
      <c r="AH91" s="319"/>
      <c r="AI91" s="319"/>
      <c r="AJ91" s="319"/>
      <c r="AK91" s="319"/>
      <c r="AL91" s="319"/>
      <c r="AM91" s="319"/>
      <c r="AN91" s="319"/>
      <c r="AO91" s="319"/>
      <c r="AP91" s="319"/>
      <c r="AQ91" s="319"/>
      <c r="AR91" s="319"/>
      <c r="AS91" s="319"/>
    </row>
    <row r="92" spans="4:45" x14ac:dyDescent="0.2">
      <c r="AF92" s="319"/>
      <c r="AG92" s="319"/>
      <c r="AH92" s="319"/>
      <c r="AI92" s="319"/>
      <c r="AJ92" s="319"/>
      <c r="AK92" s="319"/>
      <c r="AL92" s="319"/>
      <c r="AM92" s="319"/>
      <c r="AN92" s="319"/>
      <c r="AO92" s="319"/>
      <c r="AP92" s="319"/>
      <c r="AQ92" s="319"/>
      <c r="AR92" s="319"/>
      <c r="AS92" s="319"/>
    </row>
    <row r="93" spans="4:45" x14ac:dyDescent="0.2">
      <c r="AF93" s="319"/>
      <c r="AG93" s="319"/>
      <c r="AH93" s="319"/>
      <c r="AI93" s="319"/>
      <c r="AJ93" s="319"/>
      <c r="AK93" s="319"/>
      <c r="AL93" s="319"/>
      <c r="AM93" s="319"/>
      <c r="AN93" s="319"/>
      <c r="AO93" s="319"/>
      <c r="AP93" s="319"/>
      <c r="AQ93" s="319"/>
      <c r="AR93" s="319"/>
      <c r="AS93" s="319"/>
    </row>
    <row r="94" spans="4:45" x14ac:dyDescent="0.2">
      <c r="AF94" s="319"/>
      <c r="AG94" s="319"/>
      <c r="AH94" s="319"/>
      <c r="AI94" s="319"/>
      <c r="AJ94" s="319"/>
      <c r="AK94" s="319"/>
      <c r="AL94" s="319"/>
      <c r="AM94" s="319"/>
      <c r="AN94" s="319"/>
      <c r="AO94" s="319"/>
      <c r="AP94" s="319"/>
      <c r="AQ94" s="319"/>
      <c r="AR94" s="319"/>
      <c r="AS94" s="319"/>
    </row>
    <row r="95" spans="4:45" x14ac:dyDescent="0.2">
      <c r="AF95" s="319"/>
      <c r="AG95" s="319"/>
      <c r="AH95" s="319"/>
      <c r="AI95" s="319"/>
      <c r="AJ95" s="319"/>
      <c r="AK95" s="319"/>
      <c r="AL95" s="319"/>
      <c r="AM95" s="319"/>
      <c r="AN95" s="319"/>
      <c r="AO95" s="319"/>
      <c r="AP95" s="319"/>
      <c r="AQ95" s="319"/>
      <c r="AR95" s="319"/>
      <c r="AS95" s="319"/>
    </row>
    <row r="96" spans="4:45" x14ac:dyDescent="0.2">
      <c r="AF96" s="319"/>
      <c r="AG96" s="319"/>
      <c r="AH96" s="319"/>
      <c r="AI96" s="319"/>
      <c r="AJ96" s="319"/>
      <c r="AK96" s="319"/>
      <c r="AL96" s="319"/>
      <c r="AM96" s="319"/>
      <c r="AN96" s="319"/>
      <c r="AO96" s="319"/>
      <c r="AP96" s="319"/>
      <c r="AQ96" s="319"/>
      <c r="AR96" s="319"/>
      <c r="AS96" s="319"/>
    </row>
    <row r="97" spans="32:45" x14ac:dyDescent="0.2">
      <c r="AF97" s="319"/>
      <c r="AG97" s="319"/>
      <c r="AH97" s="319"/>
      <c r="AI97" s="319"/>
      <c r="AJ97" s="319"/>
      <c r="AK97" s="319"/>
      <c r="AL97" s="319"/>
      <c r="AM97" s="319"/>
      <c r="AN97" s="319"/>
      <c r="AO97" s="319"/>
      <c r="AP97" s="319"/>
      <c r="AQ97" s="319"/>
      <c r="AR97" s="319"/>
      <c r="AS97" s="319"/>
    </row>
    <row r="98" spans="32:45" x14ac:dyDescent="0.2">
      <c r="AF98" s="319"/>
      <c r="AG98" s="319"/>
      <c r="AH98" s="319"/>
      <c r="AI98" s="319"/>
      <c r="AJ98" s="319"/>
      <c r="AK98" s="319"/>
      <c r="AL98" s="319"/>
      <c r="AM98" s="319"/>
      <c r="AN98" s="319"/>
      <c r="AO98" s="319"/>
      <c r="AP98" s="319"/>
      <c r="AQ98" s="319"/>
      <c r="AR98" s="319"/>
      <c r="AS98" s="319"/>
    </row>
    <row r="99" spans="32:45" x14ac:dyDescent="0.2">
      <c r="AF99" s="319"/>
      <c r="AG99" s="319"/>
      <c r="AH99" s="319"/>
      <c r="AI99" s="319"/>
      <c r="AJ99" s="319"/>
      <c r="AK99" s="319"/>
      <c r="AL99" s="319"/>
      <c r="AM99" s="319"/>
      <c r="AN99" s="319"/>
      <c r="AO99" s="319"/>
      <c r="AP99" s="319"/>
      <c r="AQ99" s="319"/>
      <c r="AR99" s="319"/>
      <c r="AS99" s="319"/>
    </row>
    <row r="100" spans="32:45" x14ac:dyDescent="0.2">
      <c r="AF100" s="319"/>
      <c r="AG100" s="319"/>
      <c r="AH100" s="319"/>
      <c r="AI100" s="319"/>
      <c r="AJ100" s="319"/>
      <c r="AK100" s="319"/>
      <c r="AL100" s="319"/>
      <c r="AM100" s="319"/>
      <c r="AN100" s="319"/>
      <c r="AO100" s="319"/>
      <c r="AP100" s="319"/>
      <c r="AQ100" s="319"/>
      <c r="AR100" s="319"/>
      <c r="AS100" s="319"/>
    </row>
    <row r="101" spans="32:45" x14ac:dyDescent="0.2">
      <c r="AF101" s="319"/>
      <c r="AG101" s="319"/>
      <c r="AH101" s="319"/>
      <c r="AI101" s="319"/>
      <c r="AJ101" s="319"/>
      <c r="AK101" s="319"/>
      <c r="AL101" s="319"/>
      <c r="AM101" s="319"/>
      <c r="AN101" s="319"/>
      <c r="AO101" s="319"/>
      <c r="AP101" s="319"/>
      <c r="AQ101" s="319"/>
      <c r="AR101" s="319"/>
      <c r="AS101" s="319"/>
    </row>
    <row r="102" spans="32:45" x14ac:dyDescent="0.2">
      <c r="AF102" s="319"/>
      <c r="AG102" s="319"/>
      <c r="AH102" s="319"/>
      <c r="AI102" s="319"/>
      <c r="AJ102" s="319"/>
      <c r="AK102" s="319"/>
      <c r="AL102" s="319"/>
      <c r="AM102" s="319"/>
      <c r="AN102" s="319"/>
      <c r="AO102" s="319"/>
      <c r="AP102" s="319"/>
      <c r="AQ102" s="319"/>
      <c r="AR102" s="319"/>
      <c r="AS102" s="319"/>
    </row>
    <row r="103" spans="32:45" x14ac:dyDescent="0.2">
      <c r="AF103" s="319"/>
      <c r="AG103" s="319"/>
      <c r="AH103" s="319"/>
      <c r="AI103" s="319"/>
      <c r="AJ103" s="319"/>
      <c r="AK103" s="319"/>
      <c r="AL103" s="319"/>
      <c r="AM103" s="319"/>
      <c r="AN103" s="319"/>
      <c r="AO103" s="319"/>
      <c r="AP103" s="319"/>
      <c r="AQ103" s="319"/>
      <c r="AR103" s="319"/>
      <c r="AS103" s="319"/>
    </row>
    <row r="104" spans="32:45" x14ac:dyDescent="0.2">
      <c r="AF104" s="319"/>
      <c r="AG104" s="319"/>
      <c r="AH104" s="319"/>
      <c r="AI104" s="319"/>
      <c r="AJ104" s="319"/>
      <c r="AK104" s="319"/>
      <c r="AL104" s="319"/>
      <c r="AM104" s="319"/>
      <c r="AN104" s="319"/>
      <c r="AO104" s="319"/>
      <c r="AP104" s="319"/>
      <c r="AQ104" s="319"/>
      <c r="AR104" s="319"/>
      <c r="AS104" s="319"/>
    </row>
    <row r="105" spans="32:45" x14ac:dyDescent="0.2">
      <c r="AF105" s="319"/>
      <c r="AG105" s="319"/>
      <c r="AH105" s="319"/>
      <c r="AI105" s="319"/>
      <c r="AJ105" s="319"/>
      <c r="AK105" s="319"/>
      <c r="AL105" s="319"/>
      <c r="AM105" s="319"/>
      <c r="AN105" s="319"/>
      <c r="AO105" s="319"/>
      <c r="AP105" s="319"/>
      <c r="AQ105" s="319"/>
      <c r="AR105" s="319"/>
      <c r="AS105" s="31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28" workbookViewId="3">
      <selection activeCell="E35" sqref="E35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-129178</v>
      </c>
      <c r="C4" s="11">
        <v>-153504</v>
      </c>
      <c r="D4" s="11">
        <v>-89966</v>
      </c>
      <c r="E4" s="11">
        <v>-65118</v>
      </c>
      <c r="F4" s="11"/>
      <c r="G4" s="11"/>
      <c r="H4" s="11">
        <f>+C4+E4-B4-D4</f>
        <v>522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-129569</v>
      </c>
      <c r="C5" s="11">
        <v>-155015</v>
      </c>
      <c r="D5" s="129">
        <v>-89972</v>
      </c>
      <c r="E5" s="11">
        <v>-61792</v>
      </c>
      <c r="F5" s="11"/>
      <c r="G5" s="11"/>
      <c r="H5" s="11">
        <f t="shared" ref="H5:H34" si="0">+G5-F5+D5-E5+B5-C5</f>
        <v>-2734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-125900</v>
      </c>
      <c r="C6" s="11">
        <v>-67150</v>
      </c>
      <c r="D6" s="11">
        <v>-30212</v>
      </c>
      <c r="E6" s="11">
        <v>-89118</v>
      </c>
      <c r="F6" s="11"/>
      <c r="G6" s="11"/>
      <c r="H6" s="11">
        <f t="shared" si="0"/>
        <v>156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-139659</v>
      </c>
      <c r="C7" s="11">
        <v>-79605</v>
      </c>
      <c r="D7" s="129">
        <v>-40686</v>
      </c>
      <c r="E7" s="11">
        <v>-100150</v>
      </c>
      <c r="F7" s="11"/>
      <c r="G7" s="11"/>
      <c r="H7" s="11">
        <f t="shared" si="0"/>
        <v>-590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/>
      <c r="C8" s="11"/>
      <c r="D8" s="11"/>
      <c r="E8" s="11"/>
      <c r="F8" s="11"/>
      <c r="G8" s="11"/>
      <c r="H8" s="11">
        <f t="shared" si="0"/>
        <v>0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/>
      <c r="C13" s="11"/>
      <c r="D13" s="11"/>
      <c r="E13" s="11"/>
      <c r="F13" s="11"/>
      <c r="G13" s="11"/>
      <c r="H13" s="11">
        <f t="shared" si="0"/>
        <v>0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-524306</v>
      </c>
      <c r="C35" s="44">
        <f t="shared" si="1"/>
        <v>-455274</v>
      </c>
      <c r="D35" s="11">
        <f t="shared" si="1"/>
        <v>-250836</v>
      </c>
      <c r="E35" s="44">
        <f t="shared" si="1"/>
        <v>-316178</v>
      </c>
      <c r="F35" s="11">
        <f t="shared" si="1"/>
        <v>0</v>
      </c>
      <c r="G35" s="11">
        <f t="shared" si="1"/>
        <v>0</v>
      </c>
      <c r="H35" s="11">
        <f t="shared" si="1"/>
        <v>-2646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+summary!P11</f>
        <v>2.65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-7011.9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5">
        <v>37072</v>
      </c>
      <c r="F38" s="47"/>
      <c r="G38" s="48"/>
      <c r="H38" s="404">
        <v>301945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37076</v>
      </c>
      <c r="F39" s="47"/>
      <c r="G39" s="47"/>
      <c r="H39" s="137">
        <f>+H38+H37</f>
        <v>294933.09999999998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E37" sqref="E37"/>
    </sheetView>
    <sheetView topLeftCell="A24" workbookViewId="3">
      <selection activeCell="H29" sqref="H29"/>
    </sheetView>
  </sheetViews>
  <sheetFormatPr defaultRowHeight="12.75" x14ac:dyDescent="0.2"/>
  <cols>
    <col min="1" max="1" width="8.5703125" customWidth="1"/>
    <col min="2" max="2" width="10.42578125" customWidth="1"/>
    <col min="3" max="3" width="9.42578125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43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36</v>
      </c>
      <c r="D3" s="59" t="s">
        <v>44</v>
      </c>
      <c r="E3" s="4"/>
      <c r="F3" s="59" t="s">
        <v>45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38</v>
      </c>
      <c r="AB3" s="121"/>
      <c r="AC3" s="24"/>
      <c r="AD3" s="24"/>
      <c r="AE3" s="24"/>
      <c r="AF3" s="32"/>
      <c r="AG3" s="122" t="s">
        <v>39</v>
      </c>
      <c r="AH3" s="121"/>
      <c r="AM3" s="2" t="s">
        <v>40</v>
      </c>
      <c r="AN3"/>
    </row>
    <row r="4" spans="1:47" x14ac:dyDescent="0.2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46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-258012</v>
      </c>
      <c r="E5" s="11">
        <v>-271521</v>
      </c>
      <c r="F5" s="11"/>
      <c r="G5" s="11"/>
      <c r="H5" s="24">
        <f>+E5-D5+C5-B5</f>
        <v>-13509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36</v>
      </c>
      <c r="AB5" s="24"/>
      <c r="AC5" s="24"/>
      <c r="AD5" s="58" t="s">
        <v>37</v>
      </c>
      <c r="AE5" s="58"/>
      <c r="AF5" s="4"/>
      <c r="AG5" s="2" t="s">
        <v>36</v>
      </c>
      <c r="AJ5" s="4" t="s">
        <v>37</v>
      </c>
      <c r="AK5" s="4"/>
      <c r="AL5" s="4"/>
      <c r="AM5" s="2" t="s">
        <v>36</v>
      </c>
      <c r="AO5" s="4" t="s">
        <v>37</v>
      </c>
      <c r="AP5" s="4"/>
    </row>
    <row r="6" spans="1:47" x14ac:dyDescent="0.2">
      <c r="A6" s="10">
        <v>2</v>
      </c>
      <c r="B6" s="11"/>
      <c r="C6" s="11"/>
      <c r="D6" s="129">
        <v>-156136</v>
      </c>
      <c r="E6" s="11">
        <v>-162882</v>
      </c>
      <c r="F6" s="11"/>
      <c r="G6" s="11"/>
      <c r="H6" s="24">
        <f t="shared" ref="H6:H35" si="0">+E6-D6+C6-B6</f>
        <v>-6746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41</v>
      </c>
      <c r="AA6" s="40" t="s">
        <v>13</v>
      </c>
      <c r="AB6" s="40" t="s">
        <v>14</v>
      </c>
      <c r="AC6" s="40" t="s">
        <v>42</v>
      </c>
      <c r="AD6" s="40" t="s">
        <v>13</v>
      </c>
      <c r="AE6" s="40" t="s">
        <v>14</v>
      </c>
      <c r="AF6" s="6" t="s">
        <v>42</v>
      </c>
      <c r="AG6" s="6" t="s">
        <v>13</v>
      </c>
      <c r="AH6" s="40" t="s">
        <v>14</v>
      </c>
      <c r="AI6" s="6" t="s">
        <v>42</v>
      </c>
      <c r="AJ6" s="6" t="s">
        <v>13</v>
      </c>
      <c r="AK6" s="6" t="s">
        <v>14</v>
      </c>
      <c r="AL6" s="6" t="s">
        <v>42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">
      <c r="A7" s="10">
        <v>3</v>
      </c>
      <c r="B7" s="11"/>
      <c r="C7" s="129"/>
      <c r="D7" s="129">
        <v>-231882</v>
      </c>
      <c r="E7" s="129">
        <v>-232408</v>
      </c>
      <c r="F7" s="11"/>
      <c r="G7" s="11"/>
      <c r="H7" s="24">
        <f t="shared" si="0"/>
        <v>-526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-240679</v>
      </c>
      <c r="E8" s="129">
        <v>-247557</v>
      </c>
      <c r="F8" s="11"/>
      <c r="G8" s="11"/>
      <c r="H8" s="24">
        <f t="shared" si="0"/>
        <v>-6878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/>
      <c r="E9" s="11"/>
      <c r="F9" s="11"/>
      <c r="G9" s="11"/>
      <c r="H9" s="24">
        <f t="shared" si="0"/>
        <v>0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-886709</v>
      </c>
      <c r="E36" s="11">
        <f t="shared" si="15"/>
        <v>-914368</v>
      </c>
      <c r="F36" s="11">
        <f t="shared" si="15"/>
        <v>0</v>
      </c>
      <c r="G36" s="11">
        <f t="shared" si="15"/>
        <v>0</v>
      </c>
      <c r="H36" s="11">
        <f t="shared" si="15"/>
        <v>-27659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A37" s="57">
        <v>37072</v>
      </c>
      <c r="B37" s="2" t="s">
        <v>47</v>
      </c>
      <c r="C37" s="408">
        <v>50503</v>
      </c>
      <c r="D37" s="362"/>
      <c r="E37" s="409">
        <v>139669</v>
      </c>
      <c r="F37" s="24"/>
      <c r="G37" s="24"/>
      <c r="H37" s="241">
        <f>+C37+E37+G37</f>
        <v>190172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37076</v>
      </c>
      <c r="B38" s="2" t="s">
        <v>47</v>
      </c>
      <c r="C38" s="131">
        <f>+C37+C36-B36</f>
        <v>50503</v>
      </c>
      <c r="D38" s="260"/>
      <c r="E38" s="131">
        <f>+E37+D36-E36</f>
        <v>167328</v>
      </c>
      <c r="F38" s="260"/>
      <c r="G38" s="131"/>
      <c r="H38" s="131">
        <f>+H37+H36</f>
        <v>162513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26"/>
      <c r="D39" s="251"/>
      <c r="E39" s="251"/>
      <c r="F39" s="255"/>
      <c r="G39" s="251"/>
      <c r="H39" s="371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H40" s="34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9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5"/>
      <c r="B43" s="6"/>
      <c r="C43" s="6"/>
      <c r="D43" s="6"/>
      <c r="E43" s="284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10"/>
      <c r="B44" s="11"/>
      <c r="C44" s="11"/>
      <c r="D44" s="11"/>
      <c r="E44" s="276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10"/>
      <c r="B45" s="11"/>
      <c r="C45" s="11"/>
      <c r="D45" s="11"/>
      <c r="E45" s="276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10"/>
      <c r="B46" s="11"/>
      <c r="C46" s="11"/>
      <c r="D46" s="11"/>
      <c r="E46" s="276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11"/>
      <c r="D47" s="11"/>
      <c r="E47" s="276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D39" sqref="D39"/>
    </sheetView>
    <sheetView topLeftCell="A24" workbookViewId="3">
      <selection activeCell="B33" sqref="B33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48</v>
      </c>
      <c r="E4" s="3"/>
      <c r="F4" s="1"/>
      <c r="I4" s="3"/>
      <c r="J4" s="1"/>
      <c r="M4" s="3"/>
      <c r="N4" s="1"/>
    </row>
    <row r="5" spans="1:16" x14ac:dyDescent="0.2">
      <c r="A5" s="5" t="s">
        <v>12</v>
      </c>
      <c r="B5" s="6" t="s">
        <v>21</v>
      </c>
      <c r="C5" s="6" t="s">
        <v>22</v>
      </c>
      <c r="D5" s="6" t="s">
        <v>46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78448</v>
      </c>
      <c r="C6" s="11">
        <v>77619</v>
      </c>
      <c r="D6" s="25">
        <f>+C6-B6</f>
        <v>-829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85041</v>
      </c>
      <c r="C7" s="11">
        <v>84335</v>
      </c>
      <c r="D7" s="25">
        <f>+C7-B7</f>
        <v>-706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98229</v>
      </c>
      <c r="C8" s="11">
        <v>102930</v>
      </c>
      <c r="D8" s="25">
        <f t="shared" ref="D8:D36" si="0">+C8-B8</f>
        <v>4701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97181</v>
      </c>
      <c r="C9" s="11">
        <v>96001</v>
      </c>
      <c r="D9" s="25">
        <f t="shared" si="0"/>
        <v>-1180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/>
      <c r="C10" s="11"/>
      <c r="D10" s="25">
        <f t="shared" si="0"/>
        <v>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/>
      <c r="C11" s="11"/>
      <c r="D11" s="25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/>
      <c r="C12" s="11"/>
      <c r="D12" s="25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/>
      <c r="C13" s="11"/>
      <c r="D13" s="25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/>
      <c r="C14" s="11"/>
      <c r="D14" s="25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358899</v>
      </c>
      <c r="C37" s="11">
        <f>SUM(C6:C36)</f>
        <v>360885</v>
      </c>
      <c r="D37" s="11">
        <f>SUM(D6:D36)</f>
        <v>1986</v>
      </c>
      <c r="E37" s="10"/>
      <c r="F37" s="11"/>
      <c r="G37" s="11"/>
      <c r="H37" s="129"/>
      <c r="I37" s="270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1"/>
      <c r="I38" s="271"/>
      <c r="J38" s="251"/>
      <c r="K38" s="272"/>
      <c r="L38" s="251"/>
      <c r="M38" s="26"/>
      <c r="O38" s="14"/>
    </row>
    <row r="39" spans="1:16" x14ac:dyDescent="0.2">
      <c r="A39" s="57">
        <v>37072</v>
      </c>
      <c r="C39" s="15"/>
      <c r="D39" s="248">
        <v>59179</v>
      </c>
      <c r="E39" s="57"/>
      <c r="G39" s="15"/>
      <c r="H39" s="51"/>
      <c r="I39" s="273"/>
      <c r="J39" s="251"/>
      <c r="K39" s="274"/>
      <c r="L39" s="51"/>
      <c r="M39" s="57"/>
      <c r="O39" s="15"/>
      <c r="P39" s="24"/>
    </row>
    <row r="40" spans="1:16" x14ac:dyDescent="0.2">
      <c r="A40" s="57">
        <v>37076</v>
      </c>
      <c r="C40" s="48"/>
      <c r="D40" s="25">
        <f>+D39+D37</f>
        <v>61165</v>
      </c>
      <c r="E40" s="57"/>
      <c r="G40" s="48"/>
      <c r="H40" s="131"/>
      <c r="I40" s="273"/>
      <c r="J40" s="251"/>
      <c r="K40" s="275"/>
      <c r="L40" s="131"/>
      <c r="M40" s="57"/>
      <c r="O40" s="48"/>
      <c r="P40" s="130"/>
    </row>
    <row r="41" spans="1:16" x14ac:dyDescent="0.2">
      <c r="C41" s="47"/>
      <c r="H41" s="251"/>
      <c r="I41" s="251"/>
      <c r="J41" s="251"/>
      <c r="K41" s="251"/>
      <c r="L41" s="251"/>
    </row>
    <row r="42" spans="1:16" x14ac:dyDescent="0.2">
      <c r="A42" s="57"/>
      <c r="C42" s="50"/>
      <c r="D42" s="25"/>
      <c r="H42" s="251"/>
      <c r="I42" s="251"/>
      <c r="J42" s="251"/>
      <c r="K42" s="251"/>
      <c r="L42" s="251"/>
    </row>
    <row r="43" spans="1:16" x14ac:dyDescent="0.2">
      <c r="A43" s="57"/>
      <c r="C43" s="50"/>
      <c r="H43" s="251"/>
      <c r="I43" s="251"/>
      <c r="J43" s="251"/>
      <c r="K43" s="251"/>
      <c r="L43" s="251"/>
    </row>
    <row r="44" spans="1:16" x14ac:dyDescent="0.2">
      <c r="H44" s="251"/>
      <c r="I44" s="251"/>
      <c r="J44" s="251"/>
      <c r="K44" s="251"/>
      <c r="L44" s="25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24</vt:i4>
      </vt:variant>
    </vt:vector>
  </HeadingPairs>
  <TitlesOfParts>
    <vt:vector size="59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2001-07-02T23:00:44Z</cp:lastPrinted>
  <dcterms:created xsi:type="dcterms:W3CDTF">2000-03-28T16:52:23Z</dcterms:created>
  <dcterms:modified xsi:type="dcterms:W3CDTF">2014-09-03T14:36:45Z</dcterms:modified>
</cp:coreProperties>
</file>