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firstSheet="8" activeTab="9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P10" i="80"/>
  <c r="P11" i="80"/>
  <c r="D12" i="80"/>
  <c r="P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6" i="80"/>
  <c r="D37" i="80"/>
  <c r="D38" i="80"/>
  <c r="D39" i="80"/>
  <c r="D40" i="80"/>
  <c r="D41" i="80"/>
  <c r="D42" i="80"/>
  <c r="D43" i="80"/>
  <c r="D44" i="80"/>
  <c r="D45" i="80"/>
  <c r="D46" i="80"/>
  <c r="D6" i="74"/>
  <c r="D7" i="74"/>
  <c r="D8" i="74"/>
  <c r="D37" i="74" s="1"/>
  <c r="D39" i="74" s="1"/>
  <c r="D41" i="74" s="1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6" i="78"/>
  <c r="D7" i="78"/>
  <c r="D8" i="78"/>
  <c r="D9" i="78"/>
  <c r="D10" i="78"/>
  <c r="D11" i="78"/>
  <c r="D1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" i="73"/>
  <c r="F5" i="73"/>
  <c r="F6" i="73"/>
  <c r="F7" i="73"/>
  <c r="F8" i="73"/>
  <c r="F35" i="73" s="1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E36" i="73" s="1"/>
  <c r="C36" i="73"/>
  <c r="F39" i="73"/>
  <c r="H39" i="73"/>
  <c r="H40" i="73"/>
  <c r="B10" i="20"/>
  <c r="B11" i="20"/>
  <c r="B12" i="20"/>
  <c r="B13" i="20"/>
  <c r="B14" i="20"/>
  <c r="B15" i="20"/>
  <c r="B16" i="20"/>
  <c r="B29" i="20"/>
  <c r="B44" i="20"/>
  <c r="G64" i="20"/>
  <c r="H64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8" i="11" s="1"/>
  <c r="F36" i="11"/>
  <c r="G36" i="11"/>
  <c r="AC36" i="11"/>
  <c r="AE36" i="11"/>
  <c r="AF36" i="11"/>
  <c r="AI36" i="11"/>
  <c r="AL36" i="11"/>
  <c r="AM36" i="11"/>
  <c r="AN36" i="11"/>
  <c r="AO36" i="11"/>
  <c r="AP36" i="11"/>
  <c r="H37" i="11"/>
  <c r="AA37" i="11"/>
  <c r="AM37" i="11" s="1"/>
  <c r="AC37" i="11"/>
  <c r="AF37" i="11"/>
  <c r="AI37" i="11"/>
  <c r="AL37" i="11"/>
  <c r="AN37" i="11"/>
  <c r="AO37" i="11"/>
  <c r="AP37" i="11"/>
  <c r="C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6" i="5" s="1"/>
  <c r="F42" i="5" s="1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35" i="68" s="1"/>
  <c r="D40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9" i="65"/>
  <c r="D10" i="65"/>
  <c r="D11" i="65"/>
  <c r="D12" i="65"/>
  <c r="D13" i="65"/>
  <c r="D14" i="65"/>
  <c r="D19" i="65"/>
  <c r="D6" i="77"/>
  <c r="D7" i="77"/>
  <c r="D8" i="77"/>
  <c r="D37" i="77" s="1"/>
  <c r="D39" i="77" s="1"/>
  <c r="D41" i="77" s="1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F5" i="7"/>
  <c r="F36" i="7" s="1"/>
  <c r="F41" i="7" s="1"/>
  <c r="Z5" i="7"/>
  <c r="AD5" i="7" s="1"/>
  <c r="AF5" i="7" s="1"/>
  <c r="AG5" i="7"/>
  <c r="AH5" i="7"/>
  <c r="AI5" i="7" s="1"/>
  <c r="F6" i="7"/>
  <c r="Z6" i="7"/>
  <c r="AD6" i="7" s="1"/>
  <c r="AF6" i="7" s="1"/>
  <c r="AH6" i="7"/>
  <c r="AH7" i="7" s="1"/>
  <c r="F7" i="7"/>
  <c r="Z7" i="7"/>
  <c r="AD7" i="7"/>
  <c r="AF7" i="7" s="1"/>
  <c r="F8" i="7"/>
  <c r="Z8" i="7"/>
  <c r="AD8" i="7" s="1"/>
  <c r="AF8" i="7"/>
  <c r="F9" i="7"/>
  <c r="Z9" i="7"/>
  <c r="AD9" i="7"/>
  <c r="AF9" i="7" s="1"/>
  <c r="F10" i="7"/>
  <c r="Z10" i="7"/>
  <c r="AD10" i="7"/>
  <c r="AF10" i="7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AG19" i="7" s="1"/>
  <c r="AF19" i="7"/>
  <c r="AH19" i="7" s="1"/>
  <c r="F20" i="7"/>
  <c r="Z20" i="7"/>
  <c r="AD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D6" i="81"/>
  <c r="D37" i="81" s="1"/>
  <c r="D41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H4" i="9"/>
  <c r="H5" i="9"/>
  <c r="H6" i="9"/>
  <c r="H7" i="9"/>
  <c r="H8" i="9"/>
  <c r="H9" i="9"/>
  <c r="H10" i="9"/>
  <c r="H35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H37" i="9" s="1"/>
  <c r="H39" i="9" s="1"/>
  <c r="D5" i="64"/>
  <c r="D6" i="64"/>
  <c r="D7" i="64"/>
  <c r="D8" i="64"/>
  <c r="D9" i="64"/>
  <c r="D10" i="64"/>
  <c r="D11" i="64"/>
  <c r="D12" i="64"/>
  <c r="D13" i="64"/>
  <c r="F8" i="15"/>
  <c r="AF8" i="15"/>
  <c r="AJ8" i="15"/>
  <c r="AN8" i="15"/>
  <c r="AR8" i="15"/>
  <c r="AV8" i="15"/>
  <c r="F9" i="15"/>
  <c r="AF9" i="15"/>
  <c r="AJ9" i="15"/>
  <c r="AJ39" i="15" s="1"/>
  <c r="AJ45" i="15" s="1"/>
  <c r="AN9" i="15"/>
  <c r="AR9" i="15"/>
  <c r="AV9" i="15"/>
  <c r="AV39" i="15" s="1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I39" i="15"/>
  <c r="AL39" i="15"/>
  <c r="AM39" i="15"/>
  <c r="AP39" i="15"/>
  <c r="AT39" i="15"/>
  <c r="F40" i="15"/>
  <c r="AH52" i="15"/>
  <c r="AH54" i="15"/>
  <c r="F86" i="15"/>
  <c r="K86" i="15"/>
  <c r="F87" i="15"/>
  <c r="K87" i="15"/>
  <c r="F88" i="15"/>
  <c r="K88" i="15"/>
  <c r="K114" i="15" s="1"/>
  <c r="F89" i="15"/>
  <c r="K89" i="15"/>
  <c r="F90" i="15"/>
  <c r="K90" i="15"/>
  <c r="F91" i="15"/>
  <c r="K91" i="15"/>
  <c r="B92" i="15"/>
  <c r="B101" i="15" s="1"/>
  <c r="F92" i="15"/>
  <c r="F101" i="15" s="1"/>
  <c r="C101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5" i="6"/>
  <c r="F35" i="6" s="1"/>
  <c r="F40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P11" i="63"/>
  <c r="F40" i="18" s="1"/>
  <c r="D12" i="63"/>
  <c r="P12" i="63"/>
  <c r="C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O40" i="63"/>
  <c r="D41" i="63"/>
  <c r="D42" i="63"/>
  <c r="D43" i="63"/>
  <c r="D44" i="63"/>
  <c r="D45" i="63"/>
  <c r="D46" i="63"/>
  <c r="D47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35" i="2" s="1"/>
  <c r="J40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 s="1"/>
  <c r="B22" i="80" l="1"/>
  <c r="C22" i="80" s="1"/>
  <c r="B26" i="63"/>
  <c r="C26" i="63" s="1"/>
  <c r="B39" i="80"/>
  <c r="B21" i="63"/>
  <c r="C46" i="80"/>
  <c r="B46" i="80" s="1"/>
  <c r="C46" i="63"/>
  <c r="B46" i="63" s="1"/>
  <c r="AF20" i="7"/>
  <c r="AH20" i="7" s="1"/>
  <c r="AG20" i="7"/>
  <c r="AG21" i="7" s="1"/>
  <c r="F38" i="67"/>
  <c r="C43" i="80"/>
  <c r="B43" i="80" s="1"/>
  <c r="C31" i="63"/>
  <c r="B31" i="63" s="1"/>
  <c r="C34" i="63"/>
  <c r="B34" i="63" s="1"/>
  <c r="C44" i="80"/>
  <c r="B44" i="80" s="1"/>
  <c r="B42" i="63"/>
  <c r="C42" i="63" s="1"/>
  <c r="B31" i="80"/>
  <c r="C31" i="80" s="1"/>
  <c r="B28" i="80"/>
  <c r="C28" i="80" s="1"/>
  <c r="B45" i="63"/>
  <c r="C45" i="63" s="1"/>
  <c r="C13" i="63"/>
  <c r="B13" i="63" s="1"/>
  <c r="C36" i="80"/>
  <c r="C37" i="80"/>
  <c r="B37" i="80" s="1"/>
  <c r="C18" i="63"/>
  <c r="B18" i="63" s="1"/>
  <c r="C45" i="80"/>
  <c r="B45" i="80" s="1"/>
  <c r="C35" i="63"/>
  <c r="B35" i="63" s="1"/>
  <c r="C28" i="63"/>
  <c r="B28" i="63" s="1"/>
  <c r="C41" i="80"/>
  <c r="B41" i="80" s="1"/>
  <c r="D41" i="19"/>
  <c r="D43" i="19" s="1"/>
  <c r="F41" i="18"/>
  <c r="F43" i="18" s="1"/>
  <c r="AH8" i="7"/>
  <c r="F39" i="18"/>
  <c r="D37" i="75"/>
  <c r="D12" i="78"/>
  <c r="D14" i="78" s="1"/>
  <c r="D18" i="78" s="1"/>
  <c r="AR39" i="15"/>
  <c r="AR45" i="15" s="1"/>
  <c r="C40" i="80"/>
  <c r="B40" i="80" s="1"/>
  <c r="C27" i="63"/>
  <c r="B27" i="63" s="1"/>
  <c r="AI19" i="7"/>
  <c r="F34" i="67"/>
  <c r="E37" i="5"/>
  <c r="F36" i="73"/>
  <c r="D37" i="79"/>
  <c r="D39" i="75"/>
  <c r="D41" i="75" s="1"/>
  <c r="AN39" i="15"/>
  <c r="C176" i="15"/>
  <c r="F176" i="15" s="1"/>
  <c r="C180" i="15"/>
  <c r="F133" i="15"/>
  <c r="C133" i="15" s="1"/>
  <c r="AR22" i="15"/>
  <c r="AQ39" i="15"/>
  <c r="AF39" i="15"/>
  <c r="AF45" i="15" s="1"/>
  <c r="AI7" i="7"/>
  <c r="J39" i="17"/>
  <c r="D40" i="69"/>
  <c r="D42" i="69" s="1"/>
  <c r="E36" i="13"/>
  <c r="F35" i="13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18" i="65"/>
  <c r="D20" i="65" s="1"/>
  <c r="D24" i="65" s="1"/>
  <c r="D39" i="72"/>
  <c r="E37" i="73"/>
  <c r="C38" i="73"/>
  <c r="C40" i="73" s="1"/>
  <c r="H36" i="11"/>
  <c r="H38" i="11" s="1"/>
  <c r="AH56" i="15"/>
  <c r="AH57" i="15" s="1"/>
  <c r="AU39" i="15"/>
  <c r="D17" i="64"/>
  <c r="F41" i="15"/>
  <c r="F43" i="15" s="1"/>
  <c r="AL48" i="11"/>
  <c r="D37" i="76"/>
  <c r="AI6" i="7"/>
  <c r="J37" i="70"/>
  <c r="J41" i="70" s="1"/>
  <c r="D37" i="12"/>
  <c r="D40" i="12" s="1"/>
  <c r="F38" i="22"/>
  <c r="F39" i="22" s="1"/>
  <c r="F41" i="22" s="1"/>
  <c r="AP34" i="11"/>
  <c r="AP27" i="11"/>
  <c r="AP20" i="11"/>
  <c r="F40" i="71"/>
  <c r="F41" i="71" s="1"/>
  <c r="F43" i="71" s="1"/>
  <c r="D19" i="8"/>
  <c r="D20" i="8" s="1"/>
  <c r="D24" i="8" s="1"/>
  <c r="D38" i="76"/>
  <c r="D18" i="64"/>
  <c r="J40" i="17"/>
  <c r="J41" i="17" s="1"/>
  <c r="J43" i="17" s="1"/>
  <c r="C37" i="13"/>
  <c r="B30" i="20"/>
  <c r="D38" i="79"/>
  <c r="D40" i="72"/>
  <c r="AI20" i="7" l="1"/>
  <c r="AH21" i="7"/>
  <c r="AI21" i="7" s="1"/>
  <c r="B12" i="80"/>
  <c r="B12" i="63"/>
  <c r="E37" i="13"/>
  <c r="E38" i="13" s="1"/>
  <c r="C38" i="13"/>
  <c r="C41" i="13" s="1"/>
  <c r="B41" i="63"/>
  <c r="B32" i="80"/>
  <c r="C32" i="80" s="1"/>
  <c r="D19" i="64"/>
  <c r="D23" i="64" s="1"/>
  <c r="C42" i="80"/>
  <c r="B42" i="80" s="1"/>
  <c r="C30" i="63"/>
  <c r="B30" i="63" s="1"/>
  <c r="D39" i="76"/>
  <c r="D41" i="76" s="1"/>
  <c r="B21" i="80"/>
  <c r="C21" i="80" s="1"/>
  <c r="B25" i="63"/>
  <c r="C25" i="63" s="1"/>
  <c r="B23" i="80"/>
  <c r="C23" i="80" s="1"/>
  <c r="B29" i="63"/>
  <c r="C29" i="63" s="1"/>
  <c r="AH9" i="7"/>
  <c r="AI8" i="7"/>
  <c r="B22" i="63"/>
  <c r="C22" i="63" s="1"/>
  <c r="B18" i="80"/>
  <c r="C18" i="80" s="1"/>
  <c r="C21" i="63"/>
  <c r="C39" i="80"/>
  <c r="B36" i="63"/>
  <c r="C36" i="63" s="1"/>
  <c r="B26" i="80"/>
  <c r="C26" i="80" s="1"/>
  <c r="B16" i="80"/>
  <c r="C16" i="80" s="1"/>
  <c r="B17" i="63"/>
  <c r="C17" i="63" s="1"/>
  <c r="B36" i="80"/>
  <c r="B16" i="63"/>
  <c r="C16" i="63" s="1"/>
  <c r="B15" i="80"/>
  <c r="C15" i="80" s="1"/>
  <c r="D41" i="72"/>
  <c r="D43" i="72" s="1"/>
  <c r="AN45" i="15"/>
  <c r="B102" i="15"/>
  <c r="B25" i="80"/>
  <c r="C25" i="80" s="1"/>
  <c r="B33" i="63"/>
  <c r="C33" i="63" s="1"/>
  <c r="B14" i="63"/>
  <c r="C14" i="63" s="1"/>
  <c r="B13" i="80"/>
  <c r="C13" i="80" s="1"/>
  <c r="AR51" i="15"/>
  <c r="AR48" i="15"/>
  <c r="B27" i="80"/>
  <c r="C27" i="80" s="1"/>
  <c r="B47" i="63"/>
  <c r="C47" i="63" s="1"/>
  <c r="D39" i="79"/>
  <c r="D41" i="79" s="1"/>
  <c r="C30" i="20"/>
  <c r="C31" i="20" s="1"/>
  <c r="B17" i="20"/>
  <c r="C17" i="20" s="1"/>
  <c r="C18" i="20" s="1"/>
  <c r="C63" i="20" s="1"/>
  <c r="F52" i="73" s="1"/>
  <c r="F54" i="73" s="1"/>
  <c r="B45" i="20"/>
  <c r="C45" i="20" s="1"/>
  <c r="C46" i="20" s="1"/>
  <c r="F37" i="73"/>
  <c r="F38" i="73" s="1"/>
  <c r="F40" i="73" s="1"/>
  <c r="F50" i="73" s="1"/>
  <c r="E38" i="73"/>
  <c r="E40" i="73" s="1"/>
  <c r="B29" i="80"/>
  <c r="C29" i="80" s="1"/>
  <c r="B44" i="63"/>
  <c r="C44" i="63" s="1"/>
  <c r="C38" i="80"/>
  <c r="B38" i="80" s="1"/>
  <c r="C20" i="63"/>
  <c r="B20" i="63" s="1"/>
  <c r="C19" i="63" s="1"/>
  <c r="B24" i="63" l="1"/>
  <c r="C24" i="63" s="1"/>
  <c r="B20" i="80"/>
  <c r="C20" i="80" s="1"/>
  <c r="C41" i="63"/>
  <c r="E41" i="13"/>
  <c r="F41" i="13" s="1"/>
  <c r="F38" i="13"/>
  <c r="B19" i="80"/>
  <c r="C19" i="80" s="1"/>
  <c r="B23" i="63"/>
  <c r="C23" i="63" s="1"/>
  <c r="B47" i="80"/>
  <c r="B32" i="63"/>
  <c r="C32" i="63" s="1"/>
  <c r="B24" i="80"/>
  <c r="C24" i="80" s="1"/>
  <c r="C12" i="63"/>
  <c r="C47" i="80"/>
  <c r="C12" i="80"/>
  <c r="B43" i="63"/>
  <c r="C43" i="63" s="1"/>
  <c r="B30" i="80"/>
  <c r="C30" i="80" s="1"/>
  <c r="B103" i="15"/>
  <c r="B105" i="15" s="1"/>
  <c r="F105" i="15" s="1"/>
  <c r="F102" i="15"/>
  <c r="F103" i="15" s="1"/>
  <c r="C103" i="15" s="1"/>
  <c r="AI9" i="7"/>
  <c r="AH10" i="7"/>
  <c r="B14" i="80"/>
  <c r="C14" i="80" s="1"/>
  <c r="B15" i="63"/>
  <c r="C15" i="63" s="1"/>
  <c r="C33" i="80" l="1"/>
  <c r="C49" i="80" s="1"/>
  <c r="B33" i="80"/>
  <c r="B49" i="80" s="1"/>
  <c r="AI10" i="7"/>
  <c r="AH11" i="7"/>
  <c r="B37" i="63"/>
  <c r="B19" i="63"/>
  <c r="B17" i="80"/>
  <c r="C17" i="80" s="1"/>
  <c r="C37" i="63"/>
  <c r="C48" i="63"/>
  <c r="C50" i="63" s="1"/>
  <c r="B48" i="63"/>
  <c r="B50" i="63" s="1"/>
  <c r="AH12" i="7" l="1"/>
  <c r="AI11" i="7"/>
  <c r="AI12" i="7" l="1"/>
  <c r="AH13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<sst xmlns="http://schemas.openxmlformats.org/spreadsheetml/2006/main" count="595" uniqueCount="177">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</sst>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6" fillId="0" borderId="0" xfId="0" applyFont="1"/>
    <xf numFmtId="0" fontId="37" fillId="0" borderId="0" xfId="0" applyFont="1"/>
    <xf numFmtId="5" fontId="37" fillId="0" borderId="0" xfId="0" applyNumberFormat="1" applyFont="1" applyAlignment="1">
      <alignment horizontal="right"/>
    </xf>
    <xf numFmtId="37" fontId="37" fillId="0" borderId="0" xfId="1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25" fillId="0" borderId="1" xfId="0" applyNumberFormat="1" applyFont="1" applyFill="1" applyBorder="1"/>
    <xf numFmtId="166" fontId="25" fillId="0" borderId="1" xfId="0" applyNumberFormat="1" applyFont="1" applyFill="1" applyBorder="1"/>
    <xf numFmtId="5" fontId="25" fillId="0" borderId="1" xfId="1" applyNumberFormat="1" applyFont="1" applyFill="1" applyBorder="1"/>
    <xf numFmtId="5" fontId="25" fillId="0" borderId="0" xfId="0" applyNumberFormat="1" applyFont="1" applyFill="1"/>
    <xf numFmtId="5" fontId="25" fillId="0" borderId="0" xfId="1" applyNumberFormat="1" applyFont="1" applyFill="1" applyBorder="1"/>
    <xf numFmtId="7" fontId="3" fillId="0" borderId="0" xfId="2" applyNumberFormat="1" applyFont="1" applyBorder="1"/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8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  <xf numFmtId="0" fontId="37" fillId="0" borderId="0" xfId="0" applyFont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3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9" fontId="0" fillId="0" borderId="0" xfId="0" applyNumberFormat="1" applyAlignment="1">
      <alignment horizontal="center"/>
    </xf>
    <xf numFmtId="37" fontId="28" fillId="3" borderId="0" xfId="1" applyNumberFormat="1" applyFont="1" applyFill="1"/>
    <xf numFmtId="5" fontId="3" fillId="4" borderId="0" xfId="0" applyNumberFormat="1" applyFont="1" applyFill="1"/>
    <xf numFmtId="5" fontId="3" fillId="4" borderId="1" xfId="0" applyNumberFormat="1" applyFont="1" applyFill="1" applyBorder="1"/>
    <xf numFmtId="7" fontId="3" fillId="4" borderId="0" xfId="0" applyNumberFormat="1" applyFont="1" applyFill="1"/>
    <xf numFmtId="43" fontId="11" fillId="0" borderId="0" xfId="1" applyFont="1" applyAlignment="1">
      <alignment horizontal="left"/>
    </xf>
    <xf numFmtId="43" fontId="0" fillId="0" borderId="0" xfId="1" applyFont="1"/>
    <xf numFmtId="166" fontId="39" fillId="0" borderId="1" xfId="1" applyNumberFormat="1" applyFont="1" applyFill="1" applyBorder="1"/>
    <xf numFmtId="37" fontId="39" fillId="0" borderId="0" xfId="1" applyNumberFormat="1" applyFont="1" applyFill="1"/>
    <xf numFmtId="37" fontId="39" fillId="0" borderId="0" xfId="1" applyNumberFormat="1" applyFont="1" applyFill="1" applyBorder="1"/>
    <xf numFmtId="5" fontId="39" fillId="0" borderId="1" xfId="0" applyNumberFormat="1" applyFont="1" applyFill="1" applyBorder="1"/>
    <xf numFmtId="166" fontId="39" fillId="0" borderId="0" xfId="1" applyNumberFormat="1" applyFont="1" applyFill="1" applyBorder="1"/>
    <xf numFmtId="7" fontId="39" fillId="0" borderId="1" xfId="0" applyNumberFormat="1" applyFont="1" applyFill="1" applyBorder="1"/>
    <xf numFmtId="5" fontId="39" fillId="0" borderId="0" xfId="1" applyNumberFormat="1" applyFont="1" applyFill="1"/>
    <xf numFmtId="7" fontId="39" fillId="0" borderId="0" xfId="1" applyNumberFormat="1" applyFont="1" applyFill="1"/>
    <xf numFmtId="166" fontId="39" fillId="0" borderId="0" xfId="1" applyNumberFormat="1" applyFont="1" applyFill="1"/>
    <xf numFmtId="44" fontId="39" fillId="0" borderId="0" xfId="2" applyFont="1" applyFill="1"/>
    <xf numFmtId="7" fontId="40" fillId="0" borderId="1" xfId="1" applyNumberFormat="1" applyFont="1" applyFill="1" applyBorder="1"/>
    <xf numFmtId="192" fontId="39" fillId="0" borderId="0" xfId="0" applyNumberFormat="1" applyFont="1" applyFill="1"/>
    <xf numFmtId="5" fontId="39" fillId="0" borderId="0" xfId="0" applyNumberFormat="1" applyFont="1" applyFill="1"/>
    <xf numFmtId="7" fontId="39" fillId="0" borderId="0" xfId="0" applyNumberFormat="1" applyFont="1" applyFill="1"/>
    <xf numFmtId="5" fontId="39" fillId="0" borderId="0" xfId="0" applyNumberFormat="1" applyFont="1" applyFill="1" applyAlignment="1">
      <alignment horizontal="left" indent="2"/>
    </xf>
    <xf numFmtId="37" fontId="3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2.92</v>
          </cell>
          <cell r="K39">
            <v>2.39</v>
          </cell>
          <cell r="M39">
            <v>2.74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/>
    <sheetView workbookViewId="1"/>
    <sheetView workbookViewId="2"/>
    <sheetView tabSelected="1" topLeftCell="A8" workbookViewId="3">
      <selection activeCell="B36" sqref="B3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09"/>
    </row>
    <row r="2" spans="1:20" ht="15.75" x14ac:dyDescent="0.25">
      <c r="A2" s="53" t="s">
        <v>161</v>
      </c>
    </row>
    <row r="3" spans="1:20" ht="15.75" x14ac:dyDescent="0.25">
      <c r="A3" s="53" t="s">
        <v>164</v>
      </c>
    </row>
    <row r="4" spans="1:20" ht="15" customHeight="1" x14ac:dyDescent="0.25">
      <c r="A4" s="53" t="s">
        <v>163</v>
      </c>
    </row>
    <row r="5" spans="1:20" ht="15" customHeight="1" x14ac:dyDescent="0.25">
      <c r="A5" s="53" t="s">
        <v>162</v>
      </c>
    </row>
    <row r="6" spans="1:20" ht="20.100000000000001" customHeight="1" x14ac:dyDescent="0.25">
      <c r="A6" s="388" t="s">
        <v>154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4" t="s">
        <v>82</v>
      </c>
      <c r="P9" s="305"/>
    </row>
    <row r="10" spans="1:20" ht="18" customHeight="1" x14ac:dyDescent="0.2">
      <c r="O10" s="306" t="s">
        <v>31</v>
      </c>
      <c r="P10" s="308">
        <f>+'[1]0701'!$K$39</f>
        <v>2.39</v>
      </c>
    </row>
    <row r="11" spans="1:20" ht="18" customHeight="1" x14ac:dyDescent="0.2">
      <c r="A11" s="389" t="s">
        <v>98</v>
      </c>
      <c r="B11" s="390" t="s">
        <v>18</v>
      </c>
      <c r="C11" s="391" t="s">
        <v>0</v>
      </c>
      <c r="D11" s="392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">
      <c r="A12" s="353" t="s">
        <v>95</v>
      </c>
      <c r="B12" s="371">
        <f>+NNG!$D$24</f>
        <v>1016329.2999999999</v>
      </c>
      <c r="C12" s="382">
        <f>+B12/$P$11</f>
        <v>370923.10218978097</v>
      </c>
      <c r="D12" s="316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" customHeight="1" x14ac:dyDescent="0.2">
      <c r="A13" s="352" t="s">
        <v>25</v>
      </c>
      <c r="B13" s="365">
        <f>+'Red C'!$F$43</f>
        <v>648487.41</v>
      </c>
      <c r="C13" s="366">
        <f>+B13/$P$10</f>
        <v>271333.64435146446</v>
      </c>
      <c r="D13" s="316">
        <f>+'Red C'!B43</f>
        <v>37083</v>
      </c>
      <c r="E13" t="s">
        <v>90</v>
      </c>
      <c r="F13" t="s">
        <v>125</v>
      </c>
      <c r="G13" t="s">
        <v>171</v>
      </c>
    </row>
    <row r="14" spans="1:20" ht="15" customHeight="1" x14ac:dyDescent="0.2">
      <c r="A14" s="352" t="s">
        <v>87</v>
      </c>
      <c r="B14" s="371">
        <f>+PNM!$D$23</f>
        <v>558720.65</v>
      </c>
      <c r="C14" s="382">
        <f>+B14/$P$11</f>
        <v>203912.64598540144</v>
      </c>
      <c r="D14" s="65">
        <f>+PNM!A23</f>
        <v>37082</v>
      </c>
      <c r="E14" t="s">
        <v>90</v>
      </c>
      <c r="F14" t="s">
        <v>108</v>
      </c>
      <c r="G14" t="s">
        <v>172</v>
      </c>
    </row>
    <row r="15" spans="1:20" ht="15" customHeight="1" x14ac:dyDescent="0.2">
      <c r="A15" s="352" t="s">
        <v>117</v>
      </c>
      <c r="B15" s="371">
        <f>+KN_Westar!F41</f>
        <v>539654.25</v>
      </c>
      <c r="C15" s="382">
        <f>+B15/$P$11</f>
        <v>196954.10583941604</v>
      </c>
      <c r="D15" s="65">
        <f>+KN_Westar!A41</f>
        <v>37082</v>
      </c>
      <c r="E15" t="s">
        <v>90</v>
      </c>
      <c r="F15" t="s">
        <v>110</v>
      </c>
    </row>
    <row r="16" spans="1:20" ht="15" customHeight="1" x14ac:dyDescent="0.2">
      <c r="A16" s="352" t="s">
        <v>3</v>
      </c>
      <c r="B16" s="371">
        <f>+'Amoco Abo'!$F$43</f>
        <v>516416.95</v>
      </c>
      <c r="C16" s="382">
        <f>+B16/$P$11</f>
        <v>188473.33941605838</v>
      </c>
      <c r="D16" s="65">
        <f>+'Amoco Abo'!A43</f>
        <v>37082</v>
      </c>
      <c r="E16" t="s">
        <v>90</v>
      </c>
      <c r="F16" t="s">
        <v>109</v>
      </c>
      <c r="G16" t="s">
        <v>171</v>
      </c>
      <c r="T16" s="269"/>
    </row>
    <row r="17" spans="1:20" ht="15" customHeight="1" x14ac:dyDescent="0.2">
      <c r="A17" s="352" t="s">
        <v>84</v>
      </c>
      <c r="B17" s="371">
        <f>+Conoco!$F$41</f>
        <v>463864.35000000009</v>
      </c>
      <c r="C17" s="382">
        <f>+B17/$P$10</f>
        <v>194085.50209205024</v>
      </c>
      <c r="D17" s="316">
        <f>+Conoco!A41</f>
        <v>37083</v>
      </c>
      <c r="E17" t="s">
        <v>90</v>
      </c>
      <c r="F17" t="s">
        <v>109</v>
      </c>
      <c r="G17" t="s">
        <v>166</v>
      </c>
      <c r="T17" s="269"/>
    </row>
    <row r="18" spans="1:20" ht="15" customHeight="1" x14ac:dyDescent="0.2">
      <c r="A18" s="352" t="s">
        <v>2</v>
      </c>
      <c r="B18" s="371">
        <f>+mewborne!$J$43</f>
        <v>352728.14999999997</v>
      </c>
      <c r="C18" s="382">
        <f t="shared" ref="C18:C25" si="0">+B18/$P$11</f>
        <v>128732.90145985399</v>
      </c>
      <c r="D18" s="65">
        <f>+mewborne!A43</f>
        <v>37082</v>
      </c>
      <c r="E18" t="s">
        <v>90</v>
      </c>
      <c r="F18" t="s">
        <v>109</v>
      </c>
    </row>
    <row r="19" spans="1:20" ht="15" customHeight="1" x14ac:dyDescent="0.2">
      <c r="A19" s="352" t="s">
        <v>138</v>
      </c>
      <c r="B19" s="371">
        <f>+DEFS!F54</f>
        <v>341983.5400000005</v>
      </c>
      <c r="C19" s="396">
        <f t="shared" si="0"/>
        <v>124811.51094890528</v>
      </c>
      <c r="D19" s="65">
        <f>+DEFS!A40</f>
        <v>37082</v>
      </c>
      <c r="E19" t="s">
        <v>90</v>
      </c>
      <c r="F19" t="s">
        <v>110</v>
      </c>
      <c r="G19" s="32" t="s">
        <v>128</v>
      </c>
    </row>
    <row r="20" spans="1:20" ht="15" customHeight="1" x14ac:dyDescent="0.2">
      <c r="A20" s="352" t="s">
        <v>120</v>
      </c>
      <c r="B20" s="371">
        <f>+CIG!D43</f>
        <v>326755</v>
      </c>
      <c r="C20" s="382">
        <f t="shared" si="0"/>
        <v>119253.64963503649</v>
      </c>
      <c r="D20" s="65">
        <f>+CIG!A43</f>
        <v>37082</v>
      </c>
      <c r="E20" t="s">
        <v>90</v>
      </c>
      <c r="F20" t="s">
        <v>123</v>
      </c>
    </row>
    <row r="21" spans="1:20" ht="15" customHeight="1" x14ac:dyDescent="0.2">
      <c r="A21" s="352" t="s">
        <v>113</v>
      </c>
      <c r="B21" s="371">
        <f>+EOG!J41</f>
        <v>318670.11</v>
      </c>
      <c r="C21" s="382">
        <f t="shared" si="0"/>
        <v>116302.95985401458</v>
      </c>
      <c r="D21" s="316">
        <f>+EOG!A41</f>
        <v>37082</v>
      </c>
      <c r="E21" t="s">
        <v>90</v>
      </c>
      <c r="F21" t="s">
        <v>112</v>
      </c>
    </row>
    <row r="22" spans="1:20" ht="15" customHeight="1" x14ac:dyDescent="0.2">
      <c r="A22" s="352" t="s">
        <v>140</v>
      </c>
      <c r="B22" s="371">
        <f>+PGETX!$H$39</f>
        <v>281441.58</v>
      </c>
      <c r="C22" s="382">
        <f t="shared" si="0"/>
        <v>102715.90510948905</v>
      </c>
      <c r="D22" s="65">
        <f>+PGETX!E39</f>
        <v>37082</v>
      </c>
      <c r="E22" t="s">
        <v>90</v>
      </c>
      <c r="F22" t="s">
        <v>112</v>
      </c>
    </row>
    <row r="23" spans="1:20" ht="15" customHeight="1" x14ac:dyDescent="0.2">
      <c r="A23" s="353" t="s">
        <v>83</v>
      </c>
      <c r="B23" s="371">
        <f>+Agave!$D$24</f>
        <v>185980.93000000002</v>
      </c>
      <c r="C23" s="396">
        <f t="shared" si="0"/>
        <v>67876.251824817518</v>
      </c>
      <c r="D23" s="316">
        <f>+Agave!A24</f>
        <v>37082</v>
      </c>
      <c r="E23" s="313" t="s">
        <v>90</v>
      </c>
      <c r="F23" s="313" t="s">
        <v>112</v>
      </c>
    </row>
    <row r="24" spans="1:20" ht="15" customHeight="1" x14ac:dyDescent="0.2">
      <c r="A24" s="352" t="s">
        <v>144</v>
      </c>
      <c r="B24" s="371">
        <f>+SidR!D41</f>
        <v>60747.68</v>
      </c>
      <c r="C24" s="382">
        <f>+B24/$P$11</f>
        <v>22170.686131386861</v>
      </c>
      <c r="D24" s="65">
        <f>+SidR!A41</f>
        <v>37082</v>
      </c>
      <c r="E24" t="s">
        <v>90</v>
      </c>
      <c r="F24" t="s">
        <v>112</v>
      </c>
      <c r="G24" t="s">
        <v>176</v>
      </c>
    </row>
    <row r="25" spans="1:20" ht="15" customHeight="1" x14ac:dyDescent="0.2">
      <c r="A25" s="352" t="s">
        <v>75</v>
      </c>
      <c r="B25" s="365">
        <f>+transcol!$D$43</f>
        <v>44919.789999999994</v>
      </c>
      <c r="C25" s="366">
        <f t="shared" si="0"/>
        <v>16394.083941605837</v>
      </c>
      <c r="D25" s="65">
        <f>+transcol!A43</f>
        <v>37081</v>
      </c>
      <c r="E25" t="s">
        <v>90</v>
      </c>
      <c r="F25" t="s">
        <v>125</v>
      </c>
    </row>
    <row r="26" spans="1:20" ht="15" customHeight="1" x14ac:dyDescent="0.2">
      <c r="A26" s="353" t="s">
        <v>104</v>
      </c>
      <c r="B26" s="371">
        <f>+burlington!D42</f>
        <v>7082.9400000000005</v>
      </c>
      <c r="C26" s="382">
        <f>+B26/$P$10</f>
        <v>2963.5732217573222</v>
      </c>
      <c r="D26" s="316">
        <f>+burlington!A42</f>
        <v>37083</v>
      </c>
      <c r="E26" s="313" t="s">
        <v>90</v>
      </c>
      <c r="F26" t="s">
        <v>109</v>
      </c>
      <c r="G26" t="s">
        <v>174</v>
      </c>
    </row>
    <row r="27" spans="1:20" ht="15" customHeight="1" x14ac:dyDescent="0.2">
      <c r="A27" s="352" t="s">
        <v>119</v>
      </c>
      <c r="B27" s="371">
        <f>+Continental!F43</f>
        <v>-14531.470000000001</v>
      </c>
      <c r="C27" s="396">
        <f>+B27/$P$11</f>
        <v>-5303.4562043795622</v>
      </c>
      <c r="D27" s="65">
        <f>+Continental!A43</f>
        <v>37081</v>
      </c>
      <c r="E27" t="s">
        <v>90</v>
      </c>
      <c r="F27" t="s">
        <v>125</v>
      </c>
    </row>
    <row r="28" spans="1:20" ht="15" customHeight="1" x14ac:dyDescent="0.2">
      <c r="A28" s="353" t="s">
        <v>139</v>
      </c>
      <c r="B28" s="371">
        <f>+Calpine!D41</f>
        <v>-70419.590000000026</v>
      </c>
      <c r="C28" s="396">
        <f>+B28/$P$11</f>
        <v>-25700.580291970811</v>
      </c>
      <c r="D28" s="316">
        <f>+Calpine!A41</f>
        <v>37081</v>
      </c>
      <c r="E28" s="313" t="s">
        <v>90</v>
      </c>
      <c r="F28" s="313" t="s">
        <v>109</v>
      </c>
      <c r="G28" s="301"/>
    </row>
    <row r="29" spans="1:20" ht="15" customHeight="1" x14ac:dyDescent="0.2">
      <c r="A29" s="352" t="s">
        <v>142</v>
      </c>
      <c r="B29" s="371">
        <f>+EPFS!D41</f>
        <v>-111494.06</v>
      </c>
      <c r="C29" s="396">
        <f>+B29/$P$12</f>
        <v>-38182.897260273974</v>
      </c>
      <c r="D29" s="316">
        <f>+EPFS!A41</f>
        <v>37081</v>
      </c>
      <c r="E29" t="s">
        <v>90</v>
      </c>
      <c r="F29" t="s">
        <v>110</v>
      </c>
    </row>
    <row r="30" spans="1:20" ht="15" customHeight="1" x14ac:dyDescent="0.2">
      <c r="A30" s="352" t="s">
        <v>153</v>
      </c>
      <c r="B30" s="371">
        <f>+'Citizens-Griffith'!D41</f>
        <v>-216141.13</v>
      </c>
      <c r="C30" s="382">
        <f>+B30/$P$11</f>
        <v>-78883.624087591234</v>
      </c>
      <c r="D30" s="316">
        <f>+'Citizens-Griffith'!A41</f>
        <v>37082</v>
      </c>
      <c r="E30" t="s">
        <v>90</v>
      </c>
      <c r="F30" t="s">
        <v>109</v>
      </c>
      <c r="G30" t="s">
        <v>173</v>
      </c>
    </row>
    <row r="31" spans="1:20" ht="15" customHeight="1" x14ac:dyDescent="0.2">
      <c r="A31" s="352" t="s">
        <v>146</v>
      </c>
      <c r="B31" s="371">
        <f>+'NS Steel'!D41</f>
        <v>-375685.13999999996</v>
      </c>
      <c r="C31" s="396">
        <f>+B31/$P$10</f>
        <v>-157190.43514644349</v>
      </c>
      <c r="D31" s="65">
        <f>+'NS Steel'!A41</f>
        <v>37082</v>
      </c>
      <c r="E31" t="s">
        <v>90</v>
      </c>
      <c r="F31" t="s">
        <v>110</v>
      </c>
      <c r="G31" s="301"/>
    </row>
    <row r="32" spans="1:20" ht="15" customHeight="1" x14ac:dyDescent="0.2">
      <c r="A32" s="353" t="s">
        <v>148</v>
      </c>
      <c r="B32" s="383">
        <f>+Citizens!D18</f>
        <v>-876805.42</v>
      </c>
      <c r="C32" s="397">
        <f>+B32/$P$11</f>
        <v>-320001.97810218978</v>
      </c>
      <c r="D32" s="316">
        <f>+Citizens!A18</f>
        <v>37072</v>
      </c>
      <c r="E32" s="313" t="s">
        <v>90</v>
      </c>
      <c r="F32" s="313" t="s">
        <v>108</v>
      </c>
      <c r="G32" s="301"/>
    </row>
    <row r="33" spans="1:7" ht="15.95" customHeight="1" x14ac:dyDescent="0.2">
      <c r="A33" s="297" t="s">
        <v>158</v>
      </c>
      <c r="B33" s="253">
        <f>SUM(B12:B32)</f>
        <v>3998705.8200000022</v>
      </c>
      <c r="C33" s="298">
        <f>SUM(C12:C32)</f>
        <v>1501640.8909081903</v>
      </c>
    </row>
    <row r="34" spans="1:7" ht="15.95" customHeight="1" x14ac:dyDescent="0.2">
      <c r="A34" s="353"/>
      <c r="B34" s="371"/>
      <c r="C34" s="382"/>
      <c r="D34" s="316"/>
      <c r="E34" s="313"/>
      <c r="F34" s="313"/>
    </row>
    <row r="35" spans="1:7" ht="15.95" customHeight="1" x14ac:dyDescent="0.2">
      <c r="A35" s="389" t="s">
        <v>98</v>
      </c>
      <c r="B35" s="390" t="s">
        <v>18</v>
      </c>
      <c r="C35" s="391" t="s">
        <v>0</v>
      </c>
      <c r="D35" s="392" t="s">
        <v>85</v>
      </c>
      <c r="E35" s="389" t="s">
        <v>99</v>
      </c>
      <c r="F35" s="393" t="s">
        <v>111</v>
      </c>
      <c r="G35" s="301" t="s">
        <v>107</v>
      </c>
    </row>
    <row r="36" spans="1:7" ht="15.95" customHeight="1" x14ac:dyDescent="0.2">
      <c r="A36" s="353" t="s">
        <v>30</v>
      </c>
      <c r="B36" s="371">
        <f>+C36*$P$10</f>
        <v>700262.83000000007</v>
      </c>
      <c r="C36" s="382">
        <f>+williams!J40</f>
        <v>292997</v>
      </c>
      <c r="D36" s="316">
        <f>+williams!A40</f>
        <v>37083</v>
      </c>
      <c r="E36" s="313" t="s">
        <v>89</v>
      </c>
      <c r="F36" s="313" t="s">
        <v>125</v>
      </c>
      <c r="G36" t="s">
        <v>167</v>
      </c>
    </row>
    <row r="37" spans="1:7" ht="15" customHeight="1" x14ac:dyDescent="0.2">
      <c r="A37" s="352" t="s">
        <v>34</v>
      </c>
      <c r="B37" s="371">
        <f>+C37*$P$11</f>
        <v>465715.06000000006</v>
      </c>
      <c r="C37" s="396">
        <f>+SoCal!F40</f>
        <v>169969</v>
      </c>
      <c r="D37" s="381">
        <f>+SoCal!A40</f>
        <v>37083</v>
      </c>
      <c r="E37" t="s">
        <v>89</v>
      </c>
      <c r="F37" t="s">
        <v>108</v>
      </c>
    </row>
    <row r="38" spans="1:7" ht="15" customHeight="1" x14ac:dyDescent="0.2">
      <c r="A38" s="352" t="s">
        <v>97</v>
      </c>
      <c r="B38" s="371">
        <f>+C38*$P$11</f>
        <v>439454.9</v>
      </c>
      <c r="C38" s="382">
        <f>+NGPL!F38</f>
        <v>160385</v>
      </c>
      <c r="D38" s="65">
        <f>+NGPL!A38</f>
        <v>37082</v>
      </c>
      <c r="E38" t="s">
        <v>89</v>
      </c>
      <c r="F38" t="s">
        <v>125</v>
      </c>
      <c r="G38" t="s">
        <v>169</v>
      </c>
    </row>
    <row r="39" spans="1:7" ht="15" customHeight="1" x14ac:dyDescent="0.2">
      <c r="A39" s="352" t="s">
        <v>35</v>
      </c>
      <c r="B39" s="371">
        <f>+'El Paso'!E38*summary!P10+'El Paso'!C38*summary!P11</f>
        <v>354096.36</v>
      </c>
      <c r="C39" s="382">
        <f>+'El Paso'!H38</f>
        <v>140759</v>
      </c>
      <c r="D39" s="65">
        <f>+'El Paso'!A38</f>
        <v>37083</v>
      </c>
      <c r="E39" t="s">
        <v>89</v>
      </c>
      <c r="F39" t="s">
        <v>110</v>
      </c>
      <c r="G39" t="s">
        <v>129</v>
      </c>
    </row>
    <row r="40" spans="1:7" ht="15" customHeight="1" x14ac:dyDescent="0.2">
      <c r="A40" s="352" t="s">
        <v>157</v>
      </c>
      <c r="B40" s="365">
        <f>+C40*$P$11</f>
        <v>205615.08000000002</v>
      </c>
      <c r="C40" s="366">
        <f>+PEPL!D41</f>
        <v>75042</v>
      </c>
      <c r="D40" s="65">
        <f>+PEPL!A41</f>
        <v>37082</v>
      </c>
      <c r="E40" t="s">
        <v>89</v>
      </c>
      <c r="F40" t="s">
        <v>112</v>
      </c>
      <c r="G40" t="s">
        <v>129</v>
      </c>
    </row>
    <row r="41" spans="1:7" ht="15" customHeight="1" x14ac:dyDescent="0.2">
      <c r="A41" s="352" t="s">
        <v>33</v>
      </c>
      <c r="B41" s="371">
        <f>+C41*$P$11</f>
        <v>196397.72</v>
      </c>
      <c r="C41" s="382">
        <f>+Lonestar!F42</f>
        <v>71678</v>
      </c>
      <c r="D41" s="316">
        <f>+Lonestar!B42</f>
        <v>37083</v>
      </c>
      <c r="E41" t="s">
        <v>89</v>
      </c>
      <c r="F41" t="s">
        <v>112</v>
      </c>
    </row>
    <row r="42" spans="1:7" ht="15" customHeight="1" x14ac:dyDescent="0.2">
      <c r="A42" s="352" t="s">
        <v>7</v>
      </c>
      <c r="B42" s="371">
        <f>+C42*$P$10</f>
        <v>134884.43</v>
      </c>
      <c r="C42" s="382">
        <f>+Amoco!D40</f>
        <v>56437</v>
      </c>
      <c r="D42" s="65">
        <f>+Amoco!A40</f>
        <v>37082</v>
      </c>
      <c r="E42" t="s">
        <v>89</v>
      </c>
      <c r="F42" t="s">
        <v>125</v>
      </c>
    </row>
    <row r="43" spans="1:7" ht="15" customHeight="1" x14ac:dyDescent="0.2">
      <c r="A43" s="352" t="s">
        <v>8</v>
      </c>
      <c r="B43" s="371">
        <f>+C43*$P$11</f>
        <v>67130</v>
      </c>
      <c r="C43" s="396">
        <f>+Oasis!D40</f>
        <v>24500</v>
      </c>
      <c r="D43" s="65">
        <f>+Oasis!B40</f>
        <v>37082</v>
      </c>
      <c r="E43" t="s">
        <v>89</v>
      </c>
      <c r="F43" t="s">
        <v>112</v>
      </c>
    </row>
    <row r="44" spans="1:7" ht="15" customHeight="1" x14ac:dyDescent="0.2">
      <c r="A44" s="352" t="s">
        <v>1</v>
      </c>
      <c r="B44" s="371">
        <f>+C44*$P$10</f>
        <v>32967.660000000003</v>
      </c>
      <c r="C44" s="396">
        <f>+NW!$F$41</f>
        <v>13794</v>
      </c>
      <c r="D44" s="316">
        <f>+NW!B41</f>
        <v>37082</v>
      </c>
      <c r="E44" t="s">
        <v>89</v>
      </c>
      <c r="F44" t="s">
        <v>109</v>
      </c>
    </row>
    <row r="45" spans="1:7" ht="15" customHeight="1" x14ac:dyDescent="0.2">
      <c r="A45" s="352" t="s">
        <v>103</v>
      </c>
      <c r="B45" s="371">
        <f>+C45*$P$11</f>
        <v>19141.640000000003</v>
      </c>
      <c r="C45" s="382">
        <f>+Mojave!D40</f>
        <v>6986</v>
      </c>
      <c r="D45" s="65">
        <f>+Mojave!A40</f>
        <v>37081</v>
      </c>
      <c r="E45" t="s">
        <v>89</v>
      </c>
      <c r="F45" t="s">
        <v>110</v>
      </c>
    </row>
    <row r="46" spans="1:7" ht="15" customHeight="1" x14ac:dyDescent="0.2">
      <c r="A46" s="352" t="s">
        <v>124</v>
      </c>
      <c r="B46" s="383">
        <f>+C46*$P$11</f>
        <v>-16996.22</v>
      </c>
      <c r="C46" s="397">
        <f>+'PG&amp;E'!D40</f>
        <v>-6203</v>
      </c>
      <c r="D46" s="65">
        <f>+'PG&amp;E'!A40</f>
        <v>37082</v>
      </c>
      <c r="E46" t="s">
        <v>89</v>
      </c>
      <c r="F46" t="s">
        <v>112</v>
      </c>
    </row>
    <row r="47" spans="1:7" ht="18" customHeight="1" x14ac:dyDescent="0.2">
      <c r="A47" s="297" t="s">
        <v>159</v>
      </c>
      <c r="B47" s="371">
        <f>SUM(B36:B46)</f>
        <v>2598669.4600000004</v>
      </c>
      <c r="C47" s="396">
        <f>SUM(C36:C46)</f>
        <v>1006344</v>
      </c>
      <c r="D47" s="313"/>
    </row>
    <row r="48" spans="1:7" ht="18" customHeight="1" x14ac:dyDescent="0.2">
      <c r="B48" s="394"/>
      <c r="C48" s="395"/>
    </row>
    <row r="49" spans="1:5" ht="18" customHeight="1" thickBot="1" x14ac:dyDescent="0.25">
      <c r="A49" s="34" t="s">
        <v>160</v>
      </c>
      <c r="B49" s="386">
        <f>+B47+B33</f>
        <v>6597375.2800000031</v>
      </c>
      <c r="C49" s="404">
        <f>+C47+C33</f>
        <v>2507984.89090819</v>
      </c>
    </row>
    <row r="50" spans="1:5" ht="18" customHeight="1" thickTop="1" x14ac:dyDescent="0.2"/>
    <row r="51" spans="1:5" x14ac:dyDescent="0.2">
      <c r="C51" s="341"/>
    </row>
    <row r="54" spans="1:5" x14ac:dyDescent="0.2">
      <c r="A54" s="34" t="s">
        <v>101</v>
      </c>
    </row>
    <row r="57" spans="1:5" x14ac:dyDescent="0.2">
      <c r="C57" s="259"/>
      <c r="E57" s="339"/>
    </row>
    <row r="64" spans="1:5" x14ac:dyDescent="0.2">
      <c r="B64" s="310"/>
      <c r="C64" s="331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1"/>
    </row>
    <row r="70" spans="2:5" x14ac:dyDescent="0.2">
      <c r="B70" s="259"/>
      <c r="C70" s="341"/>
      <c r="D70" s="337"/>
      <c r="E70" s="342"/>
    </row>
    <row r="71" spans="2:5" x14ac:dyDescent="0.2">
      <c r="B71" s="259"/>
      <c r="C71" s="341"/>
      <c r="D71" s="269"/>
    </row>
    <row r="72" spans="2:5" x14ac:dyDescent="0.2">
      <c r="B72" s="259"/>
      <c r="C72" s="341"/>
      <c r="D72" s="269"/>
    </row>
    <row r="73" spans="2:5" x14ac:dyDescent="0.2">
      <c r="B73" s="259"/>
      <c r="C73" s="341"/>
      <c r="D73" s="31"/>
    </row>
    <row r="74" spans="2:5" x14ac:dyDescent="0.2">
      <c r="B74" s="259"/>
      <c r="C74" s="341"/>
      <c r="D74" s="343"/>
    </row>
    <row r="75" spans="2:5" x14ac:dyDescent="0.2">
      <c r="B75" s="338"/>
    </row>
    <row r="76" spans="2:5" x14ac:dyDescent="0.2">
      <c r="B76" s="338"/>
      <c r="D76" s="64"/>
    </row>
    <row r="77" spans="2:5" x14ac:dyDescent="0.2">
      <c r="B77" s="337"/>
      <c r="C77" s="259"/>
    </row>
    <row r="78" spans="2:5" x14ac:dyDescent="0.2">
      <c r="B78" s="337"/>
      <c r="C78" s="259"/>
    </row>
    <row r="79" spans="2:5" x14ac:dyDescent="0.2">
      <c r="B79" s="338"/>
      <c r="C79" s="259"/>
      <c r="D79" s="64"/>
    </row>
    <row r="80" spans="2:5" x14ac:dyDescent="0.2">
      <c r="B80" s="338"/>
      <c r="D80" s="64"/>
    </row>
    <row r="81" spans="2:3" x14ac:dyDescent="0.2">
      <c r="B81" s="338"/>
    </row>
    <row r="82" spans="2:3" x14ac:dyDescent="0.2">
      <c r="B82" s="310"/>
      <c r="C82" s="317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abSelected="1" workbookViewId="2">
      <selection activeCell="B10" sqref="B10"/>
    </sheetView>
    <sheetView topLeftCell="A28" workbookViewId="3">
      <selection activeCell="F41" sqref="F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174465</v>
      </c>
      <c r="C18" s="11">
        <v>161086</v>
      </c>
      <c r="D18" s="11">
        <v>14285</v>
      </c>
      <c r="E18" s="11">
        <v>14036</v>
      </c>
      <c r="F18" s="11">
        <f t="shared" si="5"/>
        <v>-13628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1868585</v>
      </c>
      <c r="C39" s="150">
        <f>SUM(C8:C38)</f>
        <v>1860492</v>
      </c>
      <c r="D39" s="150">
        <f>SUM(D8:D38)</f>
        <v>146256</v>
      </c>
      <c r="E39" s="150">
        <f>SUM(E8:E38)</f>
        <v>143656</v>
      </c>
      <c r="F39" s="11">
        <f t="shared" si="5"/>
        <v>-10693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2.39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-25556.27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402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37083</v>
      </c>
      <c r="C43" s="142"/>
      <c r="D43" s="142"/>
      <c r="E43" s="142"/>
      <c r="F43" s="252">
        <f>+F42+F41</f>
        <v>648487.41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5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4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-123479</v>
      </c>
      <c r="C12" s="51">
        <v>-123233</v>
      </c>
      <c r="D12" s="24">
        <f t="shared" si="0"/>
        <v>246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3"/>
      <c r="W34" s="313"/>
      <c r="X34" s="313"/>
      <c r="Y34" s="313"/>
      <c r="Z34" s="149"/>
      <c r="AA34" s="150"/>
      <c r="AB34" s="150"/>
      <c r="AC34" s="150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  <c r="BI34" s="313"/>
      <c r="BJ34" s="313"/>
      <c r="BK34" s="313"/>
      <c r="BL34" s="313"/>
      <c r="BM34" s="31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3"/>
      <c r="W35" s="313"/>
      <c r="X35" s="313"/>
      <c r="Y35" s="313"/>
      <c r="Z35" s="149"/>
      <c r="AA35" s="150"/>
      <c r="AB35" s="150"/>
      <c r="AC35" s="150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3"/>
    </row>
    <row r="36" spans="1:65" ht="14.1" customHeight="1" x14ac:dyDescent="0.2">
      <c r="A36" s="12"/>
      <c r="B36" s="24">
        <f>SUM(B5:B35)</f>
        <v>-1042414</v>
      </c>
      <c r="C36" s="24">
        <f>SUM(C5:C35)</f>
        <v>-1046192</v>
      </c>
      <c r="D36" s="24">
        <f t="shared" si="0"/>
        <v>-3778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3"/>
      <c r="W36" s="313"/>
      <c r="X36" s="313"/>
      <c r="Y36" s="313"/>
      <c r="Z36" s="149"/>
      <c r="AA36" s="150"/>
      <c r="AB36" s="150"/>
      <c r="AC36" s="150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  <c r="BI36" s="313"/>
      <c r="BJ36" s="313"/>
      <c r="BK36" s="313"/>
      <c r="BL36" s="313"/>
      <c r="BM36" s="31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3"/>
      <c r="W37" s="313"/>
      <c r="X37" s="313"/>
      <c r="Y37" s="313"/>
      <c r="Z37" s="206"/>
      <c r="AA37" s="208"/>
      <c r="AB37" s="208"/>
      <c r="AC37" s="208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  <c r="BL37" s="313"/>
      <c r="BM37" s="313"/>
    </row>
    <row r="38" spans="1:65" x14ac:dyDescent="0.2">
      <c r="B38" s="256">
        <v>37072</v>
      </c>
      <c r="C38" s="24"/>
      <c r="D38" s="427">
        <v>28278</v>
      </c>
      <c r="E38" s="2"/>
      <c r="G38" s="24"/>
      <c r="H38" s="24"/>
      <c r="I38" s="150"/>
      <c r="J38" s="313"/>
      <c r="K38" s="150"/>
      <c r="L38" s="150"/>
      <c r="M38" s="150"/>
      <c r="N38" s="313"/>
      <c r="O38" s="150"/>
      <c r="P38" s="150"/>
      <c r="Q38" s="150"/>
      <c r="R38" s="313"/>
      <c r="S38" s="150"/>
      <c r="T38" s="150"/>
      <c r="U38" s="150"/>
      <c r="V38" s="313"/>
      <c r="W38" s="313"/>
      <c r="X38" s="313"/>
      <c r="Y38" s="313"/>
      <c r="Z38" s="313"/>
      <c r="AA38" s="150"/>
      <c r="AB38" s="150"/>
      <c r="AC38" s="150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</row>
    <row r="39" spans="1:65" x14ac:dyDescent="0.2">
      <c r="B39" s="256"/>
      <c r="C39" s="24"/>
      <c r="D39" s="24"/>
      <c r="E39" s="2"/>
      <c r="G39" s="24"/>
      <c r="H39" s="24"/>
      <c r="I39" s="150"/>
      <c r="J39" s="313"/>
      <c r="K39" s="150"/>
      <c r="L39" s="150"/>
      <c r="M39" s="150"/>
      <c r="N39" s="313"/>
      <c r="O39" s="150"/>
      <c r="P39" s="150"/>
      <c r="Q39" s="150"/>
      <c r="R39" s="313"/>
      <c r="S39" s="150"/>
      <c r="T39" s="150"/>
      <c r="U39" s="150"/>
      <c r="V39" s="313"/>
      <c r="W39" s="313"/>
      <c r="X39" s="313"/>
      <c r="Y39" s="313"/>
      <c r="Z39" s="313"/>
      <c r="AA39" s="150"/>
      <c r="AB39" s="150"/>
      <c r="AC39" s="150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</row>
    <row r="40" spans="1:65" ht="13.5" thickBot="1" x14ac:dyDescent="0.25">
      <c r="B40" s="256">
        <v>37082</v>
      </c>
      <c r="C40" s="24"/>
      <c r="D40" s="195">
        <f>+D36+D38</f>
        <v>24500</v>
      </c>
      <c r="E40" s="196"/>
      <c r="G40" s="24"/>
      <c r="H40" s="24"/>
      <c r="I40" s="150"/>
      <c r="J40" s="313"/>
      <c r="K40" s="150"/>
      <c r="L40" s="150"/>
      <c r="M40" s="150"/>
      <c r="N40" s="313"/>
      <c r="O40" s="150"/>
      <c r="P40" s="150"/>
      <c r="Q40" s="169"/>
      <c r="R40" s="313"/>
      <c r="S40" s="150"/>
      <c r="T40" s="150"/>
      <c r="U40" s="169"/>
      <c r="V40" s="313"/>
      <c r="W40" s="313"/>
      <c r="X40" s="313"/>
      <c r="Y40" s="313"/>
      <c r="Z40" s="313"/>
      <c r="AA40" s="150"/>
      <c r="AB40" s="150"/>
      <c r="AC40" s="169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</row>
    <row r="41" spans="1:65" ht="13.5" thickTop="1" x14ac:dyDescent="0.2">
      <c r="B41" s="257"/>
      <c r="C41"/>
      <c r="D41"/>
      <c r="E41" s="2"/>
      <c r="I41" s="313"/>
      <c r="J41" s="313"/>
      <c r="K41" s="313"/>
      <c r="L41" s="313"/>
      <c r="M41" s="313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</row>
    <row r="42" spans="1:65" x14ac:dyDescent="0.2">
      <c r="B42" s="2"/>
      <c r="C42"/>
      <c r="D42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</row>
    <row r="43" spans="1:65" x14ac:dyDescent="0.2">
      <c r="B43"/>
      <c r="C43"/>
      <c r="D4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</row>
    <row r="44" spans="1:65" x14ac:dyDescent="0.2">
      <c r="B44"/>
      <c r="C44"/>
      <c r="D44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90">
        <v>333852</v>
      </c>
      <c r="C5" s="90">
        <v>347262</v>
      </c>
      <c r="D5" s="90">
        <f>+C5-B5</f>
        <v>13410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0">
        <v>300610</v>
      </c>
      <c r="C7" s="90">
        <v>236251</v>
      </c>
      <c r="D7" s="90">
        <f t="shared" si="0"/>
        <v>-64359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0">
        <v>345203</v>
      </c>
      <c r="C8" s="90">
        <v>434057</v>
      </c>
      <c r="D8" s="90">
        <f t="shared" si="0"/>
        <v>88854</v>
      </c>
      <c r="E8" s="287"/>
      <c r="F8" s="285"/>
    </row>
    <row r="9" spans="1:13" x14ac:dyDescent="0.2">
      <c r="A9" s="87">
        <v>500293</v>
      </c>
      <c r="B9" s="90">
        <v>150662</v>
      </c>
      <c r="C9" s="90">
        <v>204305</v>
      </c>
      <c r="D9" s="90">
        <f t="shared" si="0"/>
        <v>53643</v>
      </c>
      <c r="E9" s="287"/>
      <c r="F9" s="285"/>
    </row>
    <row r="10" spans="1:13" x14ac:dyDescent="0.2">
      <c r="A10" s="87">
        <v>500302</v>
      </c>
      <c r="B10" s="330"/>
      <c r="C10" s="330">
        <v>3391</v>
      </c>
      <c r="D10" s="90">
        <f t="shared" si="0"/>
        <v>3391</v>
      </c>
      <c r="E10" s="287"/>
      <c r="F10" s="285"/>
    </row>
    <row r="11" spans="1:13" x14ac:dyDescent="0.2">
      <c r="A11" s="87">
        <v>500303</v>
      </c>
      <c r="B11" s="330">
        <v>66833</v>
      </c>
      <c r="C11" s="90">
        <v>111224</v>
      </c>
      <c r="D11" s="90">
        <f t="shared" si="0"/>
        <v>44391</v>
      </c>
      <c r="E11" s="287"/>
      <c r="F11" s="285"/>
    </row>
    <row r="12" spans="1:13" x14ac:dyDescent="0.2">
      <c r="A12" s="91">
        <v>500305</v>
      </c>
      <c r="B12" s="330">
        <v>324914</v>
      </c>
      <c r="C12" s="90">
        <v>453261</v>
      </c>
      <c r="D12" s="90">
        <f t="shared" si="0"/>
        <v>128347</v>
      </c>
      <c r="E12" s="288"/>
      <c r="F12" s="285"/>
    </row>
    <row r="13" spans="1:13" x14ac:dyDescent="0.2">
      <c r="A13" s="87">
        <v>500307</v>
      </c>
      <c r="B13" s="330">
        <v>32869</v>
      </c>
      <c r="C13" s="90">
        <v>50418</v>
      </c>
      <c r="D13" s="90">
        <f t="shared" si="0"/>
        <v>17549</v>
      </c>
      <c r="E13" s="287"/>
      <c r="F13" s="285"/>
    </row>
    <row r="14" spans="1:13" x14ac:dyDescent="0.2">
      <c r="A14" s="87">
        <v>500313</v>
      </c>
      <c r="B14" s="90">
        <v>2158</v>
      </c>
      <c r="C14" s="330">
        <v>1050</v>
      </c>
      <c r="D14" s="90">
        <f t="shared" si="0"/>
        <v>-1108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4">
        <v>230607</v>
      </c>
      <c r="C16" s="90"/>
      <c r="D16" s="90">
        <f t="shared" si="0"/>
        <v>-230607</v>
      </c>
      <c r="E16" s="287"/>
      <c r="F16" s="285"/>
    </row>
    <row r="17" spans="1:6" x14ac:dyDescent="0.2">
      <c r="A17" s="87">
        <v>500657</v>
      </c>
      <c r="B17" s="356">
        <v>55181</v>
      </c>
      <c r="C17" s="88">
        <v>60000</v>
      </c>
      <c r="D17" s="94">
        <f t="shared" si="0"/>
        <v>4819</v>
      </c>
      <c r="E17" s="287"/>
      <c r="F17" s="285"/>
    </row>
    <row r="18" spans="1:6" x14ac:dyDescent="0.2">
      <c r="A18" s="87"/>
      <c r="B18" s="88"/>
      <c r="C18" s="88"/>
      <c r="D18" s="88">
        <f>SUM(D5:D17)</f>
        <v>58330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2.74</v>
      </c>
      <c r="E19" s="289"/>
      <c r="F19" s="285"/>
    </row>
    <row r="20" spans="1:6" x14ac:dyDescent="0.2">
      <c r="A20" s="87"/>
      <c r="B20" s="88"/>
      <c r="C20" s="88"/>
      <c r="D20" s="96">
        <f>+D19*D18</f>
        <v>159824.20000000001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437">
        <v>26156.73</v>
      </c>
      <c r="E22" s="209"/>
      <c r="F22" s="66"/>
    </row>
    <row r="23" spans="1:6" x14ac:dyDescent="0.2">
      <c r="A23" s="87"/>
      <c r="B23" s="88"/>
      <c r="C23" s="88"/>
      <c r="D23" s="335"/>
      <c r="E23" s="209"/>
      <c r="F23" s="66"/>
    </row>
    <row r="24" spans="1:6" ht="13.5" thickBot="1" x14ac:dyDescent="0.25">
      <c r="A24" s="99">
        <v>37082</v>
      </c>
      <c r="B24" s="88"/>
      <c r="C24" s="88"/>
      <c r="D24" s="355">
        <f>+D22+D20</f>
        <v>185980.93000000002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workbookViewId="3">
      <selection activeCell="E15" sqref="E1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08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522043</v>
      </c>
      <c r="C35" s="11">
        <f>SUM(C4:C34)</f>
        <v>510087</v>
      </c>
      <c r="D35" s="11">
        <f>SUM(D4:D34)</f>
        <v>332201</v>
      </c>
      <c r="E35" s="11">
        <f>SUM(E4:E34)</f>
        <v>327703</v>
      </c>
      <c r="F35" s="11">
        <f>+E35-D35+C35-B35</f>
        <v>-16454</v>
      </c>
    </row>
    <row r="36" spans="1:7" x14ac:dyDescent="0.2">
      <c r="A36" s="45"/>
      <c r="C36" s="14">
        <f>+C35-B35</f>
        <v>-11956</v>
      </c>
      <c r="D36" s="14"/>
      <c r="E36" s="14">
        <f>+E35-D35</f>
        <v>-4498</v>
      </c>
      <c r="F36" s="47"/>
    </row>
    <row r="37" spans="1:7" x14ac:dyDescent="0.2">
      <c r="C37" s="15">
        <f>+summary!P11</f>
        <v>2.74</v>
      </c>
      <c r="D37" s="15"/>
      <c r="E37" s="15">
        <f>+C37</f>
        <v>2.74</v>
      </c>
      <c r="F37" s="24"/>
    </row>
    <row r="38" spans="1:7" x14ac:dyDescent="0.2">
      <c r="C38" s="48">
        <f>+C37*C36</f>
        <v>-32759.440000000002</v>
      </c>
      <c r="D38" s="47"/>
      <c r="E38" s="48">
        <f>+E37*E36</f>
        <v>-12324.52</v>
      </c>
      <c r="F38" s="46">
        <f>+E38+C38</f>
        <v>-45083.960000000006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36">
        <v>2417637.89</v>
      </c>
      <c r="D40" s="111"/>
      <c r="E40" s="436">
        <v>-1908689.58</v>
      </c>
      <c r="F40" s="378">
        <f>+E40+C40</f>
        <v>508948.31000000006</v>
      </c>
      <c r="G40" s="25"/>
    </row>
    <row r="41" spans="1:7" x14ac:dyDescent="0.2">
      <c r="A41" s="57">
        <v>37083</v>
      </c>
      <c r="C41" s="106">
        <f>+C40+C38</f>
        <v>2384878.4500000002</v>
      </c>
      <c r="D41" s="106"/>
      <c r="E41" s="106">
        <f>+E40+E38</f>
        <v>-1921014.1</v>
      </c>
      <c r="F41" s="106">
        <f>+E41+C41</f>
        <v>463864.35000000009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1599876</v>
      </c>
      <c r="C36" s="11">
        <f>SUM(C5:C35)</f>
        <v>2065908</v>
      </c>
      <c r="D36" s="11">
        <f>SUM(D5:D35)</f>
        <v>0</v>
      </c>
      <c r="E36" s="11">
        <f>SUM(E5:E35)</f>
        <v>-463472</v>
      </c>
      <c r="F36" s="11">
        <f>SUM(F5:F35)</f>
        <v>2560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99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37082</v>
      </c>
      <c r="F41" s="379">
        <f>+F39+F36</f>
        <v>13794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D42" sqref="D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724656</v>
      </c>
      <c r="C39" s="11">
        <f>SUM(C8:C38)</f>
        <v>723211</v>
      </c>
      <c r="D39" s="11">
        <f>SUM(D8:D38)</f>
        <v>-1445</v>
      </c>
      <c r="E39" s="10"/>
      <c r="F39" s="11"/>
      <c r="G39" s="11"/>
      <c r="H39" s="11"/>
    </row>
    <row r="40" spans="1:8" x14ac:dyDescent="0.2">
      <c r="A40" s="26"/>
      <c r="D40" s="75">
        <f>+summary!P11</f>
        <v>2.74</v>
      </c>
      <c r="E40" s="26"/>
      <c r="H40" s="75"/>
    </row>
    <row r="41" spans="1:8" x14ac:dyDescent="0.2">
      <c r="D41" s="197">
        <f>+D40*D39</f>
        <v>-3959.3</v>
      </c>
      <c r="F41" s="253"/>
      <c r="H41" s="197"/>
    </row>
    <row r="42" spans="1:8" x14ac:dyDescent="0.2">
      <c r="A42" s="57">
        <v>37072</v>
      </c>
      <c r="D42" s="441">
        <v>48879.09</v>
      </c>
      <c r="E42" s="57"/>
      <c r="H42" s="197"/>
    </row>
    <row r="43" spans="1:8" x14ac:dyDescent="0.2">
      <c r="A43" s="57">
        <v>37081</v>
      </c>
      <c r="D43" s="198">
        <f>+D42+D41</f>
        <v>44919.789999999994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A27" sqref="A2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440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37082</v>
      </c>
      <c r="G7" s="32"/>
      <c r="H7" s="15"/>
      <c r="I7" s="32"/>
      <c r="J7" s="32"/>
    </row>
    <row r="8" spans="1:10" x14ac:dyDescent="0.2">
      <c r="A8" s="254">
        <v>60874</v>
      </c>
      <c r="B8" s="405">
        <v>1658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07">
        <f>8210-10359</f>
        <v>-2149</v>
      </c>
      <c r="G10" s="32"/>
      <c r="H10" s="15"/>
      <c r="I10" s="32"/>
      <c r="J10" s="32"/>
    </row>
    <row r="11" spans="1:10" x14ac:dyDescent="0.2">
      <c r="A11" s="254">
        <v>500251</v>
      </c>
      <c r="B11" s="351">
        <f>5811-5538</f>
        <v>273</v>
      </c>
      <c r="G11" s="32"/>
      <c r="H11" s="15"/>
      <c r="I11" s="32"/>
      <c r="J11" s="32"/>
    </row>
    <row r="12" spans="1:10" x14ac:dyDescent="0.2">
      <c r="A12" s="254">
        <v>500254</v>
      </c>
      <c r="B12" s="351">
        <f>968-1466</f>
        <v>-498</v>
      </c>
      <c r="G12" s="32"/>
      <c r="H12" s="15"/>
      <c r="I12" s="32"/>
      <c r="J12" s="32"/>
    </row>
    <row r="13" spans="1:10" x14ac:dyDescent="0.2">
      <c r="A13" s="32">
        <v>500255</v>
      </c>
      <c r="B13" s="351">
        <f>5812-5076</f>
        <v>736</v>
      </c>
      <c r="G13" s="32"/>
      <c r="H13" s="15"/>
      <c r="I13" s="32"/>
      <c r="J13" s="32"/>
    </row>
    <row r="14" spans="1:10" x14ac:dyDescent="0.2">
      <c r="A14" s="32">
        <v>500262</v>
      </c>
      <c r="B14" s="351">
        <f>2421-3980</f>
        <v>-1559</v>
      </c>
      <c r="G14" s="32"/>
      <c r="H14" s="15"/>
      <c r="I14" s="32"/>
      <c r="J14" s="32"/>
    </row>
    <row r="15" spans="1:10" x14ac:dyDescent="0.2">
      <c r="A15" s="292">
        <v>500267</v>
      </c>
      <c r="B15" s="406">
        <f>603078-545420</f>
        <v>57658</v>
      </c>
      <c r="G15" s="32"/>
      <c r="H15" s="15"/>
      <c r="I15" s="32"/>
      <c r="J15" s="32"/>
    </row>
    <row r="16" spans="1:10" x14ac:dyDescent="0.2">
      <c r="B16" s="14">
        <f>SUM(B8:B15)</f>
        <v>56119</v>
      </c>
      <c r="G16" s="32"/>
      <c r="H16" s="15"/>
      <c r="I16" s="32"/>
      <c r="J16" s="32"/>
    </row>
    <row r="17" spans="1:10" x14ac:dyDescent="0.2">
      <c r="B17" s="15">
        <f>+B30</f>
        <v>2.74</v>
      </c>
      <c r="C17" s="201">
        <f>+B17*B16</f>
        <v>153766.06</v>
      </c>
      <c r="G17" s="32"/>
      <c r="H17" s="15"/>
      <c r="I17" s="32"/>
      <c r="J17" s="32"/>
    </row>
    <row r="18" spans="1:10" x14ac:dyDescent="0.2">
      <c r="C18" s="360">
        <f>+C17+C5</f>
        <v>1133010.48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440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37082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2.74</v>
      </c>
      <c r="C30" s="201">
        <f>+B30*B29</f>
        <v>0</v>
      </c>
    </row>
    <row r="31" spans="1:10" x14ac:dyDescent="0.2">
      <c r="C31" s="360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37072</v>
      </c>
      <c r="C38" s="440">
        <v>702469.37</v>
      </c>
      <c r="E38" s="15"/>
      <c r="F38" s="269"/>
    </row>
    <row r="40" spans="1:6" x14ac:dyDescent="0.2">
      <c r="A40" s="250">
        <v>37079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1161</v>
      </c>
    </row>
    <row r="43" spans="1:6" x14ac:dyDescent="0.2">
      <c r="A43" s="32">
        <v>500392</v>
      </c>
      <c r="B43" s="258">
        <v>275</v>
      </c>
    </row>
    <row r="44" spans="1:6" x14ac:dyDescent="0.2">
      <c r="B44" s="14">
        <f>SUM(B41:B43)</f>
        <v>1436</v>
      </c>
    </row>
    <row r="45" spans="1:6" x14ac:dyDescent="0.2">
      <c r="B45" s="201">
        <f>+B30</f>
        <v>2.74</v>
      </c>
      <c r="C45" s="201">
        <f>+B45*B44</f>
        <v>3934.6400000000003</v>
      </c>
    </row>
    <row r="46" spans="1:6" x14ac:dyDescent="0.2">
      <c r="C46" s="360">
        <f>+C45+C38</f>
        <v>706404.01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0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150</v>
      </c>
      <c r="C51" s="438">
        <v>73449.16</v>
      </c>
      <c r="D51" s="32" t="s">
        <v>130</v>
      </c>
      <c r="E51" s="50"/>
      <c r="H51" s="352"/>
    </row>
    <row r="52" spans="1:9" x14ac:dyDescent="0.2">
      <c r="A52" s="32">
        <v>22664</v>
      </c>
      <c r="B52" s="15" t="s">
        <v>150</v>
      </c>
      <c r="C52" s="439">
        <v>23612.35</v>
      </c>
      <c r="D52" s="32" t="s">
        <v>131</v>
      </c>
    </row>
    <row r="53" spans="1:9" x14ac:dyDescent="0.2">
      <c r="A53" s="32">
        <v>20248</v>
      </c>
      <c r="B53" s="15" t="s">
        <v>151</v>
      </c>
      <c r="C53" s="422">
        <v>141061.91</v>
      </c>
      <c r="D53" s="15"/>
      <c r="E53" s="15"/>
      <c r="H53" s="350"/>
    </row>
    <row r="54" spans="1:9" x14ac:dyDescent="0.2">
      <c r="A54" s="32">
        <v>25873</v>
      </c>
      <c r="C54" s="422">
        <v>-259</v>
      </c>
      <c r="D54" s="15"/>
      <c r="H54" s="15"/>
    </row>
    <row r="55" spans="1:9" x14ac:dyDescent="0.2">
      <c r="A55" s="32">
        <v>26758</v>
      </c>
      <c r="C55" s="422">
        <v>-596</v>
      </c>
      <c r="D55" s="15"/>
      <c r="H55" s="15"/>
    </row>
    <row r="56" spans="1:9" x14ac:dyDescent="0.2">
      <c r="A56" s="32">
        <v>26372</v>
      </c>
      <c r="C56" s="422">
        <v>2997.09</v>
      </c>
      <c r="D56" s="15"/>
      <c r="H56" s="15"/>
    </row>
    <row r="57" spans="1:9" x14ac:dyDescent="0.2">
      <c r="A57" s="32">
        <v>26700</v>
      </c>
      <c r="C57" s="422">
        <v>4077.9</v>
      </c>
      <c r="D57" s="15"/>
      <c r="H57" s="350"/>
    </row>
    <row r="58" spans="1:9" x14ac:dyDescent="0.2">
      <c r="A58" s="32">
        <v>26422</v>
      </c>
      <c r="C58" s="422">
        <v>8155.8</v>
      </c>
      <c r="D58" s="15"/>
      <c r="H58" s="47"/>
    </row>
    <row r="59" spans="1:9" x14ac:dyDescent="0.2">
      <c r="A59" s="32">
        <v>26661</v>
      </c>
      <c r="C59" s="422">
        <v>146862.35</v>
      </c>
      <c r="D59" s="15"/>
      <c r="H59" s="364"/>
      <c r="I59" s="32"/>
    </row>
    <row r="60" spans="1:9" x14ac:dyDescent="0.2">
      <c r="A60" s="32">
        <v>27291</v>
      </c>
      <c r="C60" s="422">
        <v>-17965</v>
      </c>
      <c r="D60" s="15"/>
    </row>
    <row r="61" spans="1:9" x14ac:dyDescent="0.2">
      <c r="A61" s="32">
        <v>27137</v>
      </c>
      <c r="C61" s="422">
        <v>-67.28</v>
      </c>
      <c r="D61" s="15"/>
    </row>
    <row r="62" spans="1:9" x14ac:dyDescent="0.2">
      <c r="A62" s="32">
        <v>27123</v>
      </c>
      <c r="C62" s="423">
        <v>-6425.19</v>
      </c>
      <c r="D62" s="15"/>
      <c r="G62">
        <v>70169</v>
      </c>
      <c r="H62">
        <v>269686.67</v>
      </c>
    </row>
    <row r="63" spans="1:9" x14ac:dyDescent="0.2">
      <c r="C63" s="350">
        <f>+C18+C31+C46+C51+C52+C53+C54+C55+C56+C57+C58+C59+C60+C61+C62</f>
        <v>2489632.3000000003</v>
      </c>
      <c r="G63">
        <v>3940</v>
      </c>
      <c r="H63">
        <v>8155.8</v>
      </c>
    </row>
    <row r="64" spans="1:9" x14ac:dyDescent="0.2">
      <c r="C64" s="350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F49" sqref="F49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7">
        <v>23995</v>
      </c>
      <c r="C1" s="236"/>
      <c r="D1" s="346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">
      <c r="A7" s="10">
        <v>4</v>
      </c>
      <c r="B7" s="11"/>
      <c r="C7" s="11"/>
      <c r="D7" s="129">
        <v>24663</v>
      </c>
      <c r="E7" s="11">
        <v>24000</v>
      </c>
      <c r="F7" s="11">
        <f t="shared" si="0"/>
        <v>-663</v>
      </c>
      <c r="G7" s="11"/>
      <c r="H7" s="24"/>
    </row>
    <row r="8" spans="1:8" x14ac:dyDescent="0.2">
      <c r="A8" s="10">
        <v>5</v>
      </c>
      <c r="B8" s="11"/>
      <c r="C8" s="11"/>
      <c r="D8" s="11">
        <v>24668</v>
      </c>
      <c r="E8" s="11">
        <v>24000</v>
      </c>
      <c r="F8" s="11">
        <f t="shared" si="0"/>
        <v>-668</v>
      </c>
      <c r="G8" s="11"/>
      <c r="H8" s="24"/>
    </row>
    <row r="9" spans="1:8" x14ac:dyDescent="0.2">
      <c r="A9" s="10">
        <v>6</v>
      </c>
      <c r="B9" s="11"/>
      <c r="C9" s="11"/>
      <c r="D9" s="11">
        <v>24503</v>
      </c>
      <c r="E9" s="11">
        <v>24000</v>
      </c>
      <c r="F9" s="11">
        <f t="shared" si="0"/>
        <v>-503</v>
      </c>
      <c r="G9" s="11"/>
      <c r="H9" s="24"/>
    </row>
    <row r="10" spans="1:8" x14ac:dyDescent="0.2">
      <c r="A10" s="10">
        <v>7</v>
      </c>
      <c r="B10" s="11"/>
      <c r="C10" s="11"/>
      <c r="D10" s="11">
        <v>24451</v>
      </c>
      <c r="E10" s="11">
        <v>23999</v>
      </c>
      <c r="F10" s="11">
        <f t="shared" si="0"/>
        <v>-452</v>
      </c>
      <c r="G10" s="11"/>
      <c r="H10" s="24"/>
    </row>
    <row r="11" spans="1:8" x14ac:dyDescent="0.2">
      <c r="A11" s="10">
        <v>8</v>
      </c>
      <c r="B11" s="11"/>
      <c r="C11" s="11"/>
      <c r="D11" s="11">
        <v>24468</v>
      </c>
      <c r="E11" s="11">
        <v>23999</v>
      </c>
      <c r="F11" s="11">
        <f t="shared" si="0"/>
        <v>-469</v>
      </c>
      <c r="G11" s="11"/>
      <c r="H11" s="24"/>
    </row>
    <row r="12" spans="1:8" x14ac:dyDescent="0.2">
      <c r="A12" s="10">
        <v>9</v>
      </c>
      <c r="B12" s="11"/>
      <c r="C12" s="11"/>
      <c r="D12" s="11">
        <v>24443</v>
      </c>
      <c r="E12" s="11">
        <v>23999</v>
      </c>
      <c r="F12" s="11">
        <f t="shared" si="0"/>
        <v>-444</v>
      </c>
      <c r="G12" s="11"/>
      <c r="H12" s="24"/>
    </row>
    <row r="13" spans="1:8" x14ac:dyDescent="0.2">
      <c r="A13" s="10">
        <v>10</v>
      </c>
      <c r="B13" s="11"/>
      <c r="C13" s="11"/>
      <c r="D13" s="11">
        <v>24497</v>
      </c>
      <c r="E13" s="11">
        <v>24000</v>
      </c>
      <c r="F13" s="11">
        <f t="shared" si="0"/>
        <v>-497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245681</v>
      </c>
      <c r="E35" s="11">
        <f>SUM(E4:E34)</f>
        <v>238993</v>
      </c>
      <c r="F35" s="11">
        <f>SUM(F4:F34)</f>
        <v>-6688</v>
      </c>
      <c r="G35" s="11"/>
      <c r="H35" s="11"/>
    </row>
    <row r="36" spans="1:8" x14ac:dyDescent="0.2">
      <c r="C36" s="25">
        <f>+C35-B35</f>
        <v>0</v>
      </c>
      <c r="E36" s="25">
        <f>+E35-D35</f>
        <v>-6688</v>
      </c>
      <c r="F36" s="25">
        <f>+E36+C36</f>
        <v>-6688</v>
      </c>
    </row>
    <row r="37" spans="1:8" x14ac:dyDescent="0.2">
      <c r="C37" s="348">
        <f>+summary!P12</f>
        <v>2.92</v>
      </c>
      <c r="E37" s="348">
        <f>+C37</f>
        <v>2.92</v>
      </c>
      <c r="F37" s="348">
        <f>+E37</f>
        <v>2.92</v>
      </c>
    </row>
    <row r="38" spans="1:8" x14ac:dyDescent="0.2">
      <c r="C38" s="138">
        <f>+C37*C36</f>
        <v>0</v>
      </c>
      <c r="E38" s="138">
        <f>+E37*E36</f>
        <v>-19528.96</v>
      </c>
      <c r="F38" s="138">
        <f>+F37*F36</f>
        <v>-19528.96</v>
      </c>
    </row>
    <row r="39" spans="1:8" x14ac:dyDescent="0.2">
      <c r="A39" s="57">
        <v>37072</v>
      </c>
      <c r="B39" s="2" t="s">
        <v>47</v>
      </c>
      <c r="C39" s="433">
        <v>-1023092.89</v>
      </c>
      <c r="D39" s="359"/>
      <c r="E39" s="433">
        <v>-436546.2</v>
      </c>
      <c r="F39" s="358">
        <f>+E39+C39</f>
        <v>-1459639.09</v>
      </c>
      <c r="G39" s="51"/>
      <c r="H39" s="24">
        <f>+F39+F44+F45+F46+F47+F48+F49</f>
        <v>-2128119.7999999998</v>
      </c>
    </row>
    <row r="40" spans="1:8" x14ac:dyDescent="0.2">
      <c r="A40" s="57">
        <v>37082</v>
      </c>
      <c r="B40" s="2" t="s">
        <v>47</v>
      </c>
      <c r="C40" s="349">
        <f>+C39+C38</f>
        <v>-1023092.89</v>
      </c>
      <c r="D40" s="260"/>
      <c r="E40" s="349">
        <f>+E39+E38</f>
        <v>-456075.16000000003</v>
      </c>
      <c r="F40" s="349">
        <f>+F39+F38</f>
        <v>-1479168.05</v>
      </c>
      <c r="G40" s="131"/>
      <c r="H40" s="131">
        <f>+Duke!C5+Duke!C24+Duke!C38+Duke!C51+Duke!C52+Duke!C53+Duke!C54+Duke!C55+Duke!C56+Duke!C57+Duke!C58+Duke!C59+Duke!C60+Duke!C62</f>
        <v>2331998.88</v>
      </c>
    </row>
    <row r="41" spans="1:8" x14ac:dyDescent="0.2">
      <c r="C41" s="374"/>
      <c r="D41" s="251"/>
      <c r="E41" s="251"/>
      <c r="F41" s="251"/>
      <c r="G41" s="251"/>
      <c r="H41" s="3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40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40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424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40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40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39">
        <v>-674500.74</v>
      </c>
      <c r="G49" s="255" t="s">
        <v>132</v>
      </c>
    </row>
    <row r="50" spans="2:7" x14ac:dyDescent="0.2">
      <c r="C50" s="251"/>
      <c r="D50" s="251"/>
      <c r="E50" s="251"/>
      <c r="F50" s="375">
        <f>SUM(F40:F49)</f>
        <v>-2147648.7599999998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152</v>
      </c>
      <c r="F52" s="138">
        <f>+Duke!C63</f>
        <v>2489632.3000000003</v>
      </c>
    </row>
    <row r="54" spans="2:7" x14ac:dyDescent="0.2">
      <c r="F54" s="104">
        <f>+F52+F50</f>
        <v>341983.5400000005</v>
      </c>
    </row>
    <row r="60" spans="2:7" x14ac:dyDescent="0.2">
      <c r="F60" s="259"/>
    </row>
    <row r="61" spans="2:7" x14ac:dyDescent="0.2">
      <c r="F61" s="259"/>
    </row>
    <row r="62" spans="2:7" x14ac:dyDescent="0.2">
      <c r="F62" s="259"/>
    </row>
    <row r="63" spans="2:7" x14ac:dyDescent="0.2">
      <c r="F63" s="426"/>
    </row>
    <row r="64" spans="2:7" x14ac:dyDescent="0.2">
      <c r="F64" s="426"/>
    </row>
    <row r="65" spans="6:6" x14ac:dyDescent="0.2">
      <c r="F65" s="426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F41" sqref="F4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1128</v>
      </c>
      <c r="G12" s="11">
        <v>1277</v>
      </c>
      <c r="H12" s="11">
        <v>1625</v>
      </c>
      <c r="I12" s="11">
        <v>1699</v>
      </c>
      <c r="J12" s="25">
        <f t="shared" si="0"/>
        <v>223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1117</v>
      </c>
      <c r="G14" s="11">
        <v>1277</v>
      </c>
      <c r="H14" s="11">
        <v>1597</v>
      </c>
      <c r="I14" s="129">
        <v>1699</v>
      </c>
      <c r="J14" s="25">
        <f t="shared" si="0"/>
        <v>262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1081</v>
      </c>
      <c r="H16" s="11">
        <v>1649</v>
      </c>
      <c r="I16" s="11">
        <v>1699</v>
      </c>
      <c r="J16" s="25">
        <f t="shared" si="0"/>
        <v>53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11178</v>
      </c>
      <c r="G39" s="11">
        <f t="shared" si="1"/>
        <v>12540</v>
      </c>
      <c r="H39" s="11">
        <f t="shared" si="1"/>
        <v>16883</v>
      </c>
      <c r="I39" s="11">
        <f t="shared" si="1"/>
        <v>16960</v>
      </c>
      <c r="J39" s="25">
        <f t="shared" si="1"/>
        <v>1439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2.74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3942.86</v>
      </c>
      <c r="L41"/>
      <c r="R41" s="138"/>
      <c r="X41" s="138"/>
    </row>
    <row r="42" spans="1:24" x14ac:dyDescent="0.2">
      <c r="A42" s="57">
        <v>37072</v>
      </c>
      <c r="C42" s="15"/>
      <c r="J42" s="430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37082</v>
      </c>
      <c r="C43" s="48"/>
      <c r="J43" s="138">
        <f>+J42+J41</f>
        <v>352728.14999999997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41" sqref="D41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155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-1</v>
      </c>
      <c r="E17" s="11"/>
      <c r="F17" s="25">
        <f t="shared" si="0"/>
        <v>-1117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121157</v>
      </c>
      <c r="C39" s="11">
        <f>SUM(C8:C38)</f>
        <v>107916</v>
      </c>
      <c r="D39" s="11">
        <f>SUM(D8:D38)</f>
        <v>-3583</v>
      </c>
      <c r="E39" s="11">
        <f>SUM(E8:E38)</f>
        <v>0</v>
      </c>
      <c r="F39" s="11">
        <f>SUM(F8:F38)</f>
        <v>-9658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2.74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-26462.920000000002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434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37082</v>
      </c>
      <c r="C43" s="48"/>
      <c r="D43" s="48"/>
      <c r="E43" s="48"/>
      <c r="F43" s="110">
        <f>+F42+F41</f>
        <v>516416.95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38" workbookViewId="3">
      <selection activeCell="D17" sqref="D17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style="7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88" t="s">
        <v>154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425"/>
      <c r="O9" s="304" t="s">
        <v>82</v>
      </c>
      <c r="P9" s="305"/>
    </row>
    <row r="10" spans="1:20" ht="18" customHeight="1" x14ac:dyDescent="0.2">
      <c r="B10" s="426"/>
      <c r="O10" s="306" t="s">
        <v>31</v>
      </c>
      <c r="P10" s="308">
        <f>+'[1]0701'!$K$39</f>
        <v>2.39</v>
      </c>
    </row>
    <row r="11" spans="1:20" ht="18" customHeight="1" x14ac:dyDescent="0.2">
      <c r="A11" s="389" t="s">
        <v>98</v>
      </c>
      <c r="B11" s="390" t="s">
        <v>18</v>
      </c>
      <c r="C11" s="391" t="s">
        <v>0</v>
      </c>
      <c r="D11" s="411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">
      <c r="A12" s="353" t="s">
        <v>95</v>
      </c>
      <c r="B12" s="371">
        <f>+NNG!$D$24</f>
        <v>1016329.2999999999</v>
      </c>
      <c r="C12" s="382">
        <f>+B12/$P$11</f>
        <v>370923.10218978097</v>
      </c>
      <c r="D12" s="412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.95" customHeight="1" x14ac:dyDescent="0.2">
      <c r="A13" s="353" t="s">
        <v>30</v>
      </c>
      <c r="B13" s="371">
        <f>+C13*$P$10</f>
        <v>700262.83000000007</v>
      </c>
      <c r="C13" s="382">
        <f>+williams!J40</f>
        <v>292997</v>
      </c>
      <c r="D13" s="412">
        <f>+williams!A40</f>
        <v>37083</v>
      </c>
      <c r="E13" s="313" t="s">
        <v>89</v>
      </c>
      <c r="F13" s="313" t="s">
        <v>125</v>
      </c>
      <c r="G13" t="s">
        <v>165</v>
      </c>
    </row>
    <row r="14" spans="1:20" ht="15.95" customHeight="1" x14ac:dyDescent="0.2">
      <c r="A14" s="352" t="s">
        <v>25</v>
      </c>
      <c r="B14" s="365">
        <f>+'Red C'!$F$43</f>
        <v>648487.41</v>
      </c>
      <c r="C14" s="366">
        <f>+B14/$P$10</f>
        <v>271333.64435146446</v>
      </c>
      <c r="D14" s="412">
        <f>+'Red C'!B43</f>
        <v>37083</v>
      </c>
      <c r="E14" t="s">
        <v>90</v>
      </c>
      <c r="F14" t="s">
        <v>125</v>
      </c>
      <c r="G14" t="s">
        <v>171</v>
      </c>
    </row>
    <row r="15" spans="1:20" ht="15.95" customHeight="1" x14ac:dyDescent="0.2">
      <c r="A15" s="352" t="s">
        <v>87</v>
      </c>
      <c r="B15" s="371">
        <f>+PNM!$D$23</f>
        <v>558720.65</v>
      </c>
      <c r="C15" s="382">
        <f>+B15/$P$11</f>
        <v>203912.64598540144</v>
      </c>
      <c r="D15" s="413">
        <f>+PNM!A23</f>
        <v>37082</v>
      </c>
      <c r="E15" t="s">
        <v>90</v>
      </c>
      <c r="F15" t="s">
        <v>108</v>
      </c>
      <c r="G15" t="s">
        <v>168</v>
      </c>
    </row>
    <row r="16" spans="1:20" ht="15.95" customHeight="1" x14ac:dyDescent="0.2">
      <c r="A16" s="352" t="s">
        <v>117</v>
      </c>
      <c r="B16" s="371">
        <f>+KN_Westar!F41</f>
        <v>539654.25</v>
      </c>
      <c r="C16" s="382">
        <f>+B16/$P$11</f>
        <v>196954.10583941604</v>
      </c>
      <c r="D16" s="413">
        <f>+KN_Westar!A41</f>
        <v>37082</v>
      </c>
      <c r="E16" t="s">
        <v>90</v>
      </c>
      <c r="F16" t="s">
        <v>110</v>
      </c>
      <c r="T16" s="269"/>
    </row>
    <row r="17" spans="1:20" ht="15.95" customHeight="1" x14ac:dyDescent="0.2">
      <c r="A17" s="352" t="s">
        <v>3</v>
      </c>
      <c r="B17" s="371">
        <f>+'Amoco Abo'!$F$43</f>
        <v>516416.95</v>
      </c>
      <c r="C17" s="382">
        <f>+B17/$P$11</f>
        <v>188473.33941605838</v>
      </c>
      <c r="D17" s="413">
        <f>+'Amoco Abo'!A43</f>
        <v>37082</v>
      </c>
      <c r="E17" t="s">
        <v>90</v>
      </c>
      <c r="F17" t="s">
        <v>109</v>
      </c>
      <c r="G17" t="s">
        <v>171</v>
      </c>
      <c r="T17" s="269"/>
    </row>
    <row r="18" spans="1:20" ht="15.95" customHeight="1" x14ac:dyDescent="0.2">
      <c r="A18" s="353" t="s">
        <v>34</v>
      </c>
      <c r="B18" s="371">
        <f>+C18*$P$11</f>
        <v>465715.06000000006</v>
      </c>
      <c r="C18" s="396">
        <f>+SoCal!F40</f>
        <v>169969</v>
      </c>
      <c r="D18" s="412">
        <f>+SoCal!A40</f>
        <v>37083</v>
      </c>
      <c r="E18" s="313" t="s">
        <v>89</v>
      </c>
      <c r="F18" s="313" t="s">
        <v>108</v>
      </c>
    </row>
    <row r="19" spans="1:20" ht="15.95" customHeight="1" x14ac:dyDescent="0.2">
      <c r="A19" s="352" t="s">
        <v>84</v>
      </c>
      <c r="B19" s="371">
        <f>+Conoco!$F$41</f>
        <v>463864.35000000009</v>
      </c>
      <c r="C19" s="382">
        <f>+$B$20/P10</f>
        <v>183872.34309623431</v>
      </c>
      <c r="D19" s="412">
        <f>+Conoco!A41</f>
        <v>37083</v>
      </c>
      <c r="E19" t="s">
        <v>90</v>
      </c>
      <c r="F19" t="s">
        <v>109</v>
      </c>
      <c r="G19" t="s">
        <v>166</v>
      </c>
    </row>
    <row r="20" spans="1:20" ht="15.95" customHeight="1" x14ac:dyDescent="0.2">
      <c r="A20" s="352" t="s">
        <v>97</v>
      </c>
      <c r="B20" s="371">
        <f>+C20*$P$11</f>
        <v>439454.9</v>
      </c>
      <c r="C20" s="382">
        <f>+NGPL!F38</f>
        <v>160385</v>
      </c>
      <c r="D20" s="413">
        <f>+NGPL!A38</f>
        <v>37082</v>
      </c>
      <c r="E20" t="s">
        <v>89</v>
      </c>
      <c r="F20" t="s">
        <v>125</v>
      </c>
      <c r="G20" t="s">
        <v>169</v>
      </c>
    </row>
    <row r="21" spans="1:20" ht="15.95" customHeight="1" x14ac:dyDescent="0.2">
      <c r="A21" s="352" t="s">
        <v>35</v>
      </c>
      <c r="B21" s="371">
        <f>+'El Paso'!C38*summary!P11+'El Paso'!E38*summary!P10</f>
        <v>354096.36</v>
      </c>
      <c r="C21" s="382">
        <f>+'El Paso'!H38</f>
        <v>140759</v>
      </c>
      <c r="D21" s="413">
        <f>+'El Paso'!A38</f>
        <v>37083</v>
      </c>
      <c r="E21" t="s">
        <v>89</v>
      </c>
      <c r="F21" t="s">
        <v>110</v>
      </c>
      <c r="G21" t="s">
        <v>129</v>
      </c>
    </row>
    <row r="22" spans="1:20" ht="15.95" customHeight="1" x14ac:dyDescent="0.2">
      <c r="A22" s="352" t="s">
        <v>2</v>
      </c>
      <c r="B22" s="371">
        <f>+mewborne!$J$43</f>
        <v>352728.14999999997</v>
      </c>
      <c r="C22" s="382">
        <f t="shared" ref="C22:C29" si="0">+B22/$P$11</f>
        <v>128732.90145985399</v>
      </c>
      <c r="D22" s="413">
        <f>+mewborne!A43</f>
        <v>37082</v>
      </c>
      <c r="E22" t="s">
        <v>90</v>
      </c>
      <c r="F22" t="s">
        <v>109</v>
      </c>
    </row>
    <row r="23" spans="1:20" ht="15.95" customHeight="1" x14ac:dyDescent="0.2">
      <c r="A23" s="352" t="s">
        <v>138</v>
      </c>
      <c r="B23" s="371">
        <f>+DEFS!F54</f>
        <v>341983.5400000005</v>
      </c>
      <c r="C23" s="396">
        <f t="shared" si="0"/>
        <v>124811.51094890528</v>
      </c>
      <c r="D23" s="413">
        <f>+DEFS!A40</f>
        <v>37082</v>
      </c>
      <c r="E23" t="s">
        <v>90</v>
      </c>
      <c r="F23" t="s">
        <v>110</v>
      </c>
      <c r="G23" t="s">
        <v>128</v>
      </c>
    </row>
    <row r="24" spans="1:20" ht="15.95" customHeight="1" x14ac:dyDescent="0.2">
      <c r="A24" s="352" t="s">
        <v>120</v>
      </c>
      <c r="B24" s="371">
        <f>+CIG!D43</f>
        <v>326755</v>
      </c>
      <c r="C24" s="382">
        <f t="shared" si="0"/>
        <v>119253.64963503649</v>
      </c>
      <c r="D24" s="413">
        <f>+CIG!A43</f>
        <v>37082</v>
      </c>
      <c r="E24" t="s">
        <v>90</v>
      </c>
      <c r="F24" t="s">
        <v>123</v>
      </c>
    </row>
    <row r="25" spans="1:20" ht="15.95" customHeight="1" x14ac:dyDescent="0.2">
      <c r="A25" s="352" t="s">
        <v>113</v>
      </c>
      <c r="B25" s="371">
        <f>+EOG!J41</f>
        <v>318670.11</v>
      </c>
      <c r="C25" s="382">
        <f t="shared" si="0"/>
        <v>116302.95985401458</v>
      </c>
      <c r="D25" s="412">
        <f>+EOG!A41</f>
        <v>37082</v>
      </c>
      <c r="E25" t="s">
        <v>90</v>
      </c>
      <c r="F25" t="s">
        <v>112</v>
      </c>
      <c r="G25" t="s">
        <v>175</v>
      </c>
    </row>
    <row r="26" spans="1:20" ht="15.95" customHeight="1" x14ac:dyDescent="0.2">
      <c r="A26" s="352" t="s">
        <v>140</v>
      </c>
      <c r="B26" s="371">
        <f>+PGETX!$H$39</f>
        <v>281441.58</v>
      </c>
      <c r="C26" s="382">
        <f t="shared" si="0"/>
        <v>102715.90510948905</v>
      </c>
      <c r="D26" s="413">
        <f>+PGETX!E39</f>
        <v>37082</v>
      </c>
      <c r="E26" t="s">
        <v>90</v>
      </c>
      <c r="F26" t="s">
        <v>112</v>
      </c>
    </row>
    <row r="27" spans="1:20" ht="15.95" customHeight="1" x14ac:dyDescent="0.2">
      <c r="A27" s="352" t="s">
        <v>157</v>
      </c>
      <c r="B27" s="365">
        <f>+C27*$P$11</f>
        <v>205615.08000000002</v>
      </c>
      <c r="C27" s="366">
        <f>+PEPL!D41</f>
        <v>75042</v>
      </c>
      <c r="D27" s="413">
        <f>+PEPL!A41</f>
        <v>37082</v>
      </c>
      <c r="E27" t="s">
        <v>89</v>
      </c>
      <c r="F27" t="s">
        <v>112</v>
      </c>
      <c r="G27" t="s">
        <v>156</v>
      </c>
    </row>
    <row r="28" spans="1:20" ht="15.95" customHeight="1" x14ac:dyDescent="0.2">
      <c r="A28" s="352" t="s">
        <v>33</v>
      </c>
      <c r="B28" s="371">
        <f>+C28*$P$11</f>
        <v>196397.72</v>
      </c>
      <c r="C28" s="382">
        <f>+Lonestar!F42</f>
        <v>71678</v>
      </c>
      <c r="D28" s="412">
        <f>+Lonestar!B42</f>
        <v>37083</v>
      </c>
      <c r="E28" t="s">
        <v>89</v>
      </c>
      <c r="F28" t="s">
        <v>112</v>
      </c>
    </row>
    <row r="29" spans="1:20" ht="15.95" customHeight="1" x14ac:dyDescent="0.2">
      <c r="A29" s="353" t="s">
        <v>83</v>
      </c>
      <c r="B29" s="371">
        <f>+Agave!$D$24</f>
        <v>185980.93000000002</v>
      </c>
      <c r="C29" s="396">
        <f t="shared" si="0"/>
        <v>67876.251824817518</v>
      </c>
      <c r="D29" s="412">
        <f>+Agave!A24</f>
        <v>37082</v>
      </c>
      <c r="E29" s="313" t="s">
        <v>90</v>
      </c>
      <c r="F29" s="313" t="s">
        <v>112</v>
      </c>
    </row>
    <row r="30" spans="1:20" ht="15.95" customHeight="1" x14ac:dyDescent="0.2">
      <c r="A30" s="352" t="s">
        <v>7</v>
      </c>
      <c r="B30" s="371">
        <f>+C30*$P$10</f>
        <v>134884.43</v>
      </c>
      <c r="C30" s="382">
        <f>+Amoco!D40</f>
        <v>56437</v>
      </c>
      <c r="D30" s="413">
        <f>+Amoco!A40</f>
        <v>37082</v>
      </c>
      <c r="E30" t="s">
        <v>89</v>
      </c>
      <c r="F30" t="s">
        <v>125</v>
      </c>
    </row>
    <row r="31" spans="1:20" ht="15.95" customHeight="1" x14ac:dyDescent="0.2">
      <c r="A31" s="352" t="s">
        <v>8</v>
      </c>
      <c r="B31" s="371">
        <f>+C31*$P$11</f>
        <v>67130</v>
      </c>
      <c r="C31" s="396">
        <f>+Oasis!D40</f>
        <v>24500</v>
      </c>
      <c r="D31" s="413">
        <f>+Oasis!B40</f>
        <v>37082</v>
      </c>
      <c r="E31" t="s">
        <v>89</v>
      </c>
      <c r="F31" t="s">
        <v>112</v>
      </c>
    </row>
    <row r="32" spans="1:20" ht="15.95" customHeight="1" x14ac:dyDescent="0.2">
      <c r="A32" s="352" t="s">
        <v>144</v>
      </c>
      <c r="B32" s="371">
        <f>+SidR!D41</f>
        <v>60747.68</v>
      </c>
      <c r="C32" s="382">
        <f>+B32/$P$11</f>
        <v>22170.686131386861</v>
      </c>
      <c r="D32" s="413">
        <f>+SidR!A41</f>
        <v>37082</v>
      </c>
      <c r="E32" t="s">
        <v>90</v>
      </c>
      <c r="F32" t="s">
        <v>112</v>
      </c>
      <c r="G32" t="s">
        <v>176</v>
      </c>
    </row>
    <row r="33" spans="1:15" ht="15.95" customHeight="1" x14ac:dyDescent="0.2">
      <c r="A33" s="352" t="s">
        <v>75</v>
      </c>
      <c r="B33" s="365">
        <f>+transcol!$D$43</f>
        <v>44919.789999999994</v>
      </c>
      <c r="C33" s="366">
        <f>+B33/$P$11</f>
        <v>16394.083941605837</v>
      </c>
      <c r="D33" s="413">
        <f>+transcol!A43</f>
        <v>37081</v>
      </c>
      <c r="E33" t="s">
        <v>90</v>
      </c>
      <c r="F33" t="s">
        <v>125</v>
      </c>
    </row>
    <row r="34" spans="1:15" ht="15.95" customHeight="1" x14ac:dyDescent="0.2">
      <c r="A34" s="352" t="s">
        <v>1</v>
      </c>
      <c r="B34" s="371">
        <f>+C34*$P$10</f>
        <v>32967.660000000003</v>
      </c>
      <c r="C34" s="396">
        <f>+NW!$F$41</f>
        <v>13794</v>
      </c>
      <c r="D34" s="412">
        <f>+NW!B41</f>
        <v>37082</v>
      </c>
      <c r="E34" t="s">
        <v>89</v>
      </c>
      <c r="F34" t="s">
        <v>109</v>
      </c>
    </row>
    <row r="35" spans="1:15" ht="15.95" customHeight="1" x14ac:dyDescent="0.2">
      <c r="A35" s="352" t="s">
        <v>103</v>
      </c>
      <c r="B35" s="371">
        <f>+C35*$P$11</f>
        <v>19141.640000000003</v>
      </c>
      <c r="C35" s="382">
        <f>+Mojave!D40</f>
        <v>6986</v>
      </c>
      <c r="D35" s="413">
        <f>+Mojave!A40</f>
        <v>37081</v>
      </c>
      <c r="E35" t="s">
        <v>89</v>
      </c>
      <c r="F35" t="s">
        <v>110</v>
      </c>
    </row>
    <row r="36" spans="1:15" ht="15.95" customHeight="1" x14ac:dyDescent="0.2">
      <c r="A36" s="353" t="s">
        <v>104</v>
      </c>
      <c r="B36" s="383">
        <f>+burlington!D42</f>
        <v>7082.9400000000005</v>
      </c>
      <c r="C36" s="410">
        <f>+B36/$P$10</f>
        <v>2963.5732217573222</v>
      </c>
      <c r="D36" s="412">
        <f>+burlington!A42</f>
        <v>37083</v>
      </c>
      <c r="E36" s="313" t="s">
        <v>90</v>
      </c>
      <c r="F36" t="s">
        <v>109</v>
      </c>
      <c r="G36" t="s">
        <v>174</v>
      </c>
    </row>
    <row r="37" spans="1:15" ht="18" customHeight="1" x14ac:dyDescent="0.2">
      <c r="A37" s="297" t="s">
        <v>105</v>
      </c>
      <c r="B37" s="384">
        <f>SUM(B12:B36)</f>
        <v>8279448.3100000015</v>
      </c>
      <c r="C37" s="385">
        <f>SUM(C12:C36)</f>
        <v>3129237.7030052231</v>
      </c>
    </row>
    <row r="38" spans="1:15" ht="18" customHeight="1" x14ac:dyDescent="0.2">
      <c r="F38" s="361"/>
      <c r="O38">
        <v>50</v>
      </c>
    </row>
    <row r="39" spans="1:15" ht="18" customHeight="1" x14ac:dyDescent="0.2">
      <c r="O39">
        <v>79</v>
      </c>
    </row>
    <row r="40" spans="1:15" ht="18" customHeight="1" x14ac:dyDescent="0.2">
      <c r="A40" s="301" t="s">
        <v>98</v>
      </c>
      <c r="B40" s="302" t="s">
        <v>18</v>
      </c>
      <c r="C40" s="303" t="s">
        <v>0</v>
      </c>
      <c r="D40" s="414" t="s">
        <v>85</v>
      </c>
      <c r="E40" s="301" t="s">
        <v>99</v>
      </c>
      <c r="F40" s="333" t="s">
        <v>111</v>
      </c>
      <c r="G40" s="301" t="s">
        <v>107</v>
      </c>
      <c r="O40">
        <f>+O39*O38</f>
        <v>3950</v>
      </c>
    </row>
    <row r="41" spans="1:15" ht="18" customHeight="1" x14ac:dyDescent="0.2">
      <c r="A41" s="353" t="s">
        <v>148</v>
      </c>
      <c r="B41" s="371">
        <f>+Citizens!D18</f>
        <v>-876805.42</v>
      </c>
      <c r="C41" s="396">
        <f>+B41/$P$11</f>
        <v>-320001.97810218978</v>
      </c>
      <c r="D41" s="412">
        <f>+Citizens!A18</f>
        <v>37072</v>
      </c>
      <c r="E41" s="313" t="s">
        <v>90</v>
      </c>
      <c r="F41" s="313" t="s">
        <v>108</v>
      </c>
      <c r="G41" s="301"/>
    </row>
    <row r="42" spans="1:15" ht="18" customHeight="1" x14ac:dyDescent="0.2">
      <c r="A42" s="352" t="s">
        <v>146</v>
      </c>
      <c r="B42" s="371">
        <f>+'NS Steel'!D41</f>
        <v>-375685.13999999996</v>
      </c>
      <c r="C42" s="396">
        <f>+B42/$P$10</f>
        <v>-157190.43514644349</v>
      </c>
      <c r="D42" s="413">
        <f>+'NS Steel'!A41</f>
        <v>37082</v>
      </c>
      <c r="E42" t="s">
        <v>90</v>
      </c>
      <c r="F42" t="s">
        <v>110</v>
      </c>
      <c r="G42" s="301"/>
    </row>
    <row r="43" spans="1:15" ht="18" customHeight="1" x14ac:dyDescent="0.2">
      <c r="A43" s="352" t="s">
        <v>153</v>
      </c>
      <c r="B43" s="371">
        <f>+'Citizens-Griffith'!D41</f>
        <v>-216141.13</v>
      </c>
      <c r="C43" s="382">
        <f>+B43/$P$11</f>
        <v>-78883.624087591234</v>
      </c>
      <c r="D43" s="412">
        <f>+'Citizens-Griffith'!A41</f>
        <v>37082</v>
      </c>
      <c r="E43" t="s">
        <v>90</v>
      </c>
      <c r="F43" t="s">
        <v>109</v>
      </c>
      <c r="G43" t="s">
        <v>173</v>
      </c>
    </row>
    <row r="44" spans="1:15" ht="18" customHeight="1" x14ac:dyDescent="0.2">
      <c r="A44" s="352" t="s">
        <v>142</v>
      </c>
      <c r="B44" s="371">
        <f>+EPFS!D41</f>
        <v>-111494.06</v>
      </c>
      <c r="C44" s="396">
        <f>+B44/$P$12</f>
        <v>-38182.897260273974</v>
      </c>
      <c r="D44" s="412">
        <f>+EPFS!A41</f>
        <v>37081</v>
      </c>
      <c r="E44" t="s">
        <v>90</v>
      </c>
      <c r="F44" t="s">
        <v>110</v>
      </c>
    </row>
    <row r="45" spans="1:15" ht="18" customHeight="1" x14ac:dyDescent="0.2">
      <c r="A45" s="353" t="s">
        <v>139</v>
      </c>
      <c r="B45" s="371">
        <f>+Calpine!D41</f>
        <v>-70419.590000000026</v>
      </c>
      <c r="C45" s="396">
        <f>+B45/$P$11</f>
        <v>-25700.580291970811</v>
      </c>
      <c r="D45" s="412">
        <f>+Calpine!A41</f>
        <v>37081</v>
      </c>
      <c r="E45" s="313" t="s">
        <v>90</v>
      </c>
      <c r="F45" s="313" t="s">
        <v>109</v>
      </c>
      <c r="G45" s="301"/>
    </row>
    <row r="46" spans="1:15" ht="18" customHeight="1" x14ac:dyDescent="0.2">
      <c r="A46" s="352" t="s">
        <v>124</v>
      </c>
      <c r="B46" s="371">
        <f>+C46*$P$11</f>
        <v>-16996.22</v>
      </c>
      <c r="C46" s="396">
        <f>+'PG&amp;E'!D40</f>
        <v>-6203</v>
      </c>
      <c r="D46" s="413">
        <f>+'PG&amp;E'!A40</f>
        <v>37082</v>
      </c>
      <c r="E46" t="s">
        <v>89</v>
      </c>
      <c r="F46" t="s">
        <v>112</v>
      </c>
    </row>
    <row r="47" spans="1:15" ht="18" customHeight="1" x14ac:dyDescent="0.2">
      <c r="A47" s="352" t="s">
        <v>119</v>
      </c>
      <c r="B47" s="383">
        <f>+Continental!F43</f>
        <v>-14531.470000000001</v>
      </c>
      <c r="C47" s="397">
        <f>+B47/$P$11</f>
        <v>-5303.4562043795622</v>
      </c>
      <c r="D47" s="413">
        <f>+Continental!A43</f>
        <v>37081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1">
        <f>SUM(B41:B47)</f>
        <v>-1682073.03</v>
      </c>
      <c r="C48" s="396">
        <f>SUM(C41:C47)</f>
        <v>-631465.97109284881</v>
      </c>
      <c r="D48" s="415"/>
    </row>
    <row r="49" spans="1:5" ht="18" customHeight="1" x14ac:dyDescent="0.2">
      <c r="B49" s="394"/>
      <c r="C49" s="395"/>
    </row>
    <row r="50" spans="1:5" ht="18" customHeight="1" thickBot="1" x14ac:dyDescent="0.25">
      <c r="A50" s="34" t="s">
        <v>100</v>
      </c>
      <c r="B50" s="386">
        <f>+B48+B37</f>
        <v>6597375.2800000012</v>
      </c>
      <c r="C50" s="387">
        <f>+C48+C37</f>
        <v>2497771.7319123745</v>
      </c>
    </row>
    <row r="51" spans="1:5" ht="18" customHeight="1" thickTop="1" x14ac:dyDescent="0.2"/>
    <row r="52" spans="1:5" x14ac:dyDescent="0.2">
      <c r="A52" s="34" t="s">
        <v>101</v>
      </c>
      <c r="C52" s="341"/>
    </row>
    <row r="58" spans="1:5" x14ac:dyDescent="0.2">
      <c r="C58" s="259"/>
      <c r="E58" s="339"/>
    </row>
    <row r="65" spans="2:5" x14ac:dyDescent="0.2">
      <c r="B65" s="310"/>
      <c r="C65" s="331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416"/>
    </row>
    <row r="70" spans="2:5" x14ac:dyDescent="0.2">
      <c r="B70" s="259"/>
      <c r="C70" s="341"/>
    </row>
    <row r="71" spans="2:5" x14ac:dyDescent="0.2">
      <c r="B71" s="259"/>
      <c r="C71" s="341"/>
      <c r="D71" s="417"/>
      <c r="E71" s="342"/>
    </row>
    <row r="72" spans="2:5" x14ac:dyDescent="0.2">
      <c r="B72" s="259"/>
      <c r="C72" s="341"/>
      <c r="D72" s="418"/>
    </row>
    <row r="73" spans="2:5" x14ac:dyDescent="0.2">
      <c r="B73" s="259"/>
      <c r="C73" s="341"/>
      <c r="D73" s="418"/>
    </row>
    <row r="74" spans="2:5" x14ac:dyDescent="0.2">
      <c r="B74" s="259"/>
      <c r="C74" s="341"/>
      <c r="D74" s="419"/>
    </row>
    <row r="75" spans="2:5" x14ac:dyDescent="0.2">
      <c r="B75" s="259"/>
      <c r="C75" s="341"/>
      <c r="D75" s="420"/>
    </row>
    <row r="76" spans="2:5" x14ac:dyDescent="0.2">
      <c r="B76" s="338"/>
    </row>
    <row r="77" spans="2:5" x14ac:dyDescent="0.2">
      <c r="B77" s="338"/>
      <c r="D77" s="416"/>
    </row>
    <row r="78" spans="2:5" x14ac:dyDescent="0.2">
      <c r="B78" s="337"/>
      <c r="C78" s="259"/>
    </row>
    <row r="79" spans="2:5" x14ac:dyDescent="0.2">
      <c r="B79" s="337"/>
      <c r="C79" s="259"/>
    </row>
    <row r="80" spans="2:5" x14ac:dyDescent="0.2">
      <c r="B80" s="338"/>
      <c r="C80" s="259"/>
      <c r="D80" s="416"/>
    </row>
    <row r="81" spans="2:4" x14ac:dyDescent="0.2">
      <c r="B81" s="338"/>
      <c r="D81" s="416"/>
    </row>
    <row r="82" spans="2:4" x14ac:dyDescent="0.2">
      <c r="B82" s="338"/>
    </row>
    <row r="83" spans="2:4" x14ac:dyDescent="0.2">
      <c r="B83" s="310"/>
      <c r="C83" s="31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69">
        <v>-70458</v>
      </c>
      <c r="C6" s="80"/>
      <c r="D6" s="80">
        <f t="shared" ref="D6:D14" si="0">+C6-B6</f>
        <v>70458</v>
      </c>
    </row>
    <row r="7" spans="1:8" x14ac:dyDescent="0.2">
      <c r="A7" s="32">
        <v>3531</v>
      </c>
      <c r="B7" s="336"/>
      <c r="C7" s="80"/>
      <c r="D7" s="80">
        <f t="shared" si="0"/>
        <v>0</v>
      </c>
    </row>
    <row r="8" spans="1:8" x14ac:dyDescent="0.2">
      <c r="A8" s="32">
        <v>60667</v>
      </c>
      <c r="B8" s="442">
        <v>-395874</v>
      </c>
      <c r="C8" s="80"/>
      <c r="D8" s="80">
        <f t="shared" si="0"/>
        <v>395874</v>
      </c>
      <c r="H8" s="255"/>
    </row>
    <row r="9" spans="1:8" x14ac:dyDescent="0.2">
      <c r="A9" s="32">
        <v>60749</v>
      </c>
      <c r="B9" s="442">
        <v>696035</v>
      </c>
      <c r="C9" s="80">
        <v>231821</v>
      </c>
      <c r="D9" s="80">
        <f t="shared" si="0"/>
        <v>-464214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6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6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2118</v>
      </c>
    </row>
    <row r="19" spans="1:5" x14ac:dyDescent="0.2">
      <c r="A19" s="32" t="s">
        <v>86</v>
      </c>
      <c r="B19" s="69"/>
      <c r="C19" s="69"/>
      <c r="D19" s="73">
        <f>+summary!P11</f>
        <v>2.74</v>
      </c>
    </row>
    <row r="20" spans="1:5" x14ac:dyDescent="0.2">
      <c r="B20" s="69"/>
      <c r="C20" s="69"/>
      <c r="D20" s="75">
        <f>+D19*D18</f>
        <v>5803.3200000000006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00">
        <v>1010525.98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37082</v>
      </c>
      <c r="B24" s="69"/>
      <c r="C24" s="69"/>
      <c r="D24" s="377">
        <f>+D22+D20</f>
        <v>1016329.2999999999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08">
        <v>-24245</v>
      </c>
      <c r="C5" s="90">
        <v>-16077</v>
      </c>
      <c r="D5" s="90">
        <f t="shared" ref="D5:D13" si="0">+C5-B5</f>
        <v>8168</v>
      </c>
      <c r="E5" s="69"/>
      <c r="F5" s="70"/>
    </row>
    <row r="6" spans="1:13" x14ac:dyDescent="0.2">
      <c r="A6" s="87">
        <v>9238</v>
      </c>
      <c r="B6" s="330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08">
        <v>-1066163</v>
      </c>
      <c r="C7" s="90">
        <v>-1093157</v>
      </c>
      <c r="D7" s="90">
        <f t="shared" si="0"/>
        <v>-26994</v>
      </c>
      <c r="E7" s="287"/>
      <c r="F7" s="70"/>
    </row>
    <row r="8" spans="1:13" x14ac:dyDescent="0.2">
      <c r="A8" s="87">
        <v>58710</v>
      </c>
      <c r="B8" s="408">
        <v>-17913</v>
      </c>
      <c r="C8" s="90">
        <v>-588</v>
      </c>
      <c r="D8" s="90">
        <f t="shared" si="0"/>
        <v>17325</v>
      </c>
      <c r="E8" s="287"/>
      <c r="F8" s="70"/>
    </row>
    <row r="9" spans="1:13" x14ac:dyDescent="0.2">
      <c r="A9" s="87">
        <v>60921</v>
      </c>
      <c r="B9" s="421">
        <v>792735</v>
      </c>
      <c r="C9" s="90">
        <v>741764</v>
      </c>
      <c r="D9" s="90">
        <f t="shared" si="0"/>
        <v>-50971</v>
      </c>
      <c r="E9" s="287"/>
      <c r="F9" s="70"/>
    </row>
    <row r="10" spans="1:13" x14ac:dyDescent="0.2">
      <c r="A10" s="87">
        <v>78026</v>
      </c>
      <c r="B10" s="408">
        <v>8690</v>
      </c>
      <c r="C10" s="90">
        <v>19248</v>
      </c>
      <c r="D10" s="90">
        <f t="shared" si="0"/>
        <v>10558</v>
      </c>
      <c r="E10" s="287"/>
      <c r="F10" s="285"/>
    </row>
    <row r="11" spans="1:13" x14ac:dyDescent="0.2">
      <c r="A11" s="87">
        <v>500084</v>
      </c>
      <c r="B11" s="408">
        <v>-2442</v>
      </c>
      <c r="C11" s="90">
        <v>-10000</v>
      </c>
      <c r="D11" s="90">
        <f t="shared" si="0"/>
        <v>-7558</v>
      </c>
      <c r="E11" s="288"/>
      <c r="F11" s="285"/>
    </row>
    <row r="12" spans="1:13" x14ac:dyDescent="0.2">
      <c r="A12" s="354">
        <v>500085</v>
      </c>
      <c r="B12" s="408">
        <v>-1</v>
      </c>
      <c r="C12" s="90"/>
      <c r="D12" s="90">
        <f t="shared" si="0"/>
        <v>1</v>
      </c>
      <c r="E12" s="287"/>
      <c r="F12" s="285"/>
    </row>
    <row r="13" spans="1:13" x14ac:dyDescent="0.2">
      <c r="A13" s="87">
        <v>500097</v>
      </c>
      <c r="B13" s="357">
        <v>-512</v>
      </c>
      <c r="C13" s="90"/>
      <c r="D13" s="90">
        <f t="shared" si="0"/>
        <v>512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-48959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2.74</v>
      </c>
      <c r="E18" s="289"/>
      <c r="F18" s="285"/>
    </row>
    <row r="19" spans="1:7" x14ac:dyDescent="0.2">
      <c r="A19" s="87"/>
      <c r="B19" s="88"/>
      <c r="C19" s="88"/>
      <c r="D19" s="96">
        <f>+D18*D17</f>
        <v>-134147.66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437">
        <v>692868.31</v>
      </c>
      <c r="E21" s="209"/>
      <c r="F21" s="66"/>
    </row>
    <row r="22" spans="1:7" x14ac:dyDescent="0.2">
      <c r="A22" s="87"/>
      <c r="B22" s="88"/>
      <c r="C22" s="88"/>
      <c r="D22" s="335"/>
      <c r="E22" s="209"/>
      <c r="F22" s="66"/>
    </row>
    <row r="23" spans="1:7" ht="13.5" thickBot="1" x14ac:dyDescent="0.25">
      <c r="A23" s="99">
        <v>37082</v>
      </c>
      <c r="B23" s="88"/>
      <c r="C23" s="88"/>
      <c r="D23" s="355">
        <f>+D21+D19</f>
        <v>558720.65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4"/>
      <c r="E36" s="69"/>
      <c r="F36" s="70"/>
      <c r="G36" s="32"/>
    </row>
    <row r="37" spans="1:7" x14ac:dyDescent="0.2">
      <c r="B37" s="69"/>
      <c r="C37" s="69"/>
      <c r="D37" s="314"/>
      <c r="E37" s="69"/>
      <c r="F37" s="70"/>
      <c r="G37" s="32"/>
    </row>
    <row r="38" spans="1:7" x14ac:dyDescent="0.2">
      <c r="B38" s="69"/>
      <c r="C38" s="69"/>
      <c r="D38" s="314"/>
      <c r="E38" s="69"/>
      <c r="F38" s="70"/>
      <c r="G38" s="32"/>
    </row>
    <row r="39" spans="1:7" x14ac:dyDescent="0.2">
      <c r="B39" s="69"/>
      <c r="C39" s="69"/>
      <c r="D39" s="314"/>
      <c r="E39" s="69"/>
      <c r="F39" s="70"/>
      <c r="G39" s="32"/>
    </row>
    <row r="40" spans="1:7" x14ac:dyDescent="0.2">
      <c r="B40" s="69"/>
      <c r="C40" s="69"/>
      <c r="D40" s="314"/>
      <c r="E40" s="69"/>
      <c r="F40" s="70"/>
      <c r="G40" s="32"/>
    </row>
    <row r="41" spans="1:7" x14ac:dyDescent="0.2">
      <c r="B41" s="69"/>
      <c r="C41" s="69"/>
      <c r="D41" s="314"/>
      <c r="E41" s="69"/>
      <c r="F41" s="70"/>
      <c r="G41" s="32"/>
    </row>
    <row r="42" spans="1:7" x14ac:dyDescent="0.2">
      <c r="B42" s="69"/>
      <c r="C42" s="69"/>
      <c r="D42" s="314"/>
      <c r="E42" s="69"/>
      <c r="F42" s="70"/>
      <c r="G42" s="32"/>
    </row>
    <row r="43" spans="1:7" x14ac:dyDescent="0.2">
      <c r="B43" s="69"/>
      <c r="C43" s="69"/>
      <c r="D43" s="314"/>
      <c r="E43" s="69"/>
      <c r="F43" s="70"/>
      <c r="G43" s="32"/>
    </row>
    <row r="44" spans="1:7" x14ac:dyDescent="0.2">
      <c r="B44" s="69"/>
      <c r="C44" s="69"/>
      <c r="D44" s="315"/>
      <c r="E44" s="287"/>
      <c r="F44" s="285"/>
      <c r="G44" s="206"/>
    </row>
    <row r="45" spans="1:7" x14ac:dyDescent="0.2">
      <c r="B45" s="69"/>
      <c r="C45" s="69"/>
      <c r="D45" s="315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1"/>
      <c r="D50" s="311"/>
      <c r="E50" s="311"/>
      <c r="F50" s="312"/>
      <c r="G50" s="313"/>
    </row>
    <row r="51" spans="1:7" x14ac:dyDescent="0.2">
      <c r="A51" s="32"/>
      <c r="C51" s="311"/>
      <c r="D51" s="311"/>
      <c r="E51" s="311"/>
      <c r="F51" s="312"/>
    </row>
    <row r="52" spans="1:7" x14ac:dyDescent="0.2">
      <c r="A52" s="32"/>
      <c r="C52" s="311"/>
      <c r="D52" s="311"/>
      <c r="E52" s="311"/>
      <c r="F52" s="312"/>
    </row>
    <row r="53" spans="1:7" x14ac:dyDescent="0.2">
      <c r="A53" s="32"/>
      <c r="C53" s="311"/>
      <c r="D53" s="311"/>
      <c r="E53" s="311"/>
      <c r="F53" s="312"/>
    </row>
    <row r="54" spans="1:7" x14ac:dyDescent="0.2">
      <c r="A54" s="32"/>
      <c r="C54" s="311"/>
      <c r="D54" s="311"/>
      <c r="E54" s="311"/>
      <c r="F54" s="312"/>
    </row>
    <row r="55" spans="1:7" x14ac:dyDescent="0.2">
      <c r="A55" s="32"/>
      <c r="C55" s="311"/>
      <c r="D55" s="311"/>
      <c r="E55" s="290"/>
      <c r="F55" s="290"/>
    </row>
    <row r="56" spans="1:7" x14ac:dyDescent="0.2">
      <c r="C56" s="311"/>
      <c r="D56" s="311"/>
      <c r="E56" s="290"/>
      <c r="F56" s="290"/>
    </row>
    <row r="57" spans="1:7" x14ac:dyDescent="0.2">
      <c r="C57" s="311"/>
      <c r="D57" s="311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29" sqref="B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/>
      <c r="E9" s="90"/>
      <c r="F9" s="90">
        <f t="shared" si="0"/>
        <v>-4787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2"/>
      <c r="C20" s="372"/>
      <c r="D20" s="14"/>
      <c r="E20" s="14"/>
      <c r="F20" s="90">
        <f t="shared" si="0"/>
        <v>0</v>
      </c>
    </row>
    <row r="21" spans="1:6" x14ac:dyDescent="0.2">
      <c r="A21">
        <v>19</v>
      </c>
      <c r="B21" s="372"/>
      <c r="C21" s="372"/>
      <c r="D21" s="14"/>
      <c r="E21" s="14"/>
      <c r="F21" s="90">
        <f t="shared" si="0"/>
        <v>0</v>
      </c>
    </row>
    <row r="22" spans="1:6" x14ac:dyDescent="0.2">
      <c r="A22">
        <v>20</v>
      </c>
      <c r="B22" s="372"/>
      <c r="C22" s="372"/>
      <c r="D22" s="14"/>
      <c r="E22" s="14"/>
      <c r="F22" s="90">
        <f t="shared" si="0"/>
        <v>0</v>
      </c>
    </row>
    <row r="23" spans="1:6" x14ac:dyDescent="0.2">
      <c r="A23">
        <v>21</v>
      </c>
      <c r="B23" s="372"/>
      <c r="C23" s="372"/>
      <c r="D23" s="14"/>
      <c r="E23" s="14"/>
      <c r="F23" s="90">
        <f t="shared" si="0"/>
        <v>0</v>
      </c>
    </row>
    <row r="24" spans="1:6" x14ac:dyDescent="0.2">
      <c r="A24">
        <v>22</v>
      </c>
      <c r="B24" s="372"/>
      <c r="C24" s="372"/>
      <c r="D24" s="14"/>
      <c r="E24" s="14"/>
      <c r="F24" s="90">
        <f t="shared" si="0"/>
        <v>0</v>
      </c>
    </row>
    <row r="25" spans="1:6" x14ac:dyDescent="0.2">
      <c r="A25">
        <v>23</v>
      </c>
      <c r="B25" s="372"/>
      <c r="C25" s="372"/>
      <c r="D25" s="14"/>
      <c r="E25" s="14"/>
      <c r="F25" s="90">
        <f t="shared" si="0"/>
        <v>0</v>
      </c>
    </row>
    <row r="26" spans="1:6" x14ac:dyDescent="0.2">
      <c r="A26">
        <v>24</v>
      </c>
      <c r="B26" s="372"/>
      <c r="C26" s="372"/>
      <c r="D26" s="14"/>
      <c r="E26" s="14"/>
      <c r="F26" s="90">
        <f t="shared" si="0"/>
        <v>0</v>
      </c>
    </row>
    <row r="27" spans="1:6" x14ac:dyDescent="0.2">
      <c r="A27">
        <v>25</v>
      </c>
      <c r="B27" s="372"/>
      <c r="C27" s="372"/>
      <c r="D27" s="14"/>
      <c r="E27" s="14"/>
      <c r="F27" s="90">
        <f t="shared" si="0"/>
        <v>0</v>
      </c>
    </row>
    <row r="28" spans="1:6" x14ac:dyDescent="0.2">
      <c r="A28">
        <v>26</v>
      </c>
      <c r="B28" s="372"/>
      <c r="C28" s="372"/>
      <c r="D28" s="14"/>
      <c r="E28" s="14"/>
      <c r="F28" s="90">
        <f t="shared" si="0"/>
        <v>0</v>
      </c>
    </row>
    <row r="29" spans="1:6" x14ac:dyDescent="0.2">
      <c r="A29">
        <v>27</v>
      </c>
      <c r="B29" s="372"/>
      <c r="C29" s="372"/>
      <c r="D29" s="14"/>
      <c r="E29" s="14"/>
      <c r="F29" s="90">
        <f t="shared" si="0"/>
        <v>0</v>
      </c>
    </row>
    <row r="30" spans="1:6" x14ac:dyDescent="0.2">
      <c r="A30">
        <v>28</v>
      </c>
      <c r="B30" s="372"/>
      <c r="C30" s="372"/>
      <c r="D30" s="14"/>
      <c r="E30" s="14"/>
      <c r="F30" s="90">
        <f t="shared" si="0"/>
        <v>0</v>
      </c>
    </row>
    <row r="31" spans="1:6" x14ac:dyDescent="0.2">
      <c r="A31">
        <v>29</v>
      </c>
      <c r="B31" s="372"/>
      <c r="C31" s="372"/>
      <c r="D31" s="14"/>
      <c r="E31" s="14"/>
      <c r="F31" s="90">
        <f t="shared" si="0"/>
        <v>0</v>
      </c>
    </row>
    <row r="32" spans="1:6" x14ac:dyDescent="0.2">
      <c r="A32">
        <v>30</v>
      </c>
      <c r="B32" s="372"/>
      <c r="C32" s="372"/>
      <c r="D32" s="14"/>
      <c r="E32" s="14"/>
      <c r="F32" s="90">
        <f t="shared" si="0"/>
        <v>0</v>
      </c>
    </row>
    <row r="33" spans="1:6" x14ac:dyDescent="0.2">
      <c r="A33">
        <v>31</v>
      </c>
      <c r="B33" s="372"/>
      <c r="C33" s="372"/>
      <c r="D33" s="14"/>
      <c r="E33" s="14"/>
      <c r="F33" s="90">
        <f t="shared" si="0"/>
        <v>0</v>
      </c>
    </row>
    <row r="34" spans="1:6" x14ac:dyDescent="0.2">
      <c r="B34" s="299">
        <f>SUM(B3:B33)</f>
        <v>509852</v>
      </c>
      <c r="C34" s="299">
        <f>SUM(C3:C33)</f>
        <v>477899</v>
      </c>
      <c r="D34" s="14">
        <f>SUM(D3:D33)</f>
        <v>0</v>
      </c>
      <c r="E34" s="14">
        <f>SUM(E3:E33)</f>
        <v>0</v>
      </c>
      <c r="F34" s="14">
        <f>SUM(F3:F33)</f>
        <v>-31953</v>
      </c>
    </row>
    <row r="35" spans="1:6" x14ac:dyDescent="0.2">
      <c r="D35" s="14"/>
      <c r="E35" s="14"/>
      <c r="F35" s="14"/>
    </row>
    <row r="36" spans="1:6" x14ac:dyDescent="0.2">
      <c r="F36" s="376"/>
    </row>
    <row r="37" spans="1:6" x14ac:dyDescent="0.2">
      <c r="A37" s="264">
        <v>37072</v>
      </c>
      <c r="B37" s="14"/>
      <c r="C37" s="14"/>
      <c r="D37" s="14"/>
      <c r="E37" s="14"/>
      <c r="F37" s="431">
        <f>72277+120061</f>
        <v>192338</v>
      </c>
    </row>
    <row r="38" spans="1:6" x14ac:dyDescent="0.2">
      <c r="A38" s="264">
        <v>37082</v>
      </c>
      <c r="B38" s="14"/>
      <c r="C38" s="14"/>
      <c r="D38" s="14"/>
      <c r="E38" s="14"/>
      <c r="F38" s="150">
        <f>+F37+F34</f>
        <v>160385</v>
      </c>
    </row>
    <row r="39" spans="1:6" x14ac:dyDescent="0.2">
      <c r="F39" s="313"/>
    </row>
    <row r="40" spans="1:6" x14ac:dyDescent="0.2">
      <c r="F40" s="313"/>
    </row>
    <row r="41" spans="1:6" x14ac:dyDescent="0.2">
      <c r="F41" s="313"/>
    </row>
    <row r="42" spans="1:6" x14ac:dyDescent="0.2">
      <c r="F42" s="313"/>
    </row>
    <row r="43" spans="1:6" x14ac:dyDescent="0.2">
      <c r="F43" s="313"/>
    </row>
    <row r="44" spans="1:6" x14ac:dyDescent="0.2">
      <c r="F44" s="313"/>
    </row>
    <row r="45" spans="1:6" x14ac:dyDescent="0.2">
      <c r="F45" s="313"/>
    </row>
    <row r="46" spans="1:6" x14ac:dyDescent="0.2">
      <c r="F46" s="313"/>
    </row>
    <row r="47" spans="1:6" x14ac:dyDescent="0.2">
      <c r="F47" s="313"/>
    </row>
    <row r="48" spans="1:6" x14ac:dyDescent="0.2">
      <c r="F48" s="31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1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-368114</v>
      </c>
      <c r="C35" s="11">
        <f>SUM(C4:C34)</f>
        <v>-374625</v>
      </c>
      <c r="D35" s="11">
        <f>SUM(D4:D34)</f>
        <v>-6511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51">
        <v>13497</v>
      </c>
    </row>
    <row r="39" spans="1:4" x14ac:dyDescent="0.2">
      <c r="A39" s="2"/>
      <c r="D39" s="24"/>
    </row>
    <row r="40" spans="1:4" x14ac:dyDescent="0.2">
      <c r="A40" s="57">
        <v>37081</v>
      </c>
      <c r="D40" s="51">
        <f>+D38+D35</f>
        <v>6986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08">
        <v>9822</v>
      </c>
      <c r="E8" s="11">
        <v>8500</v>
      </c>
      <c r="F8" s="11"/>
      <c r="G8" s="11"/>
      <c r="H8" s="11"/>
      <c r="I8" s="11"/>
      <c r="J8" s="11">
        <f t="shared" si="0"/>
        <v>-3430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>
        <v>24971</v>
      </c>
      <c r="C10" s="11">
        <v>28000</v>
      </c>
      <c r="D10" s="108">
        <v>9393</v>
      </c>
      <c r="E10" s="11">
        <v>9000</v>
      </c>
      <c r="F10" s="11"/>
      <c r="G10" s="11"/>
      <c r="H10" s="11"/>
      <c r="I10" s="11"/>
      <c r="J10" s="11">
        <f t="shared" si="0"/>
        <v>2636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230386</v>
      </c>
      <c r="C35" s="11">
        <f t="shared" ref="C35:I35" si="1">SUM(C4:C34)</f>
        <v>235299</v>
      </c>
      <c r="D35" s="11">
        <f t="shared" si="1"/>
        <v>88077</v>
      </c>
      <c r="E35" s="11">
        <f t="shared" si="1"/>
        <v>88000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0</v>
      </c>
      <c r="J35" s="11">
        <f>SUM(J4:J34)</f>
        <v>-5612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2.74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-15376.880000000001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433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58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37082</v>
      </c>
      <c r="J41" s="358">
        <f>+J39+J37</f>
        <v>318670.11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E51" sqref="E5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-80891</v>
      </c>
      <c r="E15" s="24">
        <v>-83278</v>
      </c>
      <c r="F15" s="24">
        <f t="shared" si="0"/>
        <v>-2387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-518321</v>
      </c>
      <c r="E37" s="24">
        <f>SUM(E6:E36)</f>
        <v>-524087</v>
      </c>
      <c r="F37" s="24">
        <f>SUM(F6:F36)</f>
        <v>-5766</v>
      </c>
      <c r="G37" s="362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2.74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-15798.840000000002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32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37082</v>
      </c>
      <c r="E41" s="14"/>
      <c r="F41" s="104">
        <f>+F40+F39</f>
        <v>539654.25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F42" sqref="F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3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205</v>
      </c>
      <c r="E39" s="11">
        <f>SUM(E8:E38)</f>
        <v>0</v>
      </c>
      <c r="F39" s="25">
        <f>SUM(F8:F38)</f>
        <v>-205</v>
      </c>
    </row>
    <row r="40" spans="1:6" x14ac:dyDescent="0.2">
      <c r="A40" s="26"/>
      <c r="C40" s="14"/>
      <c r="F40" s="261">
        <f>+summary!P11</f>
        <v>2.74</v>
      </c>
    </row>
    <row r="41" spans="1:6" x14ac:dyDescent="0.2">
      <c r="F41" s="138">
        <f>+F40*F39</f>
        <v>-561.70000000000005</v>
      </c>
    </row>
    <row r="42" spans="1:6" x14ac:dyDescent="0.2">
      <c r="A42" s="57">
        <v>37072</v>
      </c>
      <c r="C42" s="15"/>
      <c r="F42" s="430">
        <v>-13969.77</v>
      </c>
    </row>
    <row r="43" spans="1:6" x14ac:dyDescent="0.2">
      <c r="A43" s="57">
        <v>37081</v>
      </c>
      <c r="C43" s="48"/>
      <c r="F43" s="138">
        <f>+F42+F41</f>
        <v>-14531.470000000001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2.74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430">
        <v>326755</v>
      </c>
    </row>
    <row r="43" spans="1:4" x14ac:dyDescent="0.2">
      <c r="A43" s="57">
        <v>37082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7" workbookViewId="3">
      <selection activeCell="D40" sqref="D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-591137</v>
      </c>
      <c r="C37" s="11">
        <f>SUM(C6:C36)</f>
        <v>-480818</v>
      </c>
      <c r="D37" s="25">
        <f>SUM(D6:D36)</f>
        <v>110319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302274.06</v>
      </c>
    </row>
    <row r="40" spans="1:4" x14ac:dyDescent="0.2">
      <c r="A40" s="57">
        <v>37072</v>
      </c>
      <c r="C40" s="15"/>
      <c r="D40" s="430">
        <v>-372693.65</v>
      </c>
    </row>
    <row r="41" spans="1:4" x14ac:dyDescent="0.2">
      <c r="A41" s="57">
        <v>37081</v>
      </c>
      <c r="C41" s="48"/>
      <c r="D41" s="138">
        <f>+D40+D39</f>
        <v>-70419.590000000026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D40" sqref="D40"/>
    </sheetView>
  </sheetViews>
  <sheetFormatPr defaultRowHeight="12.75" x14ac:dyDescent="0.2"/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41644</v>
      </c>
      <c r="C10" s="11">
        <v>40500</v>
      </c>
      <c r="D10" s="25">
        <f t="shared" si="0"/>
        <v>-1144</v>
      </c>
    </row>
    <row r="11" spans="1:4" x14ac:dyDescent="0.2">
      <c r="A11" s="10">
        <v>6</v>
      </c>
      <c r="B11" s="11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1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41965</v>
      </c>
      <c r="C13" s="11">
        <v>40000</v>
      </c>
      <c r="D13" s="25">
        <f t="shared" si="0"/>
        <v>-1965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385779</v>
      </c>
      <c r="C37" s="11">
        <f>SUM(C6:C36)</f>
        <v>363867</v>
      </c>
      <c r="D37" s="25">
        <f>SUM(D6:D36)</f>
        <v>-21912</v>
      </c>
    </row>
    <row r="38" spans="1:4" x14ac:dyDescent="0.2">
      <c r="A38" s="26"/>
      <c r="C38" s="14"/>
      <c r="D38" s="370">
        <f>+summary!P12</f>
        <v>2.92</v>
      </c>
    </row>
    <row r="39" spans="1:4" x14ac:dyDescent="0.2">
      <c r="D39" s="138">
        <f>+D38*D37</f>
        <v>-63983.040000000001</v>
      </c>
    </row>
    <row r="40" spans="1:4" x14ac:dyDescent="0.2">
      <c r="A40" s="57">
        <v>37072</v>
      </c>
      <c r="C40" s="15"/>
      <c r="D40" s="430">
        <v>-47511.02</v>
      </c>
    </row>
    <row r="41" spans="1:4" x14ac:dyDescent="0.2">
      <c r="A41" s="57">
        <v>37081</v>
      </c>
      <c r="C41" s="48"/>
      <c r="D41" s="138">
        <f>+D40+D39</f>
        <v>-111494.06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workbookViewId="1">
      <selection activeCell="J15" sqref="J15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80456</v>
      </c>
      <c r="I11" s="11">
        <v>78910</v>
      </c>
      <c r="J11" s="11">
        <f t="shared" si="0"/>
        <v>11328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08">
        <v>79960</v>
      </c>
      <c r="G13" s="11">
        <v>84690</v>
      </c>
      <c r="H13" s="129">
        <v>33661</v>
      </c>
      <c r="I13" s="11">
        <v>37593</v>
      </c>
      <c r="J13" s="11">
        <f t="shared" si="0"/>
        <v>6525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288105</v>
      </c>
      <c r="C14" s="11">
        <v>285000</v>
      </c>
      <c r="D14" s="11">
        <v>116130</v>
      </c>
      <c r="E14" s="11">
        <v>114192</v>
      </c>
      <c r="F14" s="11">
        <v>77152</v>
      </c>
      <c r="G14" s="11">
        <v>82179</v>
      </c>
      <c r="H14" s="11">
        <v>97419</v>
      </c>
      <c r="I14" s="11">
        <v>89000</v>
      </c>
      <c r="J14" s="11">
        <f t="shared" si="0"/>
        <v>-8435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3512730</v>
      </c>
      <c r="C35" s="11">
        <f t="shared" ref="C35:I35" si="1">SUM(C4:C34)</f>
        <v>3537430</v>
      </c>
      <c r="D35" s="11">
        <f t="shared" si="1"/>
        <v>754866</v>
      </c>
      <c r="E35" s="11">
        <f t="shared" si="1"/>
        <v>667654</v>
      </c>
      <c r="F35" s="11">
        <f t="shared" si="1"/>
        <v>863865</v>
      </c>
      <c r="G35" s="11">
        <f t="shared" si="1"/>
        <v>969646</v>
      </c>
      <c r="H35" s="11">
        <f t="shared" si="1"/>
        <v>896433</v>
      </c>
      <c r="I35" s="11">
        <f t="shared" si="1"/>
        <v>859830</v>
      </c>
      <c r="J35" s="11">
        <f>SUM(J4:J34)</f>
        <v>6666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427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37083</v>
      </c>
      <c r="J40" s="51">
        <f>+J38+J35</f>
        <v>292997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D41" sqref="D41"/>
    </sheetView>
  </sheetViews>
  <sheetFormatPr defaultRowHeight="12.75" x14ac:dyDescent="0.2"/>
  <sheetData>
    <row r="3" spans="1:4" ht="15" x14ac:dyDescent="0.25">
      <c r="A3" s="134"/>
      <c r="B3" s="34" t="s">
        <v>144</v>
      </c>
    </row>
    <row r="4" spans="1:4" x14ac:dyDescent="0.2">
      <c r="A4" s="3"/>
      <c r="B4" s="59" t="s">
        <v>145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628205</v>
      </c>
      <c r="C37" s="11">
        <f>SUM(C6:C36)</f>
        <v>649009</v>
      </c>
      <c r="D37" s="25">
        <f>SUM(D6:D36)</f>
        <v>20804</v>
      </c>
    </row>
    <row r="38" spans="1:4" x14ac:dyDescent="0.2">
      <c r="A38" s="26"/>
      <c r="C38" s="14"/>
      <c r="D38" s="370">
        <f>+summary!P12</f>
        <v>2.92</v>
      </c>
    </row>
    <row r="39" spans="1:4" x14ac:dyDescent="0.2">
      <c r="D39" s="138">
        <f>+D38*D37</f>
        <v>60747.68</v>
      </c>
    </row>
    <row r="40" spans="1:4" x14ac:dyDescent="0.2">
      <c r="A40" s="57">
        <v>37072</v>
      </c>
      <c r="C40" s="15"/>
      <c r="D40" s="430">
        <v>0</v>
      </c>
    </row>
    <row r="41" spans="1:4" x14ac:dyDescent="0.2">
      <c r="A41" s="57">
        <v>37082</v>
      </c>
      <c r="C41" s="48"/>
      <c r="D41" s="138">
        <f>+D40+D39</f>
        <v>60747.68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146</v>
      </c>
      <c r="C3" s="87"/>
      <c r="D3" s="87"/>
      <c r="E3" s="87"/>
    </row>
    <row r="4" spans="1:5" x14ac:dyDescent="0.2">
      <c r="A4" s="3"/>
      <c r="B4" s="373" t="s">
        <v>147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-12526</v>
      </c>
      <c r="C37" s="11">
        <f>SUM(C6:C36)</f>
        <v>-20403</v>
      </c>
      <c r="D37" s="25">
        <f>SUM(D6:D36)</f>
        <v>-7877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-21582.980000000003</v>
      </c>
    </row>
    <row r="40" spans="1:4" x14ac:dyDescent="0.2">
      <c r="A40" s="57">
        <v>37072</v>
      </c>
      <c r="C40" s="15"/>
      <c r="D40" s="430">
        <v>-354102.16</v>
      </c>
    </row>
    <row r="41" spans="1:4" x14ac:dyDescent="0.2">
      <c r="A41" s="57">
        <v>37082</v>
      </c>
      <c r="C41" s="48"/>
      <c r="D41" s="138">
        <f>+D40+D39</f>
        <v>-375685.13999999996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153</v>
      </c>
      <c r="C3" s="87"/>
      <c r="D3" s="87"/>
    </row>
    <row r="4" spans="1:4" x14ac:dyDescent="0.2">
      <c r="A4" s="3"/>
      <c r="B4" s="373" t="s">
        <v>149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70">
        <f>+summary!P11</f>
        <v>2.74</v>
      </c>
    </row>
    <row r="39" spans="1:4" x14ac:dyDescent="0.2">
      <c r="D39" s="138">
        <f>+D38*D37</f>
        <v>0</v>
      </c>
    </row>
    <row r="40" spans="1:4" x14ac:dyDescent="0.2">
      <c r="A40" s="57">
        <v>37072</v>
      </c>
      <c r="C40" s="15"/>
      <c r="D40" s="430">
        <v>-216141.13</v>
      </c>
    </row>
    <row r="41" spans="1:4" x14ac:dyDescent="0.2">
      <c r="A41" s="57">
        <v>37082</v>
      </c>
      <c r="C41" s="48"/>
      <c r="D41" s="138">
        <f>+D40+D39</f>
        <v>-216141.13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67"/>
      <c r="C5" s="90"/>
      <c r="D5" s="90">
        <f>+C5-B5</f>
        <v>0</v>
      </c>
      <c r="E5" s="287"/>
      <c r="F5" s="285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0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0"/>
      <c r="C11" s="90"/>
      <c r="D11" s="380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0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2.74</v>
      </c>
      <c r="E13" s="289"/>
      <c r="F13" s="285"/>
    </row>
    <row r="14" spans="1:13" x14ac:dyDescent="0.2">
      <c r="A14" s="87"/>
      <c r="B14" s="88"/>
      <c r="C14" s="88"/>
      <c r="D14" s="96">
        <f>+D13*D12</f>
        <v>0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437">
        <v>-876805.42</v>
      </c>
      <c r="E16" s="209"/>
      <c r="F16" s="66"/>
    </row>
    <row r="17" spans="1:7" x14ac:dyDescent="0.2">
      <c r="A17" s="87"/>
      <c r="B17" s="88"/>
      <c r="C17" s="88"/>
      <c r="D17" s="335"/>
      <c r="E17" s="209"/>
      <c r="F17" s="66"/>
    </row>
    <row r="18" spans="1:7" ht="13.5" thickBot="1" x14ac:dyDescent="0.25">
      <c r="A18" s="99">
        <v>37072</v>
      </c>
      <c r="B18" s="88"/>
      <c r="C18" s="88"/>
      <c r="D18" s="355">
        <f>+D16+D14</f>
        <v>-876805.42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B15" sqref="B15"/>
    </sheetView>
  </sheetViews>
  <sheetFormatPr defaultRowHeight="12.75" x14ac:dyDescent="0.2"/>
  <sheetData>
    <row r="3" spans="1:4" ht="15" x14ac:dyDescent="0.25">
      <c r="A3" s="134"/>
      <c r="B3" s="34" t="s">
        <v>156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60</v>
      </c>
      <c r="C14" s="11"/>
      <c r="D14" s="25">
        <f t="shared" si="0"/>
        <v>-60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60</v>
      </c>
      <c r="C37" s="11">
        <f>SUM(C6:C36)</f>
        <v>-20000</v>
      </c>
      <c r="D37" s="25">
        <f>SUM(D6:D36)</f>
        <v>-20060</v>
      </c>
    </row>
    <row r="38" spans="1:4" x14ac:dyDescent="0.2">
      <c r="A38" s="26"/>
      <c r="C38" s="14"/>
      <c r="D38" s="403"/>
    </row>
    <row r="39" spans="1:4" x14ac:dyDescent="0.2">
      <c r="D39" s="138"/>
    </row>
    <row r="40" spans="1:4" x14ac:dyDescent="0.2">
      <c r="A40" s="57">
        <v>37072</v>
      </c>
      <c r="C40" s="15"/>
      <c r="D40" s="427">
        <v>95102</v>
      </c>
    </row>
    <row r="41" spans="1:4" x14ac:dyDescent="0.2">
      <c r="A41" s="57">
        <v>37082</v>
      </c>
      <c r="C41" s="48"/>
      <c r="D41" s="25">
        <f>+D40+D37</f>
        <v>75042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40" sqref="B4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147181</v>
      </c>
      <c r="C13" s="11">
        <v>147214</v>
      </c>
      <c r="D13" s="25">
        <f t="shared" si="0"/>
        <v>33</v>
      </c>
    </row>
    <row r="14" spans="1:4" x14ac:dyDescent="0.2">
      <c r="A14" s="10">
        <v>8</v>
      </c>
      <c r="B14" s="11">
        <v>148252</v>
      </c>
      <c r="C14" s="11">
        <v>147214</v>
      </c>
      <c r="D14" s="25">
        <f t="shared" si="0"/>
        <v>-1038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1656881</v>
      </c>
      <c r="C38" s="11">
        <f>SUM(C7:C37)</f>
        <v>1657827</v>
      </c>
      <c r="D38" s="11">
        <f>SUM(D7:D37)</f>
        <v>946</v>
      </c>
    </row>
    <row r="39" spans="1:4" x14ac:dyDescent="0.2">
      <c r="A39" s="26"/>
      <c r="C39" s="14"/>
      <c r="D39" s="106">
        <f>+summary!P10</f>
        <v>2.39</v>
      </c>
    </row>
    <row r="40" spans="1:4" x14ac:dyDescent="0.2">
      <c r="D40" s="138">
        <f>+D39*D38</f>
        <v>2260.94</v>
      </c>
    </row>
    <row r="41" spans="1:4" x14ac:dyDescent="0.2">
      <c r="A41" s="57">
        <v>37072</v>
      </c>
      <c r="C41" s="15"/>
      <c r="D41" s="401">
        <v>4822</v>
      </c>
    </row>
    <row r="42" spans="1:4" x14ac:dyDescent="0.2">
      <c r="A42" s="57">
        <v>37083</v>
      </c>
      <c r="D42" s="358">
        <f>+D41+D40</f>
        <v>7082.9400000000005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20" sqref="B20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-34325</v>
      </c>
      <c r="C9" s="11"/>
      <c r="D9" s="11"/>
      <c r="E9" s="11">
        <v>-45075</v>
      </c>
      <c r="F9" s="11">
        <f t="shared" si="0"/>
        <v>-10750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08">
        <v>-55972</v>
      </c>
      <c r="C11" s="11">
        <v>-40448</v>
      </c>
      <c r="D11" s="108">
        <v>-61162</v>
      </c>
      <c r="E11" s="11">
        <v>-74075</v>
      </c>
      <c r="F11" s="11">
        <f t="shared" si="0"/>
        <v>2611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08">
        <v>-55552</v>
      </c>
      <c r="C13" s="11">
        <v>-36966</v>
      </c>
      <c r="D13" s="108">
        <v>-56667</v>
      </c>
      <c r="E13" s="11">
        <v>-72894</v>
      </c>
      <c r="F13" s="11">
        <f t="shared" si="0"/>
        <v>2359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-476963</v>
      </c>
      <c r="C36" s="44">
        <f>SUM(C5:C35)</f>
        <v>-192616</v>
      </c>
      <c r="D36" s="43">
        <f>SUM(D5:D35)</f>
        <v>-181086</v>
      </c>
      <c r="E36" s="44">
        <f>SUM(E5:E35)</f>
        <v>-463069</v>
      </c>
      <c r="F36" s="11">
        <f>SUM(F5:F35)</f>
        <v>2364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-284347</v>
      </c>
      <c r="D37" s="24"/>
      <c r="E37" s="24">
        <f>+D36-E36</f>
        <v>281983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435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37083</v>
      </c>
      <c r="C42" s="14"/>
      <c r="D42" s="50"/>
      <c r="E42" s="50"/>
      <c r="F42" s="51">
        <f>+F41+F36</f>
        <v>71678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B36" sqref="B3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-1441029</v>
      </c>
      <c r="C35" s="11">
        <f>SUM(C4:C34)</f>
        <v>-1434472</v>
      </c>
      <c r="D35" s="11">
        <f>SUM(D4:D34)</f>
        <v>6557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435">
        <v>-12760</v>
      </c>
    </row>
    <row r="39" spans="1:30" x14ac:dyDescent="0.2">
      <c r="A39" s="12"/>
      <c r="D39" s="24"/>
    </row>
    <row r="40" spans="1:30" x14ac:dyDescent="0.2">
      <c r="A40" s="250">
        <v>37082</v>
      </c>
      <c r="D40" s="24">
        <f>+D38+D35</f>
        <v>-6203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38" sqref="E3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08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-8727290</v>
      </c>
      <c r="C35" s="11">
        <f>SUM(C4:C34)</f>
        <v>-8686185</v>
      </c>
      <c r="D35" s="11">
        <f>SUM(D4:D34)</f>
        <v>-235672</v>
      </c>
      <c r="E35" s="11">
        <f>SUM(E4:E34)</f>
        <v>-230000</v>
      </c>
      <c r="F35" s="11">
        <f>SUM(F4:F34)</f>
        <v>46777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431">
        <v>123192</v>
      </c>
    </row>
    <row r="39" spans="1:45" x14ac:dyDescent="0.2">
      <c r="A39" s="2"/>
      <c r="F39" s="24"/>
    </row>
    <row r="40" spans="1:45" x14ac:dyDescent="0.2">
      <c r="A40" s="57">
        <v>37083</v>
      </c>
      <c r="F40" s="51">
        <f>+F38+F35</f>
        <v>169969</v>
      </c>
    </row>
    <row r="42" spans="1:45" x14ac:dyDescent="0.2"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9"/>
      <c r="AG43" s="318"/>
      <c r="AH43" s="318"/>
      <c r="AI43" s="320"/>
      <c r="AJ43" s="319"/>
      <c r="AK43" s="318"/>
      <c r="AL43" s="318"/>
      <c r="AM43" s="320"/>
      <c r="AN43" s="319"/>
      <c r="AO43" s="318"/>
      <c r="AP43" s="318"/>
      <c r="AQ43" s="318"/>
      <c r="AR43" s="318"/>
      <c r="AS43" s="318"/>
    </row>
    <row r="44" spans="1:45" x14ac:dyDescent="0.2">
      <c r="K44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1"/>
      <c r="AG45" s="321"/>
      <c r="AH45" s="318"/>
      <c r="AI45" s="322"/>
      <c r="AJ45" s="321"/>
      <c r="AK45" s="321"/>
      <c r="AL45" s="318"/>
      <c r="AM45" s="322"/>
      <c r="AN45" s="321"/>
      <c r="AO45" s="321"/>
      <c r="AP45" s="318"/>
      <c r="AQ45" s="318"/>
      <c r="AR45" s="318"/>
      <c r="AS45" s="318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3"/>
      <c r="AG46" s="323"/>
      <c r="AH46" s="324"/>
      <c r="AI46" s="325"/>
      <c r="AJ46" s="323"/>
      <c r="AK46" s="323"/>
      <c r="AL46" s="324"/>
      <c r="AM46" s="325"/>
      <c r="AN46" s="323"/>
      <c r="AO46" s="323"/>
      <c r="AP46" s="324"/>
      <c r="AQ46" s="318"/>
      <c r="AR46" s="318"/>
      <c r="AS46" s="318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3"/>
      <c r="AG47" s="323"/>
      <c r="AH47" s="324"/>
      <c r="AI47" s="325"/>
      <c r="AJ47" s="323"/>
      <c r="AK47" s="323"/>
      <c r="AL47" s="324"/>
      <c r="AM47" s="325"/>
      <c r="AN47" s="323"/>
      <c r="AO47" s="323"/>
      <c r="AP47" s="324"/>
      <c r="AQ47" s="318"/>
      <c r="AR47" s="318"/>
      <c r="AS47" s="318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3"/>
      <c r="AG48" s="323"/>
      <c r="AH48" s="324"/>
      <c r="AI48" s="325"/>
      <c r="AJ48" s="323"/>
      <c r="AK48" s="323"/>
      <c r="AL48" s="324"/>
      <c r="AM48" s="325"/>
      <c r="AN48" s="323"/>
      <c r="AO48" s="323"/>
      <c r="AP48" s="324"/>
      <c r="AQ48" s="318"/>
      <c r="AR48" s="318"/>
      <c r="AS48" s="318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3"/>
      <c r="AG49" s="323"/>
      <c r="AH49" s="324"/>
      <c r="AI49" s="325"/>
      <c r="AJ49" s="323"/>
      <c r="AK49" s="323"/>
      <c r="AL49" s="324"/>
      <c r="AM49" s="325"/>
      <c r="AN49" s="323"/>
      <c r="AO49" s="323"/>
      <c r="AP49" s="324"/>
      <c r="AQ49" s="318"/>
      <c r="AR49" s="318"/>
      <c r="AS49" s="318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3"/>
      <c r="AG50" s="323"/>
      <c r="AH50" s="324"/>
      <c r="AI50" s="325"/>
      <c r="AJ50" s="323"/>
      <c r="AK50" s="323"/>
      <c r="AL50" s="324"/>
      <c r="AM50" s="325"/>
      <c r="AN50" s="323"/>
      <c r="AO50" s="323"/>
      <c r="AP50" s="324"/>
      <c r="AQ50" s="318"/>
      <c r="AR50" s="318"/>
      <c r="AS50" s="318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3"/>
      <c r="AG51" s="323"/>
      <c r="AH51" s="324"/>
      <c r="AI51" s="325"/>
      <c r="AJ51" s="323"/>
      <c r="AK51" s="323"/>
      <c r="AL51" s="324"/>
      <c r="AM51" s="325"/>
      <c r="AN51" s="323"/>
      <c r="AO51" s="323"/>
      <c r="AP51" s="324"/>
      <c r="AQ51" s="318"/>
      <c r="AR51" s="318"/>
      <c r="AS51" s="318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3"/>
      <c r="AG52" s="323"/>
      <c r="AH52" s="324"/>
      <c r="AI52" s="325"/>
      <c r="AJ52" s="323"/>
      <c r="AK52" s="323"/>
      <c r="AL52" s="324"/>
      <c r="AM52" s="325"/>
      <c r="AN52" s="323"/>
      <c r="AO52" s="323"/>
      <c r="AP52" s="324"/>
      <c r="AQ52" s="318"/>
      <c r="AR52" s="318"/>
      <c r="AS52" s="31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3"/>
      <c r="AG53" s="323"/>
      <c r="AH53" s="324"/>
      <c r="AI53" s="325"/>
      <c r="AJ53" s="323"/>
      <c r="AK53" s="323"/>
      <c r="AL53" s="324"/>
      <c r="AM53" s="325"/>
      <c r="AN53" s="323"/>
      <c r="AO53" s="323"/>
      <c r="AP53" s="324"/>
      <c r="AQ53" s="318"/>
      <c r="AR53" s="318"/>
      <c r="AS53" s="31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3"/>
      <c r="AG54" s="323"/>
      <c r="AH54" s="324"/>
      <c r="AI54" s="325"/>
      <c r="AJ54" s="323"/>
      <c r="AK54" s="323"/>
      <c r="AL54" s="324"/>
      <c r="AM54" s="325"/>
      <c r="AN54" s="323"/>
      <c r="AO54" s="323"/>
      <c r="AP54" s="324"/>
      <c r="AQ54" s="318"/>
      <c r="AR54" s="318"/>
      <c r="AS54" s="31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3"/>
      <c r="AG55" s="323"/>
      <c r="AH55" s="324"/>
      <c r="AI55" s="325"/>
      <c r="AJ55" s="323"/>
      <c r="AK55" s="323"/>
      <c r="AL55" s="324"/>
      <c r="AM55" s="325"/>
      <c r="AN55" s="323"/>
      <c r="AO55" s="323"/>
      <c r="AP55" s="324"/>
      <c r="AQ55" s="318"/>
      <c r="AR55" s="318"/>
      <c r="AS55" s="31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3"/>
      <c r="AG56" s="323"/>
      <c r="AH56" s="324"/>
      <c r="AI56" s="325"/>
      <c r="AJ56" s="323"/>
      <c r="AK56" s="323"/>
      <c r="AL56" s="324"/>
      <c r="AM56" s="325"/>
      <c r="AN56" s="323"/>
      <c r="AO56" s="323"/>
      <c r="AP56" s="324"/>
      <c r="AQ56" s="318"/>
      <c r="AR56" s="318"/>
      <c r="AS56" s="31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3"/>
      <c r="AG57" s="323"/>
      <c r="AH57" s="324"/>
      <c r="AI57" s="325"/>
      <c r="AJ57" s="323"/>
      <c r="AK57" s="323"/>
      <c r="AL57" s="324"/>
      <c r="AM57" s="325"/>
      <c r="AN57" s="323"/>
      <c r="AO57" s="323"/>
      <c r="AP57" s="324"/>
      <c r="AQ57" s="318"/>
      <c r="AR57" s="318"/>
      <c r="AS57" s="31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3"/>
      <c r="AG58" s="323"/>
      <c r="AH58" s="324"/>
      <c r="AI58" s="325"/>
      <c r="AJ58" s="323"/>
      <c r="AK58" s="323"/>
      <c r="AL58" s="324"/>
      <c r="AM58" s="325"/>
      <c r="AN58" s="323"/>
      <c r="AO58" s="323"/>
      <c r="AP58" s="324"/>
      <c r="AQ58" s="318"/>
      <c r="AR58" s="318"/>
      <c r="AS58" s="31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3"/>
      <c r="AG59" s="323"/>
      <c r="AH59" s="324"/>
      <c r="AI59" s="325"/>
      <c r="AJ59" s="323"/>
      <c r="AK59" s="323"/>
      <c r="AL59" s="324"/>
      <c r="AM59" s="325"/>
      <c r="AN59" s="323"/>
      <c r="AO59" s="323"/>
      <c r="AP59" s="324"/>
      <c r="AQ59" s="318"/>
      <c r="AR59" s="318"/>
      <c r="AS59" s="31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3"/>
      <c r="AG60" s="323"/>
      <c r="AH60" s="324"/>
      <c r="AI60" s="325"/>
      <c r="AJ60" s="323"/>
      <c r="AK60" s="323"/>
      <c r="AL60" s="324"/>
      <c r="AM60" s="325"/>
      <c r="AN60" s="323"/>
      <c r="AO60" s="323"/>
      <c r="AP60" s="324"/>
      <c r="AQ60" s="318"/>
      <c r="AR60" s="318"/>
      <c r="AS60" s="31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3"/>
      <c r="AG61" s="323"/>
      <c r="AH61" s="324"/>
      <c r="AI61" s="325"/>
      <c r="AJ61" s="323"/>
      <c r="AK61" s="323"/>
      <c r="AL61" s="324"/>
      <c r="AM61" s="325"/>
      <c r="AN61" s="323"/>
      <c r="AO61" s="323"/>
      <c r="AP61" s="324"/>
      <c r="AQ61" s="318"/>
      <c r="AR61" s="318"/>
      <c r="AS61" s="31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3"/>
      <c r="AG62" s="323"/>
      <c r="AH62" s="324"/>
      <c r="AI62" s="325"/>
      <c r="AJ62" s="323"/>
      <c r="AK62" s="323"/>
      <c r="AL62" s="324"/>
      <c r="AM62" s="325"/>
      <c r="AN62" s="323"/>
      <c r="AO62" s="323"/>
      <c r="AP62" s="324"/>
      <c r="AQ62" s="318"/>
      <c r="AR62" s="318"/>
      <c r="AS62" s="31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3"/>
      <c r="AG63" s="323"/>
      <c r="AH63" s="324"/>
      <c r="AI63" s="325"/>
      <c r="AJ63" s="323"/>
      <c r="AK63" s="323"/>
      <c r="AL63" s="324"/>
      <c r="AM63" s="325"/>
      <c r="AN63" s="323"/>
      <c r="AO63" s="323"/>
      <c r="AP63" s="324"/>
      <c r="AQ63" s="318"/>
      <c r="AR63" s="318"/>
      <c r="AS63" s="31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3"/>
      <c r="AG64" s="323"/>
      <c r="AH64" s="324"/>
      <c r="AI64" s="325"/>
      <c r="AJ64" s="323"/>
      <c r="AK64" s="323"/>
      <c r="AL64" s="324"/>
      <c r="AM64" s="325"/>
      <c r="AN64" s="323"/>
      <c r="AO64" s="323"/>
      <c r="AP64" s="324"/>
      <c r="AQ64" s="318"/>
      <c r="AR64" s="318"/>
      <c r="AS64" s="31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3"/>
      <c r="AG65" s="323"/>
      <c r="AH65" s="324"/>
      <c r="AI65" s="325"/>
      <c r="AJ65" s="323"/>
      <c r="AK65" s="323"/>
      <c r="AL65" s="324"/>
      <c r="AM65" s="325"/>
      <c r="AN65" s="323"/>
      <c r="AO65" s="323"/>
      <c r="AP65" s="324"/>
      <c r="AQ65" s="318"/>
      <c r="AR65" s="318"/>
      <c r="AS65" s="31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3"/>
      <c r="AG66" s="323"/>
      <c r="AH66" s="324"/>
      <c r="AI66" s="325"/>
      <c r="AJ66" s="323"/>
      <c r="AK66" s="323"/>
      <c r="AL66" s="324"/>
      <c r="AM66" s="325"/>
      <c r="AN66" s="323"/>
      <c r="AO66" s="323"/>
      <c r="AP66" s="324"/>
      <c r="AQ66" s="318"/>
      <c r="AR66" s="318"/>
      <c r="AS66" s="31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3"/>
      <c r="AG67" s="323"/>
      <c r="AH67" s="324"/>
      <c r="AI67" s="325"/>
      <c r="AJ67" s="323"/>
      <c r="AK67" s="323"/>
      <c r="AL67" s="324"/>
      <c r="AM67" s="325"/>
      <c r="AN67" s="323"/>
      <c r="AO67" s="323"/>
      <c r="AP67" s="324"/>
      <c r="AQ67" s="318"/>
      <c r="AR67" s="318"/>
      <c r="AS67" s="31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3"/>
      <c r="AG68" s="323"/>
      <c r="AH68" s="324"/>
      <c r="AI68" s="325"/>
      <c r="AJ68" s="323"/>
      <c r="AK68" s="323"/>
      <c r="AL68" s="324"/>
      <c r="AM68" s="325"/>
      <c r="AN68" s="323"/>
      <c r="AO68" s="323"/>
      <c r="AP68" s="324"/>
      <c r="AQ68" s="318"/>
      <c r="AR68" s="318"/>
      <c r="AS68" s="31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3"/>
      <c r="AG69" s="323"/>
      <c r="AH69" s="324"/>
      <c r="AI69" s="325"/>
      <c r="AJ69" s="323"/>
      <c r="AK69" s="323"/>
      <c r="AL69" s="324"/>
      <c r="AM69" s="325"/>
      <c r="AN69" s="323"/>
      <c r="AO69" s="323"/>
      <c r="AP69" s="324"/>
      <c r="AQ69" s="318"/>
      <c r="AR69" s="318"/>
      <c r="AS69" s="31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3"/>
      <c r="AG70" s="323"/>
      <c r="AH70" s="324"/>
      <c r="AI70" s="325"/>
      <c r="AJ70" s="323"/>
      <c r="AK70" s="323"/>
      <c r="AL70" s="324"/>
      <c r="AM70" s="325"/>
      <c r="AN70" s="323"/>
      <c r="AO70" s="323"/>
      <c r="AP70" s="324"/>
      <c r="AQ70" s="318"/>
      <c r="AR70" s="318"/>
      <c r="AS70" s="31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3"/>
      <c r="AG71" s="323"/>
      <c r="AH71" s="324"/>
      <c r="AI71" s="325"/>
      <c r="AJ71" s="323"/>
      <c r="AK71" s="323"/>
      <c r="AL71" s="324"/>
      <c r="AM71" s="325"/>
      <c r="AN71" s="323"/>
      <c r="AO71" s="323"/>
      <c r="AP71" s="324"/>
      <c r="AQ71" s="318"/>
      <c r="AR71" s="318"/>
      <c r="AS71" s="31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3"/>
      <c r="AG72" s="323"/>
      <c r="AH72" s="324"/>
      <c r="AI72" s="325"/>
      <c r="AJ72" s="323"/>
      <c r="AK72" s="323"/>
      <c r="AL72" s="324"/>
      <c r="AM72" s="325"/>
      <c r="AN72" s="323"/>
      <c r="AO72" s="323"/>
      <c r="AP72" s="324"/>
      <c r="AQ72" s="318"/>
      <c r="AR72" s="318"/>
      <c r="AS72" s="31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3"/>
      <c r="AG73" s="323"/>
      <c r="AH73" s="324"/>
      <c r="AI73" s="325"/>
      <c r="AJ73" s="323"/>
      <c r="AK73" s="323"/>
      <c r="AL73" s="324"/>
      <c r="AM73" s="325"/>
      <c r="AN73" s="323"/>
      <c r="AO73" s="323"/>
      <c r="AP73" s="324"/>
      <c r="AQ73" s="318"/>
      <c r="AR73" s="318"/>
      <c r="AS73" s="31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3"/>
      <c r="AG74" s="323"/>
      <c r="AH74" s="324"/>
      <c r="AI74" s="325"/>
      <c r="AJ74" s="323"/>
      <c r="AK74" s="323"/>
      <c r="AL74" s="324"/>
      <c r="AM74" s="325"/>
      <c r="AN74" s="323"/>
      <c r="AO74" s="323"/>
      <c r="AP74" s="324"/>
      <c r="AQ74" s="318"/>
      <c r="AR74" s="318"/>
      <c r="AS74" s="31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3"/>
      <c r="AG75" s="323"/>
      <c r="AH75" s="324"/>
      <c r="AI75" s="325"/>
      <c r="AJ75" s="323"/>
      <c r="AK75" s="323"/>
      <c r="AL75" s="324"/>
      <c r="AM75" s="325"/>
      <c r="AN75" s="323"/>
      <c r="AO75" s="323"/>
      <c r="AP75" s="324"/>
      <c r="AQ75" s="318"/>
      <c r="AR75" s="318"/>
      <c r="AS75" s="31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3"/>
      <c r="AG76" s="323"/>
      <c r="AH76" s="324"/>
      <c r="AI76" s="325"/>
      <c r="AJ76" s="323"/>
      <c r="AK76" s="323"/>
      <c r="AL76" s="324"/>
      <c r="AM76" s="325"/>
      <c r="AN76" s="323"/>
      <c r="AO76" s="323"/>
      <c r="AP76" s="324"/>
      <c r="AQ76" s="318"/>
      <c r="AR76" s="318"/>
      <c r="AS76" s="31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3"/>
      <c r="AG77" s="323"/>
      <c r="AH77" s="323"/>
      <c r="AI77" s="325"/>
      <c r="AJ77" s="323"/>
      <c r="AK77" s="323"/>
      <c r="AL77" s="323"/>
      <c r="AM77" s="325"/>
      <c r="AN77" s="323"/>
      <c r="AO77" s="323"/>
      <c r="AP77" s="323"/>
      <c r="AQ77" s="318"/>
      <c r="AR77" s="318"/>
      <c r="AS77" s="31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8"/>
      <c r="AG78" s="324"/>
      <c r="AH78" s="326"/>
      <c r="AI78" s="327"/>
      <c r="AJ78" s="318"/>
      <c r="AK78" s="324"/>
      <c r="AL78" s="326"/>
      <c r="AM78" s="327"/>
      <c r="AN78" s="318"/>
      <c r="AO78" s="324"/>
      <c r="AP78" s="326"/>
      <c r="AQ78" s="318"/>
      <c r="AR78" s="318"/>
      <c r="AS78" s="31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8"/>
      <c r="AG79" s="318"/>
      <c r="AH79" s="328"/>
      <c r="AI79" s="318"/>
      <c r="AJ79" s="318"/>
      <c r="AK79" s="318"/>
      <c r="AL79" s="328"/>
      <c r="AM79" s="318"/>
      <c r="AN79" s="318"/>
      <c r="AO79" s="318"/>
      <c r="AP79" s="328"/>
      <c r="AQ79" s="318"/>
      <c r="AR79" s="318"/>
      <c r="AS79" s="31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8"/>
      <c r="AG80" s="318"/>
      <c r="AH80" s="328"/>
      <c r="AI80" s="329"/>
      <c r="AJ80" s="318"/>
      <c r="AK80" s="318"/>
      <c r="AL80" s="328"/>
      <c r="AM80" s="329"/>
      <c r="AN80" s="318"/>
      <c r="AO80" s="318"/>
      <c r="AP80" s="328"/>
      <c r="AQ80" s="318"/>
      <c r="AR80" s="318"/>
      <c r="AS80" s="31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8"/>
      <c r="AG81" s="318"/>
      <c r="AH81" s="328"/>
      <c r="AI81" s="326"/>
      <c r="AJ81" s="318"/>
      <c r="AK81" s="318"/>
      <c r="AL81" s="328"/>
      <c r="AM81" s="326"/>
      <c r="AN81" s="318"/>
      <c r="AO81" s="318"/>
      <c r="AP81" s="328"/>
      <c r="AQ81" s="318"/>
      <c r="AR81" s="318"/>
      <c r="AS81" s="31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8"/>
      <c r="AG82" s="318"/>
      <c r="AH82" s="328"/>
      <c r="AI82" s="329"/>
      <c r="AJ82" s="318"/>
      <c r="AK82" s="318"/>
      <c r="AL82" s="328"/>
      <c r="AM82" s="329"/>
      <c r="AN82" s="318"/>
      <c r="AO82" s="318"/>
      <c r="AP82" s="328"/>
      <c r="AQ82" s="318"/>
      <c r="AR82" s="318"/>
      <c r="AS82" s="318"/>
    </row>
    <row r="83" spans="4:45" x14ac:dyDescent="0.2">
      <c r="AE83" s="32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</row>
    <row r="84" spans="4:45" x14ac:dyDescent="0.2">
      <c r="AE84" s="32"/>
      <c r="AF84" s="318"/>
      <c r="AG84" s="318"/>
      <c r="AH84" s="318"/>
      <c r="AI84" s="318"/>
      <c r="AJ84" s="318"/>
      <c r="AK84" s="318"/>
      <c r="AL84" s="318"/>
      <c r="AM84" s="318"/>
      <c r="AN84" s="318"/>
      <c r="AO84" s="318"/>
      <c r="AP84" s="318"/>
      <c r="AQ84" s="318"/>
      <c r="AR84" s="318"/>
      <c r="AS84" s="318"/>
    </row>
    <row r="85" spans="4:45" x14ac:dyDescent="0.2">
      <c r="AF85" s="318"/>
      <c r="AG85" s="318"/>
      <c r="AH85" s="318"/>
      <c r="AI85" s="318"/>
      <c r="AJ85" s="318"/>
      <c r="AK85" s="318"/>
      <c r="AL85" s="318"/>
      <c r="AM85" s="318"/>
      <c r="AN85" s="318"/>
      <c r="AO85" s="318"/>
      <c r="AP85" s="318"/>
      <c r="AQ85" s="318"/>
      <c r="AR85" s="318"/>
      <c r="AS85" s="318"/>
    </row>
    <row r="86" spans="4:45" x14ac:dyDescent="0.2">
      <c r="AF86" s="318"/>
      <c r="AG86" s="318"/>
      <c r="AH86" s="318"/>
      <c r="AI86" s="318"/>
      <c r="AJ86" s="318"/>
      <c r="AK86" s="318"/>
      <c r="AL86" s="318"/>
      <c r="AM86" s="318"/>
      <c r="AN86" s="318"/>
      <c r="AO86" s="318"/>
      <c r="AP86" s="318"/>
      <c r="AQ86" s="318"/>
      <c r="AR86" s="318"/>
      <c r="AS86" s="318"/>
    </row>
    <row r="87" spans="4:45" x14ac:dyDescent="0.2">
      <c r="AF87" s="318"/>
      <c r="AG87" s="318"/>
      <c r="AH87" s="318"/>
      <c r="AI87" s="318"/>
      <c r="AJ87" s="318"/>
      <c r="AK87" s="318"/>
      <c r="AL87" s="318"/>
      <c r="AM87" s="318"/>
      <c r="AN87" s="318"/>
      <c r="AO87" s="318"/>
      <c r="AP87" s="318"/>
      <c r="AQ87" s="318"/>
      <c r="AR87" s="318"/>
      <c r="AS87" s="318"/>
    </row>
    <row r="88" spans="4:45" x14ac:dyDescent="0.2">
      <c r="AF88" s="318"/>
      <c r="AG88" s="318"/>
      <c r="AH88" s="318"/>
      <c r="AI88" s="318"/>
      <c r="AJ88" s="318"/>
      <c r="AK88" s="318"/>
      <c r="AL88" s="318"/>
      <c r="AM88" s="318"/>
      <c r="AN88" s="318"/>
      <c r="AO88" s="318"/>
      <c r="AP88" s="318"/>
      <c r="AQ88" s="318"/>
      <c r="AR88" s="318"/>
      <c r="AS88" s="318"/>
    </row>
    <row r="89" spans="4:45" x14ac:dyDescent="0.2"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</row>
    <row r="90" spans="4:45" x14ac:dyDescent="0.2"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</row>
    <row r="91" spans="4:45" x14ac:dyDescent="0.2"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</row>
    <row r="92" spans="4:45" x14ac:dyDescent="0.2"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</row>
    <row r="93" spans="4:45" x14ac:dyDescent="0.2"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</row>
    <row r="94" spans="4:45" x14ac:dyDescent="0.2"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</row>
    <row r="95" spans="4:45" x14ac:dyDescent="0.2"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</row>
    <row r="96" spans="4:45" x14ac:dyDescent="0.2"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</row>
    <row r="97" spans="32:45" x14ac:dyDescent="0.2"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</row>
    <row r="98" spans="32:45" x14ac:dyDescent="0.2"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</row>
    <row r="99" spans="32:45" x14ac:dyDescent="0.2"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</row>
    <row r="100" spans="32:45" x14ac:dyDescent="0.2"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</row>
    <row r="101" spans="32:45" x14ac:dyDescent="0.2">
      <c r="AF101" s="318"/>
      <c r="AG101" s="318"/>
      <c r="AH101" s="318"/>
      <c r="AI101" s="318"/>
      <c r="AJ101" s="318"/>
      <c r="AK101" s="318"/>
      <c r="AL101" s="318"/>
      <c r="AM101" s="318"/>
      <c r="AN101" s="318"/>
      <c r="AO101" s="318"/>
      <c r="AP101" s="318"/>
      <c r="AQ101" s="318"/>
      <c r="AR101" s="318"/>
      <c r="AS101" s="318"/>
    </row>
    <row r="102" spans="32:45" x14ac:dyDescent="0.2">
      <c r="AF102" s="318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</row>
    <row r="103" spans="32:45" x14ac:dyDescent="0.2">
      <c r="AF103" s="318"/>
      <c r="AG103" s="318"/>
      <c r="AH103" s="318"/>
      <c r="AI103" s="318"/>
      <c r="AJ103" s="318"/>
      <c r="AK103" s="318"/>
      <c r="AL103" s="318"/>
      <c r="AM103" s="318"/>
      <c r="AN103" s="318"/>
      <c r="AO103" s="318"/>
      <c r="AP103" s="318"/>
      <c r="AQ103" s="318"/>
      <c r="AR103" s="318"/>
      <c r="AS103" s="318"/>
    </row>
    <row r="104" spans="32:45" x14ac:dyDescent="0.2">
      <c r="AF104" s="318"/>
      <c r="AG104" s="318"/>
      <c r="AH104" s="318"/>
      <c r="AI104" s="318"/>
      <c r="AJ104" s="318"/>
      <c r="AK104" s="318"/>
      <c r="AL104" s="318"/>
      <c r="AM104" s="318"/>
      <c r="AN104" s="318"/>
      <c r="AO104" s="318"/>
      <c r="AP104" s="318"/>
      <c r="AQ104" s="318"/>
      <c r="AR104" s="318"/>
      <c r="AS104" s="318"/>
    </row>
    <row r="105" spans="32:45" x14ac:dyDescent="0.2"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08">
        <v>-117050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-2946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08">
        <v>-142939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-1279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-119550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-73414</v>
      </c>
      <c r="C13" s="11">
        <v>-36039</v>
      </c>
      <c r="D13" s="11"/>
      <c r="E13" s="11">
        <v>-36904</v>
      </c>
      <c r="F13" s="11"/>
      <c r="G13" s="11"/>
      <c r="H13" s="11">
        <f t="shared" si="0"/>
        <v>-471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-1236826</v>
      </c>
      <c r="C35" s="44">
        <f t="shared" si="1"/>
        <v>-898779</v>
      </c>
      <c r="D35" s="11">
        <f t="shared" si="1"/>
        <v>-335670</v>
      </c>
      <c r="E35" s="44">
        <f t="shared" si="1"/>
        <v>-665190</v>
      </c>
      <c r="F35" s="11">
        <f t="shared" si="1"/>
        <v>0</v>
      </c>
      <c r="G35" s="11">
        <f t="shared" si="1"/>
        <v>0</v>
      </c>
      <c r="H35" s="11">
        <f t="shared" si="1"/>
        <v>-7483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2.74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-20503.420000000002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98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37082</v>
      </c>
      <c r="F39" s="47"/>
      <c r="G39" s="47"/>
      <c r="H39" s="137">
        <f>+H38+H37</f>
        <v>281441.58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C40" sqref="C40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-2903359</v>
      </c>
      <c r="E36" s="11">
        <f t="shared" si="15"/>
        <v>-2983649</v>
      </c>
      <c r="F36" s="11">
        <f t="shared" si="15"/>
        <v>0</v>
      </c>
      <c r="G36" s="11">
        <f t="shared" si="15"/>
        <v>0</v>
      </c>
      <c r="H36" s="11">
        <f t="shared" si="15"/>
        <v>-80290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47</v>
      </c>
      <c r="C37" s="428">
        <v>50521</v>
      </c>
      <c r="D37" s="359"/>
      <c r="E37" s="429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37083</v>
      </c>
      <c r="B38" s="2" t="s">
        <v>47</v>
      </c>
      <c r="C38" s="131">
        <f>+C37+C36-B36</f>
        <v>50521</v>
      </c>
      <c r="D38" s="260"/>
      <c r="E38" s="131">
        <f>+E37+E36-D36</f>
        <v>90238</v>
      </c>
      <c r="F38" s="260"/>
      <c r="G38" s="131"/>
      <c r="H38" s="131">
        <f>+H37+H36</f>
        <v>140759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68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A40" sqref="A4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968170</v>
      </c>
      <c r="C37" s="11">
        <f>SUM(C6:C36)</f>
        <v>965428</v>
      </c>
      <c r="D37" s="11">
        <f>SUM(D6:D36)</f>
        <v>-2742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37072</v>
      </c>
      <c r="C39" s="15"/>
      <c r="D39" s="435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37082</v>
      </c>
      <c r="C40" s="48"/>
      <c r="D40" s="25">
        <f>+D39+D37</f>
        <v>56437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2001-07-10T15:35:45Z</cp:lastPrinted>
  <dcterms:created xsi:type="dcterms:W3CDTF">2000-03-28T16:52:23Z</dcterms:created>
  <dcterms:modified xsi:type="dcterms:W3CDTF">2014-09-03T14:36:54Z</dcterms:modified>
</cp:coreProperties>
</file>