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firstSheet="1" activeTab="1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8" i="8" s="1"/>
  <c r="D20" i="8" s="1"/>
  <c r="D24" i="8" s="1"/>
  <c r="D12" i="8"/>
  <c r="D13" i="8"/>
  <c r="D14" i="8"/>
  <c r="D15" i="8"/>
  <c r="D16" i="8"/>
  <c r="D17" i="8"/>
  <c r="D19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39" i="18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40" i="69"/>
  <c r="D42" i="69"/>
  <c r="H3" i="80"/>
  <c r="H4" i="80"/>
  <c r="H5" i="80"/>
  <c r="D8" i="80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32" i="80"/>
  <c r="D33" i="80"/>
  <c r="D34" i="80"/>
  <c r="D35" i="80"/>
  <c r="D36" i="80"/>
  <c r="D37" i="80"/>
  <c r="D38" i="80"/>
  <c r="D39" i="80"/>
  <c r="D40" i="80"/>
  <c r="D41" i="80"/>
  <c r="D42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8" i="72"/>
  <c r="D9" i="72"/>
  <c r="D10" i="72"/>
  <c r="D11" i="72"/>
  <c r="D39" i="72" s="1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12" i="78" s="1"/>
  <c r="D6" i="78"/>
  <c r="D7" i="78"/>
  <c r="D8" i="78"/>
  <c r="D9" i="78"/>
  <c r="D10" i="78"/>
  <c r="D11" i="78"/>
  <c r="D13" i="78"/>
  <c r="D6" i="79"/>
  <c r="D37" i="79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C36" i="13"/>
  <c r="C37" i="13"/>
  <c r="F40" i="13"/>
  <c r="F8" i="71"/>
  <c r="F9" i="71"/>
  <c r="F10" i="71"/>
  <c r="F11" i="71"/>
  <c r="F12" i="71"/>
  <c r="F39" i="71" s="1"/>
  <c r="F41" i="71" s="1"/>
  <c r="F43" i="71" s="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H4" i="73"/>
  <c r="H5" i="73"/>
  <c r="H6" i="73"/>
  <c r="H7" i="73"/>
  <c r="H8" i="73"/>
  <c r="H9" i="73"/>
  <c r="H10" i="73"/>
  <c r="H35" i="73" s="1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C36" i="73"/>
  <c r="H36" i="73" s="1"/>
  <c r="H38" i="73" s="1"/>
  <c r="H40" i="73" s="1"/>
  <c r="H50" i="73" s="1"/>
  <c r="C37" i="73"/>
  <c r="C38" i="73" s="1"/>
  <c r="C40" i="73" s="1"/>
  <c r="H37" i="73"/>
  <c r="H39" i="73"/>
  <c r="J39" i="73"/>
  <c r="G40" i="73"/>
  <c r="J40" i="73"/>
  <c r="B10" i="20"/>
  <c r="B16" i="20" s="1"/>
  <c r="B11" i="20"/>
  <c r="B12" i="20"/>
  <c r="B13" i="20"/>
  <c r="B14" i="20"/>
  <c r="B15" i="20"/>
  <c r="B29" i="20"/>
  <c r="B30" i="20"/>
  <c r="B44" i="20"/>
  <c r="G64" i="20"/>
  <c r="H64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L48" i="11" s="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H36" i="11" s="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8" i="11" s="1"/>
  <c r="B24" i="63" s="1"/>
  <c r="C36" i="11"/>
  <c r="D36" i="11"/>
  <c r="E38" i="11" s="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 s="1"/>
  <c r="D75" i="70"/>
  <c r="D6" i="75"/>
  <c r="D7" i="75"/>
  <c r="D8" i="75"/>
  <c r="D37" i="75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D39" i="75" s="1"/>
  <c r="D41" i="75" s="1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10" i="17"/>
  <c r="J39" i="17" s="1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35" i="68" s="1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40" i="68"/>
  <c r="C19" i="63" s="1"/>
  <c r="B19" i="63" s="1"/>
  <c r="F3" i="67"/>
  <c r="F4" i="67"/>
  <c r="F5" i="67"/>
  <c r="F6" i="67"/>
  <c r="F7" i="67"/>
  <c r="F8" i="67"/>
  <c r="F9" i="67"/>
  <c r="F10" i="67"/>
  <c r="F34" i="67" s="1"/>
  <c r="F38" i="67" s="1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18" i="65" s="1"/>
  <c r="D8" i="65"/>
  <c r="D9" i="65"/>
  <c r="D10" i="65"/>
  <c r="D11" i="65"/>
  <c r="D12" i="65"/>
  <c r="D13" i="65"/>
  <c r="D14" i="65"/>
  <c r="D19" i="65"/>
  <c r="D20" i="65" s="1"/>
  <c r="D24" i="65" s="1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F5" i="7"/>
  <c r="Z5" i="7"/>
  <c r="AD5" i="7" s="1"/>
  <c r="AG5" i="7" s="1"/>
  <c r="AF5" i="7"/>
  <c r="AH5" i="7" s="1"/>
  <c r="F6" i="7"/>
  <c r="Z6" i="7"/>
  <c r="AD6" i="7" s="1"/>
  <c r="AF6" i="7" s="1"/>
  <c r="F7" i="7"/>
  <c r="Z7" i="7"/>
  <c r="AD7" i="7"/>
  <c r="AF7" i="7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/>
  <c r="F14" i="7"/>
  <c r="Z14" i="7"/>
  <c r="AD14" i="7"/>
  <c r="AF14" i="7" s="1"/>
  <c r="F15" i="7"/>
  <c r="Z15" i="7"/>
  <c r="AD15" i="7"/>
  <c r="AF15" i="7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/>
  <c r="AF19" i="7"/>
  <c r="AH19" i="7" s="1"/>
  <c r="AH20" i="7" s="1"/>
  <c r="AG19" i="7"/>
  <c r="AG20" i="7" s="1"/>
  <c r="AG21" i="7" s="1"/>
  <c r="AI19" i="7"/>
  <c r="F20" i="7"/>
  <c r="Z20" i="7"/>
  <c r="AD20" i="7" s="1"/>
  <c r="AF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C40" i="80" s="1"/>
  <c r="B40" i="80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D5" i="64"/>
  <c r="D6" i="64"/>
  <c r="D7" i="64"/>
  <c r="D8" i="64"/>
  <c r="D9" i="64"/>
  <c r="B10" i="64"/>
  <c r="D10" i="64" s="1"/>
  <c r="D11" i="64"/>
  <c r="D12" i="64"/>
  <c r="D13" i="64"/>
  <c r="D18" i="64"/>
  <c r="F8" i="15"/>
  <c r="AF8" i="15"/>
  <c r="AJ8" i="15"/>
  <c r="AN8" i="15"/>
  <c r="AN39" i="15" s="1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F39" i="15" s="1"/>
  <c r="F41" i="15" s="1"/>
  <c r="F43" i="15" s="1"/>
  <c r="C39" i="15"/>
  <c r="D39" i="15"/>
  <c r="E39" i="15"/>
  <c r="AD39" i="15"/>
  <c r="AE39" i="15"/>
  <c r="AH39" i="15"/>
  <c r="AL39" i="15"/>
  <c r="AM39" i="15"/>
  <c r="AP39" i="15"/>
  <c r="AT39" i="15"/>
  <c r="F40" i="15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F133" i="15" s="1"/>
  <c r="C133" i="15" s="1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B174" i="15" s="1"/>
  <c r="B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35" i="6" s="1"/>
  <c r="F40" i="6" s="1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H3" i="63"/>
  <c r="D39" i="69" s="1"/>
  <c r="H4" i="63"/>
  <c r="F40" i="18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39" i="19" s="1"/>
  <c r="D41" i="19" s="1"/>
  <c r="D43" i="19" s="1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35" i="2" s="1"/>
  <c r="J40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 s="1"/>
  <c r="AI20" i="7" l="1"/>
  <c r="AH21" i="7"/>
  <c r="AI21" i="7" s="1"/>
  <c r="B23" i="80"/>
  <c r="C23" i="80" s="1"/>
  <c r="B42" i="63"/>
  <c r="C42" i="63" s="1"/>
  <c r="B20" i="80"/>
  <c r="C20" i="80" s="1"/>
  <c r="B29" i="63"/>
  <c r="C29" i="63" s="1"/>
  <c r="B21" i="80"/>
  <c r="C21" i="80" s="1"/>
  <c r="B30" i="63"/>
  <c r="C30" i="63" s="1"/>
  <c r="C33" i="80"/>
  <c r="B33" i="80" s="1"/>
  <c r="C14" i="63"/>
  <c r="B14" i="63" s="1"/>
  <c r="C9" i="63"/>
  <c r="B9" i="63" s="1"/>
  <c r="C32" i="80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N45" i="15"/>
  <c r="B102" i="15"/>
  <c r="C17" i="63"/>
  <c r="B17" i="63" s="1"/>
  <c r="C34" i="80"/>
  <c r="B34" i="80" s="1"/>
  <c r="B10" i="63"/>
  <c r="C10" i="63" s="1"/>
  <c r="B9" i="80"/>
  <c r="C9" i="80" s="1"/>
  <c r="B40" i="63"/>
  <c r="C40" i="63" s="1"/>
  <c r="B25" i="80"/>
  <c r="C25" i="80" s="1"/>
  <c r="B8" i="80"/>
  <c r="B8" i="63"/>
  <c r="D35" i="28"/>
  <c r="D40" i="28" s="1"/>
  <c r="D39" i="76"/>
  <c r="D41" i="76" s="1"/>
  <c r="K114" i="15"/>
  <c r="D37" i="81"/>
  <c r="D41" i="81" s="1"/>
  <c r="F36" i="5"/>
  <c r="F42" i="5" s="1"/>
  <c r="AF34" i="11"/>
  <c r="AF27" i="11"/>
  <c r="AF20" i="11"/>
  <c r="C30" i="20"/>
  <c r="C31" i="20" s="1"/>
  <c r="B17" i="20"/>
  <c r="C17" i="20" s="1"/>
  <c r="C18" i="20" s="1"/>
  <c r="B45" i="20"/>
  <c r="C45" i="20" s="1"/>
  <c r="C46" i="20" s="1"/>
  <c r="D37" i="12"/>
  <c r="D40" i="12" s="1"/>
  <c r="B41" i="63"/>
  <c r="C41" i="63" s="1"/>
  <c r="B24" i="80"/>
  <c r="C24" i="80" s="1"/>
  <c r="AH6" i="7"/>
  <c r="AI5" i="7"/>
  <c r="D75" i="2"/>
  <c r="C27" i="63"/>
  <c r="B27" i="63" s="1"/>
  <c r="AH57" i="15"/>
  <c r="AU39" i="15"/>
  <c r="F36" i="7"/>
  <c r="F41" i="7" s="1"/>
  <c r="AF38" i="11"/>
  <c r="AJ39" i="15"/>
  <c r="AJ45" i="15" s="1"/>
  <c r="D14" i="78"/>
  <c r="D18" i="78" s="1"/>
  <c r="D19" i="64"/>
  <c r="D23" i="64" s="1"/>
  <c r="D17" i="64"/>
  <c r="AP47" i="11"/>
  <c r="B37" i="80"/>
  <c r="AC8" i="11"/>
  <c r="AN8" i="11"/>
  <c r="D37" i="74"/>
  <c r="C35" i="80"/>
  <c r="B35" i="80" s="1"/>
  <c r="AR22" i="15"/>
  <c r="AR39" i="15" s="1"/>
  <c r="AR45" i="15" s="1"/>
  <c r="AQ39" i="15"/>
  <c r="H38" i="11"/>
  <c r="E37" i="13"/>
  <c r="E38" i="13" s="1"/>
  <c r="C38" i="13"/>
  <c r="C41" i="13" s="1"/>
  <c r="AF39" i="15"/>
  <c r="AF45" i="15" s="1"/>
  <c r="H35" i="9"/>
  <c r="H37" i="9" s="1"/>
  <c r="H39" i="9" s="1"/>
  <c r="D39" i="74"/>
  <c r="D41" i="74" s="1"/>
  <c r="D37" i="76"/>
  <c r="F41" i="18"/>
  <c r="F43" i="18" s="1"/>
  <c r="F101" i="15"/>
  <c r="C101" i="15" s="1"/>
  <c r="AV39" i="15"/>
  <c r="D37" i="77"/>
  <c r="D39" i="77" s="1"/>
  <c r="D41" i="77" s="1"/>
  <c r="F37" i="22"/>
  <c r="F39" i="22" s="1"/>
  <c r="F41" i="22" s="1"/>
  <c r="J35" i="70"/>
  <c r="J36" i="70"/>
  <c r="J37" i="70" s="1"/>
  <c r="J41" i="70" s="1"/>
  <c r="J40" i="17"/>
  <c r="J41" i="17" s="1"/>
  <c r="J43" i="17" s="1"/>
  <c r="D38" i="79"/>
  <c r="D39" i="79" s="1"/>
  <c r="D41" i="79" s="1"/>
  <c r="D40" i="72"/>
  <c r="D41" i="72" s="1"/>
  <c r="D43" i="72" s="1"/>
  <c r="AR48" i="15" l="1"/>
  <c r="AR51" i="15"/>
  <c r="B17" i="80"/>
  <c r="C17" i="80" s="1"/>
  <c r="B21" i="63"/>
  <c r="C21" i="63" s="1"/>
  <c r="B27" i="80"/>
  <c r="C27" i="80" s="1"/>
  <c r="B38" i="63"/>
  <c r="C38" i="63" s="1"/>
  <c r="B103" i="15"/>
  <c r="B105" i="15" s="1"/>
  <c r="F105" i="15" s="1"/>
  <c r="F102" i="15"/>
  <c r="F103" i="15" s="1"/>
  <c r="C103" i="15" s="1"/>
  <c r="B20" i="63"/>
  <c r="C20" i="63" s="1"/>
  <c r="B16" i="80"/>
  <c r="C16" i="80" s="1"/>
  <c r="C39" i="80"/>
  <c r="B39" i="80" s="1"/>
  <c r="C26" i="63"/>
  <c r="B26" i="63" s="1"/>
  <c r="C22" i="63"/>
  <c r="B22" i="63" s="1"/>
  <c r="C36" i="80"/>
  <c r="B36" i="80" s="1"/>
  <c r="B39" i="63"/>
  <c r="C39" i="63" s="1"/>
  <c r="B26" i="80"/>
  <c r="C26" i="80" s="1"/>
  <c r="B13" i="63"/>
  <c r="C13" i="63" s="1"/>
  <c r="B12" i="80"/>
  <c r="C12" i="80" s="1"/>
  <c r="B32" i="80"/>
  <c r="B12" i="63"/>
  <c r="C12" i="63" s="1"/>
  <c r="B11" i="80"/>
  <c r="C11" i="80" s="1"/>
  <c r="AI6" i="7"/>
  <c r="AH7" i="7"/>
  <c r="C8" i="80"/>
  <c r="C25" i="63"/>
  <c r="B25" i="63" s="1"/>
  <c r="C38" i="80"/>
  <c r="B38" i="80" s="1"/>
  <c r="C37" i="80"/>
  <c r="C24" i="63"/>
  <c r="B15" i="80"/>
  <c r="C15" i="80" s="1"/>
  <c r="B18" i="63"/>
  <c r="C18" i="63" s="1"/>
  <c r="C63" i="20"/>
  <c r="H52" i="73" s="1"/>
  <c r="H54" i="73" s="1"/>
  <c r="C8" i="63"/>
  <c r="E41" i="13"/>
  <c r="F41" i="13" s="1"/>
  <c r="F38" i="13"/>
  <c r="B22" i="80"/>
  <c r="C22" i="80" s="1"/>
  <c r="B31" i="63"/>
  <c r="C31" i="63" s="1"/>
  <c r="B13" i="80"/>
  <c r="C13" i="80" s="1"/>
  <c r="B15" i="63"/>
  <c r="C15" i="63" s="1"/>
  <c r="B28" i="63"/>
  <c r="C28" i="63" s="1"/>
  <c r="B19" i="80"/>
  <c r="C19" i="80" s="1"/>
  <c r="C33" i="63"/>
  <c r="B33" i="63" s="1"/>
  <c r="C42" i="80"/>
  <c r="B42" i="80" s="1"/>
  <c r="B18" i="80"/>
  <c r="C18" i="80" s="1"/>
  <c r="B23" i="63"/>
  <c r="C23" i="63" s="1"/>
  <c r="B37" i="63"/>
  <c r="B28" i="80"/>
  <c r="C28" i="80" s="1"/>
  <c r="C41" i="80"/>
  <c r="B41" i="80" s="1"/>
  <c r="C32" i="63"/>
  <c r="B32" i="63" s="1"/>
  <c r="B43" i="63" l="1"/>
  <c r="C37" i="63"/>
  <c r="C43" i="63" s="1"/>
  <c r="AH8" i="7"/>
  <c r="AI7" i="7"/>
  <c r="B10" i="80"/>
  <c r="B11" i="63"/>
  <c r="C43" i="80"/>
  <c r="B43" i="80"/>
  <c r="B16" i="63"/>
  <c r="C16" i="63" s="1"/>
  <c r="B14" i="80"/>
  <c r="C14" i="80" s="1"/>
  <c r="C45" i="63" l="1"/>
  <c r="B45" i="63"/>
  <c r="C11" i="63"/>
  <c r="C34" i="63" s="1"/>
  <c r="B34" i="63"/>
  <c r="C10" i="80"/>
  <c r="C29" i="80" s="1"/>
  <c r="B29" i="80"/>
  <c r="B45" i="80" s="1"/>
  <c r="C45" i="80"/>
  <c r="AH9" i="7"/>
  <c r="AI8" i="7"/>
  <c r="AI9" i="7" l="1"/>
  <c r="AH10" i="7"/>
  <c r="AH11" i="7" l="1"/>
  <c r="AI10" i="7"/>
  <c r="AH12" i="7" l="1"/>
  <c r="AI11" i="7"/>
  <c r="AH13" i="7" l="1"/>
  <c r="AI12" i="7"/>
  <c r="AH14" i="7" l="1"/>
  <c r="AI13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<sst xmlns="http://schemas.openxmlformats.org/spreadsheetml/2006/main" count="589" uniqueCount="170">
  <si>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</si>
  <si>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</si>
  <si>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</si>
  <si>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</si>
  <si>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</si>
  <si>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</si>
  <si>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</si>
  <si>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</si>
  <si>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</si>
  <si>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</si>
  <si>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</si>
  <si>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</si>
  <si>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</si>
  <si>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</si>
  <si>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</si>
  <si>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</si>
  <si>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</si>
  <si>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</si>
  <si>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</si>
  <si>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</si>
  <si>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</si>
  <si>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</si>
  <si>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</si>
  <si>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</si>
  <si>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</si>
  <si>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</si>
  <si>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</si>
  <si>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</si>
  <si>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</si>
  <si>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</si>
  <si>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</si>
  <si>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</si>
  <si>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</si>
  <si>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</si>
  <si>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</si>
  <si>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</si>
  <si>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</si>
  <si>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</si>
  <si>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</si>
  <si>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</si>
  <si>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</si>
  <si>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</si>
  <si>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</si>
  <si>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</si>
  <si>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</si>
  <si>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</si>
  <si>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</si>
  <si>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</si>
  <si>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</si>
  <si>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</si>
  <si>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</si>
  <si>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</si>
  <si>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</si>
  <si>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</si>
  <si>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</si>
  <si>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</si>
  <si>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</si>
  <si>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</si>
  <si>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</si>
  <si>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</si>
  <si>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</si>
  <si>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</si>
  <si>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</si>
  <si>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</si>
  <si>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</si>
  <si>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</si>
  <si>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</si>
  <si>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</si>
  <si>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</si>
  <si>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</si>
  <si>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</si>
  <si>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</si>
  <si>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</si>
  <si>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</si>
  <si>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</si>
  <si>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</si>
  <si>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</si>
  <si>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</si>
  <si>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</si>
  <si>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</si>
  <si>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</si>
  <si>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</si>
  <si>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</si>
  <si>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</si>
  <si>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</si>
  <si>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</si>
  <si>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</si>
  <si>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</si>
  <si>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</si>
  <si>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</si>
  <si>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</si>
  <si>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</si>
  <si>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</si>
  <si>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</si>
  <si>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</si>
  <si>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</si>
  <si>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</si>
  <si>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</si>
  <si>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</si>
  <si>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</si>
  <si>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</si>
  <si>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</si>
  <si>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</si>
  <si>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</si>
  <si>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</si>
  <si>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</si>
  <si>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</si>
  <si>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</si>
  <si>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</si>
  <si>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</si>
  <si>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</si>
  <si>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</si>
  <si>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</si>
  <si>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</si>
  <si>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</si>
  <si>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</si>
  <si>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</si>
  <si>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</si>
  <si>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</si>
  <si>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</si>
  <si>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</si>
  <si>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</si>
  <si>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</si>
  <si>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</si>
  <si>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</si>
  <si>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</si>
  <si>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</si>
  <si>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</si>
  <si>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</si>
  <si>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</si>
  <si>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</si>
  <si>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</si>
  <si>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</si>
  <si>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</si>
  <si>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</si>
  <si>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</si>
  <si>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</si>
  <si>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</si>
  <si>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</si>
  <si>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</si>
  <si>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</si>
  <si>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</si>
  <si>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</si>
  <si>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</si>
  <si>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</si>
  <si>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</si>
  <si>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</si>
  <si>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</si>
  <si>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</si>
  <si>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</si>
  <si>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</si>
  <si>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</si>
  <si>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</si>
  <si>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</si>
  <si>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</si>
  <si>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</si>
  <si>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</si>
  <si>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</si>
  <si>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</si>
  <si>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</si>
  <si>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</si>
  <si>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</si>
  <si>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</si>
  <si>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</si>
  <si>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</si>
  <si>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</si>
  <si>
    <t>3,000/d scheduled makeup from 7/12 - 7/18</t>
  </si>
  <si>
    <t>Laura Giambro</t>
  </si>
  <si>
    <t>Positive=due Transwestern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</si>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</sst>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2.96</v>
          </cell>
          <cell r="K39">
            <v>2.42</v>
          </cell>
          <cell r="M39">
            <v>2.77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workbookViewId="3">
      <selection activeCell="G9" sqref="G9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5.140625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2.42</v>
      </c>
    </row>
    <row r="4" spans="1:20" ht="15" customHeight="1" x14ac:dyDescent="0.2">
      <c r="A4" s="34" t="s">
        <v>168</v>
      </c>
      <c r="C4" s="34" t="s">
        <v>5</v>
      </c>
      <c r="D4" s="7"/>
      <c r="G4" s="302" t="s">
        <v>31</v>
      </c>
      <c r="H4" s="303">
        <f>+'[1]0701'!$M$39</f>
        <v>2.77</v>
      </c>
    </row>
    <row r="5" spans="1:20" ht="15" customHeight="1" x14ac:dyDescent="0.2">
      <c r="D5" s="7"/>
      <c r="G5" s="301" t="s">
        <v>120</v>
      </c>
      <c r="H5" s="390">
        <f>+'[1]0701'!$H$39</f>
        <v>2.96</v>
      </c>
    </row>
    <row r="6" spans="1:20" ht="18" customHeight="1" x14ac:dyDescent="0.2"/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169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838400.95</v>
      </c>
      <c r="C8" s="421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</row>
    <row r="9" spans="1:20" ht="15" customHeight="1" x14ac:dyDescent="0.2">
      <c r="A9" s="254" t="s">
        <v>24</v>
      </c>
      <c r="B9" s="395">
        <f>+'Red C'!$F$43</f>
        <v>644848.80000000005</v>
      </c>
      <c r="C9" s="421">
        <f>+B9/$H$3</f>
        <v>266466.44628099177</v>
      </c>
      <c r="D9" s="416">
        <f>+'Red C'!B43</f>
        <v>37090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">
      <c r="A10" s="254" t="s">
        <v>83</v>
      </c>
      <c r="B10" s="393">
        <f>+Conoco!$F$41</f>
        <v>547262.94999999995</v>
      </c>
      <c r="C10" s="421">
        <f t="shared" ref="C10:C21" si="0">+B10/$H$4</f>
        <v>197567.85198555954</v>
      </c>
      <c r="D10" s="416">
        <f>+Conoco!A41</f>
        <v>37090</v>
      </c>
      <c r="E10" s="32" t="s">
        <v>88</v>
      </c>
      <c r="F10" s="32" t="s">
        <v>116</v>
      </c>
      <c r="G10" s="32" t="s">
        <v>155</v>
      </c>
      <c r="H10" s="32"/>
      <c r="I10" s="32"/>
    </row>
    <row r="11" spans="1:20" ht="15" customHeight="1" x14ac:dyDescent="0.2">
      <c r="A11" s="254" t="s">
        <v>110</v>
      </c>
      <c r="B11" s="393">
        <f>+KN_Westar!F41</f>
        <v>524235.18999999994</v>
      </c>
      <c r="C11" s="421">
        <f t="shared" si="0"/>
        <v>189254.58122743681</v>
      </c>
      <c r="D11" s="417">
        <f>+KN_Westar!A41</f>
        <v>37090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">
      <c r="A12" s="254" t="s">
        <v>3</v>
      </c>
      <c r="B12" s="393">
        <f>+'Amoco Abo'!$F$43</f>
        <v>505133.08</v>
      </c>
      <c r="C12" s="421">
        <f t="shared" si="0"/>
        <v>182358.51263537907</v>
      </c>
      <c r="D12" s="417">
        <f>+'Amoco Abo'!A43</f>
        <v>37090</v>
      </c>
      <c r="E12" s="32" t="s">
        <v>88</v>
      </c>
      <c r="F12" s="32" t="s">
        <v>118</v>
      </c>
      <c r="G12" s="32" t="s">
        <v>160</v>
      </c>
      <c r="H12" s="32"/>
      <c r="I12" s="32"/>
      <c r="T12" s="268"/>
    </row>
    <row r="13" spans="1:20" ht="15" customHeight="1" x14ac:dyDescent="0.2">
      <c r="A13" s="254" t="s">
        <v>85</v>
      </c>
      <c r="B13" s="393">
        <f>+PNM!$D$23</f>
        <v>437920.28</v>
      </c>
      <c r="C13" s="421">
        <f t="shared" si="0"/>
        <v>158093.96389891699</v>
      </c>
      <c r="D13" s="417">
        <f>+PNM!A23</f>
        <v>37090</v>
      </c>
      <c r="E13" s="32" t="s">
        <v>88</v>
      </c>
      <c r="F13" s="32" t="s">
        <v>118</v>
      </c>
      <c r="G13" s="32" t="s">
        <v>161</v>
      </c>
      <c r="H13" s="32"/>
      <c r="I13" s="32"/>
      <c r="T13" s="268"/>
    </row>
    <row r="14" spans="1:20" ht="15" customHeight="1" x14ac:dyDescent="0.2">
      <c r="A14" s="254" t="s">
        <v>131</v>
      </c>
      <c r="B14" s="393">
        <f>+DEFS!H54</f>
        <v>388202.75</v>
      </c>
      <c r="C14" s="422">
        <f t="shared" si="0"/>
        <v>140145.39711191336</v>
      </c>
      <c r="D14" s="417">
        <f>+DEFS!A40</f>
        <v>37090</v>
      </c>
      <c r="E14" s="32" t="s">
        <v>88</v>
      </c>
      <c r="F14" s="32" t="s">
        <v>103</v>
      </c>
      <c r="G14" s="32" t="s">
        <v>121</v>
      </c>
      <c r="H14" s="32"/>
      <c r="I14" s="32"/>
    </row>
    <row r="15" spans="1:20" ht="15" customHeight="1" x14ac:dyDescent="0.2">
      <c r="A15" s="254" t="s">
        <v>2</v>
      </c>
      <c r="B15" s="393">
        <f>+mewborne!$J$43</f>
        <v>376903.56</v>
      </c>
      <c r="C15" s="421">
        <f t="shared" si="0"/>
        <v>136066.26714801445</v>
      </c>
      <c r="D15" s="417">
        <f>+mewborne!A43</f>
        <v>37090</v>
      </c>
      <c r="E15" s="32" t="s">
        <v>88</v>
      </c>
      <c r="F15" s="32" t="s">
        <v>102</v>
      </c>
      <c r="G15" s="32"/>
      <c r="H15" s="32"/>
      <c r="I15" s="32"/>
    </row>
    <row r="16" spans="1:20" ht="15" customHeight="1" x14ac:dyDescent="0.2">
      <c r="A16" s="254" t="s">
        <v>113</v>
      </c>
      <c r="B16" s="393">
        <f>+CIG!D43</f>
        <v>326755</v>
      </c>
      <c r="C16" s="421">
        <f t="shared" si="0"/>
        <v>117962.09386281588</v>
      </c>
      <c r="D16" s="417">
        <f>+CIG!A43</f>
        <v>37090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">
      <c r="A17" s="254" t="s">
        <v>133</v>
      </c>
      <c r="B17" s="393">
        <f>+PGETX!$H$39</f>
        <v>314543.35999999999</v>
      </c>
      <c r="C17" s="421">
        <f t="shared" si="0"/>
        <v>113553.55956678699</v>
      </c>
      <c r="D17" s="417">
        <f>+PGETX!E39</f>
        <v>37090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245024.72999999998</v>
      </c>
      <c r="C18" s="421">
        <f t="shared" si="0"/>
        <v>88456.581227436822</v>
      </c>
      <c r="D18" s="416">
        <f>+EOG!A41</f>
        <v>37090</v>
      </c>
      <c r="E18" s="32" t="s">
        <v>88</v>
      </c>
      <c r="F18" s="32" t="s">
        <v>105</v>
      </c>
      <c r="G18" s="32"/>
      <c r="H18" s="32"/>
      <c r="I18" s="32"/>
    </row>
    <row r="19" spans="1:9" ht="15" customHeight="1" x14ac:dyDescent="0.2">
      <c r="A19" s="254" t="s">
        <v>137</v>
      </c>
      <c r="B19" s="393">
        <f>+SidR!D41</f>
        <v>63947.839999999997</v>
      </c>
      <c r="C19" s="421">
        <f t="shared" si="0"/>
        <v>23085.862815884477</v>
      </c>
      <c r="D19" s="417">
        <f>+SidR!A41</f>
        <v>37090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">
      <c r="A20" s="392" t="s">
        <v>82</v>
      </c>
      <c r="B20" s="393">
        <f>+Agave!$D$24</f>
        <v>62476.97</v>
      </c>
      <c r="C20" s="422">
        <f t="shared" si="0"/>
        <v>22554.862815884477</v>
      </c>
      <c r="D20" s="416">
        <f>+Agave!A24</f>
        <v>37090</v>
      </c>
      <c r="E20" s="206" t="s">
        <v>88</v>
      </c>
      <c r="F20" s="206" t="s">
        <v>105</v>
      </c>
      <c r="G20" s="32"/>
      <c r="H20" s="32"/>
      <c r="I20" s="32"/>
    </row>
    <row r="21" spans="1:9" ht="15" customHeight="1" x14ac:dyDescent="0.2">
      <c r="A21" s="254" t="s">
        <v>74</v>
      </c>
      <c r="B21" s="395">
        <f>+transcol!$D$43</f>
        <v>14952.129999999997</v>
      </c>
      <c r="C21" s="421">
        <f t="shared" si="0"/>
        <v>5397.8808664259914</v>
      </c>
      <c r="D21" s="417">
        <f>+transcol!A43</f>
        <v>37090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392" t="s">
        <v>132</v>
      </c>
      <c r="B22" s="393">
        <f>+Calpine!D41</f>
        <v>11220.039999999979</v>
      </c>
      <c r="C22" s="422">
        <f>+B22/$H$4</f>
        <v>4050.5559566786928</v>
      </c>
      <c r="D22" s="416">
        <f>+Calpine!A41</f>
        <v>37090</v>
      </c>
      <c r="E22" s="206" t="s">
        <v>88</v>
      </c>
      <c r="F22" s="206" t="s">
        <v>102</v>
      </c>
      <c r="G22" s="400"/>
      <c r="H22" s="32"/>
      <c r="I22" s="32"/>
    </row>
    <row r="23" spans="1:9" ht="15" customHeight="1" x14ac:dyDescent="0.2">
      <c r="A23" s="254" t="s">
        <v>112</v>
      </c>
      <c r="B23" s="393">
        <f>+Continental!F43</f>
        <v>-14809.08</v>
      </c>
      <c r="C23" s="422">
        <f>+B23/$H$4</f>
        <v>-5346.2382671480145</v>
      </c>
      <c r="D23" s="417">
        <f>+Continental!A43</f>
        <v>37090</v>
      </c>
      <c r="E23" s="32" t="s">
        <v>88</v>
      </c>
      <c r="F23" s="32" t="s">
        <v>118</v>
      </c>
      <c r="G23" s="32"/>
      <c r="H23" s="32"/>
      <c r="I23" s="32"/>
    </row>
    <row r="24" spans="1:9" ht="15" customHeight="1" x14ac:dyDescent="0.2">
      <c r="A24" s="392" t="s">
        <v>98</v>
      </c>
      <c r="B24" s="393">
        <f>+burlington!D42</f>
        <v>-17494.18</v>
      </c>
      <c r="C24" s="421">
        <f>+B24/$H$3</f>
        <v>-7229</v>
      </c>
      <c r="D24" s="416">
        <f>+burlington!A42</f>
        <v>37090</v>
      </c>
      <c r="E24" s="206" t="s">
        <v>88</v>
      </c>
      <c r="F24" s="32" t="s">
        <v>116</v>
      </c>
      <c r="G24" s="32" t="s">
        <v>163</v>
      </c>
      <c r="H24" s="32"/>
      <c r="I24" s="32"/>
    </row>
    <row r="25" spans="1:9" ht="15" customHeight="1" x14ac:dyDescent="0.2">
      <c r="A25" s="254" t="s">
        <v>135</v>
      </c>
      <c r="B25" s="393">
        <f>+EPFS!D41</f>
        <v>-168051.1</v>
      </c>
      <c r="C25" s="422">
        <f>+B25/$H$5</f>
        <v>-56774.020270270274</v>
      </c>
      <c r="D25" s="416">
        <f>+EPFS!A41</f>
        <v>37090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">
      <c r="A26" s="254" t="s">
        <v>146</v>
      </c>
      <c r="B26" s="393">
        <f>+'Citizens-Griffith'!D41</f>
        <v>-215174.39999999999</v>
      </c>
      <c r="C26" s="421">
        <f>+B26/$H$4</f>
        <v>-77680.288808664263</v>
      </c>
      <c r="D26" s="416">
        <f>+'Citizens-Griffith'!A41</f>
        <v>37090</v>
      </c>
      <c r="E26" s="32" t="s">
        <v>88</v>
      </c>
      <c r="F26" s="32" t="s">
        <v>102</v>
      </c>
      <c r="G26" s="32" t="s">
        <v>162</v>
      </c>
      <c r="H26" s="32"/>
      <c r="I26" s="32"/>
    </row>
    <row r="27" spans="1:9" ht="15" customHeight="1" x14ac:dyDescent="0.2">
      <c r="A27" s="254" t="s">
        <v>139</v>
      </c>
      <c r="B27" s="393">
        <f>+'NS Steel'!D41</f>
        <v>-389619.1</v>
      </c>
      <c r="C27" s="421">
        <f>+B27/$H$4</f>
        <v>-140656.71480144403</v>
      </c>
      <c r="D27" s="417">
        <f>+'NS Steel'!A41</f>
        <v>37090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141</v>
      </c>
      <c r="B28" s="397">
        <f>+Citizens!D18</f>
        <v>-878957.71000000008</v>
      </c>
      <c r="C28" s="423">
        <f>+B28/$H$4</f>
        <v>-317313.25270758127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151</v>
      </c>
      <c r="B29" s="47">
        <f>SUM(B8:B28)</f>
        <v>3617722.0600000005</v>
      </c>
      <c r="C29" s="424">
        <f>SUM(C8:C28)</f>
        <v>1342686.7256497107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169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778572.08</v>
      </c>
      <c r="C32" s="421">
        <f>+williams!J40</f>
        <v>321724</v>
      </c>
      <c r="D32" s="416">
        <f>+williams!A40</f>
        <v>37090</v>
      </c>
      <c r="E32" s="206" t="s">
        <v>87</v>
      </c>
      <c r="F32" s="206" t="s">
        <v>167</v>
      </c>
      <c r="G32" s="32" t="s">
        <v>156</v>
      </c>
      <c r="H32" s="32"/>
      <c r="I32" s="32"/>
    </row>
    <row r="33" spans="1:9" ht="15" customHeight="1" x14ac:dyDescent="0.2">
      <c r="A33" s="254" t="s">
        <v>33</v>
      </c>
      <c r="B33" s="393">
        <f>+C33*$H$4</f>
        <v>473786.34</v>
      </c>
      <c r="C33" s="422">
        <f>+SoCal!F40</f>
        <v>171042</v>
      </c>
      <c r="D33" s="417">
        <f>+SoCal!A40</f>
        <v>37090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">
      <c r="A34" s="254" t="s">
        <v>91</v>
      </c>
      <c r="B34" s="393">
        <f>+C34*$H$4</f>
        <v>383885.99</v>
      </c>
      <c r="C34" s="421">
        <f>+NGPL!F38</f>
        <v>138587</v>
      </c>
      <c r="D34" s="417">
        <f>+NGPL!A38</f>
        <v>37090</v>
      </c>
      <c r="E34" s="32" t="s">
        <v>87</v>
      </c>
      <c r="F34" s="32" t="s">
        <v>118</v>
      </c>
      <c r="G34" s="32" t="s">
        <v>158</v>
      </c>
      <c r="H34" s="32"/>
      <c r="I34" s="32"/>
    </row>
    <row r="35" spans="1:9" ht="15" customHeight="1" x14ac:dyDescent="0.2">
      <c r="A35" s="254" t="s">
        <v>97</v>
      </c>
      <c r="B35" s="393">
        <f>+C35*$H$4</f>
        <v>361955.9</v>
      </c>
      <c r="C35" s="421">
        <f>+Mojave!D40</f>
        <v>130670</v>
      </c>
      <c r="D35" s="417">
        <f>+Mojave!A40</f>
        <v>37090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150</v>
      </c>
      <c r="B36" s="395">
        <f>+C36*$H$4</f>
        <v>245784.87</v>
      </c>
      <c r="C36" s="421">
        <f>+PEPL!D41</f>
        <v>88731</v>
      </c>
      <c r="D36" s="417">
        <f>+PEPL!A41</f>
        <v>37090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">
      <c r="A37" s="254" t="s">
        <v>34</v>
      </c>
      <c r="B37" s="393">
        <f>+'El Paso'!E38*summary!H3+'El Paso'!C38*summary!H4</f>
        <v>224466.51</v>
      </c>
      <c r="C37" s="421">
        <f>+'El Paso'!H38</f>
        <v>85448</v>
      </c>
      <c r="D37" s="417">
        <f>+'El Paso'!A38</f>
        <v>37090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">
      <c r="A38" s="254" t="s">
        <v>32</v>
      </c>
      <c r="B38" s="393">
        <f>+C38*$H$4</f>
        <v>185002.76</v>
      </c>
      <c r="C38" s="421">
        <f>+Lonestar!F42</f>
        <v>66788</v>
      </c>
      <c r="D38" s="416">
        <f>+Lonestar!B42</f>
        <v>37090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">
      <c r="A39" s="254" t="s">
        <v>6</v>
      </c>
      <c r="B39" s="393">
        <f>+C39*$H$3</f>
        <v>151085.44</v>
      </c>
      <c r="C39" s="421">
        <f>+Amoco!D40</f>
        <v>62432</v>
      </c>
      <c r="D39" s="417">
        <f>+Amoco!A40</f>
        <v>37090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">
      <c r="A40" s="254" t="s">
        <v>7</v>
      </c>
      <c r="B40" s="393">
        <f>+C40*$H$4</f>
        <v>84252.32</v>
      </c>
      <c r="C40" s="422">
        <f>+Oasis!D40</f>
        <v>30416</v>
      </c>
      <c r="D40" s="417">
        <f>+Oasis!B40</f>
        <v>37090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2686.9</v>
      </c>
      <c r="C41" s="422">
        <f>+'PG&amp;E'!D40</f>
        <v>970</v>
      </c>
      <c r="D41" s="417">
        <f>+'PG&amp;E'!A40</f>
        <v>37090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2553.1</v>
      </c>
      <c r="C42" s="423">
        <f>+NW!$F$41</f>
        <v>1055</v>
      </c>
      <c r="D42" s="416">
        <f>+NW!B41</f>
        <v>37090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152</v>
      </c>
      <c r="B43" s="393">
        <f>SUM(B32:B42)</f>
        <v>2894032.21</v>
      </c>
      <c r="C43" s="422">
        <f>SUM(C32:C42)</f>
        <v>1097863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153</v>
      </c>
      <c r="B45" s="402">
        <f>+B43+B29</f>
        <v>6511754.2700000005</v>
      </c>
      <c r="C45" s="427">
        <f>+C43+C29</f>
        <v>2440549.7256497107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8" workbookViewId="3">
      <selection activeCell="D47" sqref="D4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2908455</v>
      </c>
      <c r="C39" s="150">
        <f>SUM(C8:C38)</f>
        <v>2898876</v>
      </c>
      <c r="D39" s="150">
        <f>SUM(D8:D38)</f>
        <v>238257</v>
      </c>
      <c r="E39" s="150">
        <f>SUM(E8:E38)</f>
        <v>235772</v>
      </c>
      <c r="F39" s="11">
        <f t="shared" si="5"/>
        <v>-12064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2.42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-29194.879999999997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37090</v>
      </c>
      <c r="C43" s="142"/>
      <c r="D43" s="142"/>
      <c r="E43" s="142"/>
      <c r="F43" s="252">
        <f>+F42+F41</f>
        <v>644848.80000000005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-1948459</v>
      </c>
      <c r="C36" s="24">
        <f>SUM(C5:C35)</f>
        <v>-1946321</v>
      </c>
      <c r="D36" s="24">
        <f t="shared" si="0"/>
        <v>2138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37090</v>
      </c>
      <c r="C40" s="24"/>
      <c r="D40" s="195">
        <f>+D36+D38</f>
        <v>30416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598893</v>
      </c>
      <c r="C5" s="90">
        <v>621209</v>
      </c>
      <c r="D5" s="90">
        <f>+C5-B5</f>
        <v>22316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542725</v>
      </c>
      <c r="C7" s="90">
        <v>429444</v>
      </c>
      <c r="D7" s="90">
        <f t="shared" si="0"/>
        <v>-113281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653889</v>
      </c>
      <c r="C8" s="90">
        <v>731875</v>
      </c>
      <c r="D8" s="90">
        <f t="shared" si="0"/>
        <v>77986</v>
      </c>
      <c r="E8" s="286"/>
      <c r="F8" s="284"/>
    </row>
    <row r="9" spans="1:13" x14ac:dyDescent="0.2">
      <c r="A9" s="87">
        <v>500293</v>
      </c>
      <c r="B9" s="90">
        <v>272209</v>
      </c>
      <c r="C9" s="90">
        <v>367670</v>
      </c>
      <c r="D9" s="90">
        <f t="shared" si="0"/>
        <v>95461</v>
      </c>
      <c r="E9" s="286"/>
      <c r="F9" s="284"/>
    </row>
    <row r="10" spans="1:13" x14ac:dyDescent="0.2">
      <c r="A10" s="87">
        <v>500302</v>
      </c>
      <c r="B10" s="321"/>
      <c r="C10" s="321">
        <v>6816</v>
      </c>
      <c r="D10" s="90">
        <f t="shared" si="0"/>
        <v>6816</v>
      </c>
      <c r="E10" s="286"/>
      <c r="F10" s="284"/>
    </row>
    <row r="11" spans="1:13" x14ac:dyDescent="0.2">
      <c r="A11" s="87">
        <v>500303</v>
      </c>
      <c r="B11" s="321">
        <v>120961</v>
      </c>
      <c r="C11" s="90">
        <v>196874</v>
      </c>
      <c r="D11" s="90">
        <f t="shared" si="0"/>
        <v>75913</v>
      </c>
      <c r="E11" s="286"/>
      <c r="F11" s="284"/>
    </row>
    <row r="12" spans="1:13" x14ac:dyDescent="0.2">
      <c r="A12" s="91">
        <v>500305</v>
      </c>
      <c r="B12" s="321">
        <v>569590</v>
      </c>
      <c r="C12" s="90">
        <v>812133</v>
      </c>
      <c r="D12" s="90">
        <f t="shared" si="0"/>
        <v>242543</v>
      </c>
      <c r="E12" s="287"/>
      <c r="F12" s="284"/>
    </row>
    <row r="13" spans="1:13" x14ac:dyDescent="0.2">
      <c r="A13" s="87">
        <v>500307</v>
      </c>
      <c r="B13" s="321">
        <v>79956</v>
      </c>
      <c r="C13" s="90">
        <v>96425</v>
      </c>
      <c r="D13" s="90">
        <f t="shared" si="0"/>
        <v>16469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1878</v>
      </c>
      <c r="D14" s="90">
        <f t="shared" si="0"/>
        <v>-662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419870</v>
      </c>
      <c r="C16" s="90"/>
      <c r="D16" s="90">
        <f t="shared" si="0"/>
        <v>-419870</v>
      </c>
      <c r="E16" s="286"/>
      <c r="F16" s="284"/>
    </row>
    <row r="17" spans="1:6" x14ac:dyDescent="0.2">
      <c r="A17" s="87">
        <v>500657</v>
      </c>
      <c r="B17" s="338">
        <v>98579</v>
      </c>
      <c r="C17" s="88">
        <v>108000</v>
      </c>
      <c r="D17" s="94">
        <f t="shared" si="0"/>
        <v>9421</v>
      </c>
      <c r="E17" s="286"/>
      <c r="F17" s="284"/>
    </row>
    <row r="18" spans="1:6" x14ac:dyDescent="0.2">
      <c r="A18" s="87"/>
      <c r="B18" s="88"/>
      <c r="C18" s="88"/>
      <c r="D18" s="88">
        <f>SUM(D5:D17)</f>
        <v>13112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2.77</v>
      </c>
      <c r="E19" s="288"/>
      <c r="F19" s="284"/>
    </row>
    <row r="20" spans="1:6" x14ac:dyDescent="0.2">
      <c r="A20" s="87"/>
      <c r="B20" s="88"/>
      <c r="C20" s="88"/>
      <c r="D20" s="96">
        <f>+D19*D18</f>
        <v>36320.239999999998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37090</v>
      </c>
      <c r="B24" s="88"/>
      <c r="C24" s="88"/>
      <c r="D24" s="337">
        <f>+D22+D20</f>
        <v>62476.97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38012</v>
      </c>
      <c r="C21" s="11">
        <v>35773</v>
      </c>
      <c r="D21" s="11">
        <v>35718</v>
      </c>
      <c r="E21" s="11">
        <v>40000</v>
      </c>
      <c r="F21" s="25">
        <f t="shared" si="0"/>
        <v>2043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820616</v>
      </c>
      <c r="C35" s="11">
        <f>SUM(C4:C34)</f>
        <v>824391</v>
      </c>
      <c r="D35" s="11">
        <f>SUM(D4:D34)</f>
        <v>547087</v>
      </c>
      <c r="E35" s="11">
        <f>SUM(E4:E34)</f>
        <v>557144</v>
      </c>
      <c r="F35" s="11">
        <f>+E35-D35+C35-B35</f>
        <v>13832</v>
      </c>
    </row>
    <row r="36" spans="1:7" x14ac:dyDescent="0.2">
      <c r="A36" s="45"/>
      <c r="C36" s="14">
        <f>+C35-B35</f>
        <v>3775</v>
      </c>
      <c r="D36" s="14"/>
      <c r="E36" s="14">
        <f>+E35-D35</f>
        <v>10057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10456.75</v>
      </c>
      <c r="D38" s="47"/>
      <c r="E38" s="48">
        <f>+E37*E36</f>
        <v>27857.89</v>
      </c>
      <c r="F38" s="46">
        <f>+E38+C38</f>
        <v>38314.639999999999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37090</v>
      </c>
      <c r="C41" s="106">
        <f>+C40+C38</f>
        <v>2428094.64</v>
      </c>
      <c r="D41" s="106"/>
      <c r="E41" s="106">
        <f>+E40+E38</f>
        <v>-1880831.6900000002</v>
      </c>
      <c r="F41" s="106">
        <f>+E41+C41</f>
        <v>547262.94999999995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3030462</v>
      </c>
      <c r="C36" s="11">
        <f>SUM(C5:C35)</f>
        <v>3583169</v>
      </c>
      <c r="D36" s="11">
        <f>SUM(D5:D35)</f>
        <v>0</v>
      </c>
      <c r="E36" s="11">
        <f>SUM(E5:E35)</f>
        <v>-562886</v>
      </c>
      <c r="F36" s="11">
        <f>SUM(F5:F35)</f>
        <v>-10179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37090</v>
      </c>
      <c r="F41" s="357">
        <f>+F39+F36</f>
        <v>1055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1543706</v>
      </c>
      <c r="C39" s="11">
        <f>SUM(C8:C38)</f>
        <v>1531458</v>
      </c>
      <c r="D39" s="11">
        <f>SUM(D8:D38)</f>
        <v>-12248</v>
      </c>
      <c r="E39" s="10"/>
      <c r="F39" s="11"/>
      <c r="G39" s="11"/>
      <c r="H39" s="11"/>
    </row>
    <row r="40" spans="1:8" x14ac:dyDescent="0.2">
      <c r="A40" s="26"/>
      <c r="D40" s="75">
        <f>+summary!H4</f>
        <v>2.77</v>
      </c>
      <c r="E40" s="26"/>
      <c r="H40" s="75"/>
    </row>
    <row r="41" spans="1:8" x14ac:dyDescent="0.2">
      <c r="D41" s="197">
        <f>+D40*D39</f>
        <v>-33926.959999999999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37090</v>
      </c>
      <c r="D43" s="198">
        <f>+D42+D41</f>
        <v>14952.129999999997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9" workbookViewId="3">
      <selection activeCell="E53" sqref="E53:E5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37090</v>
      </c>
      <c r="G7" s="32"/>
      <c r="H7" s="15"/>
      <c r="I7" s="32"/>
      <c r="J7" s="32"/>
    </row>
    <row r="8" spans="1:10" x14ac:dyDescent="0.2">
      <c r="A8" s="254">
        <v>60874</v>
      </c>
      <c r="B8" s="365">
        <v>2939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">
      <c r="B16" s="14">
        <f>SUM(B8:B15)</f>
        <v>59891</v>
      </c>
      <c r="G16" s="32"/>
      <c r="H16" s="15"/>
      <c r="I16" s="32"/>
      <c r="J16" s="32"/>
    </row>
    <row r="17" spans="1:10" x14ac:dyDescent="0.2">
      <c r="B17" s="15">
        <f>+B30</f>
        <v>2.77</v>
      </c>
      <c r="C17" s="201">
        <f>+B17*B16</f>
        <v>165898.07</v>
      </c>
      <c r="G17" s="32"/>
      <c r="H17" s="15"/>
      <c r="I17" s="32"/>
      <c r="J17" s="32"/>
    </row>
    <row r="18" spans="1:10" x14ac:dyDescent="0.2">
      <c r="C18" s="342">
        <f>+C17+C5</f>
        <v>1145142.49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37090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2.77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37090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4363</v>
      </c>
    </row>
    <row r="43" spans="1:6" x14ac:dyDescent="0.2">
      <c r="A43" s="32">
        <v>500392</v>
      </c>
      <c r="B43" s="258">
        <v>1269</v>
      </c>
    </row>
    <row r="44" spans="1:6" x14ac:dyDescent="0.2">
      <c r="B44" s="14">
        <f>SUM(B41:B43)</f>
        <v>5632</v>
      </c>
    </row>
    <row r="45" spans="1:6" x14ac:dyDescent="0.2">
      <c r="B45" s="201">
        <f>+B30</f>
        <v>2.77</v>
      </c>
      <c r="C45" s="201">
        <f>+B45*B44</f>
        <v>15600.64</v>
      </c>
    </row>
    <row r="46" spans="1:6" x14ac:dyDescent="0.2">
      <c r="C46" s="342">
        <f>+C45+C38</f>
        <v>718070.01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2513430.31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" sqref="B1"/>
    </sheetView>
  </sheetViews>
  <sheetFormatPr defaultRowHeight="12.75" x14ac:dyDescent="0.2"/>
  <cols>
    <col min="3" max="3" width="9.85546875" bestFit="1" customWidth="1"/>
    <col min="6" max="6" width="12.28515625" bestFit="1" customWidth="1"/>
    <col min="7" max="7" width="9.285156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432204</v>
      </c>
      <c r="E35" s="11">
        <f t="shared" si="1"/>
        <v>426905</v>
      </c>
      <c r="F35" s="11">
        <f t="shared" si="1"/>
        <v>100014</v>
      </c>
      <c r="G35" s="11">
        <f t="shared" si="1"/>
        <v>92257</v>
      </c>
      <c r="H35" s="11">
        <f t="shared" si="1"/>
        <v>-13073</v>
      </c>
      <c r="I35" s="11"/>
      <c r="J35" s="11"/>
    </row>
    <row r="36" spans="1:10" x14ac:dyDescent="0.2">
      <c r="C36" s="25">
        <f>+C35-B35</f>
        <v>-17</v>
      </c>
      <c r="E36" s="25"/>
      <c r="H36" s="25">
        <f>+E36+C36</f>
        <v>-17</v>
      </c>
    </row>
    <row r="37" spans="1:10" x14ac:dyDescent="0.2">
      <c r="C37" s="331">
        <f>+summary!H5</f>
        <v>2.96</v>
      </c>
      <c r="E37" s="331"/>
      <c r="H37" s="331">
        <f>+E37</f>
        <v>0</v>
      </c>
    </row>
    <row r="38" spans="1:10" x14ac:dyDescent="0.2">
      <c r="C38" s="138">
        <f>+C37*C36</f>
        <v>-50.32</v>
      </c>
      <c r="E38" s="138"/>
      <c r="H38" s="138">
        <f>+H37*H36</f>
        <v>0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>
        <f>+H39+H44+H45+H46+H47+H48+H49</f>
        <v>-2125227.56</v>
      </c>
    </row>
    <row r="40" spans="1:10" x14ac:dyDescent="0.2">
      <c r="A40" s="57">
        <v>37090</v>
      </c>
      <c r="B40" s="2" t="s">
        <v>46</v>
      </c>
      <c r="C40" s="332">
        <f>+C39+C38</f>
        <v>-1023143.21</v>
      </c>
      <c r="D40" s="260"/>
      <c r="E40" s="332"/>
      <c r="G40" s="332">
        <f>+G39+G38</f>
        <v>-436546.2</v>
      </c>
      <c r="H40" s="332">
        <f>+H39+H38</f>
        <v>-1459639.09</v>
      </c>
      <c r="I40" s="131"/>
      <c r="J40" s="131">
        <f>+Duke!C5+Duke!C24+Duke!C38+Duke!C51+Duke!C52+Duke!C53+Duke!C54+Duke!C55+Duke!C56+Duke!C57+Duke!C58+Duke!C59+Duke!C60+Duke!C62</f>
        <v>2331998.88</v>
      </c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-2125227.56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145</v>
      </c>
      <c r="H52" s="138">
        <f>+Duke!C63</f>
        <v>2513430.31</v>
      </c>
    </row>
    <row r="54" spans="3:9" x14ac:dyDescent="0.2">
      <c r="H54" s="104">
        <f>+H52+H50</f>
        <v>388202.75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16" sqref="G1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/>
      <c r="I24" s="11">
        <v>1699</v>
      </c>
      <c r="J24" s="25">
        <f t="shared" si="0"/>
        <v>1919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/>
      <c r="I25" s="11">
        <v>1699</v>
      </c>
      <c r="J25" s="25">
        <f t="shared" si="0"/>
        <v>1881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19560</v>
      </c>
      <c r="G39" s="11">
        <f t="shared" si="1"/>
        <v>22314</v>
      </c>
      <c r="H39" s="11">
        <f t="shared" si="1"/>
        <v>23155</v>
      </c>
      <c r="I39" s="11">
        <f t="shared" si="1"/>
        <v>30552</v>
      </c>
      <c r="J39" s="25">
        <f t="shared" si="1"/>
        <v>10151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28118.27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37090</v>
      </c>
      <c r="C43" s="48"/>
      <c r="J43" s="138">
        <f>+J42+J41</f>
        <v>376903.56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211144</v>
      </c>
      <c r="C39" s="11">
        <f>SUM(C8:C38)</f>
        <v>193888</v>
      </c>
      <c r="D39" s="11">
        <f>SUM(D8:D38)</f>
        <v>-3629</v>
      </c>
      <c r="E39" s="11">
        <f>SUM(E8:E38)</f>
        <v>0</v>
      </c>
      <c r="F39" s="11">
        <f>SUM(F8:F38)</f>
        <v>-13627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-37746.79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37090</v>
      </c>
      <c r="C43" s="48"/>
      <c r="D43" s="48"/>
      <c r="E43" s="48"/>
      <c r="F43" s="110">
        <f>+F42+F41</f>
        <v>505133.08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abSelected="1" topLeftCell="A24" workbookViewId="2">
      <selection activeCell="G40" sqref="G40"/>
    </sheetView>
    <sheetView tabSelected="1" workbookViewId="3">
      <selection activeCell="G10" sqref="G10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2.42</v>
      </c>
    </row>
    <row r="4" spans="1:32" ht="15" customHeight="1" x14ac:dyDescent="0.2">
      <c r="A4" s="34" t="s">
        <v>168</v>
      </c>
      <c r="C4" s="34" t="s">
        <v>5</v>
      </c>
      <c r="G4" s="302" t="s">
        <v>31</v>
      </c>
      <c r="H4" s="303">
        <f>+'[1]0701'!$M$39</f>
        <v>2.77</v>
      </c>
    </row>
    <row r="5" spans="1:32" ht="15" customHeight="1" x14ac:dyDescent="0.2">
      <c r="G5" s="301" t="s">
        <v>120</v>
      </c>
      <c r="H5" s="390">
        <f>+'[1]0701'!$H$39</f>
        <v>2.96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169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90</v>
      </c>
      <c r="B8" s="393">
        <f>+NNG!$D$24</f>
        <v>838400.95</v>
      </c>
      <c r="C8" s="286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29</v>
      </c>
      <c r="B9" s="393">
        <f>+C9*$H$3</f>
        <v>778572.08</v>
      </c>
      <c r="C9" s="286">
        <f>+williams!J40</f>
        <v>321724</v>
      </c>
      <c r="D9" s="416">
        <f>+williams!A40</f>
        <v>37090</v>
      </c>
      <c r="E9" s="206" t="s">
        <v>87</v>
      </c>
      <c r="F9" s="206" t="s">
        <v>167</v>
      </c>
      <c r="G9" s="32" t="s">
        <v>154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644848.80000000005</v>
      </c>
      <c r="C10" s="396">
        <f>+B10/$H$3</f>
        <v>266466.44628099177</v>
      </c>
      <c r="D10" s="416">
        <f>+'Red C'!B43</f>
        <v>37090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547262.94999999995</v>
      </c>
      <c r="C11" s="286">
        <f>+B11/$H$4</f>
        <v>197567.85198555954</v>
      </c>
      <c r="D11" s="416">
        <f>+Conoco!A41</f>
        <v>37090</v>
      </c>
      <c r="E11" s="32" t="s">
        <v>88</v>
      </c>
      <c r="F11" s="32" t="s">
        <v>116</v>
      </c>
      <c r="G11" s="32" t="s">
        <v>155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4" t="s">
        <v>110</v>
      </c>
      <c r="B12" s="393">
        <f>+KN_Westar!F41</f>
        <v>524235.18999999994</v>
      </c>
      <c r="C12" s="286">
        <f>+B12/$H$4</f>
        <v>189254.58122743681</v>
      </c>
      <c r="D12" s="417">
        <f>+KN_Westar!A41</f>
        <v>37090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3</v>
      </c>
      <c r="B13" s="393">
        <f>+'Amoco Abo'!$F$43</f>
        <v>505133.08</v>
      </c>
      <c r="C13" s="286">
        <f>+B13/$H$4</f>
        <v>182358.51263537907</v>
      </c>
      <c r="D13" s="417">
        <f>+'Amoco Abo'!A43</f>
        <v>37090</v>
      </c>
      <c r="E13" s="32" t="s">
        <v>88</v>
      </c>
      <c r="F13" s="32" t="s">
        <v>118</v>
      </c>
      <c r="G13" s="32" t="s">
        <v>160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92" t="s">
        <v>33</v>
      </c>
      <c r="B14" s="393">
        <f>+C14*$H$4</f>
        <v>473786.34</v>
      </c>
      <c r="C14" s="208">
        <f>+SoCal!F40</f>
        <v>171042</v>
      </c>
      <c r="D14" s="416">
        <f>+SoCal!A40</f>
        <v>37090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85</v>
      </c>
      <c r="B15" s="393">
        <f>+PNM!$D$23</f>
        <v>437920.28</v>
      </c>
      <c r="C15" s="286">
        <f>+B15/$H$4</f>
        <v>158093.96389891699</v>
      </c>
      <c r="D15" s="417">
        <f>+PNM!A23</f>
        <v>37090</v>
      </c>
      <c r="E15" s="32" t="s">
        <v>88</v>
      </c>
      <c r="F15" s="32" t="s">
        <v>118</v>
      </c>
      <c r="G15" s="32" t="s">
        <v>157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131</v>
      </c>
      <c r="B16" s="393">
        <f>+DEFS!H54</f>
        <v>388202.75</v>
      </c>
      <c r="C16" s="208">
        <f>+B16/$H$4</f>
        <v>140145.39711191336</v>
      </c>
      <c r="D16" s="417">
        <f>+DEFS!A40</f>
        <v>37090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91</v>
      </c>
      <c r="B17" s="393">
        <f>+C17*$H$4</f>
        <v>383885.99</v>
      </c>
      <c r="C17" s="286">
        <f>+NGPL!F38</f>
        <v>138587</v>
      </c>
      <c r="D17" s="417">
        <f>+NGPL!A38</f>
        <v>37090</v>
      </c>
      <c r="E17" s="32" t="s">
        <v>87</v>
      </c>
      <c r="F17" s="32" t="s">
        <v>118</v>
      </c>
      <c r="G17" s="32" t="s">
        <v>158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2</v>
      </c>
      <c r="B18" s="393">
        <f>+mewborne!$J$43</f>
        <v>376903.56</v>
      </c>
      <c r="C18" s="286">
        <f>+B18/$H$4</f>
        <v>136066.26714801445</v>
      </c>
      <c r="D18" s="417">
        <f>+mewborne!A43</f>
        <v>37090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97</v>
      </c>
      <c r="B19" s="393">
        <f>+C19*$H$4</f>
        <v>361955.9</v>
      </c>
      <c r="C19" s="286">
        <f>+Mojave!D40</f>
        <v>130670</v>
      </c>
      <c r="D19" s="417">
        <f>+Mojave!A40</f>
        <v>37090</v>
      </c>
      <c r="E19" s="32" t="s">
        <v>87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113</v>
      </c>
      <c r="B20" s="393">
        <f>+CIG!D43</f>
        <v>326755</v>
      </c>
      <c r="C20" s="286">
        <f>+B20/$H$4</f>
        <v>117962.09386281588</v>
      </c>
      <c r="D20" s="417">
        <f>+CIG!A43</f>
        <v>37090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133</v>
      </c>
      <c r="B21" s="393">
        <f>+PGETX!$H$39</f>
        <v>314543.35999999999</v>
      </c>
      <c r="C21" s="286">
        <f>+B21/$H$4</f>
        <v>113553.55956678699</v>
      </c>
      <c r="D21" s="417">
        <f>+PGETX!E39</f>
        <v>37090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150</v>
      </c>
      <c r="B22" s="395">
        <f>+C22*$H$4</f>
        <v>245784.87</v>
      </c>
      <c r="C22" s="396">
        <f>+PEPL!D41</f>
        <v>88731</v>
      </c>
      <c r="D22" s="417">
        <f>+PEPL!A41</f>
        <v>37090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106</v>
      </c>
      <c r="B23" s="393">
        <f>+EOG!J41</f>
        <v>245024.72999999998</v>
      </c>
      <c r="C23" s="286">
        <f>+B23/$H$4</f>
        <v>88456.581227436822</v>
      </c>
      <c r="D23" s="416">
        <f>+EOG!A41</f>
        <v>37090</v>
      </c>
      <c r="E23" s="32" t="s">
        <v>88</v>
      </c>
      <c r="F23" s="32" t="s">
        <v>105</v>
      </c>
      <c r="G23" s="32" t="s">
        <v>164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34</v>
      </c>
      <c r="B24" s="393">
        <f>+'El Paso'!C38*summary!H4+'El Paso'!E38*summary!H3</f>
        <v>224466.51</v>
      </c>
      <c r="C24" s="286">
        <f>+'El Paso'!H38</f>
        <v>85448</v>
      </c>
      <c r="D24" s="417">
        <f>+'El Paso'!A38</f>
        <v>37090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32</v>
      </c>
      <c r="B25" s="393">
        <f>+C25*$H$4</f>
        <v>185002.76</v>
      </c>
      <c r="C25" s="286">
        <f>+Lonestar!F42</f>
        <v>66788</v>
      </c>
      <c r="D25" s="416">
        <f>+Lonestar!B42</f>
        <v>37090</v>
      </c>
      <c r="E25" s="32" t="s">
        <v>87</v>
      </c>
      <c r="F25" s="32" t="s">
        <v>105</v>
      </c>
      <c r="G25" s="32" t="s">
        <v>166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6</v>
      </c>
      <c r="B26" s="393">
        <f>+C26*$H$3</f>
        <v>151085.44</v>
      </c>
      <c r="C26" s="286">
        <f>+Amoco!D40</f>
        <v>62432</v>
      </c>
      <c r="D26" s="417">
        <f>+Amoco!A40</f>
        <v>37090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7</v>
      </c>
      <c r="B27" s="393">
        <f>+C27*$H$4</f>
        <v>84252.32</v>
      </c>
      <c r="C27" s="208">
        <f>+Oasis!D40</f>
        <v>30416</v>
      </c>
      <c r="D27" s="417">
        <f>+Oasis!B40</f>
        <v>37090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137</v>
      </c>
      <c r="B28" s="393">
        <f>+SidR!D41</f>
        <v>63947.839999999997</v>
      </c>
      <c r="C28" s="286">
        <f>+B28/$H$4</f>
        <v>23085.862815884477</v>
      </c>
      <c r="D28" s="417">
        <f>+SidR!A41</f>
        <v>37090</v>
      </c>
      <c r="E28" s="32" t="s">
        <v>88</v>
      </c>
      <c r="F28" s="32" t="s">
        <v>105</v>
      </c>
      <c r="G28" s="32" t="s">
        <v>165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392" t="s">
        <v>82</v>
      </c>
      <c r="B29" s="393">
        <f>+Agave!$D$24</f>
        <v>62476.97</v>
      </c>
      <c r="C29" s="208">
        <f>+B29/$H$4</f>
        <v>22554.862815884477</v>
      </c>
      <c r="D29" s="416">
        <f>+Agave!A24</f>
        <v>37090</v>
      </c>
      <c r="E29" s="206" t="s">
        <v>88</v>
      </c>
      <c r="F29" s="206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4" t="s">
        <v>74</v>
      </c>
      <c r="B30" s="395">
        <f>+transcol!$D$43</f>
        <v>14952.129999999997</v>
      </c>
      <c r="C30" s="396">
        <f>+B30/$H$4</f>
        <v>5397.8808664259914</v>
      </c>
      <c r="D30" s="417">
        <f>+transcol!A43</f>
        <v>37090</v>
      </c>
      <c r="E30" s="32" t="s">
        <v>88</v>
      </c>
      <c r="F30" s="32" t="s">
        <v>118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92" t="s">
        <v>132</v>
      </c>
      <c r="B31" s="393">
        <f>+Calpine!D41</f>
        <v>11220.039999999979</v>
      </c>
      <c r="C31" s="208">
        <f>+B31/$H$4</f>
        <v>4050.5559566786928</v>
      </c>
      <c r="D31" s="416">
        <f>+Calpine!A41</f>
        <v>37090</v>
      </c>
      <c r="E31" s="206" t="s">
        <v>88</v>
      </c>
      <c r="F31" s="206" t="s">
        <v>102</v>
      </c>
      <c r="G31" s="400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254" t="s">
        <v>117</v>
      </c>
      <c r="B32" s="393">
        <f>+C32*$H$4</f>
        <v>2686.9</v>
      </c>
      <c r="C32" s="208">
        <f>+'PG&amp;E'!D40</f>
        <v>970</v>
      </c>
      <c r="D32" s="417">
        <f>+'PG&amp;E'!A40</f>
        <v>37090</v>
      </c>
      <c r="E32" s="32" t="s">
        <v>87</v>
      </c>
      <c r="F32" s="32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7.100000000000001" customHeight="1" x14ac:dyDescent="0.2">
      <c r="A33" s="254" t="s">
        <v>1</v>
      </c>
      <c r="B33" s="397">
        <f>+C33*$H$3</f>
        <v>2553.1</v>
      </c>
      <c r="C33" s="398">
        <f>+NW!$F$41</f>
        <v>1055</v>
      </c>
      <c r="D33" s="416">
        <f>+NW!B41</f>
        <v>37090</v>
      </c>
      <c r="E33" s="32" t="s">
        <v>87</v>
      </c>
      <c r="F33" s="32" t="s">
        <v>118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8195859.8400000017</v>
      </c>
      <c r="C34" s="69">
        <f>SUM(C8:C33)</f>
        <v>3045549.240504818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99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9" t="s">
        <v>92</v>
      </c>
      <c r="B36" s="360" t="s">
        <v>17</v>
      </c>
      <c r="C36" s="361" t="s">
        <v>0</v>
      </c>
      <c r="D36" s="370" t="s">
        <v>169</v>
      </c>
      <c r="E36" s="359" t="s">
        <v>93</v>
      </c>
      <c r="F36" s="362" t="s">
        <v>104</v>
      </c>
      <c r="G36" s="359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92" t="s">
        <v>141</v>
      </c>
      <c r="B37" s="393">
        <f>+Citizens!D18</f>
        <v>-878957.71000000008</v>
      </c>
      <c r="C37" s="208">
        <f>+B37/$H$4</f>
        <v>-317313.25270758127</v>
      </c>
      <c r="D37" s="416">
        <f>+Citizens!A18</f>
        <v>37090</v>
      </c>
      <c r="E37" s="206" t="s">
        <v>88</v>
      </c>
      <c r="F37" s="206" t="s">
        <v>102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139</v>
      </c>
      <c r="B38" s="393">
        <f>+'NS Steel'!D41</f>
        <v>-389619.1</v>
      </c>
      <c r="C38" s="208">
        <f>+B38/$H$4</f>
        <v>-140656.71480144403</v>
      </c>
      <c r="D38" s="417">
        <f>+'NS Steel'!A41</f>
        <v>37090</v>
      </c>
      <c r="E38" s="32" t="s">
        <v>88</v>
      </c>
      <c r="F38" s="32" t="s">
        <v>103</v>
      </c>
      <c r="G38" s="400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4" t="s">
        <v>146</v>
      </c>
      <c r="B39" s="393">
        <f>+'Citizens-Griffith'!D41</f>
        <v>-215174.39999999999</v>
      </c>
      <c r="C39" s="286">
        <f>+B39/$H$4</f>
        <v>-77680.288808664263</v>
      </c>
      <c r="D39" s="416">
        <f>+'Citizens-Griffith'!A41</f>
        <v>37090</v>
      </c>
      <c r="E39" s="32" t="s">
        <v>88</v>
      </c>
      <c r="F39" s="32" t="s">
        <v>102</v>
      </c>
      <c r="G39" s="32" t="s">
        <v>162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4" t="s">
        <v>135</v>
      </c>
      <c r="B40" s="393">
        <f>+EPFS!D41</f>
        <v>-168051.1</v>
      </c>
      <c r="C40" s="208">
        <f>+B40/$H$5</f>
        <v>-56774.020270270274</v>
      </c>
      <c r="D40" s="416">
        <f>+EPFS!A41</f>
        <v>37090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92" t="s">
        <v>98</v>
      </c>
      <c r="B41" s="393">
        <f>+burlington!D42</f>
        <v>-17494.18</v>
      </c>
      <c r="C41" s="286">
        <f>+B41/$H$3</f>
        <v>-7229</v>
      </c>
      <c r="D41" s="416">
        <f>+burlington!A42</f>
        <v>37090</v>
      </c>
      <c r="E41" s="206" t="s">
        <v>88</v>
      </c>
      <c r="F41" s="32" t="s">
        <v>116</v>
      </c>
      <c r="G41" s="32" t="s">
        <v>163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112</v>
      </c>
      <c r="B42" s="397">
        <f>+Continental!F43</f>
        <v>-14809.08</v>
      </c>
      <c r="C42" s="398">
        <f>+B42/$H$4</f>
        <v>-5346.2382671480145</v>
      </c>
      <c r="D42" s="417">
        <f>+Continental!A43</f>
        <v>37090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SUM(B37:B42)</f>
        <v>-1684105.57</v>
      </c>
      <c r="C43" s="208">
        <f>SUM(C37:C42)</f>
        <v>-604999.51485510787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+B43+B34</f>
        <v>6511754.2700000014</v>
      </c>
      <c r="C45" s="403">
        <f>+C43+C34</f>
        <v>2440549.7256497103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v>-568189</v>
      </c>
      <c r="C8" s="80"/>
      <c r="D8" s="80">
        <f t="shared" si="0"/>
        <v>568189</v>
      </c>
      <c r="H8" s="255"/>
    </row>
    <row r="9" spans="1:8" x14ac:dyDescent="0.2">
      <c r="A9" s="32">
        <v>60749</v>
      </c>
      <c r="B9" s="325">
        <v>1017272</v>
      </c>
      <c r="C9" s="80">
        <v>263234</v>
      </c>
      <c r="D9" s="80">
        <f t="shared" si="0"/>
        <v>-754038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-37741</v>
      </c>
      <c r="C11" s="80"/>
      <c r="D11" s="80">
        <f t="shared" si="0"/>
        <v>37741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-62139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-172125.03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37090</v>
      </c>
      <c r="B24" s="69"/>
      <c r="C24" s="69"/>
      <c r="D24" s="355">
        <f>+D22+D20</f>
        <v>838400.95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-42415</v>
      </c>
      <c r="C5" s="90">
        <v>-29426</v>
      </c>
      <c r="D5" s="90">
        <f t="shared" ref="D5:D13" si="0">+C5-B5</f>
        <v>12989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-1791130</v>
      </c>
      <c r="C7" s="90">
        <v>-1877259</v>
      </c>
      <c r="D7" s="90">
        <f t="shared" si="0"/>
        <v>-86129</v>
      </c>
      <c r="E7" s="286"/>
      <c r="F7" s="70"/>
    </row>
    <row r="8" spans="1:13" x14ac:dyDescent="0.2">
      <c r="A8" s="87">
        <v>58710</v>
      </c>
      <c r="B8" s="368">
        <v>-17917</v>
      </c>
      <c r="C8" s="90">
        <v>-1023</v>
      </c>
      <c r="D8" s="90">
        <f t="shared" si="0"/>
        <v>16894</v>
      </c>
      <c r="E8" s="286"/>
      <c r="F8" s="70"/>
    </row>
    <row r="9" spans="1:13" x14ac:dyDescent="0.2">
      <c r="A9" s="87">
        <v>60921</v>
      </c>
      <c r="B9" s="321">
        <v>1456035</v>
      </c>
      <c r="C9" s="90">
        <v>1420920</v>
      </c>
      <c r="D9" s="90">
        <f t="shared" si="0"/>
        <v>-35115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33692</v>
      </c>
      <c r="D10" s="90">
        <f t="shared" si="0"/>
        <v>9201</v>
      </c>
      <c r="E10" s="286"/>
      <c r="F10" s="284"/>
    </row>
    <row r="11" spans="1:13" x14ac:dyDescent="0.2">
      <c r="A11" s="87">
        <v>500084</v>
      </c>
      <c r="B11" s="368">
        <v>-7609</v>
      </c>
      <c r="C11" s="90">
        <v>-18000</v>
      </c>
      <c r="D11" s="90">
        <f t="shared" si="0"/>
        <v>-10391</v>
      </c>
      <c r="E11" s="287"/>
      <c r="F11" s="284"/>
    </row>
    <row r="12" spans="1:13" x14ac:dyDescent="0.2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-92039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2.77</v>
      </c>
      <c r="E18" s="288"/>
      <c r="F18" s="284"/>
    </row>
    <row r="19" spans="1:7" x14ac:dyDescent="0.2">
      <c r="A19" s="87"/>
      <c r="B19" s="88"/>
      <c r="C19" s="88"/>
      <c r="D19" s="96">
        <f>+D18*D17</f>
        <v>-254948.03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37090</v>
      </c>
      <c r="B23" s="88"/>
      <c r="C23" s="88"/>
      <c r="D23" s="337">
        <f>+D21+D19</f>
        <v>437920.28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7" workbookViewId="3">
      <selection activeCell="C21" sqref="C2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/>
      <c r="C21" s="350"/>
      <c r="D21" s="14"/>
      <c r="E21" s="14"/>
      <c r="F21" s="90">
        <f t="shared" si="0"/>
        <v>0</v>
      </c>
    </row>
    <row r="22" spans="1:6" x14ac:dyDescent="0.2">
      <c r="A22">
        <v>20</v>
      </c>
      <c r="B22" s="350"/>
      <c r="C22" s="350"/>
      <c r="D22" s="14"/>
      <c r="E22" s="14"/>
      <c r="F22" s="90">
        <f t="shared" si="0"/>
        <v>0</v>
      </c>
    </row>
    <row r="23" spans="1:6" x14ac:dyDescent="0.2">
      <c r="A23">
        <v>21</v>
      </c>
      <c r="B23" s="350"/>
      <c r="C23" s="350"/>
      <c r="D23" s="14"/>
      <c r="E23" s="14"/>
      <c r="F23" s="90">
        <f t="shared" si="0"/>
        <v>0</v>
      </c>
    </row>
    <row r="24" spans="1:6" x14ac:dyDescent="0.2">
      <c r="A24">
        <v>22</v>
      </c>
      <c r="B24" s="350"/>
      <c r="C24" s="350"/>
      <c r="D24" s="14"/>
      <c r="E24" s="14"/>
      <c r="F24" s="90">
        <f t="shared" si="0"/>
        <v>0</v>
      </c>
    </row>
    <row r="25" spans="1:6" x14ac:dyDescent="0.2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843656</v>
      </c>
      <c r="C34" s="298">
        <f>SUM(C3:C33)</f>
        <v>789904</v>
      </c>
      <c r="D34" s="14">
        <f>SUM(D3:D33)</f>
        <v>-1</v>
      </c>
      <c r="E34" s="14">
        <f>SUM(E3:E33)</f>
        <v>0</v>
      </c>
      <c r="F34" s="14">
        <f>SUM(F3:F33)</f>
        <v>-53751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37090</v>
      </c>
      <c r="B38" s="14"/>
      <c r="C38" s="14"/>
      <c r="D38" s="14"/>
      <c r="E38" s="14"/>
      <c r="F38" s="150">
        <f>+F37+F34</f>
        <v>138587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-721313</v>
      </c>
      <c r="C35" s="11">
        <f>SUM(C4:C34)</f>
        <v>-723738</v>
      </c>
      <c r="D35" s="11">
        <f>SUM(D4:D34)</f>
        <v>-2425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37090</v>
      </c>
      <c r="D40" s="51">
        <f>+D38+D35</f>
        <v>130670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E22" sqref="E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445846</v>
      </c>
      <c r="C35" s="11">
        <f t="shared" ref="C35:I35" si="1">SUM(C4:C34)</f>
        <v>425939</v>
      </c>
      <c r="D35" s="11">
        <f t="shared" si="1"/>
        <v>160775</v>
      </c>
      <c r="E35" s="11">
        <f t="shared" si="1"/>
        <v>157518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1474</v>
      </c>
      <c r="J35" s="11">
        <f>SUM(J4:J34)</f>
        <v>-32138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-89022.26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37090</v>
      </c>
      <c r="J41" s="340">
        <f>+J39+J37</f>
        <v>245024.72999999998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5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-1025328</v>
      </c>
      <c r="E37" s="24">
        <f>SUM(E6:E36)</f>
        <v>-1036598</v>
      </c>
      <c r="F37" s="24">
        <f>SUM(F6:F36)</f>
        <v>-11270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2.77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-31217.9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37090</v>
      </c>
      <c r="E41" s="14"/>
      <c r="F41" s="104">
        <f>+F40+F39</f>
        <v>524235.18999999994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2" sqref="A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2.77</v>
      </c>
    </row>
    <row r="41" spans="1:6" x14ac:dyDescent="0.2">
      <c r="F41" s="138">
        <f>+F40*F39</f>
        <v>-839.31000000000006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37090</v>
      </c>
      <c r="C43" s="48"/>
      <c r="F43" s="138">
        <f>+F42+F41</f>
        <v>-14809.08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2.77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37090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136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-40812</v>
      </c>
      <c r="C19" s="11">
        <v>-48975</v>
      </c>
      <c r="D19" s="25">
        <f t="shared" si="0"/>
        <v>-8163</v>
      </c>
    </row>
    <row r="20" spans="1:4" x14ac:dyDescent="0.2">
      <c r="A20" s="10">
        <v>15</v>
      </c>
      <c r="B20" s="11">
        <v>-66605</v>
      </c>
      <c r="C20" s="11">
        <v>-30000</v>
      </c>
      <c r="D20" s="25">
        <f t="shared" si="0"/>
        <v>36605</v>
      </c>
    </row>
    <row r="21" spans="1:4" x14ac:dyDescent="0.2">
      <c r="A21" s="10">
        <v>16</v>
      </c>
      <c r="B21" s="11">
        <v>-67805</v>
      </c>
      <c r="C21" s="11">
        <v>-53655</v>
      </c>
      <c r="D21" s="25">
        <f t="shared" si="0"/>
        <v>14150</v>
      </c>
    </row>
    <row r="22" spans="1:4" x14ac:dyDescent="0.2">
      <c r="A22" s="10">
        <v>17</v>
      </c>
      <c r="B22" s="11">
        <v>-73221</v>
      </c>
      <c r="C22" s="11">
        <v>-50000</v>
      </c>
      <c r="D22" s="25">
        <f t="shared" si="0"/>
        <v>23221</v>
      </c>
    </row>
    <row r="23" spans="1:4" x14ac:dyDescent="0.2">
      <c r="A23" s="10">
        <v>18</v>
      </c>
      <c r="B23" s="11">
        <v>-62021</v>
      </c>
      <c r="C23" s="11">
        <v>-68300</v>
      </c>
      <c r="D23" s="25">
        <f t="shared" si="0"/>
        <v>-6279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-1116245</v>
      </c>
      <c r="C37" s="11">
        <f>SUM(C6:C36)</f>
        <v>-977648</v>
      </c>
      <c r="D37" s="25">
        <f>SUM(D6:D36)</f>
        <v>138597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383913.69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37090</v>
      </c>
      <c r="C41" s="48"/>
      <c r="D41" s="138">
        <f>+D40+D39</f>
        <v>11220.039999999979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680567</v>
      </c>
      <c r="C37" s="11">
        <f>SUM(C6:C36)</f>
        <v>639844</v>
      </c>
      <c r="D37" s="25">
        <f>SUM(D6:D36)</f>
        <v>-40723</v>
      </c>
    </row>
    <row r="38" spans="1:4" x14ac:dyDescent="0.2">
      <c r="A38" s="26"/>
      <c r="C38" s="14"/>
      <c r="D38" s="349">
        <f>+summary!H5</f>
        <v>2.96</v>
      </c>
    </row>
    <row r="39" spans="1:4" x14ac:dyDescent="0.2">
      <c r="D39" s="138">
        <f>+D38*D37</f>
        <v>-120540.08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37090</v>
      </c>
      <c r="C41" s="48"/>
      <c r="D41" s="138">
        <f>+D40+D39</f>
        <v>-168051.1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E23" sqref="E23"/>
    </sheetView>
    <sheetView topLeftCell="A26" workbookViewId="2">
      <selection activeCell="J38" sqref="J38"/>
    </sheetView>
    <sheetView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25436</v>
      </c>
      <c r="E21" s="11">
        <v>24500</v>
      </c>
      <c r="F21" s="11">
        <v>84593</v>
      </c>
      <c r="G21" s="11">
        <v>84000</v>
      </c>
      <c r="H21" s="11">
        <v>133642</v>
      </c>
      <c r="I21" s="11">
        <v>123524</v>
      </c>
      <c r="J21" s="11">
        <f t="shared" si="0"/>
        <v>-12375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279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5418008</v>
      </c>
      <c r="C35" s="11">
        <f t="shared" ref="C35:I35" si="1">SUM(C4:C34)</f>
        <v>5577997</v>
      </c>
      <c r="D35" s="11">
        <f t="shared" si="1"/>
        <v>1202601</v>
      </c>
      <c r="E35" s="11">
        <f t="shared" si="1"/>
        <v>1037705</v>
      </c>
      <c r="F35" s="11">
        <f t="shared" si="1"/>
        <v>1387667</v>
      </c>
      <c r="G35" s="11">
        <f t="shared" si="1"/>
        <v>1473094</v>
      </c>
      <c r="H35" s="11">
        <f t="shared" si="1"/>
        <v>1693953</v>
      </c>
      <c r="I35" s="11">
        <f t="shared" si="1"/>
        <v>1648826</v>
      </c>
      <c r="J35" s="11">
        <f>SUM(J4:J34)</f>
        <v>35393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37090</v>
      </c>
      <c r="J40" s="51">
        <f>+J38+J35</f>
        <v>321724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8" workbookViewId="3">
      <selection activeCell="B46" sqref="B46"/>
    </sheetView>
  </sheetViews>
  <sheetFormatPr defaultRowHeight="12.75" x14ac:dyDescent="0.2"/>
  <sheetData>
    <row r="3" spans="1:4" ht="15" x14ac:dyDescent="0.25">
      <c r="A3" s="134"/>
      <c r="B3" s="34" t="s">
        <v>137</v>
      </c>
    </row>
    <row r="4" spans="1:4" x14ac:dyDescent="0.2">
      <c r="A4" s="3"/>
      <c r="B4" s="59" t="s">
        <v>138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1100540</v>
      </c>
      <c r="C37" s="11">
        <f>SUM(C6:C36)</f>
        <v>1122144</v>
      </c>
      <c r="D37" s="25">
        <f>SUM(D6:D36)</f>
        <v>21604</v>
      </c>
    </row>
    <row r="38" spans="1:4" x14ac:dyDescent="0.2">
      <c r="A38" s="26"/>
      <c r="C38" s="14"/>
      <c r="D38" s="349">
        <f>+summary!H5</f>
        <v>2.96</v>
      </c>
    </row>
    <row r="39" spans="1:4" x14ac:dyDescent="0.2">
      <c r="D39" s="138">
        <f>+D38*D37</f>
        <v>63947.839999999997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37090</v>
      </c>
      <c r="C41" s="48"/>
      <c r="D41" s="138">
        <f>+D40+D39</f>
        <v>63947.839999999997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8" sqref="C38"/>
    </sheetView>
  </sheetViews>
  <sheetFormatPr defaultRowHeight="12.75" x14ac:dyDescent="0.2"/>
  <sheetData>
    <row r="3" spans="1:5" ht="15" x14ac:dyDescent="0.25">
      <c r="A3" s="134"/>
      <c r="B3" s="3" t="s">
        <v>139</v>
      </c>
      <c r="C3" s="87"/>
      <c r="D3" s="87"/>
      <c r="E3" s="87"/>
    </row>
    <row r="4" spans="1:5" x14ac:dyDescent="0.2">
      <c r="A4" s="3"/>
      <c r="B4" s="351" t="s">
        <v>140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-26586</v>
      </c>
      <c r="C37" s="11">
        <f>SUM(C6:C36)</f>
        <v>-39408</v>
      </c>
      <c r="D37" s="25">
        <f>SUM(D6:D36)</f>
        <v>-12822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-35516.94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37090</v>
      </c>
      <c r="C41" s="48"/>
      <c r="D41" s="138">
        <f>+D40+D39</f>
        <v>-389619.1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B50" sqref="B5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146</v>
      </c>
      <c r="C3" s="87"/>
      <c r="D3" s="87"/>
    </row>
    <row r="4" spans="1:4" x14ac:dyDescent="0.2">
      <c r="A4" s="3"/>
      <c r="B4" s="351" t="s">
        <v>142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-349</v>
      </c>
      <c r="C37" s="11">
        <f>SUM(C6:C36)</f>
        <v>0</v>
      </c>
      <c r="D37" s="25">
        <f>SUM(D6:D36)</f>
        <v>349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966.73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37090</v>
      </c>
      <c r="C41" s="48"/>
      <c r="D41" s="138">
        <f>+D40+D39</f>
        <v>-215174.39999999999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141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-777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2.77</v>
      </c>
      <c r="E13" s="288"/>
      <c r="F13" s="284"/>
    </row>
    <row r="14" spans="1:13" x14ac:dyDescent="0.2">
      <c r="A14" s="87"/>
      <c r="B14" s="88"/>
      <c r="C14" s="88"/>
      <c r="D14" s="96">
        <f>+D13*D12</f>
        <v>-2152.29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37090</v>
      </c>
      <c r="B18" s="88"/>
      <c r="C18" s="88"/>
      <c r="D18" s="337">
        <f>+D16+D14</f>
        <v>-878957.71000000008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9" workbookViewId="3">
      <selection activeCell="D44" sqref="D44"/>
    </sheetView>
  </sheetViews>
  <sheetFormatPr defaultRowHeight="12.75" x14ac:dyDescent="0.2"/>
  <sheetData>
    <row r="3" spans="1:4" ht="15" x14ac:dyDescent="0.25">
      <c r="A3" s="134"/>
      <c r="B3" s="34" t="s">
        <v>149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-60600</v>
      </c>
      <c r="C37" s="11">
        <f>SUM(C6:C36)</f>
        <v>-66971</v>
      </c>
      <c r="D37" s="25">
        <f>SUM(D6:D36)</f>
        <v>-6371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37090</v>
      </c>
      <c r="C41" s="48"/>
      <c r="D41" s="25">
        <f>+D40+D37</f>
        <v>88731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2644250</v>
      </c>
      <c r="C38" s="11">
        <f>SUM(C7:C37)</f>
        <v>2637021</v>
      </c>
      <c r="D38" s="11">
        <f>SUM(D7:D37)</f>
        <v>-7229</v>
      </c>
    </row>
    <row r="39" spans="1:4" x14ac:dyDescent="0.2">
      <c r="A39" s="26"/>
      <c r="C39" s="14"/>
      <c r="D39" s="106">
        <f>+summary!H3</f>
        <v>2.42</v>
      </c>
    </row>
    <row r="40" spans="1:4" x14ac:dyDescent="0.2">
      <c r="D40" s="138">
        <f>+D39*D38</f>
        <v>-17494.18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37090</v>
      </c>
      <c r="D42" s="340">
        <f>+D41+D40</f>
        <v>-17494.18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2" workbookViewId="3">
      <selection activeCell="C23" sqref="C2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-786026</v>
      </c>
      <c r="C36" s="44">
        <f>SUM(C5:C35)</f>
        <v>-258616</v>
      </c>
      <c r="D36" s="43">
        <f>SUM(D5:D35)</f>
        <v>-180158</v>
      </c>
      <c r="E36" s="44">
        <f>SUM(E5:E35)</f>
        <v>-710094</v>
      </c>
      <c r="F36" s="11">
        <f>SUM(F5:F35)</f>
        <v>-2526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-527410</v>
      </c>
      <c r="D37" s="24"/>
      <c r="E37" s="24">
        <f>+D36-E36</f>
        <v>529936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37090</v>
      </c>
      <c r="C42" s="14"/>
      <c r="D42" s="50"/>
      <c r="E42" s="50"/>
      <c r="F42" s="51">
        <f>+F41+F36</f>
        <v>66788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1" sqref="B3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-2707219</v>
      </c>
      <c r="C35" s="11">
        <f>SUM(C4:C34)</f>
        <v>-2693489</v>
      </c>
      <c r="D35" s="11">
        <f>SUM(D4:D34)</f>
        <v>13730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37090</v>
      </c>
      <c r="D40" s="24">
        <f>+D38+D35</f>
        <v>970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-13833847</v>
      </c>
      <c r="C35" s="11">
        <f>SUM(C4:C34)</f>
        <v>-13797705</v>
      </c>
      <c r="D35" s="11">
        <f>SUM(D4:D34)</f>
        <v>-341708</v>
      </c>
      <c r="E35" s="11">
        <f>SUM(E4:E34)</f>
        <v>-330000</v>
      </c>
      <c r="F35" s="11">
        <f>SUM(F4:F34)</f>
        <v>47850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37090</v>
      </c>
      <c r="F40" s="51">
        <f>+F38+F35</f>
        <v>171042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9" sqref="E4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-108058</v>
      </c>
      <c r="C21" s="11">
        <v>-55144</v>
      </c>
      <c r="D21" s="11"/>
      <c r="E21" s="11">
        <v>-51792</v>
      </c>
      <c r="F21" s="11"/>
      <c r="G21" s="11"/>
      <c r="H21" s="11">
        <f t="shared" si="0"/>
        <v>-1122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-2250427</v>
      </c>
      <c r="C35" s="44">
        <f t="shared" si="1"/>
        <v>-1541730</v>
      </c>
      <c r="D35" s="11">
        <f t="shared" si="1"/>
        <v>-470506</v>
      </c>
      <c r="E35" s="44">
        <f t="shared" si="1"/>
        <v>-1165895</v>
      </c>
      <c r="F35" s="11">
        <f t="shared" si="1"/>
        <v>0</v>
      </c>
      <c r="G35" s="11">
        <f t="shared" si="1"/>
        <v>0</v>
      </c>
      <c r="H35" s="11">
        <f t="shared" si="1"/>
        <v>-12264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-33971.279999999999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37090</v>
      </c>
      <c r="F39" s="47"/>
      <c r="G39" s="47"/>
      <c r="H39" s="137">
        <f>+H38+H37</f>
        <v>314543.35999999999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workbookViewId="3">
      <selection activeCell="A39" sqref="A39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-4778142</v>
      </c>
      <c r="E36" s="11">
        <f t="shared" si="15"/>
        <v>-4913743</v>
      </c>
      <c r="F36" s="11">
        <f t="shared" si="15"/>
        <v>0</v>
      </c>
      <c r="G36" s="11">
        <f t="shared" si="15"/>
        <v>0</v>
      </c>
      <c r="H36" s="11">
        <f t="shared" si="15"/>
        <v>-135601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37090</v>
      </c>
      <c r="B38" s="2" t="s">
        <v>46</v>
      </c>
      <c r="C38" s="131">
        <f>+C37+C36-B36</f>
        <v>50521</v>
      </c>
      <c r="D38" s="260"/>
      <c r="E38" s="131">
        <f>+E37+E36-D36</f>
        <v>34927</v>
      </c>
      <c r="F38" s="260"/>
      <c r="G38" s="131"/>
      <c r="H38" s="131">
        <f>+H37+H36</f>
        <v>85448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workbookViewId="3">
      <selection activeCell="A18" sqref="A1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1739588</v>
      </c>
      <c r="C37" s="11">
        <f>SUM(C6:C36)</f>
        <v>1742841</v>
      </c>
      <c r="D37" s="11">
        <f>SUM(D6:D36)</f>
        <v>3253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37090</v>
      </c>
      <c r="C40" s="48"/>
      <c r="D40" s="25">
        <f>+D39+D37</f>
        <v>62432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2001-07-20T15:27:36Z</cp:lastPrinted>
  <dcterms:created xsi:type="dcterms:W3CDTF">2000-03-28T16:52:23Z</dcterms:created>
  <dcterms:modified xsi:type="dcterms:W3CDTF">2014-09-03T14:37:10Z</dcterms:modified>
</cp:coreProperties>
</file>