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1"/>
    <workbookView xWindow="360" yWindow="90" windowWidth="9720" windowHeight="6795" tabRatio="895" activeTab="2"/>
    <workbookView xWindow="600" yWindow="285" windowWidth="9720" windowHeight="6600" activeTab="1"/>
    <workbookView xWindow="840" yWindow="480" windowWidth="10860" windowHeight="6405" tabRatio="601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40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48" i="69" s="1"/>
  <c r="D49" i="69" s="1"/>
  <c r="D20" i="80" s="1"/>
  <c r="D39" i="69"/>
  <c r="A47" i="69"/>
  <c r="A48" i="69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F55" i="80"/>
  <c r="F56" i="80"/>
  <c r="F57" i="80"/>
  <c r="F58" i="80"/>
  <c r="F62" i="80"/>
  <c r="F63" i="80"/>
  <c r="F64" i="80"/>
  <c r="F65" i="80"/>
  <c r="F66" i="80"/>
  <c r="F70" i="80"/>
  <c r="F71" i="80"/>
  <c r="F72" i="80"/>
  <c r="F73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A45" i="74"/>
  <c r="D45" i="74"/>
  <c r="A46" i="74"/>
  <c r="D8" i="72"/>
  <c r="D9" i="72"/>
  <c r="D10" i="72"/>
  <c r="D39" i="72" s="1"/>
  <c r="D48" i="72" s="1"/>
  <c r="D49" i="72" s="1"/>
  <c r="D29" i="80" s="1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F41" i="72"/>
  <c r="F44" i="72"/>
  <c r="A47" i="72"/>
  <c r="A48" i="72"/>
  <c r="G55" i="72"/>
  <c r="D5" i="78"/>
  <c r="D6" i="78"/>
  <c r="D7" i="78"/>
  <c r="D8" i="78"/>
  <c r="D12" i="78" s="1"/>
  <c r="D23" i="78" s="1"/>
  <c r="D24" i="78" s="1"/>
  <c r="D15" i="80" s="1"/>
  <c r="D9" i="78"/>
  <c r="D10" i="78"/>
  <c r="D11" i="78"/>
  <c r="D13" i="78"/>
  <c r="A22" i="78"/>
  <c r="A23" i="78"/>
  <c r="D6" i="79"/>
  <c r="D37" i="79" s="1"/>
  <c r="D47" i="79" s="1"/>
  <c r="D48" i="79" s="1"/>
  <c r="D13" i="80" s="1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M4" i="13" s="1"/>
  <c r="M13" i="13" s="1"/>
  <c r="F5" i="13"/>
  <c r="I5" i="13"/>
  <c r="J5" i="13"/>
  <c r="K5" i="13"/>
  <c r="K13" i="13" s="1"/>
  <c r="M5" i="13"/>
  <c r="N11" i="13" s="1"/>
  <c r="N5" i="13"/>
  <c r="F6" i="13"/>
  <c r="I6" i="13"/>
  <c r="J6" i="13"/>
  <c r="K6" i="13" s="1"/>
  <c r="M6" i="13" s="1"/>
  <c r="N6" i="13"/>
  <c r="F7" i="13"/>
  <c r="I7" i="13"/>
  <c r="J7" i="13"/>
  <c r="K7" i="13" s="1"/>
  <c r="M7" i="13"/>
  <c r="N7" i="13"/>
  <c r="F8" i="13"/>
  <c r="I8" i="13"/>
  <c r="J8" i="13"/>
  <c r="K8" i="13"/>
  <c r="M8" i="13" s="1"/>
  <c r="N8" i="13"/>
  <c r="F9" i="13"/>
  <c r="I9" i="13"/>
  <c r="J9" i="13"/>
  <c r="K9" i="13" s="1"/>
  <c r="M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6" i="13" s="1"/>
  <c r="E35" i="13"/>
  <c r="F35" i="13" s="1"/>
  <c r="D47" i="13" s="1"/>
  <c r="D48" i="13" s="1"/>
  <c r="D25" i="80" s="1"/>
  <c r="C36" i="13"/>
  <c r="C37" i="13"/>
  <c r="E37" i="13"/>
  <c r="E38" i="13" s="1"/>
  <c r="C38" i="13"/>
  <c r="C41" i="13" s="1"/>
  <c r="F40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I35" i="73"/>
  <c r="C36" i="73"/>
  <c r="C38" i="73" s="1"/>
  <c r="C40" i="73" s="1"/>
  <c r="I36" i="73"/>
  <c r="C37" i="73"/>
  <c r="E37" i="73"/>
  <c r="F39" i="73"/>
  <c r="B9" i="20"/>
  <c r="B11" i="20"/>
  <c r="B12" i="20"/>
  <c r="B13" i="20"/>
  <c r="B14" i="20"/>
  <c r="B15" i="20"/>
  <c r="B16" i="20"/>
  <c r="E16" i="20"/>
  <c r="B18" i="20"/>
  <c r="B30" i="20"/>
  <c r="G38" i="20" s="1"/>
  <c r="G39" i="20" s="1"/>
  <c r="B31" i="20"/>
  <c r="E37" i="20"/>
  <c r="E38" i="20"/>
  <c r="B45" i="20"/>
  <c r="B46" i="20"/>
  <c r="D5" i="11"/>
  <c r="H5" i="11"/>
  <c r="D6" i="11"/>
  <c r="H6" i="11"/>
  <c r="D7" i="11"/>
  <c r="H7" i="11" s="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 s="1"/>
  <c r="AC12" i="11"/>
  <c r="AF12" i="11"/>
  <c r="AI12" i="11"/>
  <c r="AL12" i="11"/>
  <c r="AM12" i="11"/>
  <c r="AN12" i="11"/>
  <c r="AO12" i="11"/>
  <c r="AP12" i="11"/>
  <c r="D13" i="11"/>
  <c r="H13" i="11" s="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 s="1"/>
  <c r="AC15" i="11"/>
  <c r="AF15" i="11"/>
  <c r="AI15" i="11"/>
  <c r="AL15" i="11"/>
  <c r="AM15" i="11"/>
  <c r="AN15" i="11"/>
  <c r="AO15" i="11"/>
  <c r="AP15" i="11"/>
  <c r="D16" i="11"/>
  <c r="H16" i="11" s="1"/>
  <c r="AA16" i="11"/>
  <c r="AC16" i="11"/>
  <c r="AF16" i="11"/>
  <c r="AI16" i="11"/>
  <c r="AL16" i="11"/>
  <c r="AM16" i="11"/>
  <c r="AN16" i="11"/>
  <c r="AO16" i="11"/>
  <c r="AP16" i="11"/>
  <c r="D17" i="11"/>
  <c r="H17" i="11" s="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 s="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L48" i="11" s="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 s="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 s="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 s="1"/>
  <c r="AC27" i="11"/>
  <c r="AE27" i="11"/>
  <c r="AP27" i="11" s="1"/>
  <c r="AF27" i="11"/>
  <c r="AI27" i="11"/>
  <c r="AL27" i="11"/>
  <c r="AM27" i="11"/>
  <c r="AN27" i="11"/>
  <c r="AO27" i="11"/>
  <c r="D28" i="11"/>
  <c r="H28" i="11" s="1"/>
  <c r="AC28" i="11"/>
  <c r="AF28" i="11"/>
  <c r="AI28" i="11"/>
  <c r="AL28" i="11"/>
  <c r="AM28" i="11"/>
  <c r="AN28" i="11"/>
  <c r="AO28" i="11"/>
  <c r="AP28" i="11"/>
  <c r="D29" i="11"/>
  <c r="H29" i="11" s="1"/>
  <c r="AC29" i="11"/>
  <c r="AF29" i="11"/>
  <c r="AI29" i="11"/>
  <c r="AL29" i="11"/>
  <c r="AM29" i="11"/>
  <c r="AN29" i="11"/>
  <c r="AO29" i="11"/>
  <c r="AP29" i="11"/>
  <c r="D30" i="11"/>
  <c r="H30" i="11"/>
  <c r="AC30" i="11"/>
  <c r="AF30" i="11"/>
  <c r="AI30" i="11"/>
  <c r="AL30" i="11"/>
  <c r="AM30" i="11"/>
  <c r="AN30" i="11"/>
  <c r="AO30" i="11"/>
  <c r="AP30" i="11"/>
  <c r="D31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E36" i="11"/>
  <c r="F36" i="11"/>
  <c r="G36" i="11"/>
  <c r="AC36" i="11"/>
  <c r="AE36" i="11"/>
  <c r="AI36" i="11"/>
  <c r="AL36" i="11"/>
  <c r="AM36" i="11"/>
  <c r="AN36" i="11"/>
  <c r="AO36" i="11"/>
  <c r="C37" i="11"/>
  <c r="C39" i="11" s="1"/>
  <c r="AA37" i="11"/>
  <c r="AF37" i="11"/>
  <c r="AI37" i="11"/>
  <c r="AL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L47" i="11"/>
  <c r="AM47" i="11"/>
  <c r="AN47" i="11"/>
  <c r="AM48" i="11"/>
  <c r="AN48" i="11"/>
  <c r="AO48" i="11"/>
  <c r="AP48" i="11"/>
  <c r="J4" i="70"/>
  <c r="J35" i="70" s="1"/>
  <c r="D47" i="70" s="1"/>
  <c r="D48" i="70" s="1"/>
  <c r="D33" i="8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37" i="75" s="1"/>
  <c r="D46" i="75" s="1"/>
  <c r="D47" i="75" s="1"/>
  <c r="D36" i="80" s="1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C37" i="5" s="1"/>
  <c r="D36" i="5"/>
  <c r="E36" i="5"/>
  <c r="F36" i="5"/>
  <c r="F42" i="5" s="1"/>
  <c r="E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A47" i="17"/>
  <c r="A48" i="17"/>
  <c r="D4" i="68"/>
  <c r="D5" i="68"/>
  <c r="D6" i="68"/>
  <c r="D7" i="68"/>
  <c r="D8" i="68"/>
  <c r="D9" i="68"/>
  <c r="D35" i="68" s="1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9" i="65"/>
  <c r="D10" i="65"/>
  <c r="D11" i="65"/>
  <c r="D12" i="65"/>
  <c r="D13" i="65"/>
  <c r="D14" i="65"/>
  <c r="D18" i="65"/>
  <c r="D19" i="65"/>
  <c r="A32" i="65"/>
  <c r="A33" i="65"/>
  <c r="D6" i="77"/>
  <c r="D37" i="77" s="1"/>
  <c r="D7" i="77"/>
  <c r="D8" i="77"/>
  <c r="D9" i="77"/>
  <c r="D10" i="77"/>
  <c r="D11" i="77"/>
  <c r="D12" i="77"/>
  <c r="D13" i="77"/>
  <c r="D14" i="77"/>
  <c r="D15" i="77"/>
  <c r="D16" i="77"/>
  <c r="K16" i="77"/>
  <c r="M16" i="77" s="1"/>
  <c r="M23" i="77" s="1"/>
  <c r="D17" i="77"/>
  <c r="K17" i="77"/>
  <c r="M17" i="77"/>
  <c r="D18" i="77"/>
  <c r="K18" i="77"/>
  <c r="M18" i="77"/>
  <c r="D19" i="77"/>
  <c r="K19" i="77"/>
  <c r="M19" i="77" s="1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/>
  <c r="AF5" i="7"/>
  <c r="AH5" i="7" s="1"/>
  <c r="AG5" i="7"/>
  <c r="AI5" i="7"/>
  <c r="F6" i="7"/>
  <c r="Z6" i="7"/>
  <c r="AD6" i="7" s="1"/>
  <c r="AF6" i="7" s="1"/>
  <c r="AG6" i="7"/>
  <c r="AG7" i="7" s="1"/>
  <c r="AG8" i="7" s="1"/>
  <c r="AG9" i="7" s="1"/>
  <c r="AG10" i="7" s="1"/>
  <c r="AG11" i="7" s="1"/>
  <c r="AG12" i="7" s="1"/>
  <c r="AG13" i="7" s="1"/>
  <c r="AG14" i="7" s="1"/>
  <c r="AG15" i="7" s="1"/>
  <c r="AH6" i="7"/>
  <c r="F7" i="7"/>
  <c r="Z7" i="7"/>
  <c r="AD7" i="7"/>
  <c r="AF7" i="7" s="1"/>
  <c r="F8" i="7"/>
  <c r="Z8" i="7"/>
  <c r="AD8" i="7" s="1"/>
  <c r="AF8" i="7" s="1"/>
  <c r="F9" i="7"/>
  <c r="Z9" i="7"/>
  <c r="AD9" i="7"/>
  <c r="AF9" i="7"/>
  <c r="F10" i="7"/>
  <c r="Z10" i="7"/>
  <c r="AD10" i="7" s="1"/>
  <c r="AF10" i="7"/>
  <c r="F11" i="7"/>
  <c r="Z11" i="7"/>
  <c r="AD11" i="7"/>
  <c r="AF11" i="7" s="1"/>
  <c r="F12" i="7"/>
  <c r="Z12" i="7"/>
  <c r="AD12" i="7"/>
  <c r="AF12" i="7"/>
  <c r="F13" i="7"/>
  <c r="Z13" i="7"/>
  <c r="AD13" i="7"/>
  <c r="AF13" i="7"/>
  <c r="F14" i="7"/>
  <c r="Z14" i="7"/>
  <c r="AD14" i="7" s="1"/>
  <c r="AF14" i="7"/>
  <c r="F15" i="7"/>
  <c r="Z15" i="7"/>
  <c r="AD15" i="7"/>
  <c r="AF15" i="7" s="1"/>
  <c r="F16" i="7"/>
  <c r="Z16" i="7"/>
  <c r="AD16" i="7" s="1"/>
  <c r="AF16" i="7" s="1"/>
  <c r="F17" i="7"/>
  <c r="Z17" i="7"/>
  <c r="AD17" i="7"/>
  <c r="AF17" i="7"/>
  <c r="F18" i="7"/>
  <c r="AI18" i="7"/>
  <c r="F19" i="7"/>
  <c r="Z19" i="7"/>
  <c r="AD19" i="7"/>
  <c r="F20" i="7"/>
  <c r="Z20" i="7"/>
  <c r="AD20" i="7" s="1"/>
  <c r="AF20" i="7" s="1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 s="1"/>
  <c r="A45" i="16"/>
  <c r="A46" i="16"/>
  <c r="D46" i="16"/>
  <c r="D47" i="16" s="1"/>
  <c r="D72" i="80" s="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35" i="9" s="1"/>
  <c r="E47" i="9" s="1"/>
  <c r="E48" i="9" s="1"/>
  <c r="D31" i="80" s="1"/>
  <c r="H8" i="9"/>
  <c r="H9" i="9"/>
  <c r="N9" i="9"/>
  <c r="P9" i="9"/>
  <c r="P16" i="9" s="1"/>
  <c r="H10" i="9"/>
  <c r="N10" i="9"/>
  <c r="P10" i="9" s="1"/>
  <c r="H11" i="9"/>
  <c r="N11" i="9"/>
  <c r="P11" i="9" s="1"/>
  <c r="H12" i="9"/>
  <c r="L12" i="9"/>
  <c r="N12" i="9"/>
  <c r="P12" i="9" s="1"/>
  <c r="H13" i="9"/>
  <c r="N13" i="9"/>
  <c r="P13" i="9"/>
  <c r="H14" i="9"/>
  <c r="L14" i="9"/>
  <c r="N14" i="9" s="1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D31" i="9"/>
  <c r="H31" i="9" s="1"/>
  <c r="H32" i="9"/>
  <c r="H33" i="9"/>
  <c r="H34" i="9"/>
  <c r="B35" i="9"/>
  <c r="C35" i="9"/>
  <c r="D35" i="9"/>
  <c r="E35" i="9"/>
  <c r="F35" i="9"/>
  <c r="G35" i="9"/>
  <c r="H36" i="9"/>
  <c r="B46" i="9"/>
  <c r="H46" i="9"/>
  <c r="B47" i="9"/>
  <c r="D5" i="64"/>
  <c r="D6" i="64"/>
  <c r="D7" i="64"/>
  <c r="D8" i="64"/>
  <c r="D9" i="64"/>
  <c r="D10" i="64"/>
  <c r="D11" i="64"/>
  <c r="D12" i="64"/>
  <c r="D13" i="64"/>
  <c r="D18" i="64"/>
  <c r="A28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K114" i="15" s="1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29" i="15"/>
  <c r="F130" i="15"/>
  <c r="F131" i="15"/>
  <c r="B132" i="15"/>
  <c r="B133" i="15" s="1"/>
  <c r="B136" i="15" s="1"/>
  <c r="F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F176" i="15" s="1"/>
  <c r="B168" i="15"/>
  <c r="F169" i="15"/>
  <c r="F170" i="15"/>
  <c r="F171" i="15"/>
  <c r="F172" i="15"/>
  <c r="F173" i="15"/>
  <c r="B174" i="15"/>
  <c r="B176" i="15" s="1"/>
  <c r="C175" i="15"/>
  <c r="C180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47" i="76" s="1"/>
  <c r="D48" i="76" s="1"/>
  <c r="D34" i="80" s="1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I3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6" i="63"/>
  <c r="D37" i="63"/>
  <c r="D38" i="63"/>
  <c r="D39" i="63"/>
  <c r="D40" i="63"/>
  <c r="D41" i="63"/>
  <c r="D42" i="63"/>
  <c r="D8" i="19"/>
  <c r="D39" i="19" s="1"/>
  <c r="D49" i="19" s="1"/>
  <c r="D50" i="19" s="1"/>
  <c r="D19" i="80" s="1"/>
  <c r="D21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P5" i="2"/>
  <c r="R5" i="2" s="1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J15" i="2"/>
  <c r="J16" i="2"/>
  <c r="J17" i="2"/>
  <c r="P17" i="2"/>
  <c r="R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/>
  <c r="AG16" i="7" l="1"/>
  <c r="AG17" i="7" s="1"/>
  <c r="F36" i="7"/>
  <c r="D49" i="77"/>
  <c r="D50" i="77" s="1"/>
  <c r="D14" i="80" s="1"/>
  <c r="D39" i="77"/>
  <c r="D41" i="77" s="1"/>
  <c r="D40" i="68"/>
  <c r="D46" i="68"/>
  <c r="D47" i="68" s="1"/>
  <c r="D55" i="80" s="1"/>
  <c r="AJ39" i="15"/>
  <c r="AJ45" i="15" s="1"/>
  <c r="AR39" i="15"/>
  <c r="AR45" i="15" s="1"/>
  <c r="AQ39" i="15"/>
  <c r="B73" i="80"/>
  <c r="C73" i="80" s="1"/>
  <c r="E73" i="80" s="1"/>
  <c r="C22" i="63"/>
  <c r="B22" i="63" s="1"/>
  <c r="D39" i="75"/>
  <c r="D41" i="75" s="1"/>
  <c r="B101" i="15"/>
  <c r="F92" i="15"/>
  <c r="F101" i="15" s="1"/>
  <c r="C101" i="15" s="1"/>
  <c r="AM37" i="11"/>
  <c r="AC37" i="11"/>
  <c r="F39" i="15"/>
  <c r="F37" i="22"/>
  <c r="B57" i="80"/>
  <c r="C57" i="80" s="1"/>
  <c r="F39" i="71"/>
  <c r="F35" i="73"/>
  <c r="D35" i="28"/>
  <c r="C27" i="63"/>
  <c r="B27" i="63" s="1"/>
  <c r="B72" i="80"/>
  <c r="C72" i="80" s="1"/>
  <c r="E72" i="80" s="1"/>
  <c r="C45" i="11"/>
  <c r="C46" i="11" s="1"/>
  <c r="D57" i="80" s="1"/>
  <c r="P22" i="2"/>
  <c r="D17" i="64"/>
  <c r="H37" i="9"/>
  <c r="H39" i="9" s="1"/>
  <c r="J37" i="70"/>
  <c r="J41" i="70" s="1"/>
  <c r="D36" i="11"/>
  <c r="F34" i="67"/>
  <c r="D44" i="67" s="1"/>
  <c r="D45" i="67" s="1"/>
  <c r="D70" i="80" s="1"/>
  <c r="AN39" i="15"/>
  <c r="D33" i="65"/>
  <c r="D34" i="65" s="1"/>
  <c r="D24" i="80" s="1"/>
  <c r="D20" i="65"/>
  <c r="D24" i="65" s="1"/>
  <c r="J39" i="17"/>
  <c r="F133" i="15"/>
  <c r="C133" i="15" s="1"/>
  <c r="E38" i="73"/>
  <c r="F38" i="13"/>
  <c r="D48" i="5"/>
  <c r="D49" i="5" s="1"/>
  <c r="D73" i="80" s="1"/>
  <c r="B17" i="20"/>
  <c r="F38" i="20" s="1"/>
  <c r="F39" i="20" s="1"/>
  <c r="D46" i="74"/>
  <c r="D47" i="74" s="1"/>
  <c r="D12" i="80" s="1"/>
  <c r="D39" i="74"/>
  <c r="D41" i="74" s="1"/>
  <c r="AG19" i="7"/>
  <c r="AG20" i="7" s="1"/>
  <c r="AG21" i="7" s="1"/>
  <c r="AF19" i="7"/>
  <c r="AH19" i="7" s="1"/>
  <c r="C46" i="20"/>
  <c r="C47" i="20" s="1"/>
  <c r="H38" i="20"/>
  <c r="H39" i="20" s="1"/>
  <c r="D41" i="72"/>
  <c r="D43" i="72" s="1"/>
  <c r="F35" i="6"/>
  <c r="H36" i="11"/>
  <c r="H39" i="11" s="1"/>
  <c r="C41" i="63" s="1"/>
  <c r="R22" i="2"/>
  <c r="AV35" i="15"/>
  <c r="AV39" i="15" s="1"/>
  <c r="AU39" i="15"/>
  <c r="D37" i="81"/>
  <c r="AH7" i="7"/>
  <c r="AI6" i="7"/>
  <c r="E41" i="13"/>
  <c r="F41" i="13" s="1"/>
  <c r="F39" i="18"/>
  <c r="D48" i="18" s="1"/>
  <c r="D49" i="18" s="1"/>
  <c r="D26" i="80" s="1"/>
  <c r="D18" i="8"/>
  <c r="D41" i="19"/>
  <c r="D43" i="19" s="1"/>
  <c r="AF36" i="11"/>
  <c r="AP36" i="11"/>
  <c r="D37" i="12"/>
  <c r="AH57" i="15"/>
  <c r="D39" i="79"/>
  <c r="D41" i="79" s="1"/>
  <c r="J35" i="2"/>
  <c r="D39" i="76"/>
  <c r="D41" i="76" s="1"/>
  <c r="AF39" i="15"/>
  <c r="AF45" i="15" s="1"/>
  <c r="E37" i="11"/>
  <c r="C31" i="20"/>
  <c r="C32" i="20" s="1"/>
  <c r="E36" i="73"/>
  <c r="F38" i="67"/>
  <c r="D14" i="78"/>
  <c r="D18" i="78" s="1"/>
  <c r="D40" i="69"/>
  <c r="D42" i="69" s="1"/>
  <c r="N10" i="13"/>
  <c r="C17" i="63" l="1"/>
  <c r="B17" i="63" s="1"/>
  <c r="B70" i="80"/>
  <c r="E45" i="11"/>
  <c r="E39" i="11"/>
  <c r="D46" i="81"/>
  <c r="D47" i="81" s="1"/>
  <c r="D71" i="80" s="1"/>
  <c r="D41" i="81"/>
  <c r="C56" i="20"/>
  <c r="F51" i="73" s="1"/>
  <c r="F53" i="73" s="1"/>
  <c r="F38" i="73"/>
  <c r="E40" i="73"/>
  <c r="F40" i="73" s="1"/>
  <c r="F49" i="73" s="1"/>
  <c r="B33" i="80"/>
  <c r="C33" i="80" s="1"/>
  <c r="E33" i="80" s="1"/>
  <c r="B29" i="63"/>
  <c r="C29" i="63" s="1"/>
  <c r="B19" i="80"/>
  <c r="B30" i="63"/>
  <c r="C30" i="63" s="1"/>
  <c r="AH20" i="7"/>
  <c r="AI19" i="7"/>
  <c r="B31" i="80"/>
  <c r="C31" i="80" s="1"/>
  <c r="E31" i="80" s="1"/>
  <c r="B10" i="63"/>
  <c r="C10" i="63" s="1"/>
  <c r="D49" i="71"/>
  <c r="D50" i="71" s="1"/>
  <c r="D35" i="80" s="1"/>
  <c r="F41" i="71"/>
  <c r="F43" i="71" s="1"/>
  <c r="B20" i="80"/>
  <c r="C20" i="80" s="1"/>
  <c r="E20" i="80" s="1"/>
  <c r="B32" i="63"/>
  <c r="C32" i="63" s="1"/>
  <c r="B34" i="80"/>
  <c r="C34" i="80" s="1"/>
  <c r="E34" i="80" s="1"/>
  <c r="B31" i="63"/>
  <c r="C31" i="63" s="1"/>
  <c r="C18" i="20"/>
  <c r="C19" i="20" s="1"/>
  <c r="D48" i="17"/>
  <c r="D49" i="17" s="1"/>
  <c r="D30" i="80" s="1"/>
  <c r="J41" i="17"/>
  <c r="J43" i="17" s="1"/>
  <c r="D29" i="64"/>
  <c r="D30" i="64" s="1"/>
  <c r="D32" i="80" s="1"/>
  <c r="D19" i="64"/>
  <c r="D23" i="64" s="1"/>
  <c r="E57" i="80"/>
  <c r="C15" i="63"/>
  <c r="B15" i="63" s="1"/>
  <c r="B55" i="80"/>
  <c r="B15" i="80"/>
  <c r="C15" i="80" s="1"/>
  <c r="E15" i="80" s="1"/>
  <c r="B36" i="63"/>
  <c r="D47" i="2"/>
  <c r="D48" i="2" s="1"/>
  <c r="D62" i="80" s="1"/>
  <c r="J40" i="2"/>
  <c r="D30" i="8"/>
  <c r="D31" i="8" s="1"/>
  <c r="D37" i="80" s="1"/>
  <c r="D20" i="8"/>
  <c r="D24" i="8" s="1"/>
  <c r="B12" i="80"/>
  <c r="B28" i="63"/>
  <c r="C28" i="63" s="1"/>
  <c r="B24" i="80"/>
  <c r="B19" i="63"/>
  <c r="C19" i="63" s="1"/>
  <c r="B36" i="80"/>
  <c r="C36" i="80" s="1"/>
  <c r="E36" i="80" s="1"/>
  <c r="B40" i="63"/>
  <c r="C40" i="63" s="1"/>
  <c r="D16" i="80"/>
  <c r="F41" i="18"/>
  <c r="F43" i="18" s="1"/>
  <c r="F43" i="15"/>
  <c r="D51" i="15"/>
  <c r="D52" i="15" s="1"/>
  <c r="D63" i="80" s="1"/>
  <c r="D74" i="80"/>
  <c r="F41" i="7"/>
  <c r="E48" i="7"/>
  <c r="E49" i="7" s="1"/>
  <c r="D66" i="80" s="1"/>
  <c r="B38" i="63"/>
  <c r="C38" i="63" s="1"/>
  <c r="B13" i="80"/>
  <c r="C13" i="80" s="1"/>
  <c r="E13" i="80" s="1"/>
  <c r="D38" i="80"/>
  <c r="F39" i="22"/>
  <c r="F41" i="22" s="1"/>
  <c r="D47" i="22"/>
  <c r="D48" i="22" s="1"/>
  <c r="D27" i="80" s="1"/>
  <c r="B14" i="80"/>
  <c r="C14" i="80" s="1"/>
  <c r="E14" i="80" s="1"/>
  <c r="B37" i="63"/>
  <c r="C37" i="63" s="1"/>
  <c r="B25" i="80"/>
  <c r="C25" i="80" s="1"/>
  <c r="E25" i="80" s="1"/>
  <c r="B9" i="63"/>
  <c r="C9" i="63" s="1"/>
  <c r="F40" i="6"/>
  <c r="D46" i="6"/>
  <c r="D47" i="6" s="1"/>
  <c r="D56" i="80" s="1"/>
  <c r="B102" i="15"/>
  <c r="AN45" i="15"/>
  <c r="J35" i="73"/>
  <c r="J36" i="73" s="1"/>
  <c r="K36" i="73" s="1"/>
  <c r="K49" i="73" s="1"/>
  <c r="F36" i="73"/>
  <c r="F37" i="73" s="1"/>
  <c r="D46" i="12"/>
  <c r="D47" i="12" s="1"/>
  <c r="D64" i="80" s="1"/>
  <c r="D40" i="12"/>
  <c r="B11" i="63"/>
  <c r="C11" i="63" s="1"/>
  <c r="B29" i="80"/>
  <c r="C29" i="80" s="1"/>
  <c r="E29" i="80" s="1"/>
  <c r="AI7" i="7"/>
  <c r="AH8" i="7"/>
  <c r="I39" i="20"/>
  <c r="I56" i="20" s="1"/>
  <c r="M51" i="73" s="1"/>
  <c r="M53" i="73" s="1"/>
  <c r="D28" i="80" s="1"/>
  <c r="D40" i="80" s="1"/>
  <c r="D40" i="28"/>
  <c r="D46" i="28"/>
  <c r="D47" i="28" s="1"/>
  <c r="D58" i="80" s="1"/>
  <c r="AR51" i="15"/>
  <c r="AR48" i="15"/>
  <c r="B56" i="80" l="1"/>
  <c r="C56" i="80" s="1"/>
  <c r="E56" i="80" s="1"/>
  <c r="C13" i="63"/>
  <c r="B13" i="63" s="1"/>
  <c r="B39" i="63"/>
  <c r="C39" i="63" s="1"/>
  <c r="B37" i="80"/>
  <c r="C37" i="80" s="1"/>
  <c r="E37" i="80" s="1"/>
  <c r="B28" i="80"/>
  <c r="C28" i="80" s="1"/>
  <c r="E28" i="80" s="1"/>
  <c r="B21" i="63"/>
  <c r="C21" i="63" s="1"/>
  <c r="B64" i="80"/>
  <c r="C64" i="80" s="1"/>
  <c r="E64" i="80" s="1"/>
  <c r="C20" i="63"/>
  <c r="B20" i="63" s="1"/>
  <c r="B32" i="80"/>
  <c r="C32" i="80" s="1"/>
  <c r="E32" i="80" s="1"/>
  <c r="B24" i="63"/>
  <c r="C24" i="63" s="1"/>
  <c r="AH21" i="7"/>
  <c r="AI21" i="7" s="1"/>
  <c r="AI20" i="7"/>
  <c r="C25" i="63"/>
  <c r="B25" i="63" s="1"/>
  <c r="B71" i="80"/>
  <c r="C71" i="80" s="1"/>
  <c r="E71" i="80" s="1"/>
  <c r="C8" i="63"/>
  <c r="B62" i="80"/>
  <c r="D59" i="80"/>
  <c r="D76" i="80" s="1"/>
  <c r="B26" i="80"/>
  <c r="C26" i="80" s="1"/>
  <c r="E26" i="80" s="1"/>
  <c r="B14" i="63"/>
  <c r="C14" i="63" s="1"/>
  <c r="C26" i="63"/>
  <c r="B26" i="63" s="1"/>
  <c r="B58" i="80"/>
  <c r="C58" i="80" s="1"/>
  <c r="E58" i="80" s="1"/>
  <c r="B66" i="80"/>
  <c r="C66" i="80" s="1"/>
  <c r="E66" i="80" s="1"/>
  <c r="C23" i="63"/>
  <c r="B23" i="63" s="1"/>
  <c r="B30" i="80"/>
  <c r="C30" i="80" s="1"/>
  <c r="E30" i="80" s="1"/>
  <c r="B18" i="63"/>
  <c r="C18" i="63" s="1"/>
  <c r="C19" i="80"/>
  <c r="B21" i="80"/>
  <c r="B65" i="80"/>
  <c r="C65" i="80" s="1"/>
  <c r="B41" i="63"/>
  <c r="C36" i="63"/>
  <c r="B35" i="80"/>
  <c r="C35" i="80" s="1"/>
  <c r="E35" i="80" s="1"/>
  <c r="B42" i="63"/>
  <c r="C42" i="63" s="1"/>
  <c r="E46" i="11"/>
  <c r="F46" i="11" s="1"/>
  <c r="D65" i="80" s="1"/>
  <c r="D67" i="80" s="1"/>
  <c r="F45" i="11"/>
  <c r="AH9" i="7"/>
  <c r="AI8" i="7"/>
  <c r="C24" i="80"/>
  <c r="C70" i="80"/>
  <c r="B74" i="80"/>
  <c r="B40" i="80"/>
  <c r="C12" i="80"/>
  <c r="B16" i="80"/>
  <c r="F102" i="15"/>
  <c r="F103" i="15" s="1"/>
  <c r="B103" i="15"/>
  <c r="B105" i="15" s="1"/>
  <c r="F105" i="15" s="1"/>
  <c r="B27" i="80"/>
  <c r="C27" i="80" s="1"/>
  <c r="E27" i="80" s="1"/>
  <c r="B12" i="63"/>
  <c r="C12" i="63" s="1"/>
  <c r="B63" i="80"/>
  <c r="C63" i="80" s="1"/>
  <c r="E63" i="80" s="1"/>
  <c r="C16" i="63"/>
  <c r="B16" i="63" s="1"/>
  <c r="C55" i="80"/>
  <c r="C21" i="80" l="1"/>
  <c r="E19" i="80"/>
  <c r="E21" i="80" s="1"/>
  <c r="E24" i="80"/>
  <c r="E38" i="80" s="1"/>
  <c r="C38" i="80"/>
  <c r="B38" i="80"/>
  <c r="B43" i="63"/>
  <c r="B8" i="63"/>
  <c r="B33" i="63" s="1"/>
  <c r="C33" i="63"/>
  <c r="C103" i="15"/>
  <c r="E55" i="80"/>
  <c r="C59" i="80"/>
  <c r="AH10" i="7"/>
  <c r="AI9" i="7"/>
  <c r="E65" i="80"/>
  <c r="B59" i="80"/>
  <c r="B76" i="80" s="1"/>
  <c r="C16" i="80"/>
  <c r="C40" i="80" s="1"/>
  <c r="E12" i="80"/>
  <c r="C74" i="80"/>
  <c r="E70" i="80"/>
  <c r="E74" i="80" s="1"/>
  <c r="C43" i="63"/>
  <c r="C62" i="80"/>
  <c r="B67" i="80"/>
  <c r="B80" i="80" l="1"/>
  <c r="C76" i="80"/>
  <c r="B79" i="80" s="1"/>
  <c r="E16" i="80"/>
  <c r="E40" i="80" s="1"/>
  <c r="E62" i="80"/>
  <c r="E67" i="80" s="1"/>
  <c r="C67" i="80"/>
  <c r="C45" i="63"/>
  <c r="AI10" i="7"/>
  <c r="AH11" i="7"/>
  <c r="B45" i="63"/>
  <c r="E59" i="80"/>
  <c r="E76" i="80" s="1"/>
  <c r="AH12" i="7" l="1"/>
  <c r="AI11" i="7"/>
  <c r="AI12" i="7" l="1"/>
  <c r="AH13" i="7"/>
  <c r="AI13" i="7" l="1"/>
  <c r="AH14" i="7"/>
  <c r="AH15" i="7" l="1"/>
  <c r="AI14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<sst xmlns="http://schemas.openxmlformats.org/spreadsheetml/2006/main" count="668" uniqueCount="206">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</sst>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workbookViewId="3">
      <selection activeCell="A119" sqref="A119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v>2.61</v>
      </c>
      <c r="K3" s="437">
        <f ca="1">NOW()</f>
        <v>41885.693228472221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v>2.77</v>
      </c>
      <c r="K4" s="32"/>
    </row>
    <row r="5" spans="1:32" ht="12.95" customHeight="1" x14ac:dyDescent="0.2">
      <c r="D5" s="7"/>
      <c r="I5" s="417" t="s">
        <v>120</v>
      </c>
      <c r="J5" s="420">
        <v>2.85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95590.5</v>
      </c>
      <c r="C12" s="402">
        <f>+B12/$J$4</f>
        <v>34509.205776173287</v>
      </c>
      <c r="D12" s="14">
        <f>+Calpine!D47</f>
        <v>135512</v>
      </c>
      <c r="E12" s="70">
        <f>+C12-D12</f>
        <v>-101002.79422382671</v>
      </c>
      <c r="F12" s="397">
        <f>+Calpine!A41</f>
        <v>37132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-211520.77000000002</v>
      </c>
      <c r="C13" s="401">
        <f>+B13/$J$4</f>
        <v>-76361.288808664263</v>
      </c>
      <c r="D13" s="14">
        <f>+'Citizens-Griffith'!D48</f>
        <v>-99872</v>
      </c>
      <c r="E13" s="70">
        <f>+C13-D13</f>
        <v>23510.711191335737</v>
      </c>
      <c r="F13" s="397">
        <f>+'Citizens-Griffith'!A41</f>
        <v>37132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-423403.93</v>
      </c>
      <c r="C14" s="401">
        <f>+B14/$J$4</f>
        <v>-152853.40433212995</v>
      </c>
      <c r="D14" s="14">
        <f>+'NS Steel'!D50</f>
        <v>-78809</v>
      </c>
      <c r="E14" s="70">
        <f>+C14-D14</f>
        <v>-74044.404332129954</v>
      </c>
      <c r="F14" s="398">
        <f>+'NS Steel'!A41</f>
        <v>37132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-774224.01</v>
      </c>
      <c r="C15" s="403">
        <f>+B15/$J$4</f>
        <v>-279503.25270758121</v>
      </c>
      <c r="D15" s="379">
        <f>+Citizens!D24</f>
        <v>-158108</v>
      </c>
      <c r="E15" s="72">
        <f>+C15-D15</f>
        <v>-121395.25270758121</v>
      </c>
      <c r="F15" s="397">
        <f>+Citizens!A18</f>
        <v>37132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-1313558.21</v>
      </c>
      <c r="C16" s="428">
        <f>SUBTOTAL(9,C12:C15)</f>
        <v>-474208.74007220217</v>
      </c>
      <c r="D16" s="429">
        <f>SUBTOTAL(9,D12:D15)</f>
        <v>-201277</v>
      </c>
      <c r="E16" s="430">
        <f>SUBTOTAL(9,E12:E15)</f>
        <v>-272931.74007220217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21633.370000000003</v>
      </c>
      <c r="C19" s="401">
        <f>+B19/$J$4</f>
        <v>7809.8808664259941</v>
      </c>
      <c r="D19" s="14">
        <f>+transcol!D50</f>
        <v>-43464</v>
      </c>
      <c r="E19" s="70">
        <f>+C19-D19</f>
        <v>51273.880866425992</v>
      </c>
      <c r="F19" s="398">
        <f>+transcol!A43</f>
        <v>37132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7764.5400000000009</v>
      </c>
      <c r="C20" s="405">
        <f>+B20/$J$3</f>
        <v>2974.9195402298856</v>
      </c>
      <c r="D20" s="379">
        <f>+burlington!D49</f>
        <v>2056</v>
      </c>
      <c r="E20" s="72">
        <f>+C20-D20</f>
        <v>918.91954022988557</v>
      </c>
      <c r="F20" s="397">
        <f>+burlington!A42</f>
        <v>37132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29397.910000000003</v>
      </c>
      <c r="C21" s="422">
        <f>SUBTOTAL(9,C19:C20)</f>
        <v>10784.800406655879</v>
      </c>
      <c r="D21" s="429">
        <f>SUBTOTAL(9,D19:D20)</f>
        <v>-41408</v>
      </c>
      <c r="E21" s="430">
        <f>SUBTOTAL(9,E19:E20)</f>
        <v>52192.800406655879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5" customHeight="1" outlineLevel="2" x14ac:dyDescent="0.2">
      <c r="A24" s="206" t="s">
        <v>90</v>
      </c>
      <c r="B24" s="375">
        <f>+NNG!$D$24</f>
        <v>319424.82999999996</v>
      </c>
      <c r="C24" s="401">
        <f t="shared" ref="C24:C35" si="0">+B24/$J$4</f>
        <v>115315.82310469312</v>
      </c>
      <c r="D24" s="14">
        <f>+NNG!D34</f>
        <v>-58814</v>
      </c>
      <c r="E24" s="70">
        <f t="shared" ref="E24:E37" si="1">+C24-D24</f>
        <v>174129.82310469312</v>
      </c>
      <c r="F24" s="397">
        <f>+NNG!A24</f>
        <v>37132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542101.44000000006</v>
      </c>
      <c r="C25" s="401">
        <f t="shared" si="0"/>
        <v>195704.49097472927</v>
      </c>
      <c r="D25" s="14">
        <f>+Conoco!D48</f>
        <v>69652</v>
      </c>
      <c r="E25" s="70">
        <f t="shared" si="1"/>
        <v>126052.49097472927</v>
      </c>
      <c r="F25" s="397">
        <f>+Conoco!A41</f>
        <v>37132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426393.06</v>
      </c>
      <c r="C26" s="401">
        <f t="shared" si="0"/>
        <v>153932.51263537907</v>
      </c>
      <c r="D26" s="14">
        <f>+'Amoco Abo'!D49</f>
        <v>-241476</v>
      </c>
      <c r="E26" s="70">
        <f t="shared" si="1"/>
        <v>395408.5126353791</v>
      </c>
      <c r="F26" s="398">
        <f>+'Amoco Abo'!A43</f>
        <v>37132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458173.45999999996</v>
      </c>
      <c r="C27" s="401">
        <f t="shared" si="0"/>
        <v>165405.58122743681</v>
      </c>
      <c r="D27" s="14">
        <f>+KN_Westar!D48</f>
        <v>24842</v>
      </c>
      <c r="E27" s="70">
        <f t="shared" si="1"/>
        <v>140563.58122743681</v>
      </c>
      <c r="F27" s="398">
        <f>+KN_Westar!A41</f>
        <v>37132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236363.66000000015</v>
      </c>
      <c r="C28" s="402">
        <f t="shared" si="0"/>
        <v>85329.84115523471</v>
      </c>
      <c r="D28" s="14">
        <f>+DEFS!M53</f>
        <v>425655</v>
      </c>
      <c r="E28" s="70">
        <f t="shared" si="1"/>
        <v>-340325.15884476528</v>
      </c>
      <c r="F28" s="398">
        <f>+DEFS!A40</f>
        <v>37132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480667.28</v>
      </c>
      <c r="C29" s="401">
        <f t="shared" si="0"/>
        <v>173526.09386281591</v>
      </c>
      <c r="D29" s="14">
        <f>+CIG!D49</f>
        <v>61853</v>
      </c>
      <c r="E29" s="70">
        <f t="shared" si="1"/>
        <v>111673.09386281591</v>
      </c>
      <c r="F29" s="398">
        <f>+CIG!A43</f>
        <v>37130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326084.28000000003</v>
      </c>
      <c r="C30" s="401">
        <f t="shared" si="0"/>
        <v>117719.95667870037</v>
      </c>
      <c r="D30" s="14">
        <f>+mewborne!D49</f>
        <v>129525</v>
      </c>
      <c r="E30" s="70">
        <f t="shared" si="1"/>
        <v>-11805.043321299629</v>
      </c>
      <c r="F30" s="398">
        <f>+mewborne!A43</f>
        <v>37132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485011.93</v>
      </c>
      <c r="C31" s="401">
        <f t="shared" si="0"/>
        <v>175094.55956678701</v>
      </c>
      <c r="D31" s="14">
        <f>+PGETX!E48</f>
        <v>119964</v>
      </c>
      <c r="E31" s="70">
        <f t="shared" si="1"/>
        <v>55130.559566787007</v>
      </c>
      <c r="F31" s="398">
        <f>+PGETX!E39</f>
        <v>37132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138056.69999999998</v>
      </c>
      <c r="C32" s="401">
        <f t="shared" si="0"/>
        <v>49839.963898916962</v>
      </c>
      <c r="D32" s="14">
        <f>+PNM!D30</f>
        <v>10319</v>
      </c>
      <c r="E32" s="70">
        <f t="shared" si="1"/>
        <v>39520.963898916962</v>
      </c>
      <c r="F32" s="398">
        <f>+PNM!A23</f>
        <v>37132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72309.86</v>
      </c>
      <c r="C33" s="401">
        <f t="shared" si="0"/>
        <v>26104.642599277977</v>
      </c>
      <c r="D33" s="14">
        <f>+EOG!D48</f>
        <v>-88104</v>
      </c>
      <c r="E33" s="70">
        <f t="shared" si="1"/>
        <v>114208.64259927798</v>
      </c>
      <c r="F33" s="397">
        <f>+EOG!A41</f>
        <v>37132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16213.65</v>
      </c>
      <c r="C34" s="401">
        <f t="shared" si="0"/>
        <v>5853.3032490974729</v>
      </c>
      <c r="D34" s="14">
        <f>+SidR!D48</f>
        <v>59052</v>
      </c>
      <c r="E34" s="70">
        <f t="shared" si="1"/>
        <v>-53198.696750902527</v>
      </c>
      <c r="F34" s="398">
        <f>+SidR!A41</f>
        <v>37132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-1883.2382671480143</v>
      </c>
      <c r="D35" s="14">
        <f>+Continental!D50</f>
        <v>-17302</v>
      </c>
      <c r="E35" s="70">
        <f t="shared" si="1"/>
        <v>15418.761732851986</v>
      </c>
      <c r="F35" s="398">
        <f>+Continental!A43</f>
        <v>37130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-45314</v>
      </c>
      <c r="C36" s="402">
        <f>+B36/$J$5</f>
        <v>-15899.649122807017</v>
      </c>
      <c r="D36" s="14">
        <f>+EPFS!D47</f>
        <v>-4628</v>
      </c>
      <c r="E36" s="70">
        <f t="shared" si="1"/>
        <v>-11271.649122807017</v>
      </c>
      <c r="F36" s="397">
        <f>+EPFS!A41</f>
        <v>37132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-88529.63</v>
      </c>
      <c r="C37" s="403">
        <f>+B37/$J$4</f>
        <v>-31960.155234657042</v>
      </c>
      <c r="D37" s="379">
        <f>+Agave!D31</f>
        <v>-66130</v>
      </c>
      <c r="E37" s="72">
        <f t="shared" si="1"/>
        <v>34169.844765342961</v>
      </c>
      <c r="F37" s="397">
        <f>+Agave!A24</f>
        <v>37132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3361739.9500000011</v>
      </c>
      <c r="C38" s="428">
        <f>SUBTOTAL(9,C24:C37)</f>
        <v>1214083.7263284568</v>
      </c>
      <c r="D38" s="429">
        <f>SUBTOTAL(9,D24:D37)</f>
        <v>424408</v>
      </c>
      <c r="E38" s="430">
        <f>SUBTOTAL(9,E24:E37)</f>
        <v>789675.72632845666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2077579.6500000004</v>
      </c>
      <c r="C40" s="428">
        <f>SUBTOTAL(9,C12:C37)</f>
        <v>750659.78666291037</v>
      </c>
      <c r="D40" s="429">
        <f>SUBTOTAL(9,D12:D37)</f>
        <v>181723</v>
      </c>
      <c r="E40" s="430">
        <f>SUBTOTAL(9,E12:E37)</f>
        <v>568936.78666291037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v>2.61</v>
      </c>
      <c r="K46" s="437">
        <f ca="1">NOW()</f>
        <v>41885.693228472221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v>2.77</v>
      </c>
      <c r="K47" s="32"/>
    </row>
    <row r="48" spans="1:12" ht="13.5" customHeight="1" outlineLevel="1" x14ac:dyDescent="0.2">
      <c r="D48" s="7"/>
      <c r="I48" s="417" t="s">
        <v>120</v>
      </c>
      <c r="J48" s="420">
        <v>2.85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151201</v>
      </c>
      <c r="C55" s="375">
        <f>+B55*$J$4</f>
        <v>418826.77</v>
      </c>
      <c r="D55" s="47">
        <f>+Mojave!D47</f>
        <v>124792.45999999999</v>
      </c>
      <c r="E55" s="47">
        <f>+C55-D55</f>
        <v>294034.31000000006</v>
      </c>
      <c r="F55" s="398">
        <f>+Mojave!A40</f>
        <v>37132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164017</v>
      </c>
      <c r="C56" s="375">
        <f>+B56*$J$4</f>
        <v>454327.09</v>
      </c>
      <c r="D56" s="47">
        <f>+SoCal!D47</f>
        <v>500808.45</v>
      </c>
      <c r="E56" s="47">
        <f>+C56-D56</f>
        <v>-46481.359999999986</v>
      </c>
      <c r="F56" s="398">
        <f>+SoCal!A40</f>
        <v>37132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177712.12</v>
      </c>
      <c r="D57" s="47">
        <f>+'El Paso'!C46</f>
        <v>-1583274.01</v>
      </c>
      <c r="E57" s="47">
        <f>+C57-D57</f>
        <v>1760986.13</v>
      </c>
      <c r="F57" s="398">
        <f>+'El Paso'!A39</f>
        <v>37132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42695</v>
      </c>
      <c r="C58" s="378">
        <f>+B58*$J$4</f>
        <v>118265.15</v>
      </c>
      <c r="D58" s="378">
        <f>+'PG&amp;E'!D47</f>
        <v>-106791.23000000001</v>
      </c>
      <c r="E58" s="378">
        <f>+C58-D58</f>
        <v>225056.38</v>
      </c>
      <c r="F58" s="398">
        <f>+'PG&amp;E'!A40</f>
        <v>37132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422069</v>
      </c>
      <c r="C59" s="421">
        <f>SUBTOTAL(9,C55:C58)</f>
        <v>1169131.1299999999</v>
      </c>
      <c r="D59" s="421">
        <f>SUBTOTAL(9,D55:D58)</f>
        <v>-1064464.33</v>
      </c>
      <c r="E59" s="421">
        <f>SUBTOTAL(9,E55:E58)</f>
        <v>2233595.46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274930</v>
      </c>
      <c r="C62" s="375">
        <f>+B62*$J$3</f>
        <v>717567.29999999993</v>
      </c>
      <c r="D62" s="47">
        <f>+williams!D48</f>
        <v>1287037.3900000001</v>
      </c>
      <c r="E62" s="47">
        <f>+C62-D62</f>
        <v>-569470.0900000002</v>
      </c>
      <c r="F62" s="397">
        <f>+williams!A40</f>
        <v>37132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139784</v>
      </c>
      <c r="C63" s="376">
        <f>+B63*J3</f>
        <v>364836.24</v>
      </c>
      <c r="D63" s="202">
        <f>+'Red C'!D52</f>
        <v>670650.59</v>
      </c>
      <c r="E63" s="47">
        <f>+C63-D63</f>
        <v>-305814.34999999998</v>
      </c>
      <c r="F63" s="397">
        <f>+'Red C'!B43</f>
        <v>37132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93070</v>
      </c>
      <c r="C64" s="375">
        <f>+B64*$J$3</f>
        <v>242912.69999999998</v>
      </c>
      <c r="D64" s="47">
        <f>+Amoco!D47</f>
        <v>511419.60000000003</v>
      </c>
      <c r="E64" s="47">
        <f>+C64-D64</f>
        <v>-268506.90000000002</v>
      </c>
      <c r="F64" s="398">
        <f>+Amoco!A40</f>
        <v>37132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-72089</v>
      </c>
      <c r="C65" s="375">
        <f>+B65*$J$3</f>
        <v>-188152.28999999998</v>
      </c>
      <c r="D65" s="47">
        <f>+'El Paso'!F46</f>
        <v>-656715.23999999987</v>
      </c>
      <c r="E65" s="47">
        <f>+C65-D65</f>
        <v>468562.9499999999</v>
      </c>
      <c r="F65" s="398">
        <f>+'El Paso'!A39</f>
        <v>37132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70890</v>
      </c>
      <c r="C66" s="378">
        <f>+B66*$J$3</f>
        <v>185022.9</v>
      </c>
      <c r="D66" s="378">
        <f>+NW!E49</f>
        <v>-316085.64</v>
      </c>
      <c r="E66" s="378">
        <f>+C66-D66</f>
        <v>501108.54000000004</v>
      </c>
      <c r="F66" s="397">
        <f>+NW!B41</f>
        <v>37132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506585</v>
      </c>
      <c r="C67" s="421">
        <f>SUBTOTAL(9,C62:C66)</f>
        <v>1322186.8499999999</v>
      </c>
      <c r="D67" s="421">
        <f>SUBTOTAL(9,D62:D66)</f>
        <v>1496306.7000000002</v>
      </c>
      <c r="E67" s="421">
        <f>SUBTOTAL(9,E62:E66)</f>
        <v>-174119.85000000033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121708</v>
      </c>
      <c r="C70" s="375">
        <f>+B70*$J$4</f>
        <v>337131.16</v>
      </c>
      <c r="D70" s="47">
        <f>+NGPL!D45</f>
        <v>305881.7</v>
      </c>
      <c r="E70" s="47">
        <f>+C70-D70</f>
        <v>31249.459999999963</v>
      </c>
      <c r="F70" s="398">
        <f>+NGPL!A38</f>
        <v>37132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49491</v>
      </c>
      <c r="C71" s="376">
        <f>+B71*$J$4</f>
        <v>137090.07</v>
      </c>
      <c r="D71" s="47">
        <f>+PEPL!D47</f>
        <v>266890.12</v>
      </c>
      <c r="E71" s="47">
        <f>+C71-D71</f>
        <v>-129800.04999999999</v>
      </c>
      <c r="F71" s="398">
        <f>+PEPL!A41</f>
        <v>37132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40819</v>
      </c>
      <c r="C72" s="375">
        <f>+B72*$J$4</f>
        <v>113068.63</v>
      </c>
      <c r="D72" s="47">
        <f>+Oasis!D47</f>
        <v>-271373.55</v>
      </c>
      <c r="E72" s="47">
        <f>+C72-D72</f>
        <v>384442.18</v>
      </c>
      <c r="F72" s="398">
        <f>+Oasis!B40</f>
        <v>37132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72147</v>
      </c>
      <c r="C73" s="378">
        <f>+B73*$J$4</f>
        <v>199847.19</v>
      </c>
      <c r="D73" s="378">
        <f>+Lonestar!D49</f>
        <v>69219.75</v>
      </c>
      <c r="E73" s="378">
        <f>+C73-D73</f>
        <v>130627.44</v>
      </c>
      <c r="F73" s="397">
        <f>+Lonestar!B42</f>
        <v>37132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284165</v>
      </c>
      <c r="C74" s="421">
        <f>SUBTOTAL(9,C70:C73)</f>
        <v>787137.05</v>
      </c>
      <c r="D74" s="421">
        <f>SUBTOTAL(9,D70:D73)</f>
        <v>370618.02000000008</v>
      </c>
      <c r="E74" s="421">
        <f>SUBTOTAL(9,E70:E73)</f>
        <v>416519.02999999997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1212819</v>
      </c>
      <c r="C76" s="421">
        <f>SUBTOTAL(9,C55:C73)</f>
        <v>3278455.03</v>
      </c>
      <c r="D76" s="421">
        <f>SUBTOTAL(9,D55:D73)</f>
        <v>802460.39000000013</v>
      </c>
      <c r="E76" s="421">
        <f>SUBTOTAL(9,E55:E73)</f>
        <v>2475994.6399999997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5356034.68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1963478.7866629104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1" workbookViewId="3">
      <selection activeCell="B36" sqref="B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147274</v>
      </c>
      <c r="C33" s="150">
        <v>147179</v>
      </c>
      <c r="D33" s="150">
        <v>12678</v>
      </c>
      <c r="E33" s="150">
        <v>12532</v>
      </c>
      <c r="F33" s="11">
        <f t="shared" si="5"/>
        <v>-241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146317</v>
      </c>
      <c r="C34" s="150">
        <v>147597</v>
      </c>
      <c r="D34" s="150">
        <v>12682</v>
      </c>
      <c r="E34" s="150">
        <v>12532</v>
      </c>
      <c r="F34" s="11">
        <f t="shared" si="5"/>
        <v>1130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>
        <v>158000</v>
      </c>
      <c r="C35" s="150">
        <v>158653</v>
      </c>
      <c r="D35" s="150">
        <v>12737</v>
      </c>
      <c r="E35" s="150">
        <v>12532</v>
      </c>
      <c r="F35" s="11">
        <f t="shared" si="5"/>
        <v>448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157955</v>
      </c>
      <c r="C36" s="150">
        <v>158859</v>
      </c>
      <c r="D36" s="150">
        <v>12582</v>
      </c>
      <c r="E36" s="150">
        <v>12532</v>
      </c>
      <c r="F36" s="11">
        <f t="shared" si="5"/>
        <v>854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4103272</v>
      </c>
      <c r="C39" s="150">
        <f>SUM(C8:C38)</f>
        <v>4095302</v>
      </c>
      <c r="D39" s="150">
        <f>SUM(D8:D38)</f>
        <v>354787</v>
      </c>
      <c r="E39" s="150">
        <f>SUM(E8:E38)</f>
        <v>355408</v>
      </c>
      <c r="F39" s="11">
        <f t="shared" si="5"/>
        <v>-7349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37132</v>
      </c>
      <c r="C43" s="142"/>
      <c r="D43" s="142"/>
      <c r="E43" s="142"/>
      <c r="F43" s="150">
        <f>+F42+F39</f>
        <v>139784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37132</v>
      </c>
      <c r="B51" s="32"/>
      <c r="C51" s="32"/>
      <c r="D51" s="408">
        <f>+F39*'by type'!J3</f>
        <v>-19180.89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670650.59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B32" sqref="B3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-89441</v>
      </c>
      <c r="C30" s="24">
        <v>-88745</v>
      </c>
      <c r="D30" s="24">
        <f t="shared" si="0"/>
        <v>696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-88618</v>
      </c>
      <c r="C31" s="24">
        <v>-88659</v>
      </c>
      <c r="D31" s="24">
        <f t="shared" si="0"/>
        <v>-41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>
        <v>-64764</v>
      </c>
      <c r="C32" s="24">
        <v>-68012</v>
      </c>
      <c r="D32" s="24">
        <f t="shared" si="0"/>
        <v>-3248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-98895</v>
      </c>
      <c r="C33" s="24">
        <v>-98285</v>
      </c>
      <c r="D33" s="24">
        <f t="shared" si="0"/>
        <v>610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-1793341</v>
      </c>
      <c r="C36" s="24">
        <f>SUM(C5:C35)</f>
        <v>-1787501</v>
      </c>
      <c r="D36" s="24">
        <f t="shared" si="0"/>
        <v>5840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37132</v>
      </c>
      <c r="C40" s="24"/>
      <c r="D40" s="195">
        <f>+D36+D38</f>
        <v>40819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0">
        <v>-287550.34999999998</v>
      </c>
    </row>
    <row r="46" spans="1:65" x14ac:dyDescent="0.2">
      <c r="A46" s="49">
        <f>+B40</f>
        <v>37132</v>
      </c>
      <c r="B46" s="32"/>
      <c r="C46" s="32"/>
      <c r="D46" s="408">
        <f>+D36*'by type'!J4</f>
        <v>16176.8</v>
      </c>
    </row>
    <row r="47" spans="1:65" x14ac:dyDescent="0.2">
      <c r="A47" s="32"/>
      <c r="B47" s="32"/>
      <c r="C47" s="32"/>
      <c r="D47" s="202">
        <f>+D46+D45</f>
        <v>-271373.55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8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973435</v>
      </c>
      <c r="C5" s="90">
        <v>1004635</v>
      </c>
      <c r="D5" s="90">
        <f>+C5-B5</f>
        <v>31200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923267</v>
      </c>
      <c r="C7" s="90">
        <v>906599</v>
      </c>
      <c r="D7" s="90">
        <f t="shared" si="0"/>
        <v>-16668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1262377</v>
      </c>
      <c r="C8" s="90">
        <v>1332076</v>
      </c>
      <c r="D8" s="90">
        <f t="shared" si="0"/>
        <v>69699</v>
      </c>
      <c r="E8" s="285"/>
      <c r="F8" s="283"/>
    </row>
    <row r="9" spans="1:13" x14ac:dyDescent="0.2">
      <c r="A9" s="87">
        <v>500293</v>
      </c>
      <c r="B9" s="90">
        <v>422063</v>
      </c>
      <c r="C9" s="90">
        <v>587681</v>
      </c>
      <c r="D9" s="90">
        <f t="shared" si="0"/>
        <v>165618</v>
      </c>
      <c r="E9" s="285"/>
      <c r="F9" s="283"/>
    </row>
    <row r="10" spans="1:13" x14ac:dyDescent="0.2">
      <c r="A10" s="87">
        <v>500302</v>
      </c>
      <c r="B10" s="319"/>
      <c r="C10" s="319">
        <v>10904</v>
      </c>
      <c r="D10" s="90">
        <f t="shared" si="0"/>
        <v>10904</v>
      </c>
      <c r="E10" s="285"/>
      <c r="F10" s="283"/>
    </row>
    <row r="11" spans="1:13" x14ac:dyDescent="0.2">
      <c r="A11" s="87">
        <v>500303</v>
      </c>
      <c r="B11" s="319">
        <v>252696</v>
      </c>
      <c r="C11" s="90">
        <v>323422</v>
      </c>
      <c r="D11" s="90">
        <f t="shared" si="0"/>
        <v>70726</v>
      </c>
      <c r="E11" s="285"/>
      <c r="F11" s="283"/>
    </row>
    <row r="12" spans="1:13" x14ac:dyDescent="0.2">
      <c r="A12" s="91">
        <v>500305</v>
      </c>
      <c r="B12" s="319">
        <v>989030</v>
      </c>
      <c r="C12" s="90">
        <v>1287187</v>
      </c>
      <c r="D12" s="90">
        <f t="shared" si="0"/>
        <v>298157</v>
      </c>
      <c r="E12" s="286"/>
      <c r="F12" s="283"/>
    </row>
    <row r="13" spans="1:13" x14ac:dyDescent="0.2">
      <c r="A13" s="87">
        <v>500307</v>
      </c>
      <c r="B13" s="319">
        <v>99582</v>
      </c>
      <c r="C13" s="90">
        <v>109212</v>
      </c>
      <c r="D13" s="90">
        <f t="shared" si="0"/>
        <v>9630</v>
      </c>
      <c r="E13" s="285"/>
      <c r="F13" s="283"/>
    </row>
    <row r="14" spans="1:13" x14ac:dyDescent="0.2">
      <c r="A14" s="87">
        <v>500313</v>
      </c>
      <c r="B14" s="90"/>
      <c r="C14" s="319">
        <v>3041</v>
      </c>
      <c r="D14" s="90">
        <f t="shared" si="0"/>
        <v>3041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643386</v>
      </c>
      <c r="C16" s="90"/>
      <c r="D16" s="90">
        <f t="shared" si="0"/>
        <v>-643386</v>
      </c>
      <c r="E16" s="285"/>
      <c r="F16" s="283"/>
    </row>
    <row r="17" spans="1:6" x14ac:dyDescent="0.2">
      <c r="A17" s="87">
        <v>500657</v>
      </c>
      <c r="B17" s="335">
        <v>142754</v>
      </c>
      <c r="C17" s="88">
        <v>159449</v>
      </c>
      <c r="D17" s="94">
        <f t="shared" si="0"/>
        <v>16695</v>
      </c>
      <c r="E17" s="285"/>
      <c r="F17" s="283"/>
    </row>
    <row r="18" spans="1:6" x14ac:dyDescent="0.2">
      <c r="A18" s="87"/>
      <c r="B18" s="88"/>
      <c r="C18" s="88"/>
      <c r="D18" s="88">
        <f>SUM(D5:D17)</f>
        <v>15616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2.77</v>
      </c>
      <c r="E19" s="287"/>
      <c r="F19" s="283"/>
    </row>
    <row r="20" spans="1:6" x14ac:dyDescent="0.2">
      <c r="A20" s="87"/>
      <c r="B20" s="88"/>
      <c r="C20" s="88"/>
      <c r="D20" s="96">
        <f>+D19*D18</f>
        <v>43256.32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37132</v>
      </c>
      <c r="B24" s="88"/>
      <c r="C24" s="88"/>
      <c r="D24" s="334">
        <f>+D22+D20</f>
        <v>-88529.63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37132</v>
      </c>
      <c r="B30" s="32"/>
      <c r="C30" s="32"/>
      <c r="D30" s="379">
        <f>+D18</f>
        <v>15616</v>
      </c>
    </row>
    <row r="31" spans="1:6" x14ac:dyDescent="0.2">
      <c r="A31" s="32"/>
      <c r="B31" s="32"/>
      <c r="C31" s="32"/>
      <c r="D31" s="14">
        <f>+D30+D29</f>
        <v>-66130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C33" sqref="C3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>
        <v>35973</v>
      </c>
      <c r="C29" s="11">
        <v>30517</v>
      </c>
      <c r="D29" s="11">
        <v>29256</v>
      </c>
      <c r="E29" s="11">
        <v>30950</v>
      </c>
      <c r="F29" s="25">
        <f t="shared" si="2"/>
        <v>-3762</v>
      </c>
    </row>
    <row r="30" spans="1:7" x14ac:dyDescent="0.2">
      <c r="A30" s="41">
        <v>27</v>
      </c>
      <c r="B30" s="11">
        <v>30843</v>
      </c>
      <c r="C30" s="11">
        <v>27017</v>
      </c>
      <c r="D30" s="11">
        <v>31434</v>
      </c>
      <c r="E30" s="11">
        <v>34450</v>
      </c>
      <c r="F30" s="25">
        <f t="shared" si="2"/>
        <v>-810</v>
      </c>
    </row>
    <row r="31" spans="1:7" x14ac:dyDescent="0.2">
      <c r="A31" s="41">
        <v>28</v>
      </c>
      <c r="B31" s="11">
        <v>29884</v>
      </c>
      <c r="C31" s="11">
        <v>23517</v>
      </c>
      <c r="D31" s="11">
        <v>32955</v>
      </c>
      <c r="E31" s="11">
        <v>37950</v>
      </c>
      <c r="F31" s="25">
        <f t="shared" si="2"/>
        <v>-1372</v>
      </c>
    </row>
    <row r="32" spans="1:7" x14ac:dyDescent="0.2">
      <c r="A32" s="41">
        <v>29</v>
      </c>
      <c r="B32" s="11">
        <v>24149</v>
      </c>
      <c r="C32" s="11">
        <v>27300</v>
      </c>
      <c r="D32" s="11">
        <v>32189</v>
      </c>
      <c r="E32" s="11">
        <v>32000</v>
      </c>
      <c r="F32" s="25">
        <f t="shared" si="2"/>
        <v>2962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991582</v>
      </c>
      <c r="C35" s="11">
        <f>SUM(C4:C34)</f>
        <v>927929</v>
      </c>
      <c r="D35" s="11">
        <f>SUM(D4:D34)</f>
        <v>874511</v>
      </c>
      <c r="E35" s="11">
        <f>SUM(E4:E34)</f>
        <v>912685</v>
      </c>
      <c r="F35" s="11">
        <f>+E35-D35+C35-B35</f>
        <v>-25479</v>
      </c>
    </row>
    <row r="36" spans="1:7" x14ac:dyDescent="0.2">
      <c r="A36" s="45"/>
      <c r="C36" s="14">
        <f>+C35-B35</f>
        <v>-63653</v>
      </c>
      <c r="D36" s="14"/>
      <c r="E36" s="14">
        <f>+E35-D35</f>
        <v>38174</v>
      </c>
      <c r="F36" s="47"/>
    </row>
    <row r="37" spans="1:7" x14ac:dyDescent="0.2">
      <c r="C37" s="15">
        <f>+summary!H4</f>
        <v>2.77</v>
      </c>
      <c r="D37" s="15"/>
      <c r="E37" s="15">
        <f>+C37</f>
        <v>2.77</v>
      </c>
      <c r="F37" s="24"/>
    </row>
    <row r="38" spans="1:7" x14ac:dyDescent="0.2">
      <c r="C38" s="48">
        <f>+C37*C36</f>
        <v>-176318.81</v>
      </c>
      <c r="D38" s="47"/>
      <c r="E38" s="48">
        <f>+E37*E36</f>
        <v>105741.98</v>
      </c>
      <c r="F38" s="46">
        <f>+E38+C38</f>
        <v>-70576.83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37132</v>
      </c>
      <c r="C41" s="106">
        <f>+C40+C38</f>
        <v>436359.46</v>
      </c>
      <c r="D41" s="106"/>
      <c r="E41" s="106">
        <f>+E40+E38</f>
        <v>105741.98</v>
      </c>
      <c r="F41" s="106">
        <f>+E41+C41</f>
        <v>542101.44000000006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37132</v>
      </c>
      <c r="D47" s="379">
        <f>+F35</f>
        <v>-25479</v>
      </c>
      <c r="E47" s="11"/>
      <c r="F47" s="11"/>
      <c r="G47" s="25"/>
    </row>
    <row r="48" spans="1:7" x14ac:dyDescent="0.2">
      <c r="D48" s="14">
        <f>+D47+D46</f>
        <v>69652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E33" sqref="E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186775</v>
      </c>
      <c r="C30" s="11">
        <v>185860</v>
      </c>
      <c r="D30" s="11"/>
      <c r="E30" s="11"/>
      <c r="F30" s="11">
        <f t="shared" si="2"/>
        <v>-915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198508</v>
      </c>
      <c r="C31" s="11">
        <v>203148</v>
      </c>
      <c r="D31" s="11"/>
      <c r="E31" s="11">
        <v>-5993</v>
      </c>
      <c r="F31" s="11">
        <f t="shared" si="2"/>
        <v>-1353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169854</v>
      </c>
      <c r="C32" s="11">
        <v>187737</v>
      </c>
      <c r="D32" s="11"/>
      <c r="E32" s="11">
        <v>-18683</v>
      </c>
      <c r="F32" s="11">
        <f t="shared" si="2"/>
        <v>-800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138713</v>
      </c>
      <c r="C33" s="11">
        <v>138195</v>
      </c>
      <c r="D33" s="11"/>
      <c r="E33" s="11"/>
      <c r="F33" s="11">
        <f t="shared" si="2"/>
        <v>-518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5421418</v>
      </c>
      <c r="C36" s="11">
        <f>SUM(C5:C35)</f>
        <v>5829551</v>
      </c>
      <c r="D36" s="11">
        <f>SUM(D5:D35)</f>
        <v>0</v>
      </c>
      <c r="E36" s="11">
        <f>SUM(E5:E35)</f>
        <v>-342353</v>
      </c>
      <c r="F36" s="11">
        <f>SUM(F5:F35)</f>
        <v>65780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37132</v>
      </c>
      <c r="F41" s="353">
        <f>+F39+F36</f>
        <v>70890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37132</v>
      </c>
      <c r="C48" s="32"/>
      <c r="D48" s="32"/>
      <c r="E48" s="408">
        <f>+F36*'by type'!J3</f>
        <v>171685.8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-316085.64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46" sqref="C4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">
      <c r="A33" s="10">
        <v>26</v>
      </c>
      <c r="B33" s="11">
        <v>90095</v>
      </c>
      <c r="C33" s="11">
        <v>91775</v>
      </c>
      <c r="D33" s="11">
        <f t="shared" si="0"/>
        <v>1680</v>
      </c>
      <c r="E33" s="10"/>
      <c r="F33" s="11"/>
      <c r="G33" s="11"/>
      <c r="H33" s="11"/>
    </row>
    <row r="34" spans="1:8" x14ac:dyDescent="0.2">
      <c r="A34" s="10">
        <v>27</v>
      </c>
      <c r="B34" s="11">
        <v>87986</v>
      </c>
      <c r="C34" s="11">
        <v>91776</v>
      </c>
      <c r="D34" s="11">
        <f t="shared" si="0"/>
        <v>3790</v>
      </c>
      <c r="E34" s="10"/>
      <c r="F34" s="11"/>
      <c r="G34" s="11"/>
      <c r="H34" s="11"/>
    </row>
    <row r="35" spans="1:8" x14ac:dyDescent="0.2">
      <c r="A35" s="10">
        <v>28</v>
      </c>
      <c r="B35" s="11">
        <v>87551</v>
      </c>
      <c r="C35" s="11">
        <v>86776</v>
      </c>
      <c r="D35" s="11">
        <f t="shared" si="0"/>
        <v>-775</v>
      </c>
      <c r="E35" s="10"/>
      <c r="F35" s="11"/>
      <c r="G35" s="11"/>
      <c r="H35" s="11"/>
    </row>
    <row r="36" spans="1:8" x14ac:dyDescent="0.2">
      <c r="A36" s="10">
        <v>29</v>
      </c>
      <c r="B36" s="11">
        <v>88628</v>
      </c>
      <c r="C36" s="11">
        <v>86776</v>
      </c>
      <c r="D36" s="11">
        <f t="shared" si="0"/>
        <v>-1852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2704230</v>
      </c>
      <c r="C39" s="11">
        <f>SUM(C8:C38)</f>
        <v>2704241</v>
      </c>
      <c r="D39" s="11">
        <f>SUM(D8:D38)</f>
        <v>11</v>
      </c>
      <c r="E39" s="10"/>
      <c r="F39" s="11"/>
      <c r="G39" s="11"/>
      <c r="H39" s="11"/>
    </row>
    <row r="40" spans="1:8" x14ac:dyDescent="0.2">
      <c r="A40" s="26"/>
      <c r="D40" s="75">
        <f>+summary!H4</f>
        <v>2.77</v>
      </c>
      <c r="E40" s="26"/>
      <c r="H40" s="75"/>
    </row>
    <row r="41" spans="1:8" x14ac:dyDescent="0.2">
      <c r="D41" s="197">
        <f>+D40*D39</f>
        <v>30.47</v>
      </c>
      <c r="F41" s="252"/>
      <c r="H41" s="197"/>
    </row>
    <row r="42" spans="1:8" x14ac:dyDescent="0.2">
      <c r="A42" s="57">
        <v>37103</v>
      </c>
      <c r="D42" s="456">
        <v>21602.9</v>
      </c>
      <c r="E42" s="57"/>
      <c r="H42" s="197"/>
    </row>
    <row r="43" spans="1:8" x14ac:dyDescent="0.2">
      <c r="A43" s="57">
        <v>37132</v>
      </c>
      <c r="D43" s="198">
        <f>+D42+D41</f>
        <v>21633.370000000003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37132</v>
      </c>
      <c r="B49" s="32"/>
      <c r="C49" s="32"/>
      <c r="D49" s="379">
        <f>+D39</f>
        <v>11</v>
      </c>
    </row>
    <row r="50" spans="1:4" x14ac:dyDescent="0.2">
      <c r="A50" s="32"/>
      <c r="B50" s="32"/>
      <c r="C50" s="32"/>
      <c r="D50" s="14">
        <f>+D49+D48</f>
        <v>-43464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5" workbookViewId="3">
      <selection activeCell="B10" sqref="B10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37132</v>
      </c>
      <c r="J7" s="32"/>
    </row>
    <row r="8" spans="1:10" x14ac:dyDescent="0.2">
      <c r="A8" s="253">
        <v>60874</v>
      </c>
      <c r="B8" s="361">
        <v>4889</v>
      </c>
      <c r="J8" s="32"/>
    </row>
    <row r="9" spans="1:10" x14ac:dyDescent="0.2">
      <c r="A9" s="253">
        <v>78169</v>
      </c>
      <c r="B9" s="361">
        <f>214138-208767</f>
        <v>5371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17400-15877</f>
        <v>1523</v>
      </c>
      <c r="J12" s="32"/>
    </row>
    <row r="13" spans="1:10" x14ac:dyDescent="0.2">
      <c r="A13" s="253">
        <v>500254</v>
      </c>
      <c r="B13" s="332">
        <f>2610-3781</f>
        <v>-1171</v>
      </c>
      <c r="J13" s="32"/>
    </row>
    <row r="14" spans="1:10" x14ac:dyDescent="0.2">
      <c r="A14" s="32">
        <v>500255</v>
      </c>
      <c r="B14" s="332">
        <f>15950-17211</f>
        <v>-1261</v>
      </c>
      <c r="E14" s="32">
        <v>4840.7299999999996</v>
      </c>
      <c r="J14" s="32"/>
    </row>
    <row r="15" spans="1:10" x14ac:dyDescent="0.2">
      <c r="A15" s="32">
        <v>500262</v>
      </c>
      <c r="B15" s="332">
        <f>11600-6207</f>
        <v>5393</v>
      </c>
      <c r="E15" s="32">
        <v>67.239999999999995</v>
      </c>
      <c r="J15" s="32"/>
    </row>
    <row r="16" spans="1:10" x14ac:dyDescent="0.2">
      <c r="A16" s="290">
        <v>500267</v>
      </c>
      <c r="B16" s="362">
        <f>1717014-1684394</f>
        <v>32620</v>
      </c>
      <c r="E16" s="32">
        <f>+E14-E15</f>
        <v>4773.49</v>
      </c>
      <c r="J16" s="32"/>
    </row>
    <row r="17" spans="1:10" x14ac:dyDescent="0.2">
      <c r="B17" s="14">
        <f>SUM(B8:B16)</f>
        <v>45777</v>
      </c>
      <c r="J17" s="32"/>
    </row>
    <row r="18" spans="1:10" x14ac:dyDescent="0.2">
      <c r="B18" s="15">
        <f>+B31</f>
        <v>2.77</v>
      </c>
      <c r="C18" s="201">
        <f>+B18*B17</f>
        <v>126802.29</v>
      </c>
      <c r="G18" s="32"/>
      <c r="H18" s="413"/>
      <c r="I18" s="14"/>
      <c r="J18" s="32"/>
    </row>
    <row r="19" spans="1:10" x14ac:dyDescent="0.2">
      <c r="C19" s="339">
        <f>+C18+C5</f>
        <v>1289588.33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37132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2.77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37132</v>
      </c>
      <c r="F38" s="379">
        <f>+B17</f>
        <v>45777</v>
      </c>
      <c r="G38" s="379">
        <f>+B30</f>
        <v>0</v>
      </c>
      <c r="H38" s="379">
        <f>+B45</f>
        <v>9220</v>
      </c>
      <c r="I38" s="14"/>
    </row>
    <row r="39" spans="1:9" x14ac:dyDescent="0.2">
      <c r="A39" s="49">
        <v>37103</v>
      </c>
      <c r="C39" s="454">
        <v>732710.21</v>
      </c>
      <c r="F39" s="14">
        <f>+F38+F37</f>
        <v>268803</v>
      </c>
      <c r="G39" s="14">
        <f>+G38+G37</f>
        <v>117857</v>
      </c>
      <c r="H39" s="14">
        <f>+H38+H37</f>
        <v>148030</v>
      </c>
      <c r="I39" s="14">
        <f>+H39+G39+F39</f>
        <v>534690</v>
      </c>
    </row>
    <row r="40" spans="1:9" x14ac:dyDescent="0.2">
      <c r="G40" s="32"/>
      <c r="H40" s="15"/>
      <c r="I40" s="32"/>
    </row>
    <row r="41" spans="1:9" x14ac:dyDescent="0.2">
      <c r="A41" s="249">
        <v>37132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7459</v>
      </c>
      <c r="G43" s="32"/>
      <c r="H43" s="414"/>
      <c r="I43" s="14"/>
    </row>
    <row r="44" spans="1:9" x14ac:dyDescent="0.2">
      <c r="A44" s="32">
        <v>500392</v>
      </c>
      <c r="B44" s="257">
        <v>1761</v>
      </c>
      <c r="G44" s="32"/>
      <c r="H44" s="414"/>
      <c r="I44" s="14"/>
    </row>
    <row r="45" spans="1:9" x14ac:dyDescent="0.2">
      <c r="B45" s="14">
        <f>SUM(B42:B44)</f>
        <v>9220</v>
      </c>
      <c r="G45" s="32"/>
      <c r="H45" s="414"/>
      <c r="I45" s="14"/>
    </row>
    <row r="46" spans="1:9" x14ac:dyDescent="0.2">
      <c r="B46" s="201">
        <f>+B31</f>
        <v>2.77</v>
      </c>
      <c r="C46" s="201">
        <f>+B46*B45</f>
        <v>25539.4</v>
      </c>
      <c r="H46" s="414"/>
      <c r="I46" s="14"/>
    </row>
    <row r="47" spans="1:9" x14ac:dyDescent="0.2">
      <c r="C47" s="339">
        <f>+C46+C39</f>
        <v>758249.61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2420213.17</v>
      </c>
      <c r="I56" s="14">
        <f>SUM(I39:I53)</f>
        <v>590025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5" workbookViewId="3">
      <selection activeCell="D57" sqref="D57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25968</v>
      </c>
      <c r="E10" s="11">
        <v>24612</v>
      </c>
      <c r="F10" s="11">
        <f t="shared" si="0"/>
        <v>-1356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24659</v>
      </c>
      <c r="E11" s="11">
        <v>24612</v>
      </c>
      <c r="F11" s="11">
        <f t="shared" si="0"/>
        <v>-58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25935</v>
      </c>
      <c r="E12" s="11">
        <v>24612</v>
      </c>
      <c r="F12" s="11">
        <f t="shared" si="0"/>
        <v>-1345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25439</v>
      </c>
      <c r="E13" s="11">
        <v>24612</v>
      </c>
      <c r="F13" s="11">
        <f t="shared" si="0"/>
        <v>-828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25792</v>
      </c>
      <c r="E14" s="11">
        <v>24612</v>
      </c>
      <c r="F14" s="11">
        <f t="shared" si="0"/>
        <v>-1180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25232</v>
      </c>
      <c r="E15" s="11">
        <v>24612</v>
      </c>
      <c r="F15" s="11">
        <f t="shared" si="0"/>
        <v>-620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25273</v>
      </c>
      <c r="E16" s="11">
        <v>24612</v>
      </c>
      <c r="F16" s="11">
        <f t="shared" si="0"/>
        <v>-661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25964</v>
      </c>
      <c r="E17" s="11">
        <v>24612</v>
      </c>
      <c r="F17" s="11">
        <f t="shared" si="0"/>
        <v>-1352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25876</v>
      </c>
      <c r="E18" s="11">
        <v>24612</v>
      </c>
      <c r="F18" s="11">
        <f t="shared" si="0"/>
        <v>-1264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25958</v>
      </c>
      <c r="E19" s="11">
        <v>24612</v>
      </c>
      <c r="F19" s="11">
        <f t="shared" si="0"/>
        <v>-1346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13143</v>
      </c>
      <c r="E20" s="11">
        <v>24612</v>
      </c>
      <c r="F20" s="11">
        <f t="shared" si="0"/>
        <v>11469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21240</v>
      </c>
      <c r="E21" s="11">
        <v>24612</v>
      </c>
      <c r="F21" s="11">
        <f t="shared" si="0"/>
        <v>3372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20625</v>
      </c>
      <c r="E22" s="11">
        <v>24612</v>
      </c>
      <c r="F22" s="11">
        <f t="shared" si="0"/>
        <v>3987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15328</v>
      </c>
      <c r="E23" s="11">
        <v>24612</v>
      </c>
      <c r="F23" s="11">
        <f t="shared" si="0"/>
        <v>9284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7908</v>
      </c>
      <c r="E24" s="11">
        <v>16205</v>
      </c>
      <c r="F24" s="11">
        <f t="shared" si="0"/>
        <v>8297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25273</v>
      </c>
      <c r="E25" s="11">
        <v>24612</v>
      </c>
      <c r="F25" s="11">
        <f t="shared" si="0"/>
        <v>-661</v>
      </c>
      <c r="I25" s="11"/>
      <c r="J25" s="24"/>
    </row>
    <row r="26" spans="1:10" x14ac:dyDescent="0.2">
      <c r="A26" s="10">
        <v>23</v>
      </c>
      <c r="B26" s="11"/>
      <c r="C26" s="11"/>
      <c r="D26" s="11">
        <v>25707</v>
      </c>
      <c r="E26" s="11">
        <v>24612</v>
      </c>
      <c r="F26" s="11">
        <f t="shared" si="0"/>
        <v>-1095</v>
      </c>
      <c r="I26" s="11"/>
      <c r="J26" s="24"/>
    </row>
    <row r="27" spans="1:10" x14ac:dyDescent="0.2">
      <c r="A27" s="10">
        <v>24</v>
      </c>
      <c r="B27" s="11"/>
      <c r="C27" s="11"/>
      <c r="D27" s="11">
        <v>25964</v>
      </c>
      <c r="E27" s="11">
        <v>24612</v>
      </c>
      <c r="F27" s="11">
        <f t="shared" si="0"/>
        <v>-1352</v>
      </c>
      <c r="I27" s="11"/>
      <c r="J27" s="24"/>
    </row>
    <row r="28" spans="1:10" x14ac:dyDescent="0.2">
      <c r="A28" s="10">
        <v>25</v>
      </c>
      <c r="B28" s="11"/>
      <c r="C28" s="11"/>
      <c r="D28" s="11">
        <v>25972</v>
      </c>
      <c r="E28" s="11">
        <v>24612</v>
      </c>
      <c r="F28" s="11">
        <f t="shared" si="0"/>
        <v>-1360</v>
      </c>
      <c r="I28" s="11"/>
      <c r="J28" s="24"/>
    </row>
    <row r="29" spans="1:10" x14ac:dyDescent="0.2">
      <c r="A29" s="10">
        <v>26</v>
      </c>
      <c r="B29" s="11"/>
      <c r="C29" s="11"/>
      <c r="D29" s="11">
        <v>25955</v>
      </c>
      <c r="E29" s="11">
        <v>24612</v>
      </c>
      <c r="F29" s="11">
        <f t="shared" si="0"/>
        <v>-1343</v>
      </c>
      <c r="I29" s="11"/>
      <c r="J29" s="24"/>
    </row>
    <row r="30" spans="1:10" x14ac:dyDescent="0.2">
      <c r="A30" s="10">
        <v>27</v>
      </c>
      <c r="B30" s="11"/>
      <c r="C30" s="11"/>
      <c r="D30" s="11">
        <v>25861</v>
      </c>
      <c r="E30" s="11">
        <v>24612</v>
      </c>
      <c r="F30" s="11">
        <f t="shared" si="0"/>
        <v>-1249</v>
      </c>
      <c r="I30" s="11"/>
      <c r="J30" s="24"/>
    </row>
    <row r="31" spans="1:10" x14ac:dyDescent="0.2">
      <c r="A31" s="10">
        <v>28</v>
      </c>
      <c r="B31" s="11"/>
      <c r="C31" s="11"/>
      <c r="D31" s="11">
        <v>25875</v>
      </c>
      <c r="E31" s="11">
        <v>24612</v>
      </c>
      <c r="F31" s="11">
        <f t="shared" si="0"/>
        <v>-1263</v>
      </c>
      <c r="I31" s="11"/>
      <c r="J31" s="24"/>
    </row>
    <row r="32" spans="1:10" x14ac:dyDescent="0.2">
      <c r="A32" s="10">
        <v>29</v>
      </c>
      <c r="B32" s="11"/>
      <c r="C32" s="11"/>
      <c r="D32" s="11">
        <v>25944</v>
      </c>
      <c r="E32" s="11">
        <v>24612</v>
      </c>
      <c r="F32" s="11">
        <f t="shared" si="0"/>
        <v>-1332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669471</v>
      </c>
      <c r="E35" s="11">
        <f>SUM(E4:E34)</f>
        <v>705341</v>
      </c>
      <c r="F35" s="11">
        <f>SUM(F4:F34)</f>
        <v>35836</v>
      </c>
      <c r="G35" s="11"/>
      <c r="H35" s="49">
        <f>+A40</f>
        <v>37132</v>
      </c>
      <c r="I35" s="379">
        <f>+C36</f>
        <v>-34</v>
      </c>
      <c r="J35" s="379">
        <f>+E36</f>
        <v>35870</v>
      </c>
      <c r="K35" s="208"/>
      <c r="L35" s="14"/>
    </row>
    <row r="36" spans="1:13" x14ac:dyDescent="0.2">
      <c r="C36" s="25">
        <f>+C35-B35</f>
        <v>-34</v>
      </c>
      <c r="E36" s="25">
        <f>+E35-D35</f>
        <v>35870</v>
      </c>
      <c r="F36" s="25">
        <f>+E36+C36</f>
        <v>35836</v>
      </c>
      <c r="H36" s="32"/>
      <c r="I36" s="14">
        <f>+I35+I34</f>
        <v>-178519</v>
      </c>
      <c r="J36" s="14">
        <f>+J35+J34</f>
        <v>-44662</v>
      </c>
      <c r="K36" s="14">
        <f>+J36+I36</f>
        <v>-223181</v>
      </c>
      <c r="L36" s="14"/>
    </row>
    <row r="37" spans="1:13" x14ac:dyDescent="0.2">
      <c r="C37" s="329">
        <f>+summary!H5</f>
        <v>2.85</v>
      </c>
      <c r="E37" s="104">
        <f>+C37</f>
        <v>2.85</v>
      </c>
      <c r="F37" s="138">
        <f>+F36*E37</f>
        <v>102132.6</v>
      </c>
    </row>
    <row r="38" spans="1:13" x14ac:dyDescent="0.2">
      <c r="C38" s="138">
        <f>+C37*C36</f>
        <v>-96.9</v>
      </c>
      <c r="E38" s="136">
        <f>+E37*E36</f>
        <v>102229.5</v>
      </c>
      <c r="F38" s="138">
        <f>+E38+C38</f>
        <v>102132.6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">
      <c r="A40" s="57">
        <v>37132</v>
      </c>
      <c r="B40" s="2" t="s">
        <v>46</v>
      </c>
      <c r="C40" s="330">
        <f>+C39+C38</f>
        <v>-1023262.9</v>
      </c>
      <c r="D40" s="259"/>
      <c r="E40" s="330">
        <f>+E39+E38</f>
        <v>-393813.84</v>
      </c>
      <c r="F40" s="330">
        <f>+E40+C40</f>
        <v>-1417076.74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-2183849.5099999998</v>
      </c>
      <c r="G49" s="250"/>
      <c r="K49" s="14">
        <f>SUM(K36:K48)</f>
        <v>-164370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2420213.17</v>
      </c>
      <c r="M51" s="14">
        <f>+Duke!I56</f>
        <v>590025</v>
      </c>
    </row>
    <row r="53" spans="3:13" x14ac:dyDescent="0.2">
      <c r="F53" s="104">
        <f>+F51+F49</f>
        <v>236363.66000000015</v>
      </c>
      <c r="M53" s="16">
        <f>+M51+K49</f>
        <v>425655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I37" sqref="I37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6890</v>
      </c>
      <c r="C33" s="11">
        <v>6531</v>
      </c>
      <c r="D33" s="11"/>
      <c r="E33" s="11"/>
      <c r="F33" s="11">
        <v>1026</v>
      </c>
      <c r="G33" s="11">
        <v>1150</v>
      </c>
      <c r="H33" s="11">
        <v>1320</v>
      </c>
      <c r="I33" s="11">
        <v>1283</v>
      </c>
      <c r="J33" s="25">
        <f t="shared" si="0"/>
        <v>-272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6701</v>
      </c>
      <c r="C34" s="11">
        <v>6531</v>
      </c>
      <c r="D34" s="11"/>
      <c r="E34" s="11"/>
      <c r="F34" s="11">
        <v>411</v>
      </c>
      <c r="G34" s="11">
        <v>1150</v>
      </c>
      <c r="H34" s="11">
        <v>1170</v>
      </c>
      <c r="I34" s="11">
        <v>1283</v>
      </c>
      <c r="J34" s="25">
        <f t="shared" si="0"/>
        <v>682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7235</v>
      </c>
      <c r="C35" s="11">
        <v>6531</v>
      </c>
      <c r="D35" s="11"/>
      <c r="E35" s="11"/>
      <c r="F35" s="11">
        <v>1004</v>
      </c>
      <c r="G35" s="11">
        <v>1150</v>
      </c>
      <c r="H35" s="11">
        <v>1540</v>
      </c>
      <c r="I35" s="11">
        <v>1283</v>
      </c>
      <c r="J35" s="25">
        <f t="shared" si="0"/>
        <v>-815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7253</v>
      </c>
      <c r="C36" s="11">
        <v>6531</v>
      </c>
      <c r="D36" s="11"/>
      <c r="E36" s="11"/>
      <c r="F36" s="11">
        <v>1078</v>
      </c>
      <c r="G36" s="11">
        <v>1150</v>
      </c>
      <c r="H36" s="11">
        <v>1747</v>
      </c>
      <c r="I36" s="11">
        <v>1283</v>
      </c>
      <c r="J36" s="25">
        <f t="shared" si="0"/>
        <v>-1114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199212</v>
      </c>
      <c r="C39" s="11">
        <f t="shared" si="1"/>
        <v>182381</v>
      </c>
      <c r="D39" s="11">
        <f t="shared" si="1"/>
        <v>0</v>
      </c>
      <c r="E39" s="11">
        <f t="shared" si="1"/>
        <v>0</v>
      </c>
      <c r="F39" s="11">
        <f t="shared" si="1"/>
        <v>29574</v>
      </c>
      <c r="G39" s="11">
        <f t="shared" si="1"/>
        <v>33350</v>
      </c>
      <c r="H39" s="11">
        <f t="shared" si="1"/>
        <v>41032</v>
      </c>
      <c r="I39" s="11">
        <f t="shared" si="1"/>
        <v>37207</v>
      </c>
      <c r="J39" s="25">
        <f t="shared" si="1"/>
        <v>-16880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2.77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-46757.599999999999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37132</v>
      </c>
      <c r="C43" s="48"/>
      <c r="J43" s="138">
        <f>+J42+J41</f>
        <v>326084.28000000003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37132</v>
      </c>
      <c r="B48" s="32"/>
      <c r="C48" s="32"/>
      <c r="D48" s="379">
        <f>+J39</f>
        <v>-16880</v>
      </c>
      <c r="L48"/>
    </row>
    <row r="49" spans="1:12" x14ac:dyDescent="0.2">
      <c r="A49" s="32"/>
      <c r="B49" s="32"/>
      <c r="C49" s="32"/>
      <c r="D49" s="14">
        <f>+D48+D47</f>
        <v>129525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8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10776</v>
      </c>
      <c r="C15" s="11">
        <v>11494</v>
      </c>
      <c r="D15" s="11"/>
      <c r="E15" s="11"/>
      <c r="F15" s="25">
        <f t="shared" si="0"/>
        <v>718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9978</v>
      </c>
      <c r="C16" s="11">
        <v>11484</v>
      </c>
      <c r="D16" s="11"/>
      <c r="E16" s="11"/>
      <c r="F16" s="25">
        <f t="shared" si="0"/>
        <v>1506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11468</v>
      </c>
      <c r="C17" s="11">
        <v>11494</v>
      </c>
      <c r="D17" s="11"/>
      <c r="E17" s="11"/>
      <c r="F17" s="25">
        <f t="shared" si="0"/>
        <v>26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12065</v>
      </c>
      <c r="C18" s="11">
        <v>11444</v>
      </c>
      <c r="D18" s="11">
        <v>-1</v>
      </c>
      <c r="E18" s="11"/>
      <c r="F18" s="25">
        <f t="shared" si="0"/>
        <v>-620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12710</v>
      </c>
      <c r="C19" s="11">
        <v>11444</v>
      </c>
      <c r="D19" s="11"/>
      <c r="E19" s="11"/>
      <c r="F19" s="25">
        <f t="shared" si="0"/>
        <v>-1266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12195</v>
      </c>
      <c r="C20" s="11">
        <v>11444</v>
      </c>
      <c r="D20" s="11"/>
      <c r="E20" s="11"/>
      <c r="F20" s="25">
        <f t="shared" si="0"/>
        <v>-751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11723</v>
      </c>
      <c r="C21" s="11">
        <v>11830</v>
      </c>
      <c r="D21" s="11"/>
      <c r="E21" s="11"/>
      <c r="F21" s="25">
        <f t="shared" si="0"/>
        <v>107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11710</v>
      </c>
      <c r="C22" s="11">
        <v>11837</v>
      </c>
      <c r="D22" s="11"/>
      <c r="E22" s="11"/>
      <c r="F22" s="25">
        <f t="shared" si="0"/>
        <v>127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11767</v>
      </c>
      <c r="C23" s="11">
        <v>11772</v>
      </c>
      <c r="D23" s="11">
        <v>-183</v>
      </c>
      <c r="E23" s="11"/>
      <c r="F23" s="25">
        <f t="shared" si="0"/>
        <v>188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12666</v>
      </c>
      <c r="C24" s="11">
        <v>11494</v>
      </c>
      <c r="D24" s="11">
        <v>-7</v>
      </c>
      <c r="E24" s="11"/>
      <c r="F24" s="25">
        <f t="shared" si="0"/>
        <v>-1165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10964</v>
      </c>
      <c r="C25" s="11">
        <v>11467</v>
      </c>
      <c r="D25" s="11">
        <v>-66</v>
      </c>
      <c r="E25" s="11"/>
      <c r="F25" s="25">
        <f t="shared" si="0"/>
        <v>569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11753</v>
      </c>
      <c r="C26" s="11">
        <v>11467</v>
      </c>
      <c r="D26" s="11">
        <v>-113</v>
      </c>
      <c r="E26" s="11"/>
      <c r="F26" s="25">
        <f t="shared" si="0"/>
        <v>-173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12464</v>
      </c>
      <c r="C27" s="11">
        <v>11467</v>
      </c>
      <c r="D27" s="11">
        <v>-62</v>
      </c>
      <c r="E27" s="11"/>
      <c r="F27" s="25">
        <f t="shared" si="0"/>
        <v>-935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11838</v>
      </c>
      <c r="C28" s="11">
        <v>11494</v>
      </c>
      <c r="D28" s="11">
        <v>-36</v>
      </c>
      <c r="E28" s="11"/>
      <c r="F28" s="25">
        <f t="shared" si="0"/>
        <v>-308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10177</v>
      </c>
      <c r="C29" s="11">
        <v>11494</v>
      </c>
      <c r="D29" s="11">
        <v>-104</v>
      </c>
      <c r="E29" s="11"/>
      <c r="F29" s="25">
        <f t="shared" si="0"/>
        <v>1421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12025</v>
      </c>
      <c r="C30" s="11">
        <v>11494</v>
      </c>
      <c r="D30" s="11">
        <v>-81</v>
      </c>
      <c r="E30" s="11"/>
      <c r="F30" s="25">
        <f t="shared" si="0"/>
        <v>-450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12022</v>
      </c>
      <c r="C31" s="11">
        <v>11494</v>
      </c>
      <c r="D31" s="11">
        <v>-121</v>
      </c>
      <c r="E31" s="11"/>
      <c r="F31" s="25">
        <f t="shared" si="0"/>
        <v>-407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12244</v>
      </c>
      <c r="C32" s="11">
        <v>11494</v>
      </c>
      <c r="D32" s="11">
        <v>-47</v>
      </c>
      <c r="E32" s="11"/>
      <c r="F32" s="25">
        <f t="shared" si="0"/>
        <v>-703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>
        <v>12116</v>
      </c>
      <c r="C33" s="11">
        <v>11494</v>
      </c>
      <c r="D33" s="11">
        <v>-58</v>
      </c>
      <c r="E33" s="11"/>
      <c r="F33" s="25">
        <f t="shared" si="0"/>
        <v>-564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>
        <v>11442</v>
      </c>
      <c r="C34" s="11">
        <v>11494</v>
      </c>
      <c r="D34" s="11">
        <v>-65</v>
      </c>
      <c r="E34" s="11"/>
      <c r="F34" s="25">
        <f t="shared" si="0"/>
        <v>117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>
        <v>11281</v>
      </c>
      <c r="C35" s="11">
        <v>11494</v>
      </c>
      <c r="D35" s="11">
        <v>-64</v>
      </c>
      <c r="E35" s="11"/>
      <c r="F35" s="25">
        <f t="shared" si="0"/>
        <v>277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>
        <v>11350</v>
      </c>
      <c r="C36" s="11">
        <v>11494</v>
      </c>
      <c r="D36" s="11"/>
      <c r="E36" s="11"/>
      <c r="F36" s="25">
        <f t="shared" si="0"/>
        <v>144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340180</v>
      </c>
      <c r="C39" s="11">
        <f>SUM(C8:C38)</f>
        <v>333474</v>
      </c>
      <c r="D39" s="11">
        <f>SUM(D8:D38)</f>
        <v>-1008</v>
      </c>
      <c r="E39" s="11">
        <f>SUM(E8:E38)</f>
        <v>0</v>
      </c>
      <c r="F39" s="11">
        <f>SUM(F8:F38)</f>
        <v>-5698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2.77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-15783.460000000001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37132</v>
      </c>
      <c r="C43" s="48"/>
      <c r="D43" s="48"/>
      <c r="E43" s="48"/>
      <c r="F43" s="110">
        <f>+F42+F41</f>
        <v>426393.06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37132</v>
      </c>
      <c r="B48" s="32"/>
      <c r="C48" s="32"/>
      <c r="D48" s="379">
        <f>+F39</f>
        <v>-5698</v>
      </c>
      <c r="E48" s="11"/>
    </row>
    <row r="49" spans="1:5" x14ac:dyDescent="0.2">
      <c r="A49" s="32"/>
      <c r="B49" s="32"/>
      <c r="C49" s="32"/>
      <c r="D49" s="14">
        <f>+D48+D47</f>
        <v>-241476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topLeftCell="A4" workbookViewId="3">
      <selection activeCell="G12" sqref="G12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v>2.61</v>
      </c>
      <c r="I3" s="407">
        <f ca="1">NOW()</f>
        <v>41885.693228472221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v>2.77</v>
      </c>
    </row>
    <row r="5" spans="1:32" ht="15" customHeight="1" x14ac:dyDescent="0.2">
      <c r="B5" s="367"/>
      <c r="G5" s="299" t="s">
        <v>120</v>
      </c>
      <c r="H5" s="372">
        <v>2.85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717567.29999999993</v>
      </c>
      <c r="C8" s="285">
        <f>+williams!J40</f>
        <v>274930</v>
      </c>
      <c r="D8" s="397">
        <f>+williams!A40</f>
        <v>37132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542101.44000000006</v>
      </c>
      <c r="C9" s="285">
        <f>+B9/$H$4</f>
        <v>195704.49097472927</v>
      </c>
      <c r="D9" s="397">
        <f>+Conoco!A41</f>
        <v>37132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154</v>
      </c>
      <c r="B10" s="375">
        <f>+PGETX!$H$39</f>
        <v>485011.93</v>
      </c>
      <c r="C10" s="285">
        <f>+B10/$H$4</f>
        <v>175094.55956678701</v>
      </c>
      <c r="D10" s="398">
        <f>+PGETX!E39</f>
        <v>37132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113</v>
      </c>
      <c r="B11" s="375">
        <f>+CIG!$D$43</f>
        <v>480667.28</v>
      </c>
      <c r="C11" s="285">
        <f>+B11/$H$4</f>
        <v>173526.09386281591</v>
      </c>
      <c r="D11" s="398">
        <f>+CIG!A43</f>
        <v>37130</v>
      </c>
      <c r="E11" s="32" t="s">
        <v>88</v>
      </c>
      <c r="F11" s="32" t="s">
        <v>116</v>
      </c>
      <c r="G11" s="32" t="s">
        <v>205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5">
        <f>+KN_Westar!F41</f>
        <v>458173.45999999996</v>
      </c>
      <c r="C12" s="285">
        <f>+B12/$H$4</f>
        <v>165405.58122743681</v>
      </c>
      <c r="D12" s="398">
        <f>+KN_Westar!A41</f>
        <v>37132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374" t="s">
        <v>33</v>
      </c>
      <c r="B13" s="375">
        <f>+C13*$H$4</f>
        <v>454327.09</v>
      </c>
      <c r="C13" s="208">
        <f>+SoCal!F40</f>
        <v>164017</v>
      </c>
      <c r="D13" s="397">
        <f>+SoCal!A40</f>
        <v>37132</v>
      </c>
      <c r="E13" s="206" t="s">
        <v>87</v>
      </c>
      <c r="F13" s="206" t="s">
        <v>105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5">
        <f>+'Amoco Abo'!$F$43</f>
        <v>426393.06</v>
      </c>
      <c r="C14" s="285">
        <f>+B14/$H$4</f>
        <v>153932.51263537907</v>
      </c>
      <c r="D14" s="398">
        <f>+'Amoco Abo'!A43</f>
        <v>37132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97</v>
      </c>
      <c r="B15" s="375">
        <f>+C15*$H$4</f>
        <v>418826.77</v>
      </c>
      <c r="C15" s="285">
        <f>+Mojave!D40</f>
        <v>151201</v>
      </c>
      <c r="D15" s="398">
        <f>+Mojave!A40</f>
        <v>37132</v>
      </c>
      <c r="E15" s="32" t="s">
        <v>87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24</v>
      </c>
      <c r="B16" s="458">
        <f>+C16*$H$3</f>
        <v>364836.24</v>
      </c>
      <c r="C16" s="377">
        <f>+'Red C'!F43</f>
        <v>139784</v>
      </c>
      <c r="D16" s="397">
        <f>+'Red C'!B43</f>
        <v>37132</v>
      </c>
      <c r="E16" s="206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5">
        <f>+C17*$H$4</f>
        <v>337131.16</v>
      </c>
      <c r="C17" s="285">
        <f>+NGPL!F38</f>
        <v>121708</v>
      </c>
      <c r="D17" s="398">
        <f>+NGPL!A38</f>
        <v>37132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</v>
      </c>
      <c r="B18" s="375">
        <f>+mewborne!$J$43</f>
        <v>326084.28000000003</v>
      </c>
      <c r="C18" s="285">
        <f>+B18/$H$4</f>
        <v>117719.95667870037</v>
      </c>
      <c r="D18" s="398">
        <f>+mewborne!A43</f>
        <v>37132</v>
      </c>
      <c r="E18" s="32" t="s">
        <v>88</v>
      </c>
      <c r="F18" s="32" t="s">
        <v>102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374" t="s">
        <v>90</v>
      </c>
      <c r="B19" s="375">
        <f>+NNG!$D$24</f>
        <v>319424.82999999996</v>
      </c>
      <c r="C19" s="285">
        <f>+B19/$H$4</f>
        <v>115315.82310469312</v>
      </c>
      <c r="D19" s="397">
        <f>+NNG!A24</f>
        <v>37132</v>
      </c>
      <c r="E19" s="206" t="s">
        <v>88</v>
      </c>
      <c r="F19" s="206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6</v>
      </c>
      <c r="B20" s="375">
        <f>+C20*$H$3</f>
        <v>242912.69999999998</v>
      </c>
      <c r="C20" s="285">
        <f>+Amoco!D40</f>
        <v>93070</v>
      </c>
      <c r="D20" s="398">
        <f>+Amoco!A40</f>
        <v>37132</v>
      </c>
      <c r="E20" s="32" t="s">
        <v>87</v>
      </c>
      <c r="F20" s="32" t="s">
        <v>118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131</v>
      </c>
      <c r="B21" s="375">
        <f>+DEFS!F53</f>
        <v>236363.66000000015</v>
      </c>
      <c r="C21" s="208">
        <f>+B21/$H$4</f>
        <v>85329.84115523471</v>
      </c>
      <c r="D21" s="398">
        <f>+DEFS!A40</f>
        <v>37132</v>
      </c>
      <c r="E21" s="32" t="s">
        <v>88</v>
      </c>
      <c r="F21" s="32" t="s">
        <v>103</v>
      </c>
      <c r="G21" s="32" t="s">
        <v>121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32</v>
      </c>
      <c r="B22" s="375">
        <f>+C22*$H$4</f>
        <v>199847.19</v>
      </c>
      <c r="C22" s="285">
        <f>+Lonestar!F42</f>
        <v>72147</v>
      </c>
      <c r="D22" s="397">
        <f>+Lonestar!B42</f>
        <v>37132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</v>
      </c>
      <c r="B23" s="375">
        <f>+C23*$H$3</f>
        <v>185022.9</v>
      </c>
      <c r="C23" s="208">
        <f>+NW!$F$41</f>
        <v>70890</v>
      </c>
      <c r="D23" s="397">
        <f>+NW!B41</f>
        <v>37132</v>
      </c>
      <c r="E23" s="32" t="s">
        <v>87</v>
      </c>
      <c r="F23" s="32" t="s">
        <v>118</v>
      </c>
      <c r="G23" s="38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85</v>
      </c>
      <c r="B24" s="375">
        <f>+PNM!$D$23</f>
        <v>138056.69999999998</v>
      </c>
      <c r="C24" s="285">
        <f>+B24/$H$4</f>
        <v>49839.963898916962</v>
      </c>
      <c r="D24" s="398">
        <f>+PNM!A23</f>
        <v>37132</v>
      </c>
      <c r="E24" s="32" t="s">
        <v>88</v>
      </c>
      <c r="F24" s="32" t="s">
        <v>118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148</v>
      </c>
      <c r="B25" s="376">
        <f>+C25*$H$4</f>
        <v>137090.07</v>
      </c>
      <c r="C25" s="377">
        <f>+PEPL!D41</f>
        <v>49491</v>
      </c>
      <c r="D25" s="398">
        <f>+PEPL!A41</f>
        <v>37132</v>
      </c>
      <c r="E25" s="32" t="s">
        <v>87</v>
      </c>
      <c r="F25" s="32" t="s">
        <v>103</v>
      </c>
      <c r="G25" s="32" t="s">
        <v>147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117</v>
      </c>
      <c r="B26" s="375">
        <f>+C26*$H$4</f>
        <v>118265.15</v>
      </c>
      <c r="C26" s="208">
        <f>+'PG&amp;E'!D40</f>
        <v>42695</v>
      </c>
      <c r="D26" s="398">
        <f>+'PG&amp;E'!A40</f>
        <v>37132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7</v>
      </c>
      <c r="B27" s="375">
        <f>+C27*$H$4</f>
        <v>113068.63</v>
      </c>
      <c r="C27" s="208">
        <f>+Oasis!D40</f>
        <v>40819</v>
      </c>
      <c r="D27" s="398">
        <f>+Oasis!B40</f>
        <v>37132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74" t="s">
        <v>132</v>
      </c>
      <c r="B28" s="375">
        <f>+Calpine!D41</f>
        <v>95590.5</v>
      </c>
      <c r="C28" s="208">
        <f>+B28/$H$4</f>
        <v>34509.205776173287</v>
      </c>
      <c r="D28" s="397">
        <f>+Calpine!A41</f>
        <v>37132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5">
        <f>+EOG!J41</f>
        <v>72309.86</v>
      </c>
      <c r="C29" s="285">
        <f>+B29/$H$4</f>
        <v>26104.642599277977</v>
      </c>
      <c r="D29" s="397">
        <f>+EOG!A41</f>
        <v>37132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21633.370000000003</v>
      </c>
      <c r="C30" s="377">
        <f>+B30/$H$4</f>
        <v>7809.8808664259941</v>
      </c>
      <c r="D30" s="397">
        <f>+transcol!A43</f>
        <v>37132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253" t="s">
        <v>136</v>
      </c>
      <c r="B31" s="375">
        <f>+SidR!D41</f>
        <v>16213.65</v>
      </c>
      <c r="C31" s="285">
        <f>+B31/$H$4</f>
        <v>5853.3032490974729</v>
      </c>
      <c r="D31" s="398">
        <f>+SidR!A41</f>
        <v>37132</v>
      </c>
      <c r="E31" s="32" t="s">
        <v>88</v>
      </c>
      <c r="F31" s="32" t="s">
        <v>105</v>
      </c>
      <c r="G31" s="32" t="s">
        <v>168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374" t="s">
        <v>98</v>
      </c>
      <c r="B32" s="378">
        <f>+burlington!D42</f>
        <v>7764.5400000000009</v>
      </c>
      <c r="C32" s="71">
        <f>+B32/$H$3</f>
        <v>2974.9195402298856</v>
      </c>
      <c r="D32" s="397">
        <f>+burlington!A42</f>
        <v>37132</v>
      </c>
      <c r="E32" s="206" t="s">
        <v>88</v>
      </c>
      <c r="F32" s="32" t="s">
        <v>116</v>
      </c>
      <c r="G32" s="32" t="s">
        <v>150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99</v>
      </c>
      <c r="B33" s="47">
        <f>SUM(B8:B32)</f>
        <v>6914683.7600000035</v>
      </c>
      <c r="C33" s="69">
        <f>SUM(C8:C32)</f>
        <v>2529872.7751358971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80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5" t="s">
        <v>92</v>
      </c>
      <c r="B35" s="356" t="s">
        <v>17</v>
      </c>
      <c r="C35" s="357" t="s">
        <v>0</v>
      </c>
      <c r="D35" s="366" t="s">
        <v>153</v>
      </c>
      <c r="E35" s="355" t="s">
        <v>93</v>
      </c>
      <c r="F35" s="358" t="s">
        <v>104</v>
      </c>
      <c r="G35" s="355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2.95" customHeight="1" x14ac:dyDescent="0.2">
      <c r="A36" s="374" t="s">
        <v>140</v>
      </c>
      <c r="B36" s="375">
        <f>+Citizens!D18</f>
        <v>-774224.01</v>
      </c>
      <c r="C36" s="208">
        <f>+B36/$H$4</f>
        <v>-279503.25270758121</v>
      </c>
      <c r="D36" s="397">
        <f>+Citizens!A18</f>
        <v>37132</v>
      </c>
      <c r="E36" s="206" t="s">
        <v>88</v>
      </c>
      <c r="F36" s="206" t="s">
        <v>102</v>
      </c>
      <c r="G36" s="381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253" t="s">
        <v>138</v>
      </c>
      <c r="B37" s="375">
        <f>+'NS Steel'!D41</f>
        <v>-423403.93</v>
      </c>
      <c r="C37" s="208">
        <f>+B37/$H$4</f>
        <v>-152853.40433212995</v>
      </c>
      <c r="D37" s="398">
        <f>+'NS Steel'!A41</f>
        <v>37132</v>
      </c>
      <c r="E37" s="32" t="s">
        <v>88</v>
      </c>
      <c r="F37" s="32" t="s">
        <v>103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144</v>
      </c>
      <c r="B38" s="375">
        <f>+'Citizens-Griffith'!D41</f>
        <v>-211520.77000000002</v>
      </c>
      <c r="C38" s="285">
        <f>+B38/$H$4</f>
        <v>-76361.288808664263</v>
      </c>
      <c r="D38" s="397">
        <f>+'Citizens-Griffith'!A41</f>
        <v>37132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374" t="s">
        <v>82</v>
      </c>
      <c r="B39" s="375">
        <f>+Agave!$D$24</f>
        <v>-88529.63</v>
      </c>
      <c r="C39" s="208">
        <f>+B39/$H$4</f>
        <v>-31960.155234657042</v>
      </c>
      <c r="D39" s="397">
        <f>+Agave!A24</f>
        <v>37132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3.5" customHeight="1" x14ac:dyDescent="0.2">
      <c r="A40" s="253" t="s">
        <v>134</v>
      </c>
      <c r="B40" s="375">
        <f>+EPFS!D41</f>
        <v>-45314</v>
      </c>
      <c r="C40" s="208">
        <f>+B40/$H$5</f>
        <v>-15899.649122807017</v>
      </c>
      <c r="D40" s="397">
        <f>+EPFS!A41</f>
        <v>37132</v>
      </c>
      <c r="E40" s="32" t="s">
        <v>88</v>
      </c>
      <c r="F40" s="32" t="s">
        <v>105</v>
      </c>
      <c r="G40" s="32"/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34</v>
      </c>
      <c r="B41" s="375">
        <f>+'El Paso'!C39*summary!H4+'El Paso'!E39*summary!H3</f>
        <v>-10440.169999999984</v>
      </c>
      <c r="C41" s="285">
        <f>+'El Paso'!H39</f>
        <v>-7933</v>
      </c>
      <c r="D41" s="398">
        <f>+'El Paso'!A39</f>
        <v>37132</v>
      </c>
      <c r="E41" s="32" t="s">
        <v>87</v>
      </c>
      <c r="F41" s="32" t="s">
        <v>103</v>
      </c>
      <c r="G41" s="32" t="s">
        <v>122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-1883.2382671480143</v>
      </c>
      <c r="D42" s="398">
        <f>+Continental!A43</f>
        <v>37130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SUM(B36:B42)</f>
        <v>-1558649.0799999998</v>
      </c>
      <c r="C43" s="208">
        <f>SUM(C36:C42)</f>
        <v>-566393.98847298743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+B43+B33</f>
        <v>5356034.6800000034</v>
      </c>
      <c r="C45" s="384">
        <f>+C43+C33</f>
        <v>1963478.7866629097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-782776</v>
      </c>
      <c r="C7" s="80">
        <v>-388527</v>
      </c>
      <c r="D7" s="80">
        <f t="shared" si="0"/>
        <v>394249</v>
      </c>
    </row>
    <row r="8" spans="1:8" x14ac:dyDescent="0.2">
      <c r="A8" s="32">
        <v>60667</v>
      </c>
      <c r="B8" s="323">
        <v>-477505</v>
      </c>
      <c r="C8" s="80">
        <v>-11026</v>
      </c>
      <c r="D8" s="80">
        <f t="shared" si="0"/>
        <v>466479</v>
      </c>
      <c r="H8" s="254"/>
    </row>
    <row r="9" spans="1:8" x14ac:dyDescent="0.2">
      <c r="A9" s="32">
        <v>60749</v>
      </c>
      <c r="B9" s="323">
        <v>1178403</v>
      </c>
      <c r="C9" s="80">
        <v>151885</v>
      </c>
      <c r="D9" s="80">
        <f t="shared" si="0"/>
        <v>-1026518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-138850</v>
      </c>
    </row>
    <row r="19" spans="1:5" x14ac:dyDescent="0.2">
      <c r="A19" s="32" t="s">
        <v>84</v>
      </c>
      <c r="B19" s="69"/>
      <c r="C19" s="69"/>
      <c r="D19" s="73">
        <f>+summary!H4</f>
        <v>2.77</v>
      </c>
    </row>
    <row r="20" spans="1:5" x14ac:dyDescent="0.2">
      <c r="B20" s="69"/>
      <c r="C20" s="69"/>
      <c r="D20" s="75">
        <f>+D19*D18</f>
        <v>-384614.5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37132</v>
      </c>
      <c r="B24" s="69"/>
      <c r="C24" s="69"/>
      <c r="D24" s="351">
        <f>+D22+D20</f>
        <v>319424.82999999996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37132</v>
      </c>
      <c r="D33" s="379">
        <f>+D18</f>
        <v>-138850</v>
      </c>
    </row>
    <row r="34" spans="1:4" x14ac:dyDescent="0.2">
      <c r="D34" s="14">
        <f>+D33+D32</f>
        <v>-58814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-59623</v>
      </c>
      <c r="C5" s="90">
        <v>-33380</v>
      </c>
      <c r="D5" s="90">
        <f t="shared" ref="D5:D13" si="0">+C5-B5</f>
        <v>26243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-3278474</v>
      </c>
      <c r="C7" s="90">
        <v>-3358891</v>
      </c>
      <c r="D7" s="90">
        <f t="shared" si="0"/>
        <v>-80417</v>
      </c>
      <c r="E7" s="285"/>
      <c r="F7" s="70"/>
    </row>
    <row r="8" spans="1:13" x14ac:dyDescent="0.2">
      <c r="A8" s="87">
        <v>58710</v>
      </c>
      <c r="B8" s="364">
        <v>-22844</v>
      </c>
      <c r="C8" s="90">
        <v>-1269</v>
      </c>
      <c r="D8" s="90">
        <f t="shared" si="0"/>
        <v>21575</v>
      </c>
      <c r="E8" s="285"/>
      <c r="F8" s="70"/>
    </row>
    <row r="9" spans="1:13" x14ac:dyDescent="0.2">
      <c r="A9" s="87">
        <v>60921</v>
      </c>
      <c r="B9" s="319">
        <v>2874626</v>
      </c>
      <c r="C9" s="90">
        <v>2787027</v>
      </c>
      <c r="D9" s="90">
        <f t="shared" si="0"/>
        <v>-87599</v>
      </c>
      <c r="E9" s="285"/>
      <c r="F9" s="70"/>
    </row>
    <row r="10" spans="1:13" x14ac:dyDescent="0.2">
      <c r="A10" s="87">
        <v>78026</v>
      </c>
      <c r="B10" s="364"/>
      <c r="C10" s="90">
        <v>68800</v>
      </c>
      <c r="D10" s="90">
        <f t="shared" si="0"/>
        <v>68800</v>
      </c>
      <c r="E10" s="285"/>
      <c r="F10" s="283"/>
    </row>
    <row r="11" spans="1:13" x14ac:dyDescent="0.2">
      <c r="A11" s="87">
        <v>500084</v>
      </c>
      <c r="B11" s="364">
        <v>-20590</v>
      </c>
      <c r="C11" s="90">
        <v>-27000</v>
      </c>
      <c r="D11" s="90">
        <f t="shared" si="0"/>
        <v>-6410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-507</v>
      </c>
      <c r="C13" s="90"/>
      <c r="D13" s="90">
        <f t="shared" si="0"/>
        <v>507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-57301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2.77</v>
      </c>
      <c r="E18" s="287"/>
      <c r="F18" s="283"/>
    </row>
    <row r="19" spans="1:7" x14ac:dyDescent="0.2">
      <c r="A19" s="87"/>
      <c r="B19" s="88"/>
      <c r="C19" s="88"/>
      <c r="D19" s="96">
        <f>+D18*D17</f>
        <v>-158723.76999999999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37132</v>
      </c>
      <c r="B23" s="88"/>
      <c r="C23" s="88"/>
      <c r="D23" s="334">
        <f>+D21+D19</f>
        <v>138056.69999999998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-57301</v>
      </c>
    </row>
    <row r="30" spans="1:7" x14ac:dyDescent="0.2">
      <c r="A30" s="32"/>
      <c r="B30" s="32"/>
      <c r="C30" s="32"/>
      <c r="D30" s="14">
        <f>+D29+D28</f>
        <v>10319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">
      <c r="A28">
        <v>26</v>
      </c>
      <c r="B28" s="346">
        <v>62611</v>
      </c>
      <c r="C28" s="346">
        <v>59665</v>
      </c>
      <c r="D28" s="14"/>
      <c r="E28" s="14"/>
      <c r="F28" s="90">
        <f t="shared" si="0"/>
        <v>-2946</v>
      </c>
    </row>
    <row r="29" spans="1:6" x14ac:dyDescent="0.2">
      <c r="A29">
        <v>27</v>
      </c>
      <c r="B29" s="346">
        <v>40004</v>
      </c>
      <c r="C29" s="346">
        <v>39938</v>
      </c>
      <c r="D29" s="14"/>
      <c r="E29" s="14"/>
      <c r="F29" s="90">
        <f t="shared" si="0"/>
        <v>-66</v>
      </c>
    </row>
    <row r="30" spans="1:6" x14ac:dyDescent="0.2">
      <c r="A30">
        <v>28</v>
      </c>
      <c r="B30" s="484">
        <v>62854</v>
      </c>
      <c r="C30" s="346">
        <v>62938</v>
      </c>
      <c r="D30" s="14">
        <v>-5</v>
      </c>
      <c r="E30" s="14"/>
      <c r="F30" s="90">
        <f t="shared" si="0"/>
        <v>89</v>
      </c>
    </row>
    <row r="31" spans="1:6" x14ac:dyDescent="0.2">
      <c r="A31">
        <v>29</v>
      </c>
      <c r="B31" s="346">
        <v>59138</v>
      </c>
      <c r="C31" s="346">
        <v>59105</v>
      </c>
      <c r="D31" s="14"/>
      <c r="E31" s="14">
        <v>-10946</v>
      </c>
      <c r="F31" s="90">
        <f t="shared" si="0"/>
        <v>-10979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1336545</v>
      </c>
      <c r="C34" s="297">
        <f>SUM(C3:C33)</f>
        <v>1317687</v>
      </c>
      <c r="D34" s="14">
        <f>SUM(D3:D33)</f>
        <v>-970</v>
      </c>
      <c r="E34" s="14">
        <f>SUM(E3:E33)</f>
        <v>-10946</v>
      </c>
      <c r="F34" s="14">
        <f>SUM(F3:F33)</f>
        <v>-28834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">
      <c r="A38" s="263">
        <v>37132</v>
      </c>
      <c r="B38" s="14"/>
      <c r="C38" s="14"/>
      <c r="D38" s="14"/>
      <c r="E38" s="14"/>
      <c r="F38" s="150">
        <f>+F37+F34</f>
        <v>121708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">
      <c r="A44" s="49">
        <f>+A38</f>
        <v>37132</v>
      </c>
      <c r="B44" s="32"/>
      <c r="C44" s="32"/>
      <c r="D44" s="408">
        <f>+F34*'by type'!J4</f>
        <v>-79870.180000000008</v>
      </c>
      <c r="F44" s="304"/>
    </row>
    <row r="45" spans="1:6" x14ac:dyDescent="0.2">
      <c r="A45" s="32"/>
      <c r="B45" s="32"/>
      <c r="C45" s="32"/>
      <c r="D45" s="202">
        <f>+D44+D43</f>
        <v>305881.7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33" sqref="C3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">
      <c r="A29" s="10">
        <v>26</v>
      </c>
      <c r="B29" s="11">
        <v>-21002</v>
      </c>
      <c r="C29" s="11">
        <v>-20000</v>
      </c>
      <c r="D29" s="25">
        <f t="shared" si="0"/>
        <v>1002</v>
      </c>
    </row>
    <row r="30" spans="1:4" x14ac:dyDescent="0.2">
      <c r="A30" s="10">
        <v>27</v>
      </c>
      <c r="B30" s="11">
        <v>-19508</v>
      </c>
      <c r="C30" s="11">
        <v>-20000</v>
      </c>
      <c r="D30" s="25">
        <f t="shared" si="0"/>
        <v>-492</v>
      </c>
    </row>
    <row r="31" spans="1:4" x14ac:dyDescent="0.2">
      <c r="A31" s="10">
        <v>28</v>
      </c>
      <c r="B31" s="11">
        <v>-20205</v>
      </c>
      <c r="C31" s="11">
        <v>-20000</v>
      </c>
      <c r="D31" s="25">
        <f t="shared" si="0"/>
        <v>205</v>
      </c>
    </row>
    <row r="32" spans="1:4" x14ac:dyDescent="0.2">
      <c r="A32" s="10">
        <v>29</v>
      </c>
      <c r="B32" s="11">
        <v>-20361</v>
      </c>
      <c r="C32" s="11">
        <v>-20000</v>
      </c>
      <c r="D32" s="25">
        <f t="shared" si="0"/>
        <v>361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-612578</v>
      </c>
      <c r="C35" s="11">
        <f>SUM(C4:C34)</f>
        <v>-597180</v>
      </c>
      <c r="D35" s="11">
        <f>SUM(D4:D34)</f>
        <v>15398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37132</v>
      </c>
      <c r="D40" s="51">
        <f>+D38+D35</f>
        <v>151201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37132</v>
      </c>
      <c r="B46" s="32"/>
      <c r="C46" s="32"/>
      <c r="D46" s="408">
        <f>+D35*'by type'!J4</f>
        <v>42652.46</v>
      </c>
    </row>
    <row r="47" spans="1:4" x14ac:dyDescent="0.2">
      <c r="A47" s="32"/>
      <c r="B47" s="32"/>
      <c r="C47" s="32"/>
      <c r="D47" s="202">
        <f>+D46+D45</f>
        <v>124792.45999999999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33" sqref="E3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21738</v>
      </c>
      <c r="C29" s="11">
        <v>22530</v>
      </c>
      <c r="D29" s="11">
        <v>8876</v>
      </c>
      <c r="E29" s="11">
        <v>8147</v>
      </c>
      <c r="F29" s="11"/>
      <c r="G29" s="11"/>
      <c r="H29" s="11"/>
      <c r="I29" s="11"/>
      <c r="J29" s="11">
        <f t="shared" si="0"/>
        <v>63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21482</v>
      </c>
      <c r="C30" s="11">
        <v>22816</v>
      </c>
      <c r="D30" s="11">
        <v>9362</v>
      </c>
      <c r="E30" s="11">
        <v>8250</v>
      </c>
      <c r="F30" s="11"/>
      <c r="G30" s="11"/>
      <c r="H30" s="11"/>
      <c r="I30" s="11"/>
      <c r="J30" s="11">
        <f t="shared" si="0"/>
        <v>222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21243</v>
      </c>
      <c r="C31" s="11">
        <v>22816</v>
      </c>
      <c r="D31" s="11">
        <v>9407</v>
      </c>
      <c r="E31" s="11">
        <v>8250</v>
      </c>
      <c r="F31" s="11"/>
      <c r="G31" s="11"/>
      <c r="H31" s="11"/>
      <c r="I31" s="11"/>
      <c r="J31" s="11">
        <f t="shared" si="0"/>
        <v>416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21284</v>
      </c>
      <c r="C32" s="11">
        <v>16316</v>
      </c>
      <c r="D32" s="11">
        <v>9289</v>
      </c>
      <c r="E32" s="11">
        <v>8750</v>
      </c>
      <c r="F32" s="11"/>
      <c r="G32" s="11"/>
      <c r="H32" s="11"/>
      <c r="I32" s="11"/>
      <c r="J32" s="11">
        <f t="shared" si="0"/>
        <v>-5507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664100</v>
      </c>
      <c r="C35" s="11">
        <f t="shared" ref="C35:I35" si="1">SUM(C4:C34)</f>
        <v>662197</v>
      </c>
      <c r="D35" s="11">
        <f t="shared" si="1"/>
        <v>262529</v>
      </c>
      <c r="E35" s="11">
        <f t="shared" si="1"/>
        <v>236241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-28082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2.77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-77787.14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37132</v>
      </c>
      <c r="J41" s="337">
        <f>+J39+J37</f>
        <v>72309.86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37132</v>
      </c>
      <c r="B47" s="32"/>
      <c r="C47" s="32"/>
      <c r="D47" s="379">
        <f>+J35</f>
        <v>-28082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-88104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8" workbookViewId="3">
      <selection activeCell="C43" sqref="C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-60969</v>
      </c>
      <c r="C30" s="24">
        <v>-61097</v>
      </c>
      <c r="D30" s="24"/>
      <c r="E30" s="24"/>
      <c r="F30" s="24">
        <f t="shared" si="0"/>
        <v>-128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-60055</v>
      </c>
      <c r="C31" s="24">
        <v>-60522</v>
      </c>
      <c r="D31" s="24"/>
      <c r="E31" s="24"/>
      <c r="F31" s="24">
        <f t="shared" si="0"/>
        <v>-467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-71255</v>
      </c>
      <c r="C32" s="24">
        <v>-70522</v>
      </c>
      <c r="D32" s="24"/>
      <c r="E32" s="24"/>
      <c r="F32" s="24">
        <f t="shared" si="0"/>
        <v>733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-105280</v>
      </c>
      <c r="C33" s="24">
        <v>-111971</v>
      </c>
      <c r="D33" s="24"/>
      <c r="E33" s="24"/>
      <c r="F33" s="24">
        <f t="shared" si="0"/>
        <v>-6691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-56502</v>
      </c>
      <c r="C34" s="24">
        <v>-45805</v>
      </c>
      <c r="D34" s="24"/>
      <c r="E34" s="24"/>
      <c r="F34" s="24">
        <f t="shared" si="0"/>
        <v>10697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-2215914</v>
      </c>
      <c r="C37" s="24">
        <f>SUM(C6:C36)</f>
        <v>-2219843</v>
      </c>
      <c r="D37" s="24">
        <f>SUM(D6:D36)</f>
        <v>-46652</v>
      </c>
      <c r="E37" s="24">
        <f>SUM(E6:E36)</f>
        <v>-46908</v>
      </c>
      <c r="F37" s="24">
        <f>SUM(F6:F36)</f>
        <v>-4185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2.77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-11592.45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37132</v>
      </c>
      <c r="E41" s="14"/>
      <c r="F41" s="104">
        <f>+F40+F39</f>
        <v>458173.45999999996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37132</v>
      </c>
      <c r="B47" s="32"/>
      <c r="C47" s="32"/>
      <c r="D47" s="379">
        <f>+F37</f>
        <v>-4185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24842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2.77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37130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37130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5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4" workbookViewId="3">
      <selection activeCell="J38" sqref="J38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6972</v>
      </c>
      <c r="C8" s="11">
        <v>7579</v>
      </c>
      <c r="D8" s="25">
        <f>+C8-B8</f>
        <v>607</v>
      </c>
    </row>
    <row r="9" spans="1:4" x14ac:dyDescent="0.2">
      <c r="A9" s="10">
        <v>2</v>
      </c>
      <c r="B9" s="11">
        <v>4970</v>
      </c>
      <c r="C9" s="11">
        <v>7579</v>
      </c>
      <c r="D9" s="25">
        <f t="shared" ref="D9:D38" si="0">+C9-B9</f>
        <v>2609</v>
      </c>
    </row>
    <row r="10" spans="1:4" x14ac:dyDescent="0.2">
      <c r="A10" s="10">
        <v>3</v>
      </c>
      <c r="B10" s="11">
        <v>7958</v>
      </c>
      <c r="C10" s="11">
        <v>7579</v>
      </c>
      <c r="D10" s="25">
        <f t="shared" si="0"/>
        <v>-379</v>
      </c>
    </row>
    <row r="11" spans="1:4" x14ac:dyDescent="0.2">
      <c r="A11" s="10">
        <v>4</v>
      </c>
      <c r="B11" s="11">
        <v>7621</v>
      </c>
      <c r="C11" s="11">
        <v>7579</v>
      </c>
      <c r="D11" s="25">
        <f t="shared" si="0"/>
        <v>-42</v>
      </c>
    </row>
    <row r="12" spans="1:4" x14ac:dyDescent="0.2">
      <c r="A12" s="10">
        <v>5</v>
      </c>
      <c r="B12" s="11">
        <v>7616</v>
      </c>
      <c r="C12" s="11">
        <v>7579</v>
      </c>
      <c r="D12" s="25">
        <f t="shared" si="0"/>
        <v>-37</v>
      </c>
    </row>
    <row r="13" spans="1:4" x14ac:dyDescent="0.2">
      <c r="A13" s="10">
        <v>6</v>
      </c>
      <c r="B13" s="11">
        <v>5362</v>
      </c>
      <c r="C13" s="11">
        <v>7579</v>
      </c>
      <c r="D13" s="25">
        <f t="shared" si="0"/>
        <v>2217</v>
      </c>
    </row>
    <row r="14" spans="1:4" x14ac:dyDescent="0.2">
      <c r="A14" s="10">
        <v>7</v>
      </c>
      <c r="B14" s="11">
        <v>2428</v>
      </c>
      <c r="C14" s="11">
        <v>7579</v>
      </c>
      <c r="D14" s="25">
        <f t="shared" si="0"/>
        <v>5151</v>
      </c>
    </row>
    <row r="15" spans="1:4" x14ac:dyDescent="0.2">
      <c r="A15" s="10">
        <v>8</v>
      </c>
      <c r="B15" s="11">
        <v>1</v>
      </c>
      <c r="C15" s="11">
        <v>7579</v>
      </c>
      <c r="D15" s="25">
        <f t="shared" si="0"/>
        <v>7578</v>
      </c>
    </row>
    <row r="16" spans="1:4" x14ac:dyDescent="0.2">
      <c r="A16" s="10">
        <v>9</v>
      </c>
      <c r="B16" s="11">
        <v>5773</v>
      </c>
      <c r="C16" s="11">
        <v>7579</v>
      </c>
      <c r="D16" s="25">
        <f t="shared" si="0"/>
        <v>1806</v>
      </c>
    </row>
    <row r="17" spans="1:4" x14ac:dyDescent="0.2">
      <c r="A17" s="10">
        <v>10</v>
      </c>
      <c r="B17" s="11">
        <v>7988</v>
      </c>
      <c r="C17" s="11">
        <v>7579</v>
      </c>
      <c r="D17" s="25">
        <f t="shared" si="0"/>
        <v>-409</v>
      </c>
    </row>
    <row r="18" spans="1:4" x14ac:dyDescent="0.2">
      <c r="A18" s="10">
        <v>11</v>
      </c>
      <c r="B18" s="11">
        <v>4392</v>
      </c>
      <c r="C18" s="11">
        <v>7579</v>
      </c>
      <c r="D18" s="25">
        <f t="shared" si="0"/>
        <v>3187</v>
      </c>
    </row>
    <row r="19" spans="1:4" x14ac:dyDescent="0.2">
      <c r="A19" s="10">
        <v>12</v>
      </c>
      <c r="B19" s="11">
        <v>6883</v>
      </c>
      <c r="C19" s="11">
        <v>7579</v>
      </c>
      <c r="D19" s="25">
        <f t="shared" si="0"/>
        <v>696</v>
      </c>
    </row>
    <row r="20" spans="1:4" x14ac:dyDescent="0.2">
      <c r="A20" s="10">
        <v>13</v>
      </c>
      <c r="B20" s="11">
        <v>6561</v>
      </c>
      <c r="C20" s="11">
        <v>7579</v>
      </c>
      <c r="D20" s="25">
        <f t="shared" si="0"/>
        <v>1018</v>
      </c>
    </row>
    <row r="21" spans="1:4" x14ac:dyDescent="0.2">
      <c r="A21" s="10">
        <v>14</v>
      </c>
      <c r="B21" s="11">
        <v>7417</v>
      </c>
      <c r="C21" s="11">
        <v>7579</v>
      </c>
      <c r="D21" s="25">
        <f t="shared" si="0"/>
        <v>162</v>
      </c>
    </row>
    <row r="22" spans="1:4" x14ac:dyDescent="0.2">
      <c r="A22" s="10">
        <v>15</v>
      </c>
      <c r="B22" s="11">
        <v>7620</v>
      </c>
      <c r="C22" s="11">
        <v>7579</v>
      </c>
      <c r="D22" s="25">
        <f t="shared" si="0"/>
        <v>-41</v>
      </c>
    </row>
    <row r="23" spans="1:4" x14ac:dyDescent="0.2">
      <c r="A23" s="10">
        <v>16</v>
      </c>
      <c r="B23" s="11">
        <v>7620</v>
      </c>
      <c r="C23" s="11">
        <v>7579</v>
      </c>
      <c r="D23" s="25">
        <f t="shared" si="0"/>
        <v>-41</v>
      </c>
    </row>
    <row r="24" spans="1:4" x14ac:dyDescent="0.2">
      <c r="A24" s="10">
        <v>17</v>
      </c>
      <c r="B24" s="11">
        <v>8510</v>
      </c>
      <c r="C24" s="11">
        <v>7579</v>
      </c>
      <c r="D24" s="25">
        <f t="shared" si="0"/>
        <v>-931</v>
      </c>
    </row>
    <row r="25" spans="1:4" x14ac:dyDescent="0.2">
      <c r="A25" s="10">
        <v>18</v>
      </c>
      <c r="B25" s="11">
        <v>8529</v>
      </c>
      <c r="C25" s="11">
        <v>7579</v>
      </c>
      <c r="D25" s="25">
        <f t="shared" si="0"/>
        <v>-950</v>
      </c>
    </row>
    <row r="26" spans="1:4" x14ac:dyDescent="0.2">
      <c r="A26" s="10">
        <v>19</v>
      </c>
      <c r="B26" s="11">
        <v>8092</v>
      </c>
      <c r="C26" s="11">
        <v>7579</v>
      </c>
      <c r="D26" s="25">
        <f t="shared" si="0"/>
        <v>-513</v>
      </c>
    </row>
    <row r="27" spans="1:4" x14ac:dyDescent="0.2">
      <c r="A27" s="10">
        <v>20</v>
      </c>
      <c r="B27" s="11">
        <v>0</v>
      </c>
      <c r="C27" s="11">
        <v>7579</v>
      </c>
      <c r="D27" s="25">
        <f t="shared" si="0"/>
        <v>7579</v>
      </c>
    </row>
    <row r="28" spans="1:4" x14ac:dyDescent="0.2">
      <c r="A28" s="10">
        <v>21</v>
      </c>
      <c r="B28" s="11">
        <v>5449</v>
      </c>
      <c r="C28" s="11">
        <v>7579</v>
      </c>
      <c r="D28" s="25">
        <f t="shared" si="0"/>
        <v>2130</v>
      </c>
    </row>
    <row r="29" spans="1:4" x14ac:dyDescent="0.2">
      <c r="A29" s="10">
        <v>22</v>
      </c>
      <c r="B29" s="11">
        <v>5406</v>
      </c>
      <c r="C29" s="11">
        <v>7579</v>
      </c>
      <c r="D29" s="25">
        <f t="shared" si="0"/>
        <v>2173</v>
      </c>
    </row>
    <row r="30" spans="1:4" x14ac:dyDescent="0.2">
      <c r="A30" s="10">
        <v>23</v>
      </c>
      <c r="B30" s="11">
        <v>8530</v>
      </c>
      <c r="C30" s="11">
        <v>7579</v>
      </c>
      <c r="D30" s="25">
        <f t="shared" si="0"/>
        <v>-951</v>
      </c>
    </row>
    <row r="31" spans="1:4" x14ac:dyDescent="0.2">
      <c r="A31" s="10">
        <v>24</v>
      </c>
      <c r="B31" s="11">
        <v>4380</v>
      </c>
      <c r="C31" s="11">
        <v>7579</v>
      </c>
      <c r="D31" s="25">
        <f t="shared" si="0"/>
        <v>3199</v>
      </c>
    </row>
    <row r="32" spans="1:4" x14ac:dyDescent="0.2">
      <c r="A32" s="10">
        <v>25</v>
      </c>
      <c r="B32" s="11">
        <v>1310</v>
      </c>
      <c r="C32" s="11">
        <v>7579</v>
      </c>
      <c r="D32" s="25">
        <f t="shared" si="0"/>
        <v>6269</v>
      </c>
    </row>
    <row r="33" spans="1:7" x14ac:dyDescent="0.2">
      <c r="A33" s="10">
        <v>26</v>
      </c>
      <c r="B33" s="11">
        <v>263</v>
      </c>
      <c r="C33" s="11">
        <v>7579</v>
      </c>
      <c r="D33" s="25">
        <f t="shared" si="0"/>
        <v>7316</v>
      </c>
    </row>
    <row r="34" spans="1:7" x14ac:dyDescent="0.2">
      <c r="A34" s="10">
        <v>27</v>
      </c>
      <c r="B34" s="11">
        <v>1418</v>
      </c>
      <c r="C34" s="11">
        <v>7579</v>
      </c>
      <c r="D34" s="25">
        <f t="shared" si="0"/>
        <v>6161</v>
      </c>
    </row>
    <row r="35" spans="1:7" x14ac:dyDescent="0.2">
      <c r="A35" s="10">
        <v>28</v>
      </c>
      <c r="B35" s="11"/>
      <c r="C35" s="11"/>
      <c r="D35" s="25">
        <f t="shared" si="0"/>
        <v>0</v>
      </c>
    </row>
    <row r="36" spans="1:7" x14ac:dyDescent="0.2">
      <c r="A36" s="10">
        <v>29</v>
      </c>
      <c r="B36" s="11"/>
      <c r="C36" s="11"/>
      <c r="D36" s="25">
        <f t="shared" si="0"/>
        <v>0</v>
      </c>
    </row>
    <row r="37" spans="1:7" x14ac:dyDescent="0.2">
      <c r="A37" s="10">
        <v>30</v>
      </c>
      <c r="B37" s="11"/>
      <c r="C37" s="11"/>
      <c r="D37" s="25">
        <f t="shared" si="0"/>
        <v>0</v>
      </c>
    </row>
    <row r="38" spans="1:7" x14ac:dyDescent="0.2">
      <c r="A38" s="10">
        <v>31</v>
      </c>
      <c r="B38" s="11"/>
      <c r="C38" s="11"/>
      <c r="D38" s="25">
        <f t="shared" si="0"/>
        <v>0</v>
      </c>
    </row>
    <row r="39" spans="1:7" x14ac:dyDescent="0.2">
      <c r="A39" s="10"/>
      <c r="B39" s="11">
        <f>SUM(B8:B38)</f>
        <v>149069</v>
      </c>
      <c r="C39" s="11">
        <f>SUM(C8:C38)</f>
        <v>204633</v>
      </c>
      <c r="D39" s="25">
        <f>SUM(D8:D38)</f>
        <v>55564</v>
      </c>
    </row>
    <row r="40" spans="1:7" x14ac:dyDescent="0.2">
      <c r="A40" s="26"/>
      <c r="C40" s="14"/>
      <c r="D40" s="260">
        <f>+summary!H4</f>
        <v>2.77</v>
      </c>
    </row>
    <row r="41" spans="1:7" x14ac:dyDescent="0.2">
      <c r="D41" s="138">
        <f>+D40*D39</f>
        <v>153912.28</v>
      </c>
      <c r="F41">
        <f>11834*2.81</f>
        <v>33253.54</v>
      </c>
    </row>
    <row r="42" spans="1:7" x14ac:dyDescent="0.2">
      <c r="A42" s="57">
        <v>37103</v>
      </c>
      <c r="C42" s="15"/>
      <c r="D42" s="368">
        <v>326755</v>
      </c>
      <c r="F42">
        <v>14318300</v>
      </c>
      <c r="G42">
        <v>77</v>
      </c>
    </row>
    <row r="43" spans="1:7" x14ac:dyDescent="0.2">
      <c r="A43" s="57">
        <v>37130</v>
      </c>
      <c r="C43" s="48"/>
      <c r="D43" s="138">
        <f>+D42+D41</f>
        <v>480667.28</v>
      </c>
      <c r="F43">
        <v>6786782</v>
      </c>
      <c r="G43">
        <v>382</v>
      </c>
    </row>
    <row r="44" spans="1:7" x14ac:dyDescent="0.2">
      <c r="F44">
        <f>+F42-F43</f>
        <v>7531518</v>
      </c>
      <c r="G44">
        <v>80</v>
      </c>
    </row>
    <row r="45" spans="1:7" x14ac:dyDescent="0.2">
      <c r="G45">
        <v>25</v>
      </c>
    </row>
    <row r="46" spans="1:7" x14ac:dyDescent="0.2">
      <c r="A46" s="32" t="s">
        <v>157</v>
      </c>
      <c r="B46" s="32"/>
      <c r="C46" s="32"/>
      <c r="D46" s="32"/>
      <c r="G46">
        <v>22</v>
      </c>
    </row>
    <row r="47" spans="1:7" x14ac:dyDescent="0.2">
      <c r="A47" s="49">
        <f>+A42</f>
        <v>37103</v>
      </c>
      <c r="B47" s="32"/>
      <c r="C47" s="32"/>
      <c r="D47" s="14">
        <v>6289</v>
      </c>
      <c r="G47">
        <v>50</v>
      </c>
    </row>
    <row r="48" spans="1:7" x14ac:dyDescent="0.2">
      <c r="A48" s="49">
        <f>+A43</f>
        <v>37130</v>
      </c>
      <c r="B48" s="32"/>
      <c r="C48" s="32"/>
      <c r="D48" s="379">
        <f>+D39</f>
        <v>55564</v>
      </c>
      <c r="G48">
        <v>44</v>
      </c>
    </row>
    <row r="49" spans="1:7" x14ac:dyDescent="0.2">
      <c r="A49" s="32"/>
      <c r="B49" s="32"/>
      <c r="C49" s="32"/>
      <c r="D49" s="14">
        <f>+D48+D47</f>
        <v>61853</v>
      </c>
      <c r="G49">
        <v>162</v>
      </c>
    </row>
    <row r="50" spans="1:7" x14ac:dyDescent="0.2">
      <c r="A50" s="139"/>
      <c r="B50" s="119"/>
      <c r="C50" s="140"/>
      <c r="D50" s="140"/>
      <c r="G50">
        <v>245</v>
      </c>
    </row>
    <row r="51" spans="1:7" x14ac:dyDescent="0.2">
      <c r="G51">
        <v>33</v>
      </c>
    </row>
    <row r="52" spans="1:7" x14ac:dyDescent="0.2">
      <c r="G52">
        <v>65</v>
      </c>
    </row>
    <row r="53" spans="1:7" x14ac:dyDescent="0.2">
      <c r="G53">
        <v>-136</v>
      </c>
    </row>
    <row r="54" spans="1:7" x14ac:dyDescent="0.2">
      <c r="G54">
        <v>-73</v>
      </c>
    </row>
    <row r="55" spans="1:7" x14ac:dyDescent="0.2">
      <c r="G55">
        <f>SUM(G42:G54)</f>
        <v>976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5" sqref="C35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08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08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">
      <c r="A31" s="10">
        <v>26</v>
      </c>
      <c r="B31" s="11">
        <v>-41028</v>
      </c>
      <c r="C31" s="11">
        <v>-36581</v>
      </c>
      <c r="D31" s="25">
        <f t="shared" si="0"/>
        <v>4447</v>
      </c>
    </row>
    <row r="32" spans="1:4" x14ac:dyDescent="0.2">
      <c r="A32" s="10">
        <v>27</v>
      </c>
      <c r="B32" s="11">
        <v>-41039</v>
      </c>
      <c r="C32" s="11">
        <v>-49678</v>
      </c>
      <c r="D32" s="25">
        <f t="shared" si="0"/>
        <v>-8639</v>
      </c>
    </row>
    <row r="33" spans="1:4" x14ac:dyDescent="0.2">
      <c r="A33" s="10">
        <v>28</v>
      </c>
      <c r="B33" s="11">
        <v>-53560</v>
      </c>
      <c r="C33" s="11">
        <v>-58214</v>
      </c>
      <c r="D33" s="25">
        <f t="shared" si="0"/>
        <v>-4654</v>
      </c>
    </row>
    <row r="34" spans="1:4" x14ac:dyDescent="0.2">
      <c r="A34" s="10">
        <v>29</v>
      </c>
      <c r="B34" s="11">
        <v>-80806</v>
      </c>
      <c r="C34" s="11">
        <v>-67475</v>
      </c>
      <c r="D34" s="25">
        <f t="shared" si="0"/>
        <v>13331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-1861996</v>
      </c>
      <c r="C37" s="11">
        <f>SUM(C6:C36)</f>
        <v>-1835334</v>
      </c>
      <c r="D37" s="25">
        <f>SUM(D6:D36)</f>
        <v>26662</v>
      </c>
    </row>
    <row r="38" spans="1:4" x14ac:dyDescent="0.2">
      <c r="A38" s="26"/>
      <c r="C38" s="14"/>
      <c r="D38" s="345">
        <f>+summary!H4</f>
        <v>2.77</v>
      </c>
    </row>
    <row r="39" spans="1:4" x14ac:dyDescent="0.2">
      <c r="D39" s="138">
        <f>+D38*D37</f>
        <v>73853.740000000005</v>
      </c>
    </row>
    <row r="40" spans="1:4" x14ac:dyDescent="0.2">
      <c r="A40" s="57">
        <v>37103</v>
      </c>
      <c r="C40" s="15"/>
      <c r="D40" s="457">
        <v>21736.76</v>
      </c>
    </row>
    <row r="41" spans="1:4" x14ac:dyDescent="0.2">
      <c r="A41" s="57">
        <v>37132</v>
      </c>
      <c r="C41" s="48"/>
      <c r="D41" s="138">
        <f>+D40+D39</f>
        <v>95590.5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37132</v>
      </c>
      <c r="B46" s="32"/>
      <c r="C46" s="32"/>
      <c r="D46" s="379">
        <f>+D37</f>
        <v>26662</v>
      </c>
    </row>
    <row r="47" spans="1:4" x14ac:dyDescent="0.2">
      <c r="A47" s="32"/>
      <c r="B47" s="32"/>
      <c r="C47" s="32"/>
      <c r="D47" s="14">
        <f>+D46+D45</f>
        <v>135512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">
      <c r="A31" s="10">
        <v>26</v>
      </c>
      <c r="B31" s="11">
        <v>38281</v>
      </c>
      <c r="C31" s="11">
        <v>37000</v>
      </c>
      <c r="D31" s="25">
        <f t="shared" si="0"/>
        <v>-1281</v>
      </c>
    </row>
    <row r="32" spans="1:4" x14ac:dyDescent="0.2">
      <c r="A32" s="10">
        <v>27</v>
      </c>
      <c r="B32" s="11">
        <v>33326</v>
      </c>
      <c r="C32" s="11">
        <v>37000</v>
      </c>
      <c r="D32" s="25">
        <f t="shared" si="0"/>
        <v>3674</v>
      </c>
    </row>
    <row r="33" spans="1:4" x14ac:dyDescent="0.2">
      <c r="A33" s="10">
        <v>28</v>
      </c>
      <c r="B33" s="11">
        <v>23373</v>
      </c>
      <c r="C33" s="11">
        <v>37000</v>
      </c>
      <c r="D33" s="25">
        <f t="shared" si="0"/>
        <v>13627</v>
      </c>
    </row>
    <row r="34" spans="1:4" x14ac:dyDescent="0.2">
      <c r="A34" s="10">
        <v>29</v>
      </c>
      <c r="B34" s="11">
        <v>22989</v>
      </c>
      <c r="C34" s="11">
        <v>37000</v>
      </c>
      <c r="D34" s="25">
        <f t="shared" si="0"/>
        <v>14011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1065996</v>
      </c>
      <c r="C37" s="11">
        <f>SUM(C6:C36)</f>
        <v>1063472</v>
      </c>
      <c r="D37" s="25">
        <f>SUM(D6:D36)</f>
        <v>-2524</v>
      </c>
    </row>
    <row r="38" spans="1:4" x14ac:dyDescent="0.2">
      <c r="A38" s="26"/>
      <c r="C38" s="14"/>
      <c r="D38" s="345">
        <f>+summary!H5</f>
        <v>2.85</v>
      </c>
    </row>
    <row r="39" spans="1:4" x14ac:dyDescent="0.2">
      <c r="D39" s="138">
        <f>+D38*D37</f>
        <v>-7193.4000000000005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37132</v>
      </c>
      <c r="C41" s="48"/>
      <c r="D41" s="138">
        <f>+D40+D39</f>
        <v>-45314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37132</v>
      </c>
      <c r="B46" s="32"/>
      <c r="C46" s="32"/>
      <c r="D46" s="379">
        <f>+D37</f>
        <v>-2524</v>
      </c>
    </row>
    <row r="47" spans="1:4" x14ac:dyDescent="0.2">
      <c r="A47" s="32"/>
      <c r="B47" s="32"/>
      <c r="C47" s="32"/>
      <c r="D47" s="14">
        <f>+D46+D45</f>
        <v>-4628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C33" sqref="C33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295178</v>
      </c>
      <c r="C29" s="11">
        <v>298389</v>
      </c>
      <c r="D29" s="11">
        <v>65205</v>
      </c>
      <c r="E29" s="11">
        <v>62005</v>
      </c>
      <c r="F29" s="11">
        <v>55023</v>
      </c>
      <c r="G29" s="11">
        <v>53622</v>
      </c>
      <c r="H29" s="11">
        <v>104372</v>
      </c>
      <c r="I29" s="11">
        <v>97955</v>
      </c>
      <c r="J29" s="11">
        <f t="shared" si="0"/>
        <v>-7807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301030</v>
      </c>
      <c r="C30" s="11">
        <v>288651</v>
      </c>
      <c r="D30" s="11">
        <v>72674</v>
      </c>
      <c r="E30" s="11">
        <v>73405</v>
      </c>
      <c r="F30" s="11">
        <v>56192</v>
      </c>
      <c r="G30" s="11">
        <v>57750</v>
      </c>
      <c r="H30" s="11">
        <v>113141</v>
      </c>
      <c r="I30" s="11">
        <v>119034</v>
      </c>
      <c r="J30" s="11">
        <f t="shared" si="0"/>
        <v>-4197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289986</v>
      </c>
      <c r="C31" s="11">
        <v>292909</v>
      </c>
      <c r="D31" s="11">
        <v>71570</v>
      </c>
      <c r="E31" s="11">
        <v>73406</v>
      </c>
      <c r="F31" s="11">
        <v>59857</v>
      </c>
      <c r="G31" s="11">
        <v>57198</v>
      </c>
      <c r="H31" s="11">
        <v>130778</v>
      </c>
      <c r="I31" s="11">
        <v>130823</v>
      </c>
      <c r="J31" s="11">
        <f t="shared" si="0"/>
        <v>2145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304370</v>
      </c>
      <c r="C32" s="11">
        <v>317739</v>
      </c>
      <c r="D32" s="11">
        <v>73967</v>
      </c>
      <c r="E32" s="11">
        <v>63006</v>
      </c>
      <c r="F32" s="11">
        <v>54309</v>
      </c>
      <c r="G32" s="11">
        <v>51528</v>
      </c>
      <c r="H32" s="11">
        <v>100425</v>
      </c>
      <c r="I32" s="11">
        <v>90768</v>
      </c>
      <c r="J32" s="11">
        <f t="shared" si="0"/>
        <v>-10030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9375105</v>
      </c>
      <c r="C35" s="11">
        <f t="shared" ref="C35:I35" si="3">SUM(C4:C34)</f>
        <v>9502796</v>
      </c>
      <c r="D35" s="11">
        <f t="shared" si="3"/>
        <v>1878776</v>
      </c>
      <c r="E35" s="11">
        <f t="shared" si="3"/>
        <v>1785496</v>
      </c>
      <c r="F35" s="11">
        <f t="shared" si="3"/>
        <v>1718209</v>
      </c>
      <c r="G35" s="11">
        <f t="shared" si="3"/>
        <v>1699104</v>
      </c>
      <c r="H35" s="11">
        <f t="shared" si="3"/>
        <v>3764896</v>
      </c>
      <c r="I35" s="11">
        <f t="shared" si="3"/>
        <v>3714252</v>
      </c>
      <c r="J35" s="11">
        <f>SUM(J4:J34)</f>
        <v>-35338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37132</v>
      </c>
      <c r="J40" s="51">
        <f>+J38+J35</f>
        <v>274930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37132</v>
      </c>
      <c r="B47" s="32"/>
      <c r="C47" s="32"/>
      <c r="D47" s="408">
        <f>+J35*'by type'!J3</f>
        <v>-92232.18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1287037.3900000001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">
      <c r="A31" s="10">
        <v>26</v>
      </c>
      <c r="B31" s="11">
        <v>52883</v>
      </c>
      <c r="C31" s="11">
        <v>52171</v>
      </c>
      <c r="D31" s="25">
        <f t="shared" si="0"/>
        <v>-712</v>
      </c>
    </row>
    <row r="32" spans="1:4" x14ac:dyDescent="0.2">
      <c r="A32" s="10">
        <v>27</v>
      </c>
      <c r="B32" s="11">
        <v>53302</v>
      </c>
      <c r="C32" s="11">
        <v>52307</v>
      </c>
      <c r="D32" s="25">
        <f t="shared" si="0"/>
        <v>-995</v>
      </c>
    </row>
    <row r="33" spans="1:4" x14ac:dyDescent="0.2">
      <c r="A33" s="10">
        <v>28</v>
      </c>
      <c r="B33" s="11">
        <v>56337</v>
      </c>
      <c r="C33" s="11">
        <v>61795</v>
      </c>
      <c r="D33" s="25">
        <f t="shared" si="0"/>
        <v>5458</v>
      </c>
    </row>
    <row r="34" spans="1:4" x14ac:dyDescent="0.2">
      <c r="A34" s="10">
        <v>29</v>
      </c>
      <c r="B34" s="11">
        <v>61789</v>
      </c>
      <c r="C34" s="11">
        <v>60282</v>
      </c>
      <c r="D34" s="25">
        <f t="shared" si="0"/>
        <v>-1507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1740377</v>
      </c>
      <c r="C37" s="11">
        <f>SUM(C6:C36)</f>
        <v>1746066</v>
      </c>
      <c r="D37" s="25">
        <f>SUM(D6:D36)</f>
        <v>5689</v>
      </c>
    </row>
    <row r="38" spans="1:4" x14ac:dyDescent="0.2">
      <c r="A38" s="26"/>
      <c r="C38" s="14"/>
      <c r="D38" s="345">
        <f>+summary!H5</f>
        <v>2.85</v>
      </c>
    </row>
    <row r="39" spans="1:4" x14ac:dyDescent="0.2">
      <c r="D39" s="138">
        <f>+D38*D37</f>
        <v>16213.65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37132</v>
      </c>
      <c r="C41" s="48"/>
      <c r="D41" s="138">
        <f>+D40+D39</f>
        <v>16213.65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37132</v>
      </c>
      <c r="B47" s="32"/>
      <c r="C47" s="32"/>
      <c r="D47" s="379">
        <f>+D37</f>
        <v>5689</v>
      </c>
    </row>
    <row r="48" spans="1:4" x14ac:dyDescent="0.2">
      <c r="A48" s="32"/>
      <c r="B48" s="32"/>
      <c r="C48" s="32"/>
      <c r="D48" s="14">
        <f>+D47+D46</f>
        <v>59052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3" workbookViewId="3">
      <selection activeCell="C45" sqref="C4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">
      <c r="A31" s="10">
        <v>26</v>
      </c>
      <c r="B31" s="11">
        <v>-2060</v>
      </c>
      <c r="C31" s="11">
        <v>-714</v>
      </c>
      <c r="D31" s="25">
        <f t="shared" si="0"/>
        <v>1346</v>
      </c>
    </row>
    <row r="32" spans="1:15" x14ac:dyDescent="0.2">
      <c r="A32" s="10">
        <v>27</v>
      </c>
      <c r="B32" s="11">
        <v>-2032</v>
      </c>
      <c r="C32" s="11">
        <v>-714</v>
      </c>
      <c r="D32" s="25">
        <f t="shared" si="0"/>
        <v>1318</v>
      </c>
    </row>
    <row r="33" spans="1:4" x14ac:dyDescent="0.2">
      <c r="A33" s="10">
        <v>28</v>
      </c>
      <c r="B33" s="11">
        <v>-1930</v>
      </c>
      <c r="C33" s="11">
        <v>-714</v>
      </c>
      <c r="D33" s="25">
        <f t="shared" si="0"/>
        <v>1216</v>
      </c>
    </row>
    <row r="34" spans="1:4" x14ac:dyDescent="0.2">
      <c r="A34" s="10">
        <v>29</v>
      </c>
      <c r="B34" s="11">
        <v>-2002</v>
      </c>
      <c r="C34" s="11">
        <v>-714</v>
      </c>
      <c r="D34" s="25">
        <f t="shared" si="0"/>
        <v>1288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-41219</v>
      </c>
      <c r="C37" s="11">
        <f>SUM(C6:C36)</f>
        <v>-51746</v>
      </c>
      <c r="D37" s="25">
        <f>SUM(D6:D36)</f>
        <v>-10527</v>
      </c>
    </row>
    <row r="38" spans="1:4" x14ac:dyDescent="0.2">
      <c r="A38" s="26"/>
      <c r="C38" s="14"/>
      <c r="D38" s="345">
        <f>+summary!H4</f>
        <v>2.77</v>
      </c>
    </row>
    <row r="39" spans="1:4" x14ac:dyDescent="0.2">
      <c r="D39" s="138">
        <f>+D38*D37</f>
        <v>-29159.79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37132</v>
      </c>
      <c r="C41" s="48"/>
      <c r="D41" s="138">
        <f>+D40+D39</f>
        <v>-423403.93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37132</v>
      </c>
      <c r="B49" s="32"/>
      <c r="C49" s="32"/>
      <c r="D49" s="379">
        <f>+D37</f>
        <v>-10527</v>
      </c>
    </row>
    <row r="50" spans="1:4" x14ac:dyDescent="0.2">
      <c r="A50" s="32"/>
      <c r="B50" s="32"/>
      <c r="C50" s="32"/>
      <c r="D50" s="14">
        <f>+D49+D48</f>
        <v>-78809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">
      <c r="A31" s="10">
        <v>26</v>
      </c>
      <c r="B31" s="11">
        <v>-46752</v>
      </c>
      <c r="C31" s="11">
        <v>-47124</v>
      </c>
      <c r="D31" s="25">
        <f t="shared" si="0"/>
        <v>-372</v>
      </c>
    </row>
    <row r="32" spans="1:4" x14ac:dyDescent="0.2">
      <c r="A32" s="10">
        <v>27</v>
      </c>
      <c r="B32" s="11">
        <v>-59680</v>
      </c>
      <c r="C32" s="11">
        <v>-59883</v>
      </c>
      <c r="D32" s="25">
        <f t="shared" si="0"/>
        <v>-203</v>
      </c>
    </row>
    <row r="33" spans="1:4" x14ac:dyDescent="0.2">
      <c r="A33" s="10">
        <v>28</v>
      </c>
      <c r="B33" s="11">
        <v>-42119</v>
      </c>
      <c r="C33" s="11">
        <v>-45321</v>
      </c>
      <c r="D33" s="25">
        <f t="shared" si="0"/>
        <v>-3202</v>
      </c>
    </row>
    <row r="34" spans="1:4" x14ac:dyDescent="0.2">
      <c r="A34" s="10">
        <v>29</v>
      </c>
      <c r="B34" s="11">
        <v>-37940</v>
      </c>
      <c r="C34" s="11">
        <v>-32888</v>
      </c>
      <c r="D34" s="25">
        <f t="shared" si="0"/>
        <v>5052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-1035970</v>
      </c>
      <c r="C37" s="11">
        <f>SUM(C6:C36)</f>
        <v>-985555</v>
      </c>
      <c r="D37" s="25">
        <f>SUM(D6:D36)</f>
        <v>50415</v>
      </c>
    </row>
    <row r="38" spans="1:4" x14ac:dyDescent="0.2">
      <c r="A38" s="26"/>
      <c r="C38" s="14"/>
      <c r="D38" s="345">
        <f>+summary!H4</f>
        <v>2.77</v>
      </c>
    </row>
    <row r="39" spans="1:4" x14ac:dyDescent="0.2">
      <c r="D39" s="138">
        <f>+D38*D37</f>
        <v>139649.54999999999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37132</v>
      </c>
      <c r="C41" s="48"/>
      <c r="D41" s="138">
        <f>+D40+D39</f>
        <v>-211520.77000000002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37132</v>
      </c>
      <c r="B47" s="32"/>
      <c r="C47" s="32"/>
      <c r="D47" s="379">
        <f>+D37</f>
        <v>50415</v>
      </c>
    </row>
    <row r="48" spans="1:4" x14ac:dyDescent="0.2">
      <c r="A48" s="32"/>
      <c r="B48" s="32"/>
      <c r="C48" s="32"/>
      <c r="D48" s="14">
        <f>+D47+D46</f>
        <v>-99872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-30385</v>
      </c>
      <c r="C5" s="90">
        <v>-3393</v>
      </c>
      <c r="D5" s="90">
        <f>+C5-B5</f>
        <v>26992</v>
      </c>
      <c r="E5" s="285"/>
      <c r="F5" s="283"/>
    </row>
    <row r="6" spans="1:13" x14ac:dyDescent="0.2">
      <c r="A6" s="87">
        <v>500046</v>
      </c>
      <c r="B6" s="90">
        <v>-709</v>
      </c>
      <c r="C6" s="90"/>
      <c r="D6" s="90">
        <f t="shared" ref="D6:D11" si="0">+C6-B6</f>
        <v>709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-1944</v>
      </c>
      <c r="C8" s="90"/>
      <c r="D8" s="90">
        <f t="shared" si="0"/>
        <v>1944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29645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2.77</v>
      </c>
      <c r="E13" s="287"/>
      <c r="F13" s="283"/>
    </row>
    <row r="14" spans="1:13" x14ac:dyDescent="0.2">
      <c r="A14" s="87"/>
      <c r="B14" s="88"/>
      <c r="C14" s="88"/>
      <c r="D14" s="96">
        <f>+D13*D12</f>
        <v>82116.649999999994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37132</v>
      </c>
      <c r="B18" s="88"/>
      <c r="C18" s="88"/>
      <c r="D18" s="334">
        <f>+D16+D14</f>
        <v>-774224.01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37132</v>
      </c>
      <c r="B23" s="32"/>
      <c r="C23" s="32"/>
      <c r="D23" s="379">
        <f>+D12</f>
        <v>29645</v>
      </c>
    </row>
    <row r="24" spans="1:7" x14ac:dyDescent="0.2">
      <c r="A24" s="32"/>
      <c r="B24" s="32"/>
      <c r="C24" s="32"/>
      <c r="D24" s="14">
        <f>+D23+D22</f>
        <v>-158108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0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>
        <v>-1</v>
      </c>
      <c r="C30" s="11"/>
      <c r="D30" s="25">
        <f t="shared" si="0"/>
        <v>1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>
        <v>-15000</v>
      </c>
      <c r="D34" s="25">
        <f t="shared" si="0"/>
        <v>-15000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</v>
      </c>
      <c r="C37" s="11">
        <f>SUM(C6:C36)</f>
        <v>-26840</v>
      </c>
      <c r="D37" s="25">
        <f>SUM(D6:D36)</f>
        <v>-26834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39">
        <v>76325</v>
      </c>
    </row>
    <row r="41" spans="1:4" x14ac:dyDescent="0.2">
      <c r="A41" s="57">
        <v>37132</v>
      </c>
      <c r="C41" s="48"/>
      <c r="D41" s="25">
        <f>+D40+D37</f>
        <v>49491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0">
        <v>341220.3</v>
      </c>
    </row>
    <row r="46" spans="1:4" x14ac:dyDescent="0.2">
      <c r="A46" s="49">
        <f>+A41</f>
        <v>37132</v>
      </c>
      <c r="B46" s="32"/>
      <c r="C46" s="32"/>
      <c r="D46" s="408">
        <f>+D37*'by type'!J4</f>
        <v>-74330.180000000008</v>
      </c>
    </row>
    <row r="47" spans="1:4" x14ac:dyDescent="0.2">
      <c r="A47" s="32"/>
      <c r="B47" s="32"/>
      <c r="C47" s="32"/>
      <c r="D47" s="202">
        <f>+D46+D45</f>
        <v>266890.12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36" sqref="C3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">
      <c r="A32" s="10">
        <v>26</v>
      </c>
      <c r="B32" s="11">
        <v>137820</v>
      </c>
      <c r="C32" s="11">
        <v>139153</v>
      </c>
      <c r="D32" s="25">
        <f t="shared" si="0"/>
        <v>1333</v>
      </c>
    </row>
    <row r="33" spans="1:4" x14ac:dyDescent="0.2">
      <c r="A33" s="10">
        <v>27</v>
      </c>
      <c r="B33" s="11">
        <v>125177</v>
      </c>
      <c r="C33" s="11">
        <v>125597</v>
      </c>
      <c r="D33" s="25">
        <f t="shared" si="0"/>
        <v>420</v>
      </c>
    </row>
    <row r="34" spans="1:4" x14ac:dyDescent="0.2">
      <c r="A34" s="10">
        <v>28</v>
      </c>
      <c r="B34" s="11">
        <v>124694</v>
      </c>
      <c r="C34" s="11">
        <v>124546</v>
      </c>
      <c r="D34" s="25">
        <f t="shared" si="0"/>
        <v>-148</v>
      </c>
    </row>
    <row r="35" spans="1:4" x14ac:dyDescent="0.2">
      <c r="A35" s="10">
        <v>29</v>
      </c>
      <c r="B35" s="11">
        <v>117938</v>
      </c>
      <c r="C35" s="11">
        <v>117986</v>
      </c>
      <c r="D35" s="25">
        <f t="shared" si="0"/>
        <v>48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3310747</v>
      </c>
      <c r="C38" s="11">
        <f>SUM(C7:C37)</f>
        <v>3327761</v>
      </c>
      <c r="D38" s="11">
        <f>SUM(D7:D37)</f>
        <v>17014</v>
      </c>
    </row>
    <row r="39" spans="1:4" x14ac:dyDescent="0.2">
      <c r="A39" s="26"/>
      <c r="C39" s="14"/>
      <c r="D39" s="106">
        <f>+summary!H3</f>
        <v>2.61</v>
      </c>
    </row>
    <row r="40" spans="1:4" x14ac:dyDescent="0.2">
      <c r="D40" s="138">
        <f>+D39*D38</f>
        <v>44406.54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37132</v>
      </c>
      <c r="D42" s="337">
        <f>+D41+D40</f>
        <v>7764.5400000000009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37132</v>
      </c>
      <c r="B48" s="32"/>
      <c r="C48" s="32"/>
      <c r="D48" s="379">
        <f>+D38</f>
        <v>17014</v>
      </c>
    </row>
    <row r="49" spans="1:4" x14ac:dyDescent="0.2">
      <c r="A49" s="32"/>
      <c r="B49" s="32"/>
      <c r="C49" s="32"/>
      <c r="D49" s="14">
        <f>+D48+D47</f>
        <v>2056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B43" sqref="B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-52978</v>
      </c>
      <c r="C30" s="11">
        <v>-12063</v>
      </c>
      <c r="D30" s="11"/>
      <c r="E30" s="11">
        <v>-38678</v>
      </c>
      <c r="F30" s="11">
        <f t="shared" si="0"/>
        <v>2237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>
        <v>-52673</v>
      </c>
      <c r="C31" s="11">
        <v>-12063</v>
      </c>
      <c r="D31" s="11"/>
      <c r="E31" s="11">
        <v>-39275</v>
      </c>
      <c r="F31" s="11">
        <f t="shared" si="0"/>
        <v>1335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>
        <v>-85760</v>
      </c>
      <c r="C32" s="11">
        <v>-5000</v>
      </c>
      <c r="D32" s="11"/>
      <c r="E32" s="11">
        <v>-78979</v>
      </c>
      <c r="F32" s="11">
        <f t="shared" si="0"/>
        <v>1781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>
        <v>-75571</v>
      </c>
      <c r="C33" s="11">
        <v>-5000</v>
      </c>
      <c r="D33" s="11"/>
      <c r="E33" s="11">
        <v>-71275</v>
      </c>
      <c r="F33" s="11">
        <f t="shared" si="0"/>
        <v>-704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-1740827</v>
      </c>
      <c r="C36" s="44">
        <f>SUM(C5:C35)</f>
        <v>-512382</v>
      </c>
      <c r="D36" s="43">
        <f>SUM(D5:D35)</f>
        <v>-305444</v>
      </c>
      <c r="E36" s="44">
        <f>SUM(E5:E35)</f>
        <v>-1498081</v>
      </c>
      <c r="F36" s="11">
        <f>SUM(F5:F35)</f>
        <v>35808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-1228445</v>
      </c>
      <c r="D37" s="24"/>
      <c r="E37" s="24">
        <f>+D36-E36</f>
        <v>1192637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37132</v>
      </c>
      <c r="C42" s="14"/>
      <c r="D42" s="50"/>
      <c r="E42" s="50"/>
      <c r="F42" s="51">
        <f>+F41+F36</f>
        <v>72147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37132</v>
      </c>
      <c r="B48" s="32"/>
      <c r="C48" s="32"/>
      <c r="D48" s="408">
        <f>+F36*'by type'!J4</f>
        <v>99188.160000000003</v>
      </c>
    </row>
    <row r="49" spans="1:4" x14ac:dyDescent="0.2">
      <c r="A49" s="32"/>
      <c r="B49" s="32"/>
      <c r="C49" s="32"/>
      <c r="D49" s="202">
        <f>+D48+D47</f>
        <v>69219.75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6" workbookViewId="3">
      <selection activeCell="B48" sqref="B48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">
      <c r="A29" s="10">
        <v>26</v>
      </c>
      <c r="B29" s="11">
        <v>-176005</v>
      </c>
      <c r="C29" s="11">
        <v>-174969</v>
      </c>
      <c r="D29" s="25">
        <f t="shared" si="0"/>
        <v>1036</v>
      </c>
    </row>
    <row r="30" spans="1:4" x14ac:dyDescent="0.2">
      <c r="A30" s="10">
        <v>27</v>
      </c>
      <c r="B30" s="11">
        <v>-177989</v>
      </c>
      <c r="C30" s="11">
        <v>-178155</v>
      </c>
      <c r="D30" s="25">
        <f t="shared" si="0"/>
        <v>-166</v>
      </c>
    </row>
    <row r="31" spans="1:4" x14ac:dyDescent="0.2">
      <c r="A31" s="10">
        <v>28</v>
      </c>
      <c r="B31" s="11">
        <v>-183428</v>
      </c>
      <c r="C31" s="11">
        <v>-182658</v>
      </c>
      <c r="D31" s="25">
        <f t="shared" si="0"/>
        <v>770</v>
      </c>
    </row>
    <row r="32" spans="1:4" x14ac:dyDescent="0.2">
      <c r="A32" s="10">
        <v>29</v>
      </c>
      <c r="B32" s="11">
        <v>-178185</v>
      </c>
      <c r="C32" s="11">
        <v>-176667</v>
      </c>
      <c r="D32" s="25">
        <f t="shared" si="0"/>
        <v>1518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-5269573</v>
      </c>
      <c r="C35" s="11">
        <f>SUM(C4:C34)</f>
        <v>-5251778</v>
      </c>
      <c r="D35" s="11">
        <f>SUM(D4:D34)</f>
        <v>17795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37132</v>
      </c>
      <c r="D40" s="24">
        <f>+D38+D35</f>
        <v>42695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37132</v>
      </c>
      <c r="B46" s="32"/>
      <c r="C46" s="32"/>
      <c r="D46" s="408">
        <f>+D35*'by type'!J4</f>
        <v>49292.15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-106791.23000000001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19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">
      <c r="A29" s="10">
        <v>26</v>
      </c>
      <c r="B29" s="11">
        <v>-681818</v>
      </c>
      <c r="C29" s="11">
        <v>-696016</v>
      </c>
      <c r="D29" s="11">
        <v>-25002</v>
      </c>
      <c r="E29" s="11">
        <v>-25000</v>
      </c>
      <c r="F29" s="25">
        <f t="shared" si="0"/>
        <v>-14196</v>
      </c>
      <c r="H29" s="10"/>
      <c r="I29" s="11"/>
      <c r="K29" s="25"/>
    </row>
    <row r="30" spans="1:11" x14ac:dyDescent="0.2">
      <c r="A30" s="10">
        <v>27</v>
      </c>
      <c r="B30" s="11">
        <v>-671056</v>
      </c>
      <c r="C30" s="11">
        <v>-666426</v>
      </c>
      <c r="D30" s="11">
        <v>-25000</v>
      </c>
      <c r="E30" s="11">
        <v>-25000</v>
      </c>
      <c r="F30" s="25">
        <f t="shared" si="0"/>
        <v>4630</v>
      </c>
      <c r="H30" s="10"/>
      <c r="I30" s="11"/>
      <c r="K30" s="25"/>
    </row>
    <row r="31" spans="1:11" x14ac:dyDescent="0.2">
      <c r="A31" s="10">
        <v>28</v>
      </c>
      <c r="B31" s="11">
        <v>-688957</v>
      </c>
      <c r="C31" s="11">
        <v>-685660</v>
      </c>
      <c r="D31" s="11">
        <v>-39</v>
      </c>
      <c r="E31" s="11"/>
      <c r="F31" s="25">
        <f t="shared" si="0"/>
        <v>3336</v>
      </c>
      <c r="H31" s="10"/>
      <c r="I31" s="11"/>
    </row>
    <row r="32" spans="1:11" x14ac:dyDescent="0.2">
      <c r="A32" s="10">
        <v>29</v>
      </c>
      <c r="B32" s="11">
        <v>-686795</v>
      </c>
      <c r="C32" s="11">
        <v>-701039</v>
      </c>
      <c r="D32" s="11"/>
      <c r="E32" s="11"/>
      <c r="F32" s="25">
        <f t="shared" si="0"/>
        <v>-14244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-20690165</v>
      </c>
      <c r="C35" s="11">
        <f>SUM(C4:C34)</f>
        <v>-20682628</v>
      </c>
      <c r="D35" s="11">
        <f>SUM(D4:D34)</f>
        <v>-616378</v>
      </c>
      <c r="E35" s="11">
        <f>SUM(E4:E34)</f>
        <v>-605000</v>
      </c>
      <c r="F35" s="11">
        <f>SUM(F4:F34)</f>
        <v>18915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6">
        <v>145102</v>
      </c>
    </row>
    <row r="39" spans="1:45" x14ac:dyDescent="0.2">
      <c r="A39" s="2"/>
      <c r="F39" s="24"/>
    </row>
    <row r="40" spans="1:45" x14ac:dyDescent="0.2">
      <c r="A40" s="57">
        <v>37132</v>
      </c>
      <c r="F40" s="51">
        <f>+F38+F35</f>
        <v>164017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37132</v>
      </c>
      <c r="B46" s="32"/>
      <c r="C46" s="32"/>
      <c r="D46" s="408">
        <f>+F35*'by type'!J4</f>
        <v>52394.55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500808.45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D31" sqref="D3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-135337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987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-134313</v>
      </c>
      <c r="C29" s="11">
        <v>-95571</v>
      </c>
      <c r="D29" s="11">
        <v>-71537</v>
      </c>
      <c r="E29" s="11">
        <v>-110769</v>
      </c>
      <c r="F29" s="11"/>
      <c r="G29" s="11"/>
      <c r="H29" s="11">
        <f t="shared" si="0"/>
        <v>-490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-131527</v>
      </c>
      <c r="C30" s="11">
        <v>-90089</v>
      </c>
      <c r="D30" s="11">
        <v>-71973</v>
      </c>
      <c r="E30" s="11">
        <v>-112890</v>
      </c>
      <c r="F30" s="11"/>
      <c r="G30" s="11"/>
      <c r="H30" s="11">
        <f t="shared" si="0"/>
        <v>521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-138850</v>
      </c>
      <c r="C31" s="11">
        <v>-87816</v>
      </c>
      <c r="D31" s="11">
        <f>-164546+138850</f>
        <v>-25696</v>
      </c>
      <c r="E31" s="11">
        <v>-75898</v>
      </c>
      <c r="F31" s="11"/>
      <c r="G31" s="11"/>
      <c r="H31" s="11">
        <f t="shared" si="0"/>
        <v>832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-118168</v>
      </c>
      <c r="C32" s="11">
        <v>-81080</v>
      </c>
      <c r="D32" s="11">
        <v>-986</v>
      </c>
      <c r="E32" s="11">
        <v>-38780</v>
      </c>
      <c r="F32" s="11"/>
      <c r="G32" s="11"/>
      <c r="H32" s="11">
        <f t="shared" si="0"/>
        <v>-706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-3943756</v>
      </c>
      <c r="C35" s="44">
        <f t="shared" si="3"/>
        <v>-3090049</v>
      </c>
      <c r="D35" s="11">
        <f t="shared" si="3"/>
        <v>-1653154</v>
      </c>
      <c r="E35" s="44">
        <f t="shared" si="3"/>
        <v>-2498133</v>
      </c>
      <c r="F35" s="11">
        <f t="shared" si="3"/>
        <v>0</v>
      </c>
      <c r="G35" s="11">
        <f t="shared" si="3"/>
        <v>0</v>
      </c>
      <c r="H35" s="11">
        <f t="shared" si="3"/>
        <v>8728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24176.560000000001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37132</v>
      </c>
      <c r="F39" s="47"/>
      <c r="G39" s="47"/>
      <c r="H39" s="137">
        <f>+H38+H37</f>
        <v>485011.93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37132</v>
      </c>
      <c r="E47" s="379">
        <f>+H35</f>
        <v>8728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119964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6" workbookViewId="3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f>-263744-750</f>
        <v>-264494</v>
      </c>
      <c r="E30" s="11">
        <v>-265642</v>
      </c>
      <c r="F30" s="11"/>
      <c r="G30" s="11"/>
      <c r="H30" s="24">
        <f t="shared" si="0"/>
        <v>-1148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f>-264751-750</f>
        <v>-265501</v>
      </c>
      <c r="E31" s="11">
        <v>-263452</v>
      </c>
      <c r="F31" s="11"/>
      <c r="G31" s="11"/>
      <c r="H31" s="24">
        <f t="shared" si="0"/>
        <v>2049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-307322</v>
      </c>
      <c r="E32" s="11">
        <v>-307322</v>
      </c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-286336</v>
      </c>
      <c r="E33" s="11">
        <v>-292619</v>
      </c>
      <c r="F33" s="11"/>
      <c r="G33" s="11"/>
      <c r="H33" s="24">
        <f t="shared" si="0"/>
        <v>-6283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-8225782</v>
      </c>
      <c r="E36" s="11">
        <f t="shared" si="15"/>
        <v>-8325467</v>
      </c>
      <c r="F36" s="11">
        <f t="shared" si="15"/>
        <v>0</v>
      </c>
      <c r="G36" s="11">
        <f t="shared" si="15"/>
        <v>0</v>
      </c>
      <c r="H36" s="11">
        <f t="shared" si="15"/>
        <v>-99798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-99685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37132</v>
      </c>
      <c r="B39" s="2" t="s">
        <v>46</v>
      </c>
      <c r="C39" s="131">
        <f>+C38+C37</f>
        <v>64156</v>
      </c>
      <c r="D39" s="259"/>
      <c r="E39" s="131">
        <f>+E38+E37</f>
        <v>-72089</v>
      </c>
      <c r="F39" s="259"/>
      <c r="G39" s="131"/>
      <c r="H39" s="131">
        <f>+H38+H36</f>
        <v>-7933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37132</v>
      </c>
      <c r="B45" s="32"/>
      <c r="C45" s="47">
        <f>+C37*summary!H4</f>
        <v>-313.01</v>
      </c>
      <c r="D45" s="207"/>
      <c r="E45" s="410">
        <f>+E37*summary!H3</f>
        <v>-260177.84999999998</v>
      </c>
      <c r="F45" s="47">
        <f>+E45+C45</f>
        <v>-260490.86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-1583274.01</v>
      </c>
      <c r="D46" s="207"/>
      <c r="E46" s="410">
        <f>+E45+E44</f>
        <v>926558.77000000014</v>
      </c>
      <c r="F46" s="47">
        <f>+E46+C46</f>
        <v>-656715.23999999987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5" sqref="C35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92412</v>
      </c>
      <c r="C31" s="11">
        <v>91396</v>
      </c>
      <c r="D31" s="25">
        <f t="shared" si="0"/>
        <v>-1016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90203</v>
      </c>
      <c r="C32" s="11">
        <v>88527</v>
      </c>
      <c r="D32" s="25">
        <f t="shared" si="0"/>
        <v>-1676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>
        <v>100211</v>
      </c>
      <c r="C33" s="11">
        <v>98443</v>
      </c>
      <c r="D33" s="25">
        <f t="shared" si="0"/>
        <v>-1768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>
        <v>140937</v>
      </c>
      <c r="C34" s="11">
        <v>139102</v>
      </c>
      <c r="D34" s="25">
        <f t="shared" si="0"/>
        <v>-1835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3231809</v>
      </c>
      <c r="C37" s="11">
        <f>SUM(C6:C36)</f>
        <v>3269996</v>
      </c>
      <c r="D37" s="11">
        <f>SUM(D6:D36)</f>
        <v>38187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37132</v>
      </c>
      <c r="C40" s="48"/>
      <c r="D40" s="25">
        <f>+D39+D37</f>
        <v>93070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37132</v>
      </c>
      <c r="B46" s="32"/>
      <c r="C46" s="32"/>
      <c r="D46" s="408">
        <f>+D37*'by type'!J3</f>
        <v>99668.069999999992</v>
      </c>
    </row>
    <row r="47" spans="1:16" x14ac:dyDescent="0.2">
      <c r="A47" s="32"/>
      <c r="B47" s="32"/>
      <c r="C47" s="32"/>
      <c r="D47" s="202">
        <f>+D46+D45</f>
        <v>511419.60000000003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2001-08-30T13:26:01Z</cp:lastPrinted>
  <dcterms:created xsi:type="dcterms:W3CDTF">2000-03-28T16:52:23Z</dcterms:created>
  <dcterms:modified xsi:type="dcterms:W3CDTF">2014-09-03T14:38:15Z</dcterms:modified>
</cp:coreProperties>
</file>