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22" activeTab="32"/>
    <workbookView xWindow="360" yWindow="90" windowWidth="9720" windowHeight="6795" tabRatio="895" activeTab="1"/>
    <workbookView xWindow="600" yWindow="285" windowWidth="9720" windowHeight="6600" activeTab="1"/>
    <workbookView xWindow="840" yWindow="480" windowWidth="10860" windowHeight="6405" tabRatio="601" firstSheet="28" activeTab="32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8" i="8" s="1"/>
  <c r="D12" i="8"/>
  <c r="D13" i="8"/>
  <c r="D14" i="8"/>
  <c r="D15" i="8"/>
  <c r="D16" i="8"/>
  <c r="D17" i="8"/>
  <c r="D19" i="8"/>
  <c r="A29" i="8"/>
  <c r="A30" i="8"/>
  <c r="D6" i="12"/>
  <c r="D7" i="12"/>
  <c r="D37" i="12" s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D49" i="18" s="1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F12" i="80"/>
  <c r="F13" i="80"/>
  <c r="F14" i="80"/>
  <c r="F15" i="80"/>
  <c r="F19" i="80"/>
  <c r="F20" i="80"/>
  <c r="F24" i="80"/>
  <c r="F25" i="80"/>
  <c r="D26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J48" i="80"/>
  <c r="F55" i="80"/>
  <c r="F56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39" i="72" s="1"/>
  <c r="D48" i="72" s="1"/>
  <c r="D49" i="72" s="1"/>
  <c r="D29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12" i="78" s="1"/>
  <c r="D23" i="78" s="1"/>
  <c r="D24" i="78" s="1"/>
  <c r="D15" i="80" s="1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/>
  <c r="F5" i="13"/>
  <c r="I5" i="13"/>
  <c r="J5" i="13"/>
  <c r="K5" i="13" s="1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N10" i="13" s="1"/>
  <c r="F8" i="13"/>
  <c r="I8" i="13"/>
  <c r="J8" i="13"/>
  <c r="K8" i="13" s="1"/>
  <c r="M8" i="13" s="1"/>
  <c r="N8" i="13"/>
  <c r="F9" i="13"/>
  <c r="I9" i="13"/>
  <c r="J9" i="13"/>
  <c r="K9" i="13" s="1"/>
  <c r="M9" i="13"/>
  <c r="N9" i="13"/>
  <c r="F10" i="13"/>
  <c r="F11" i="13"/>
  <c r="F12" i="13"/>
  <c r="F13" i="13"/>
  <c r="K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 s="1"/>
  <c r="F35" i="13"/>
  <c r="D47" i="13" s="1"/>
  <c r="D48" i="13" s="1"/>
  <c r="D25" i="80" s="1"/>
  <c r="F40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H35" i="73"/>
  <c r="I35" i="73"/>
  <c r="I36" i="73" s="1"/>
  <c r="E36" i="73"/>
  <c r="F36" i="73" s="1"/>
  <c r="F39" i="73"/>
  <c r="B12" i="20"/>
  <c r="B17" i="20" s="1"/>
  <c r="F38" i="20" s="1"/>
  <c r="F39" i="20" s="1"/>
  <c r="B13" i="20"/>
  <c r="B14" i="20"/>
  <c r="B15" i="20"/>
  <c r="B16" i="20"/>
  <c r="B30" i="20"/>
  <c r="E37" i="20"/>
  <c r="E38" i="20"/>
  <c r="G38" i="20"/>
  <c r="H38" i="20"/>
  <c r="H39" i="20" s="1"/>
  <c r="G39" i="20"/>
  <c r="B45" i="20"/>
  <c r="D5" i="11"/>
  <c r="H5" i="11"/>
  <c r="D6" i="11"/>
  <c r="H6" i="11" s="1"/>
  <c r="D7" i="11"/>
  <c r="H7" i="11"/>
  <c r="D8" i="11"/>
  <c r="H8" i="11"/>
  <c r="AB8" i="11"/>
  <c r="AN8" i="11" s="1"/>
  <c r="AC8" i="11"/>
  <c r="AF8" i="11"/>
  <c r="AI8" i="11"/>
  <c r="AL8" i="11"/>
  <c r="AM8" i="11"/>
  <c r="AO8" i="11"/>
  <c r="AP8" i="11"/>
  <c r="D9" i="11"/>
  <c r="D36" i="11" s="1"/>
  <c r="E37" i="11" s="1"/>
  <c r="H9" i="11"/>
  <c r="AC9" i="11"/>
  <c r="AF9" i="11"/>
  <c r="AI9" i="11"/>
  <c r="AL9" i="11"/>
  <c r="AM9" i="11"/>
  <c r="AN9" i="11"/>
  <c r="AO9" i="11"/>
  <c r="AP9" i="11"/>
  <c r="D10" i="11"/>
  <c r="H10" i="11" s="1"/>
  <c r="AC10" i="11"/>
  <c r="AF10" i="11"/>
  <c r="AI10" i="11"/>
  <c r="AL10" i="11"/>
  <c r="AM10" i="11"/>
  <c r="AN10" i="11"/>
  <c r="AO10" i="11"/>
  <c r="AP10" i="11"/>
  <c r="D11" i="11"/>
  <c r="H11" i="11" s="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 s="1"/>
  <c r="AC15" i="11"/>
  <c r="AF15" i="11"/>
  <c r="AI15" i="11"/>
  <c r="AL15" i="11"/>
  <c r="AM15" i="11"/>
  <c r="AN15" i="11"/>
  <c r="AO15" i="11"/>
  <c r="AP15" i="11"/>
  <c r="D16" i="11"/>
  <c r="H16" i="11" s="1"/>
  <c r="AA16" i="11"/>
  <c r="AM16" i="11" s="1"/>
  <c r="AC16" i="11"/>
  <c r="AF16" i="11"/>
  <c r="AI16" i="11"/>
  <c r="AL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P20" i="11" s="1"/>
  <c r="AF20" i="11"/>
  <c r="AI20" i="11"/>
  <c r="AL20" i="11"/>
  <c r="AM20" i="11"/>
  <c r="AN20" i="11"/>
  <c r="AO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 s="1"/>
  <c r="AC22" i="11"/>
  <c r="AF22" i="11"/>
  <c r="AI22" i="11"/>
  <c r="AL22" i="11"/>
  <c r="AM22" i="11"/>
  <c r="AN22" i="11"/>
  <c r="AO22" i="11"/>
  <c r="AP22" i="11"/>
  <c r="D23" i="11"/>
  <c r="H23" i="11" s="1"/>
  <c r="AC23" i="11"/>
  <c r="AF23" i="11"/>
  <c r="AI23" i="11"/>
  <c r="AL23" i="11"/>
  <c r="AM23" i="11"/>
  <c r="AN23" i="11"/>
  <c r="AO23" i="11"/>
  <c r="AP23" i="11"/>
  <c r="D24" i="11"/>
  <c r="H24" i="11" s="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 s="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E36" i="11"/>
  <c r="F36" i="11"/>
  <c r="G36" i="11"/>
  <c r="AC36" i="11"/>
  <c r="AE36" i="11"/>
  <c r="AP36" i="11" s="1"/>
  <c r="AI36" i="11"/>
  <c r="AL36" i="11"/>
  <c r="AM36" i="11"/>
  <c r="AN36" i="11"/>
  <c r="AO36" i="11"/>
  <c r="C37" i="11"/>
  <c r="C45" i="11" s="1"/>
  <c r="C46" i="11" s="1"/>
  <c r="D57" i="80" s="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F6" i="22"/>
  <c r="D7" i="22"/>
  <c r="F7" i="22" s="1"/>
  <c r="D8" i="22"/>
  <c r="F8" i="22"/>
  <c r="F9" i="22"/>
  <c r="F10" i="22"/>
  <c r="F11" i="22"/>
  <c r="F12" i="22"/>
  <c r="F13" i="22"/>
  <c r="F14" i="22"/>
  <c r="F15" i="22"/>
  <c r="D16" i="22"/>
  <c r="F16" i="22" s="1"/>
  <c r="F17" i="22"/>
  <c r="D18" i="22"/>
  <c r="F18" i="22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35" i="68" s="1"/>
  <c r="D40" i="68" s="1"/>
  <c r="C17" i="63" s="1"/>
  <c r="B17" i="63" s="1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37" i="77" s="1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M23" i="77" s="1"/>
  <c r="D18" i="77"/>
  <c r="K18" i="77"/>
  <c r="M18" i="77" s="1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F36" i="7" s="1"/>
  <c r="Z5" i="7"/>
  <c r="AD5" i="7" s="1"/>
  <c r="F6" i="7"/>
  <c r="Z6" i="7"/>
  <c r="AD6" i="7"/>
  <c r="AF6" i="7"/>
  <c r="F7" i="7"/>
  <c r="Z7" i="7"/>
  <c r="AD7" i="7"/>
  <c r="AF7" i="7"/>
  <c r="F8" i="7"/>
  <c r="Z8" i="7"/>
  <c r="AD8" i="7" s="1"/>
  <c r="AF8" i="7"/>
  <c r="F9" i="7"/>
  <c r="Z9" i="7"/>
  <c r="AD9" i="7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/>
  <c r="AF12" i="7" s="1"/>
  <c r="F13" i="7"/>
  <c r="Z13" i="7"/>
  <c r="AD13" i="7"/>
  <c r="AF13" i="7"/>
  <c r="F14" i="7"/>
  <c r="Z14" i="7"/>
  <c r="AD14" i="7"/>
  <c r="AF14" i="7"/>
  <c r="F15" i="7"/>
  <c r="Z15" i="7"/>
  <c r="AD15" i="7"/>
  <c r="AF15" i="7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G19" i="7" s="1"/>
  <c r="AG20" i="7" s="1"/>
  <c r="AG21" i="7" s="1"/>
  <c r="AF19" i="7"/>
  <c r="AH19" i="7" s="1"/>
  <c r="F20" i="7"/>
  <c r="Z20" i="7"/>
  <c r="AD20" i="7"/>
  <c r="AF20" i="7" s="1"/>
  <c r="F21" i="7"/>
  <c r="Z21" i="7"/>
  <c r="AD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B72" i="80" s="1"/>
  <c r="A45" i="16"/>
  <c r="A46" i="16"/>
  <c r="D6" i="81"/>
  <c r="D7" i="81"/>
  <c r="D8" i="81"/>
  <c r="D37" i="81" s="1"/>
  <c r="D41" i="81" s="1"/>
  <c r="B71" i="80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 s="1"/>
  <c r="P12" i="9"/>
  <c r="H13" i="9"/>
  <c r="N13" i="9"/>
  <c r="P13" i="9" s="1"/>
  <c r="H14" i="9"/>
  <c r="L14" i="9"/>
  <c r="N14" i="9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N39" i="15" s="1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Q39" i="15" s="1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F43" i="15"/>
  <c r="B63" i="80" s="1"/>
  <c r="A50" i="15"/>
  <c r="A51" i="15"/>
  <c r="AH52" i="15"/>
  <c r="AH54" i="15"/>
  <c r="F86" i="15"/>
  <c r="K86" i="15"/>
  <c r="F87" i="15"/>
  <c r="K87" i="15"/>
  <c r="K114" i="15" s="1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H5" i="63"/>
  <c r="J5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C25" i="63"/>
  <c r="B25" i="63" s="1"/>
  <c r="D25" i="63"/>
  <c r="D26" i="63"/>
  <c r="D27" i="63"/>
  <c r="D28" i="63"/>
  <c r="D29" i="63"/>
  <c r="D30" i="63"/>
  <c r="D31" i="63"/>
  <c r="D32" i="63"/>
  <c r="D36" i="63"/>
  <c r="D37" i="63"/>
  <c r="D38" i="63"/>
  <c r="D39" i="63"/>
  <c r="D40" i="63"/>
  <c r="D41" i="63"/>
  <c r="C42" i="63"/>
  <c r="B42" i="63" s="1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35" i="2" s="1"/>
  <c r="P5" i="2"/>
  <c r="R5" i="2"/>
  <c r="J6" i="2"/>
  <c r="P6" i="2"/>
  <c r="R6" i="2" s="1"/>
  <c r="J7" i="2"/>
  <c r="P7" i="2"/>
  <c r="R7" i="2"/>
  <c r="J8" i="2"/>
  <c r="P8" i="2"/>
  <c r="R8" i="2" s="1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AI19" i="7" l="1"/>
  <c r="AH20" i="7"/>
  <c r="D30" i="8"/>
  <c r="D31" i="8" s="1"/>
  <c r="D37" i="80" s="1"/>
  <c r="D20" i="8"/>
  <c r="D24" i="8" s="1"/>
  <c r="E39" i="11"/>
  <c r="B65" i="80" s="1"/>
  <c r="C65" i="80" s="1"/>
  <c r="E45" i="11"/>
  <c r="J40" i="2"/>
  <c r="D47" i="2"/>
  <c r="D48" i="2" s="1"/>
  <c r="D62" i="80" s="1"/>
  <c r="D49" i="77"/>
  <c r="D50" i="77" s="1"/>
  <c r="D14" i="80" s="1"/>
  <c r="D39" i="77"/>
  <c r="D41" i="7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C71" i="80"/>
  <c r="F41" i="7"/>
  <c r="D46" i="12"/>
  <c r="D47" i="12" s="1"/>
  <c r="D64" i="80" s="1"/>
  <c r="D40" i="12"/>
  <c r="B102" i="15"/>
  <c r="AN45" i="15"/>
  <c r="H35" i="9"/>
  <c r="E47" i="9" s="1"/>
  <c r="E48" i="9" s="1"/>
  <c r="D31" i="80" s="1"/>
  <c r="J35" i="73"/>
  <c r="J36" i="73" s="1"/>
  <c r="K36" i="73" s="1"/>
  <c r="K49" i="73" s="1"/>
  <c r="D75" i="2"/>
  <c r="F35" i="73"/>
  <c r="N11" i="13"/>
  <c r="AI39" i="15"/>
  <c r="AJ28" i="15"/>
  <c r="P16" i="9"/>
  <c r="R22" i="2"/>
  <c r="AR39" i="15"/>
  <c r="AR45" i="15" s="1"/>
  <c r="D18" i="65"/>
  <c r="D33" i="65" s="1"/>
  <c r="D34" i="65" s="1"/>
  <c r="D24" i="80" s="1"/>
  <c r="J35" i="70"/>
  <c r="C72" i="80"/>
  <c r="F37" i="22"/>
  <c r="D37" i="22"/>
  <c r="D39" i="19"/>
  <c r="F133" i="15"/>
  <c r="C133" i="15" s="1"/>
  <c r="P22" i="2"/>
  <c r="F101" i="15"/>
  <c r="C101" i="15" s="1"/>
  <c r="D35" i="28"/>
  <c r="F34" i="67"/>
  <c r="D37" i="75"/>
  <c r="I39" i="20"/>
  <c r="I56" i="20" s="1"/>
  <c r="M51" i="73" s="1"/>
  <c r="M53" i="73" s="1"/>
  <c r="D28" i="80" s="1"/>
  <c r="F39" i="71"/>
  <c r="D49" i="71" s="1"/>
  <c r="D50" i="71" s="1"/>
  <c r="D35" i="80" s="1"/>
  <c r="D46" i="68"/>
  <c r="D47" i="68" s="1"/>
  <c r="D55" i="80" s="1"/>
  <c r="F35" i="6"/>
  <c r="AH56" i="15"/>
  <c r="AH57" i="15" s="1"/>
  <c r="AV30" i="15"/>
  <c r="AU39" i="15"/>
  <c r="H36" i="11"/>
  <c r="D51" i="15"/>
  <c r="D52" i="15" s="1"/>
  <c r="D63" i="80" s="1"/>
  <c r="D17" i="64"/>
  <c r="D29" i="64" s="1"/>
  <c r="D30" i="64" s="1"/>
  <c r="D32" i="80" s="1"/>
  <c r="C18" i="63"/>
  <c r="B18" i="63" s="1"/>
  <c r="AJ39" i="15"/>
  <c r="AJ45" i="15" s="1"/>
  <c r="AF39" i="15"/>
  <c r="AF45" i="15" s="1"/>
  <c r="C39" i="11"/>
  <c r="H39" i="11"/>
  <c r="C41" i="63" s="1"/>
  <c r="AF36" i="11"/>
  <c r="B55" i="80"/>
  <c r="M13" i="13"/>
  <c r="F40" i="18"/>
  <c r="F41" i="18" s="1"/>
  <c r="F43" i="18" s="1"/>
  <c r="B31" i="20"/>
  <c r="J4" i="80"/>
  <c r="J47" i="80" s="1"/>
  <c r="D38" i="74"/>
  <c r="D13" i="78"/>
  <c r="D14" i="78" s="1"/>
  <c r="D18" i="78" s="1"/>
  <c r="D38" i="76"/>
  <c r="J40" i="17"/>
  <c r="E37" i="5"/>
  <c r="C37" i="13"/>
  <c r="D37" i="79"/>
  <c r="D38" i="69"/>
  <c r="D48" i="69" s="1"/>
  <c r="D49" i="69" s="1"/>
  <c r="D20" i="80" s="1"/>
  <c r="AV39" i="15"/>
  <c r="C37" i="73"/>
  <c r="D37" i="76"/>
  <c r="D47" i="76" s="1"/>
  <c r="D48" i="76" s="1"/>
  <c r="D34" i="80" s="1"/>
  <c r="H36" i="9"/>
  <c r="H37" i="9" s="1"/>
  <c r="H39" i="9" s="1"/>
  <c r="D19" i="65"/>
  <c r="D20" i="65" s="1"/>
  <c r="D24" i="65" s="1"/>
  <c r="F36" i="5"/>
  <c r="AP38" i="11"/>
  <c r="AF38" i="11"/>
  <c r="F40" i="71"/>
  <c r="D37" i="74"/>
  <c r="D46" i="74" s="1"/>
  <c r="D47" i="74" s="1"/>
  <c r="D12" i="80" s="1"/>
  <c r="J39" i="17"/>
  <c r="D48" i="17" s="1"/>
  <c r="D49" i="17" s="1"/>
  <c r="D30" i="80" s="1"/>
  <c r="J3" i="80"/>
  <c r="J46" i="80" s="1"/>
  <c r="D39" i="69"/>
  <c r="D40" i="69" s="1"/>
  <c r="D42" i="69" s="1"/>
  <c r="D18" i="64"/>
  <c r="D19" i="64" s="1"/>
  <c r="D23" i="64" s="1"/>
  <c r="D40" i="72"/>
  <c r="D41" i="72" s="1"/>
  <c r="D43" i="72" s="1"/>
  <c r="B32" i="80" l="1"/>
  <c r="C32" i="80" s="1"/>
  <c r="E32" i="80" s="1"/>
  <c r="B20" i="63"/>
  <c r="C20" i="63" s="1"/>
  <c r="B20" i="80"/>
  <c r="C20" i="80" s="1"/>
  <c r="E20" i="80" s="1"/>
  <c r="B32" i="63"/>
  <c r="C32" i="63" s="1"/>
  <c r="B24" i="80"/>
  <c r="B11" i="63"/>
  <c r="C11" i="63" s="1"/>
  <c r="D46" i="6"/>
  <c r="D47" i="6" s="1"/>
  <c r="D56" i="80" s="1"/>
  <c r="D59" i="80" s="1"/>
  <c r="F40" i="6"/>
  <c r="D47" i="70"/>
  <c r="D48" i="70" s="1"/>
  <c r="D33" i="80" s="1"/>
  <c r="J37" i="70"/>
  <c r="J41" i="70" s="1"/>
  <c r="B9" i="63"/>
  <c r="C9" i="63" s="1"/>
  <c r="B31" i="80"/>
  <c r="C31" i="80" s="1"/>
  <c r="E31" i="80" s="1"/>
  <c r="J41" i="17"/>
  <c r="J43" i="17" s="1"/>
  <c r="C55" i="80"/>
  <c r="E48" i="7"/>
  <c r="E49" i="7" s="1"/>
  <c r="D66" i="80" s="1"/>
  <c r="C12" i="63"/>
  <c r="B12" i="63" s="1"/>
  <c r="B62" i="80"/>
  <c r="AR48" i="15"/>
  <c r="AR51" i="15"/>
  <c r="B66" i="80"/>
  <c r="C66" i="80" s="1"/>
  <c r="C27" i="63"/>
  <c r="B27" i="63" s="1"/>
  <c r="D16" i="80"/>
  <c r="D40" i="80"/>
  <c r="E37" i="73"/>
  <c r="C38" i="73"/>
  <c r="C40" i="73" s="1"/>
  <c r="D49" i="19"/>
  <c r="D50" i="19" s="1"/>
  <c r="D19" i="80" s="1"/>
  <c r="D21" i="80" s="1"/>
  <c r="D41" i="19"/>
  <c r="D43" i="19" s="1"/>
  <c r="D39" i="74"/>
  <c r="D41" i="74" s="1"/>
  <c r="D47" i="22"/>
  <c r="D48" i="22" s="1"/>
  <c r="D27" i="80" s="1"/>
  <c r="D38" i="80" s="1"/>
  <c r="F39" i="22"/>
  <c r="F41" i="22" s="1"/>
  <c r="C63" i="80"/>
  <c r="E63" i="80" s="1"/>
  <c r="F45" i="11"/>
  <c r="E46" i="11"/>
  <c r="F46" i="11" s="1"/>
  <c r="D65" i="80" s="1"/>
  <c r="E65" i="80" s="1"/>
  <c r="B36" i="63"/>
  <c r="B15" i="80"/>
  <c r="C15" i="80" s="1"/>
  <c r="E15" i="80" s="1"/>
  <c r="F41" i="71"/>
  <c r="F43" i="71" s="1"/>
  <c r="B41" i="63"/>
  <c r="B57" i="80"/>
  <c r="C57" i="80" s="1"/>
  <c r="E57" i="80" s="1"/>
  <c r="D46" i="75"/>
  <c r="D47" i="75" s="1"/>
  <c r="D36" i="80" s="1"/>
  <c r="D39" i="75"/>
  <c r="D41" i="75" s="1"/>
  <c r="AI5" i="7"/>
  <c r="AH6" i="7"/>
  <c r="B23" i="63"/>
  <c r="C23" i="63" s="1"/>
  <c r="B37" i="80"/>
  <c r="C37" i="80" s="1"/>
  <c r="E37" i="80" s="1"/>
  <c r="D46" i="81"/>
  <c r="D47" i="81" s="1"/>
  <c r="D71" i="80" s="1"/>
  <c r="E71" i="80" s="1"/>
  <c r="D44" i="67"/>
  <c r="D45" i="67" s="1"/>
  <c r="D70" i="80" s="1"/>
  <c r="D74" i="80" s="1"/>
  <c r="F38" i="67"/>
  <c r="B15" i="63"/>
  <c r="C15" i="63" s="1"/>
  <c r="B29" i="80"/>
  <c r="C29" i="80" s="1"/>
  <c r="E29" i="80" s="1"/>
  <c r="D47" i="79"/>
  <c r="D48" i="79" s="1"/>
  <c r="D13" i="80" s="1"/>
  <c r="D39" i="79"/>
  <c r="D41" i="79" s="1"/>
  <c r="C31" i="20"/>
  <c r="C32" i="20" s="1"/>
  <c r="B46" i="20"/>
  <c r="C46" i="20" s="1"/>
  <c r="C47" i="20" s="1"/>
  <c r="B18" i="20"/>
  <c r="C18" i="20" s="1"/>
  <c r="C19" i="20" s="1"/>
  <c r="D46" i="16"/>
  <c r="D47" i="16" s="1"/>
  <c r="D72" i="80" s="1"/>
  <c r="B103" i="15"/>
  <c r="B105" i="15" s="1"/>
  <c r="F105" i="15" s="1"/>
  <c r="F102" i="15"/>
  <c r="F103" i="15" s="1"/>
  <c r="B14" i="80"/>
  <c r="C14" i="80" s="1"/>
  <c r="E14" i="80" s="1"/>
  <c r="B37" i="63"/>
  <c r="C37" i="63" s="1"/>
  <c r="AH21" i="7"/>
  <c r="AI21" i="7" s="1"/>
  <c r="AI20" i="7"/>
  <c r="D39" i="76"/>
  <c r="D41" i="76" s="1"/>
  <c r="D48" i="5"/>
  <c r="D49" i="5" s="1"/>
  <c r="D73" i="80" s="1"/>
  <c r="F42" i="5"/>
  <c r="E37" i="13"/>
  <c r="E38" i="13" s="1"/>
  <c r="C38" i="13"/>
  <c r="C41" i="13" s="1"/>
  <c r="B13" i="63"/>
  <c r="C13" i="63" s="1"/>
  <c r="B26" i="80"/>
  <c r="C26" i="80" s="1"/>
  <c r="E26" i="80" s="1"/>
  <c r="D46" i="28"/>
  <c r="D47" i="28" s="1"/>
  <c r="D58" i="80" s="1"/>
  <c r="D40" i="28"/>
  <c r="E72" i="80"/>
  <c r="C24" i="63"/>
  <c r="B24" i="63" s="1"/>
  <c r="B64" i="80"/>
  <c r="C64" i="80" s="1"/>
  <c r="E64" i="80" s="1"/>
  <c r="B73" i="80" l="1"/>
  <c r="C73" i="80" s="1"/>
  <c r="E73" i="80" s="1"/>
  <c r="C21" i="63"/>
  <c r="B21" i="63" s="1"/>
  <c r="B40" i="63"/>
  <c r="C40" i="63" s="1"/>
  <c r="B36" i="80"/>
  <c r="C36" i="80" s="1"/>
  <c r="E36" i="80" s="1"/>
  <c r="B56" i="80"/>
  <c r="C8" i="63"/>
  <c r="B70" i="80"/>
  <c r="C19" i="63"/>
  <c r="B19" i="63" s="1"/>
  <c r="C62" i="80"/>
  <c r="B67" i="80"/>
  <c r="C22" i="63"/>
  <c r="B22" i="63" s="1"/>
  <c r="B58" i="80"/>
  <c r="C58" i="80" s="1"/>
  <c r="E58" i="80" s="1"/>
  <c r="E38" i="73"/>
  <c r="F37" i="73"/>
  <c r="C24" i="80"/>
  <c r="B13" i="80"/>
  <c r="C13" i="80" s="1"/>
  <c r="E13" i="80" s="1"/>
  <c r="B39" i="63"/>
  <c r="C39" i="63" s="1"/>
  <c r="D67" i="80"/>
  <c r="D76" i="80" s="1"/>
  <c r="B34" i="80"/>
  <c r="C34" i="80" s="1"/>
  <c r="E34" i="80" s="1"/>
  <c r="B30" i="63"/>
  <c r="C30" i="63" s="1"/>
  <c r="C56" i="20"/>
  <c r="F51" i="73" s="1"/>
  <c r="B35" i="80"/>
  <c r="C35" i="80" s="1"/>
  <c r="E35" i="80" s="1"/>
  <c r="B31" i="63"/>
  <c r="C31" i="63" s="1"/>
  <c r="B26" i="63"/>
  <c r="C26" i="63" s="1"/>
  <c r="B12" i="80"/>
  <c r="AI6" i="7"/>
  <c r="AH7" i="7"/>
  <c r="E66" i="80"/>
  <c r="B28" i="63"/>
  <c r="C28" i="63" s="1"/>
  <c r="B33" i="80"/>
  <c r="C33" i="80" s="1"/>
  <c r="E33" i="80" s="1"/>
  <c r="B30" i="80"/>
  <c r="C30" i="80" s="1"/>
  <c r="E30" i="80" s="1"/>
  <c r="B16" i="63"/>
  <c r="C16" i="63" s="1"/>
  <c r="B27" i="80"/>
  <c r="C27" i="80" s="1"/>
  <c r="E27" i="80" s="1"/>
  <c r="B10" i="63"/>
  <c r="C10" i="63" s="1"/>
  <c r="F38" i="13"/>
  <c r="E41" i="13"/>
  <c r="F41" i="13" s="1"/>
  <c r="C103" i="15"/>
  <c r="C36" i="63"/>
  <c r="B29" i="63"/>
  <c r="C29" i="63" s="1"/>
  <c r="B19" i="80"/>
  <c r="E55" i="80"/>
  <c r="C56" i="80" l="1"/>
  <c r="B59" i="80"/>
  <c r="B76" i="80"/>
  <c r="B21" i="80"/>
  <c r="C19" i="80"/>
  <c r="B16" i="80"/>
  <c r="C12" i="80"/>
  <c r="B25" i="80"/>
  <c r="B14" i="63"/>
  <c r="C14" i="63" s="1"/>
  <c r="C33" i="63" s="1"/>
  <c r="AH8" i="7"/>
  <c r="AI7" i="7"/>
  <c r="E62" i="80"/>
  <c r="E67" i="80" s="1"/>
  <c r="C67" i="80"/>
  <c r="C70" i="80"/>
  <c r="B74" i="80"/>
  <c r="B8" i="63"/>
  <c r="B33" i="63" s="1"/>
  <c r="E40" i="73"/>
  <c r="F40" i="73" s="1"/>
  <c r="F49" i="73" s="1"/>
  <c r="F53" i="73" s="1"/>
  <c r="F38" i="73"/>
  <c r="E24" i="80"/>
  <c r="B38" i="63" l="1"/>
  <c r="B28" i="80"/>
  <c r="C21" i="80"/>
  <c r="E19" i="80"/>
  <c r="E21" i="80" s="1"/>
  <c r="AH9" i="7"/>
  <c r="AI8" i="7"/>
  <c r="C25" i="80"/>
  <c r="B38" i="80"/>
  <c r="E56" i="80"/>
  <c r="C59" i="80"/>
  <c r="C76" i="80"/>
  <c r="C74" i="80"/>
  <c r="E70" i="80"/>
  <c r="E74" i="80" s="1"/>
  <c r="C16" i="80"/>
  <c r="E12" i="80"/>
  <c r="E25" i="80" l="1"/>
  <c r="AI9" i="7"/>
  <c r="AH10" i="7"/>
  <c r="E59" i="80"/>
  <c r="E76" i="80" s="1"/>
  <c r="E16" i="80"/>
  <c r="C28" i="80"/>
  <c r="B40" i="80"/>
  <c r="B79" i="80" s="1"/>
  <c r="C38" i="63"/>
  <c r="C43" i="63" s="1"/>
  <c r="C45" i="63" s="1"/>
  <c r="B43" i="63"/>
  <c r="B45" i="63" s="1"/>
  <c r="E40" i="80" l="1"/>
  <c r="E38" i="80"/>
  <c r="AH11" i="7"/>
  <c r="AI10" i="7"/>
  <c r="E28" i="80"/>
  <c r="C40" i="80"/>
  <c r="B80" i="80" s="1"/>
  <c r="C38" i="80"/>
  <c r="AH12" i="7" l="1"/>
  <c r="AI11" i="7"/>
  <c r="AH13" i="7" l="1"/>
  <c r="AI12" i="7"/>
  <c r="AH14" i="7" l="1"/>
  <c r="AI13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<sst xmlns="http://schemas.openxmlformats.org/spreadsheetml/2006/main" count="668" uniqueCount="206">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</sst>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8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6" fillId="6" borderId="1" xfId="0" applyNumberFormat="1" applyFont="1" applyFill="1" applyBorder="1"/>
    <xf numFmtId="5" fontId="9" fillId="6" borderId="0" xfId="1" applyNumberFormat="1" applyFont="1" applyFill="1"/>
    <xf numFmtId="0" fontId="34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2.0299999999999998</v>
          </cell>
          <cell r="K39">
            <v>1.82</v>
          </cell>
          <cell r="M39">
            <v>1.96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62"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143</v>
      </c>
      <c r="D2" s="7"/>
      <c r="I2" s="413" t="s">
        <v>79</v>
      </c>
      <c r="J2" s="416"/>
      <c r="K2" s="32"/>
    </row>
    <row r="3" spans="1:32" ht="12.95" customHeight="1" x14ac:dyDescent="0.2">
      <c r="D3" s="7"/>
      <c r="I3" s="414" t="s">
        <v>30</v>
      </c>
      <c r="J3" s="417">
        <f>+summary!H3</f>
        <v>1.82</v>
      </c>
      <c r="K3" s="434">
        <f ca="1">NOW()</f>
        <v>41885.693770833335</v>
      </c>
    </row>
    <row r="4" spans="1:32" ht="12.95" customHeight="1" x14ac:dyDescent="0.2">
      <c r="A4" s="34" t="s">
        <v>149</v>
      </c>
      <c r="C4" s="34" t="s">
        <v>5</v>
      </c>
      <c r="D4" s="7"/>
      <c r="I4" s="415" t="s">
        <v>31</v>
      </c>
      <c r="J4" s="417">
        <f>+summary!H4</f>
        <v>1.96</v>
      </c>
      <c r="K4" s="32"/>
    </row>
    <row r="5" spans="1:32" ht="12.95" customHeight="1" x14ac:dyDescent="0.2">
      <c r="D5" s="7"/>
      <c r="I5" s="414" t="s">
        <v>118</v>
      </c>
      <c r="J5" s="417">
        <f>+summary!H5</f>
        <v>2.0299999999999998</v>
      </c>
      <c r="K5" s="32"/>
    </row>
    <row r="6" spans="1:32" ht="12" customHeight="1" x14ac:dyDescent="0.2"/>
    <row r="7" spans="1:32" ht="12.95" customHeight="1" x14ac:dyDescent="0.2">
      <c r="A7" s="432" t="s">
        <v>176</v>
      </c>
      <c r="B7" s="433"/>
      <c r="AD7" s="32"/>
      <c r="AE7" s="32"/>
      <c r="AF7" s="32"/>
    </row>
    <row r="8" spans="1:32" ht="15.95" customHeight="1" outlineLevel="2" x14ac:dyDescent="0.2">
      <c r="A8" s="32"/>
      <c r="B8" s="47"/>
      <c r="C8" s="430" t="s">
        <v>174</v>
      </c>
      <c r="D8" s="12" t="s">
        <v>153</v>
      </c>
      <c r="E8" s="12" t="s">
        <v>162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6" t="s">
        <v>90</v>
      </c>
      <c r="B9" s="422" t="s">
        <v>160</v>
      </c>
      <c r="C9" s="431" t="s">
        <v>175</v>
      </c>
      <c r="D9" s="462" t="s">
        <v>0</v>
      </c>
      <c r="E9" s="39" t="s">
        <v>161</v>
      </c>
      <c r="F9" s="39" t="s">
        <v>150</v>
      </c>
      <c r="G9" s="420" t="s">
        <v>156</v>
      </c>
      <c r="H9" s="397" t="s">
        <v>102</v>
      </c>
      <c r="I9" s="396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6" t="s">
        <v>166</v>
      </c>
    </row>
    <row r="12" spans="1:32" ht="15.95" customHeight="1" outlineLevel="1" x14ac:dyDescent="0.2">
      <c r="A12" s="206" t="s">
        <v>130</v>
      </c>
      <c r="B12" s="372">
        <f>+Calpine!D41</f>
        <v>99866.06</v>
      </c>
      <c r="C12" s="399">
        <f>+B12/$J$4</f>
        <v>50952.071428571428</v>
      </c>
      <c r="D12" s="14">
        <f>+Calpine!D47</f>
        <v>139768</v>
      </c>
      <c r="E12" s="70">
        <f>+C12-D12</f>
        <v>-88815.92857142858</v>
      </c>
      <c r="F12" s="394">
        <f>+Calpine!A41</f>
        <v>37157</v>
      </c>
      <c r="G12" s="205"/>
      <c r="H12" s="206" t="s">
        <v>100</v>
      </c>
      <c r="I12" s="378"/>
      <c r="J12" s="70"/>
      <c r="K12" s="32"/>
    </row>
    <row r="13" spans="1:32" ht="15.95" customHeight="1" outlineLevel="2" x14ac:dyDescent="0.2">
      <c r="A13" s="32" t="s">
        <v>142</v>
      </c>
      <c r="B13" s="372">
        <f>+'Citizens-Griffith'!D41</f>
        <v>-58137.479999999996</v>
      </c>
      <c r="C13" s="398">
        <f>+B13/$J$4</f>
        <v>-29661.979591836734</v>
      </c>
      <c r="D13" s="14">
        <f>+'Citizens-Griffith'!D48</f>
        <v>-27272</v>
      </c>
      <c r="E13" s="70">
        <f>+C13-D13</f>
        <v>-2389.9795918367345</v>
      </c>
      <c r="F13" s="394">
        <f>+'Citizens-Griffith'!A41</f>
        <v>37157</v>
      </c>
      <c r="G13" s="205" t="s">
        <v>159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72">
        <f>+'NS Steel'!D41</f>
        <v>-443027.86</v>
      </c>
      <c r="C14" s="398">
        <f>+B14/$J$4</f>
        <v>-226034.62244897959</v>
      </c>
      <c r="D14" s="14">
        <f>+'NS Steel'!D50</f>
        <v>-88747</v>
      </c>
      <c r="E14" s="70">
        <f>+C14-D14</f>
        <v>-137287.62244897959</v>
      </c>
      <c r="F14" s="395">
        <f>+'NS Steel'!A41</f>
        <v>37156</v>
      </c>
      <c r="G14" s="205" t="s">
        <v>159</v>
      </c>
      <c r="H14" s="32" t="s">
        <v>101</v>
      </c>
      <c r="I14" s="32" t="s">
        <v>197</v>
      </c>
      <c r="J14" s="32"/>
      <c r="K14" s="32"/>
    </row>
    <row r="15" spans="1:32" ht="15.95" customHeight="1" outlineLevel="1" x14ac:dyDescent="0.2">
      <c r="A15" s="206" t="s">
        <v>138</v>
      </c>
      <c r="B15" s="375">
        <f>+Citizens!D18</f>
        <v>-611739.05000000005</v>
      </c>
      <c r="C15" s="400">
        <f>+B15/$J$4</f>
        <v>-312111.76020408166</v>
      </c>
      <c r="D15" s="376">
        <f>+Citizens!D24</f>
        <v>-77659</v>
      </c>
      <c r="E15" s="72">
        <f>+C15-D15</f>
        <v>-234452.76020408166</v>
      </c>
      <c r="F15" s="394">
        <f>+Citizens!A18</f>
        <v>37156</v>
      </c>
      <c r="G15" s="205"/>
      <c r="H15" s="206" t="s">
        <v>100</v>
      </c>
      <c r="I15" s="454" t="s">
        <v>196</v>
      </c>
      <c r="J15" s="32"/>
      <c r="K15" s="32"/>
      <c r="T15" s="267"/>
    </row>
    <row r="16" spans="1:32" ht="15.95" customHeight="1" outlineLevel="2" x14ac:dyDescent="0.2">
      <c r="A16" s="153" t="s">
        <v>167</v>
      </c>
      <c r="B16" s="418">
        <f>SUBTOTAL(9,B12:B15)</f>
        <v>-1013038.3300000001</v>
      </c>
      <c r="C16" s="425">
        <f>SUBTOTAL(9,C12:C15)</f>
        <v>-516856.29081632651</v>
      </c>
      <c r="D16" s="426">
        <f>SUBTOTAL(9,D12:D15)</f>
        <v>-53910</v>
      </c>
      <c r="E16" s="427">
        <f>SUBTOTAL(9,E12:E15)</f>
        <v>-462946.29081632657</v>
      </c>
      <c r="F16" s="394"/>
      <c r="G16" s="205"/>
      <c r="H16" s="206"/>
      <c r="I16" s="378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29" t="s">
        <v>58</v>
      </c>
      <c r="G18" s="7"/>
    </row>
    <row r="19" spans="1:20" ht="15.95" customHeight="1" outlineLevel="2" x14ac:dyDescent="0.2">
      <c r="A19" s="32" t="s">
        <v>72</v>
      </c>
      <c r="B19" s="373">
        <f>+transcol!$D$43</f>
        <v>34184.129999999997</v>
      </c>
      <c r="C19" s="398">
        <f>+B19/$J$4</f>
        <v>17440.882653061224</v>
      </c>
      <c r="D19" s="14">
        <f>+transcol!D50</f>
        <v>-39922</v>
      </c>
      <c r="E19" s="70">
        <f>+C19-D19</f>
        <v>57362.882653061228</v>
      </c>
      <c r="F19" s="395">
        <f>+transcol!A43</f>
        <v>37156</v>
      </c>
      <c r="G19" s="205" t="s">
        <v>158</v>
      </c>
      <c r="H19" s="32" t="s">
        <v>116</v>
      </c>
      <c r="I19" s="32"/>
      <c r="J19" s="32"/>
      <c r="K19" s="32"/>
      <c r="T19" s="267"/>
    </row>
    <row r="20" spans="1:20" ht="15.95" customHeight="1" outlineLevel="2" x14ac:dyDescent="0.2">
      <c r="A20" s="206" t="s">
        <v>96</v>
      </c>
      <c r="B20" s="375">
        <f>+burlington!D42</f>
        <v>3707.34</v>
      </c>
      <c r="C20" s="402">
        <f>+B20/$J$3</f>
        <v>2037</v>
      </c>
      <c r="D20" s="376">
        <f>+burlington!D49</f>
        <v>2037</v>
      </c>
      <c r="E20" s="72">
        <f>+C20-D20</f>
        <v>0</v>
      </c>
      <c r="F20" s="394">
        <f>+burlington!A42</f>
        <v>37156</v>
      </c>
      <c r="G20" s="205" t="s">
        <v>159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169</v>
      </c>
      <c r="B21" s="418">
        <f>SUBTOTAL(9,B19:B20)</f>
        <v>37891.47</v>
      </c>
      <c r="C21" s="419">
        <f>SUBTOTAL(9,C19:C20)</f>
        <v>19477.882653061224</v>
      </c>
      <c r="D21" s="426">
        <f>SUBTOTAL(9,D19:D20)</f>
        <v>-37885</v>
      </c>
      <c r="E21" s="427">
        <f>SUBTOTAL(9,E19:E20)</f>
        <v>57362.882653061228</v>
      </c>
      <c r="F21" s="394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6" t="s">
        <v>170</v>
      </c>
      <c r="B23" s="458"/>
      <c r="C23" s="459"/>
      <c r="D23" s="460"/>
      <c r="E23" s="460"/>
      <c r="F23" s="460"/>
      <c r="G23" s="461"/>
      <c r="H23" s="460"/>
      <c r="I23" s="460"/>
    </row>
    <row r="24" spans="1:20" ht="15.95" customHeight="1" outlineLevel="2" x14ac:dyDescent="0.2">
      <c r="A24" s="206" t="s">
        <v>88</v>
      </c>
      <c r="B24" s="372">
        <f>+NNG!$D$24</f>
        <v>450705.56</v>
      </c>
      <c r="C24" s="398">
        <f t="shared" ref="C24:C35" si="0">+B24/$J$4</f>
        <v>229951.81632653062</v>
      </c>
      <c r="D24" s="14">
        <f>+NNG!D34</f>
        <v>-3958</v>
      </c>
      <c r="E24" s="70">
        <f t="shared" ref="E24:E37" si="1">+C24-D24</f>
        <v>233909.81632653062</v>
      </c>
      <c r="F24" s="394">
        <f>+NNG!A24</f>
        <v>37156</v>
      </c>
      <c r="G24" s="421" t="s">
        <v>157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72">
        <f>+Conoco!$F$41</f>
        <v>397931.69</v>
      </c>
      <c r="C25" s="398">
        <f t="shared" si="0"/>
        <v>203026.37244897959</v>
      </c>
      <c r="D25" s="14">
        <f>+Conoco!D48</f>
        <v>-3976</v>
      </c>
      <c r="E25" s="70">
        <f t="shared" si="1"/>
        <v>207002.37244897959</v>
      </c>
      <c r="F25" s="394">
        <f>+Conoco!A41</f>
        <v>37157</v>
      </c>
      <c r="G25" s="205" t="s">
        <v>159</v>
      </c>
      <c r="H25" s="32" t="s">
        <v>114</v>
      </c>
      <c r="I25" s="32" t="s">
        <v>192</v>
      </c>
      <c r="J25" s="32"/>
      <c r="K25" s="32"/>
    </row>
    <row r="26" spans="1:20" ht="15.95" customHeight="1" outlineLevel="2" x14ac:dyDescent="0.2">
      <c r="A26" s="32" t="s">
        <v>3</v>
      </c>
      <c r="B26" s="372">
        <f>+'Amoco Abo'!$F$43</f>
        <v>404595.13999999996</v>
      </c>
      <c r="C26" s="398">
        <f t="shared" si="0"/>
        <v>206426.09183673467</v>
      </c>
      <c r="D26" s="14">
        <f>+'Amoco Abo'!D49</f>
        <v>-253009</v>
      </c>
      <c r="E26" s="70">
        <f t="shared" si="1"/>
        <v>459435.09183673467</v>
      </c>
      <c r="F26" s="395">
        <f>+'Amoco Abo'!A43</f>
        <v>37156</v>
      </c>
      <c r="G26" s="205" t="s">
        <v>158</v>
      </c>
      <c r="H26" s="32" t="s">
        <v>116</v>
      </c>
      <c r="I26" s="32" t="s">
        <v>193</v>
      </c>
      <c r="J26" s="32"/>
      <c r="K26" s="32"/>
    </row>
    <row r="27" spans="1:20" ht="15.95" customHeight="1" outlineLevel="2" x14ac:dyDescent="0.2">
      <c r="A27" s="32" t="s">
        <v>108</v>
      </c>
      <c r="B27" s="372">
        <f>+KN_Westar!F41</f>
        <v>457324.94</v>
      </c>
      <c r="C27" s="398">
        <f t="shared" si="0"/>
        <v>233329.05102040817</v>
      </c>
      <c r="D27" s="14">
        <f>+KN_Westar!D48</f>
        <v>22799</v>
      </c>
      <c r="E27" s="70">
        <f t="shared" si="1"/>
        <v>210530.05102040817</v>
      </c>
      <c r="F27" s="395">
        <f>+KN_Westar!A41</f>
        <v>37149</v>
      </c>
      <c r="G27" s="205" t="s">
        <v>159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72">
        <f>+DEFS!F53</f>
        <v>-138016.5400000005</v>
      </c>
      <c r="C28" s="399">
        <f t="shared" si="0"/>
        <v>-70416.602040816579</v>
      </c>
      <c r="D28" s="14">
        <f>+DEFS!M53</f>
        <v>257661</v>
      </c>
      <c r="E28" s="70">
        <f t="shared" si="1"/>
        <v>-328077.60204081656</v>
      </c>
      <c r="F28" s="395">
        <f>+DEFS!A40</f>
        <v>37156</v>
      </c>
      <c r="G28" s="205" t="s">
        <v>158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72">
        <f>+CIG!D43</f>
        <v>392148.28</v>
      </c>
      <c r="C29" s="398">
        <f t="shared" si="0"/>
        <v>200075.6530612245</v>
      </c>
      <c r="D29" s="14">
        <f>+CIG!D49</f>
        <v>21580</v>
      </c>
      <c r="E29" s="70">
        <f t="shared" si="1"/>
        <v>178495.6530612245</v>
      </c>
      <c r="F29" s="395">
        <f>+CIG!A43</f>
        <v>37156</v>
      </c>
      <c r="G29" s="205" t="s">
        <v>159</v>
      </c>
      <c r="H29" s="32" t="s">
        <v>114</v>
      </c>
      <c r="I29" s="32" t="s">
        <v>201</v>
      </c>
      <c r="J29" s="32"/>
      <c r="K29" s="32"/>
    </row>
    <row r="30" spans="1:20" ht="18" customHeight="1" outlineLevel="1" x14ac:dyDescent="0.2">
      <c r="A30" s="32" t="s">
        <v>2</v>
      </c>
      <c r="B30" s="372">
        <f>+mewborne!$J$43</f>
        <v>357730.67</v>
      </c>
      <c r="C30" s="398">
        <f t="shared" si="0"/>
        <v>182515.64795918367</v>
      </c>
      <c r="D30" s="14">
        <f>+mewborne!D49</f>
        <v>143063</v>
      </c>
      <c r="E30" s="70">
        <f t="shared" si="1"/>
        <v>39452.647959183669</v>
      </c>
      <c r="F30" s="395">
        <f>+mewborne!A43</f>
        <v>37156</v>
      </c>
      <c r="G30" s="205" t="s">
        <v>159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72">
        <f>+PGETX!$H$39</f>
        <v>457833.26</v>
      </c>
      <c r="C31" s="398">
        <f t="shared" si="0"/>
        <v>233588.39795918367</v>
      </c>
      <c r="D31" s="14">
        <f>+PGETX!E48</f>
        <v>110137</v>
      </c>
      <c r="E31" s="70">
        <f t="shared" si="1"/>
        <v>123451.39795918367</v>
      </c>
      <c r="F31" s="395">
        <f>+PGETX!E39</f>
        <v>37157</v>
      </c>
      <c r="G31" s="205" t="s">
        <v>157</v>
      </c>
      <c r="H31" s="32" t="s">
        <v>103</v>
      </c>
      <c r="I31" s="32" t="s">
        <v>195</v>
      </c>
      <c r="J31" s="32"/>
      <c r="K31" s="32"/>
    </row>
    <row r="32" spans="1:20" ht="17.100000000000001" customHeight="1" x14ac:dyDescent="0.2">
      <c r="A32" s="32" t="s">
        <v>83</v>
      </c>
      <c r="B32" s="372">
        <f>+PNM!$D$23</f>
        <v>228605.31</v>
      </c>
      <c r="C32" s="398">
        <f t="shared" si="0"/>
        <v>116635.36224489796</v>
      </c>
      <c r="D32" s="14">
        <f>+PNM!D30</f>
        <v>57836</v>
      </c>
      <c r="E32" s="70">
        <f t="shared" si="1"/>
        <v>58799.362244897959</v>
      </c>
      <c r="F32" s="395">
        <f>+PNM!A23</f>
        <v>37156</v>
      </c>
      <c r="G32" s="205" t="s">
        <v>158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72">
        <f>+EOG!J41</f>
        <v>56367.64</v>
      </c>
      <c r="C33" s="398">
        <f t="shared" si="0"/>
        <v>28759</v>
      </c>
      <c r="D33" s="14">
        <f>+EOG!D48</f>
        <v>-98459</v>
      </c>
      <c r="E33" s="70">
        <f t="shared" si="1"/>
        <v>127218</v>
      </c>
      <c r="F33" s="394">
        <f>+EOG!A41</f>
        <v>37156</v>
      </c>
      <c r="G33" s="205" t="s">
        <v>159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72">
        <f>+SidR!D41</f>
        <v>30842.25</v>
      </c>
      <c r="C34" s="398">
        <f t="shared" si="0"/>
        <v>15735.841836734695</v>
      </c>
      <c r="D34" s="14">
        <f>+SidR!D48</f>
        <v>13079</v>
      </c>
      <c r="E34" s="70">
        <f t="shared" si="1"/>
        <v>2656.8418367346949</v>
      </c>
      <c r="F34" s="395">
        <f>+SidR!A41</f>
        <v>37156</v>
      </c>
      <c r="G34" s="205" t="s">
        <v>157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72">
        <f>+Continental!F43</f>
        <v>5737.33</v>
      </c>
      <c r="C35" s="399">
        <f t="shared" si="0"/>
        <v>2927.2091836734694</v>
      </c>
      <c r="D35" s="14">
        <f>+Continental!D50</f>
        <v>-13387</v>
      </c>
      <c r="E35" s="70">
        <f t="shared" si="1"/>
        <v>16314.209183673469</v>
      </c>
      <c r="F35" s="395">
        <f>+Continental!A43</f>
        <v>37156</v>
      </c>
      <c r="G35" s="205" t="s">
        <v>159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72">
        <f>+EPFS!D41</f>
        <v>-42264.86</v>
      </c>
      <c r="C36" s="399">
        <f>+B36/$J$5</f>
        <v>-20820.128078817736</v>
      </c>
      <c r="D36" s="14">
        <f>+EPFS!D47</f>
        <v>-4442</v>
      </c>
      <c r="E36" s="70">
        <f t="shared" si="1"/>
        <v>-16378.128078817736</v>
      </c>
      <c r="F36" s="394">
        <f>+EPFS!A41</f>
        <v>37157</v>
      </c>
      <c r="G36" s="205" t="s">
        <v>158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5">
        <f>+Agave!$D$24</f>
        <v>132443.06999999998</v>
      </c>
      <c r="C37" s="400">
        <f>+B37/$J$4</f>
        <v>67572.994897959172</v>
      </c>
      <c r="D37" s="376">
        <f>+Agave!D31</f>
        <v>33126</v>
      </c>
      <c r="E37" s="72">
        <f t="shared" si="1"/>
        <v>34446.994897959172</v>
      </c>
      <c r="F37" s="394">
        <f>+Agave!A24</f>
        <v>37156</v>
      </c>
      <c r="G37" s="205" t="s">
        <v>198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172</v>
      </c>
      <c r="B38" s="418">
        <f>SUBTOTAL(9,B24:B37)</f>
        <v>3191983.7399999993</v>
      </c>
      <c r="C38" s="425">
        <f>SUBTOTAL(9,C24:C37)</f>
        <v>1629306.7086558761</v>
      </c>
      <c r="D38" s="426">
        <f>SUBTOTAL(9,D24:D37)</f>
        <v>282050</v>
      </c>
      <c r="E38" s="427">
        <f>SUBTOTAL(9,E24:E37)</f>
        <v>1347256.7086558756</v>
      </c>
      <c r="F38" s="394"/>
      <c r="G38" s="379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173</v>
      </c>
      <c r="B40" s="418">
        <f>SUBTOTAL(9,B12:B37)</f>
        <v>2216836.8799999994</v>
      </c>
      <c r="C40" s="425">
        <f>SUBTOTAL(9,C12:C37)</f>
        <v>1131928.3004926108</v>
      </c>
      <c r="D40" s="426">
        <f>SUBTOTAL(9,D12:D37)</f>
        <v>190255</v>
      </c>
      <c r="E40" s="427">
        <f>SUBTOTAL(9,E12:E37)</f>
        <v>941673.30049261055</v>
      </c>
      <c r="F40" s="394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2"/>
      <c r="C41" s="398"/>
      <c r="D41" s="398"/>
      <c r="E41" s="398"/>
      <c r="F41" s="379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13" t="s">
        <v>79</v>
      </c>
      <c r="J45" s="416"/>
      <c r="K45" s="32"/>
    </row>
    <row r="46" spans="1:12" ht="13.5" customHeight="1" outlineLevel="2" x14ac:dyDescent="0.2">
      <c r="D46" s="7"/>
      <c r="I46" s="414" t="s">
        <v>30</v>
      </c>
      <c r="J46" s="417">
        <f>+J3</f>
        <v>1.82</v>
      </c>
      <c r="K46" s="434">
        <f ca="1">NOW()</f>
        <v>41885.693770833335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5" t="s">
        <v>31</v>
      </c>
      <c r="J47" s="417">
        <f>+J4</f>
        <v>1.96</v>
      </c>
      <c r="K47" s="32"/>
    </row>
    <row r="48" spans="1:12" ht="13.5" customHeight="1" outlineLevel="1" x14ac:dyDescent="0.2">
      <c r="D48" s="7"/>
      <c r="I48" s="414" t="s">
        <v>118</v>
      </c>
      <c r="J48" s="417">
        <f>+J5</f>
        <v>2.0299999999999998</v>
      </c>
      <c r="K48" s="32"/>
    </row>
    <row r="49" spans="1:19" ht="13.5" customHeight="1" outlineLevel="2" x14ac:dyDescent="0.2"/>
    <row r="50" spans="1:19" ht="13.5" customHeight="1" outlineLevel="2" x14ac:dyDescent="0.2">
      <c r="A50" s="432" t="s">
        <v>177</v>
      </c>
      <c r="B50" s="433"/>
    </row>
    <row r="51" spans="1:19" ht="13.5" customHeight="1" outlineLevel="2" x14ac:dyDescent="0.2">
      <c r="A51" s="32"/>
      <c r="C51" s="435" t="s">
        <v>163</v>
      </c>
      <c r="D51" s="12" t="s">
        <v>180</v>
      </c>
      <c r="E51" s="12" t="s">
        <v>182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6" t="s">
        <v>90</v>
      </c>
      <c r="B52" s="431" t="s">
        <v>0</v>
      </c>
      <c r="C52" s="408" t="s">
        <v>179</v>
      </c>
      <c r="D52" s="39" t="s">
        <v>181</v>
      </c>
      <c r="E52" s="39" t="s">
        <v>183</v>
      </c>
      <c r="F52" s="39" t="s">
        <v>150</v>
      </c>
      <c r="G52" s="420" t="s">
        <v>156</v>
      </c>
      <c r="H52" s="397" t="s">
        <v>102</v>
      </c>
      <c r="I52" s="396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6" t="s">
        <v>166</v>
      </c>
      <c r="B54" s="296"/>
      <c r="C54" s="252"/>
    </row>
    <row r="55" spans="1:19" ht="13.5" customHeight="1" outlineLevel="2" x14ac:dyDescent="0.2">
      <c r="A55" s="32" t="s">
        <v>95</v>
      </c>
      <c r="B55" s="398">
        <f>+Mojave!D40</f>
        <v>154297</v>
      </c>
      <c r="C55" s="372">
        <f>+B55*$J$4</f>
        <v>302422.12</v>
      </c>
      <c r="D55" s="47">
        <f>+Mojave!D47</f>
        <v>131073.68</v>
      </c>
      <c r="E55" s="47">
        <f>+C55-D55</f>
        <v>171348.44</v>
      </c>
      <c r="F55" s="395">
        <f>+Mojave!A40</f>
        <v>37157</v>
      </c>
      <c r="H55" s="32" t="s">
        <v>101</v>
      </c>
      <c r="I55" s="32" t="s">
        <v>186</v>
      </c>
      <c r="J55" s="32"/>
      <c r="K55" s="32"/>
    </row>
    <row r="56" spans="1:19" ht="15" customHeight="1" outlineLevel="2" x14ac:dyDescent="0.2">
      <c r="A56" s="32" t="s">
        <v>33</v>
      </c>
      <c r="B56" s="399">
        <f>+SoCal!F40</f>
        <v>300521</v>
      </c>
      <c r="C56" s="372">
        <f>+B56*$J$4</f>
        <v>589021.16</v>
      </c>
      <c r="D56" s="47">
        <f>+SoCal!D47</f>
        <v>757920.48</v>
      </c>
      <c r="E56" s="47">
        <f>+C56-D56</f>
        <v>-168899.31999999995</v>
      </c>
      <c r="F56" s="395">
        <f>+SoCal!A40</f>
        <v>37157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199</v>
      </c>
      <c r="B57" s="398">
        <f>+'El Paso'!C39</f>
        <v>64244</v>
      </c>
      <c r="C57" s="372">
        <f>+B57*$J$4</f>
        <v>125918.23999999999</v>
      </c>
      <c r="D57" s="47">
        <f>+'El Paso'!C46</f>
        <v>-1583010.01</v>
      </c>
      <c r="E57" s="47">
        <f>+C57-D57</f>
        <v>1708928.25</v>
      </c>
      <c r="F57" s="395">
        <f>+'El Paso'!A39</f>
        <v>37156</v>
      </c>
      <c r="G57" s="455"/>
      <c r="H57" s="32" t="s">
        <v>101</v>
      </c>
      <c r="I57" s="32" t="s">
        <v>190</v>
      </c>
      <c r="J57" s="32"/>
      <c r="K57" s="32"/>
    </row>
    <row r="58" spans="1:19" ht="15" customHeight="1" outlineLevel="1" x14ac:dyDescent="0.2">
      <c r="A58" s="32" t="s">
        <v>115</v>
      </c>
      <c r="B58" s="400">
        <f>+'PG&amp;E'!D40</f>
        <v>69727</v>
      </c>
      <c r="C58" s="375">
        <f>+B58*$J$4</f>
        <v>136664.91999999998</v>
      </c>
      <c r="D58" s="375">
        <f>+'PG&amp;E'!D47</f>
        <v>-53122.400000000001</v>
      </c>
      <c r="E58" s="375">
        <f>+C58-D58</f>
        <v>189787.31999999998</v>
      </c>
      <c r="F58" s="395">
        <f>+'PG&amp;E'!A40</f>
        <v>37157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167</v>
      </c>
      <c r="B59" s="425">
        <f>SUBTOTAL(9,B55:B58)</f>
        <v>588789</v>
      </c>
      <c r="C59" s="418">
        <f>SUBTOTAL(9,C55:C58)</f>
        <v>1154026.44</v>
      </c>
      <c r="D59" s="418">
        <f>SUBTOTAL(9,D55:D58)</f>
        <v>-747138.25000000012</v>
      </c>
      <c r="E59" s="418">
        <f>SUBTOTAL(9,E55:E58)</f>
        <v>1901164.6900000002</v>
      </c>
      <c r="F59" s="395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6" t="s">
        <v>58</v>
      </c>
      <c r="B61" s="296"/>
      <c r="C61" s="252"/>
      <c r="G61" s="205"/>
    </row>
    <row r="62" spans="1:19" x14ac:dyDescent="0.2">
      <c r="A62" s="206" t="s">
        <v>29</v>
      </c>
      <c r="B62" s="398">
        <f>+williams!J40</f>
        <v>242260</v>
      </c>
      <c r="C62" s="372">
        <f>+B62*$J$3</f>
        <v>440913.2</v>
      </c>
      <c r="D62" s="47">
        <f>+williams!D48</f>
        <v>1227941.3899999999</v>
      </c>
      <c r="E62" s="47">
        <f>+C62-D62</f>
        <v>-787028.19</v>
      </c>
      <c r="F62" s="394">
        <f>+williams!A40</f>
        <v>37157</v>
      </c>
      <c r="G62" s="205" t="s">
        <v>158</v>
      </c>
      <c r="H62" s="206" t="s">
        <v>148</v>
      </c>
      <c r="I62" s="32" t="s">
        <v>189</v>
      </c>
      <c r="J62" s="32"/>
      <c r="K62" s="32"/>
    </row>
    <row r="63" spans="1:19" x14ac:dyDescent="0.2">
      <c r="A63" s="32" t="s">
        <v>24</v>
      </c>
      <c r="B63" s="398">
        <f>+'Red C'!F43</f>
        <v>158875</v>
      </c>
      <c r="C63" s="373">
        <f>+B63*J3</f>
        <v>289152.5</v>
      </c>
      <c r="D63" s="202">
        <f>+'Red C'!D52</f>
        <v>707998.47000000009</v>
      </c>
      <c r="E63" s="47">
        <f>+C63-D63</f>
        <v>-418845.97000000009</v>
      </c>
      <c r="F63" s="394">
        <f>+'Red C'!B43</f>
        <v>37156</v>
      </c>
      <c r="G63" s="205" t="s">
        <v>158</v>
      </c>
      <c r="H63" s="32" t="s">
        <v>116</v>
      </c>
      <c r="I63" s="32" t="s">
        <v>187</v>
      </c>
      <c r="J63" s="32"/>
      <c r="K63" s="32"/>
    </row>
    <row r="64" spans="1:19" x14ac:dyDescent="0.2">
      <c r="A64" s="32" t="s">
        <v>6</v>
      </c>
      <c r="B64" s="398">
        <f>+Amoco!D40</f>
        <v>56428</v>
      </c>
      <c r="C64" s="372">
        <f>+B64*$J$3</f>
        <v>102698.96</v>
      </c>
      <c r="D64" s="47">
        <f>+Amoco!D47</f>
        <v>439991.16</v>
      </c>
      <c r="E64" s="47">
        <f>+C64-D64</f>
        <v>-337292.19999999995</v>
      </c>
      <c r="F64" s="395">
        <f>+Amoco!A40</f>
        <v>37157</v>
      </c>
      <c r="G64" s="205" t="s">
        <v>158</v>
      </c>
      <c r="H64" s="32" t="s">
        <v>116</v>
      </c>
      <c r="I64" s="32" t="s">
        <v>188</v>
      </c>
      <c r="J64" s="32"/>
      <c r="K64" s="32"/>
    </row>
    <row r="65" spans="1:12" x14ac:dyDescent="0.2">
      <c r="A65" s="32" t="s">
        <v>200</v>
      </c>
      <c r="B65" s="398">
        <f>+'El Paso'!E39</f>
        <v>-79233</v>
      </c>
      <c r="C65" s="372">
        <f>+B65*$J$3</f>
        <v>-144204.06</v>
      </c>
      <c r="D65" s="47">
        <f>+'El Paso'!F46</f>
        <v>-664622.47</v>
      </c>
      <c r="E65" s="47">
        <f>+C65-D65</f>
        <v>520418.41</v>
      </c>
      <c r="F65" s="395">
        <f>+'El Paso'!A39</f>
        <v>37156</v>
      </c>
      <c r="G65" s="455"/>
      <c r="H65" s="32" t="s">
        <v>101</v>
      </c>
      <c r="I65" s="32" t="s">
        <v>190</v>
      </c>
      <c r="J65" s="32"/>
      <c r="K65" s="32"/>
    </row>
    <row r="66" spans="1:12" x14ac:dyDescent="0.2">
      <c r="A66" s="32" t="s">
        <v>1</v>
      </c>
      <c r="B66" s="400">
        <f>+NW!$F$41</f>
        <v>53394</v>
      </c>
      <c r="C66" s="375">
        <f>+B66*$J$3</f>
        <v>97177.08</v>
      </c>
      <c r="D66" s="375">
        <f>+NW!E49</f>
        <v>-344626.68</v>
      </c>
      <c r="E66" s="375">
        <f>+C66-D66</f>
        <v>441803.76</v>
      </c>
      <c r="F66" s="394">
        <f>+NW!B41</f>
        <v>37156</v>
      </c>
      <c r="G66" s="205" t="s">
        <v>158</v>
      </c>
      <c r="H66" s="32" t="s">
        <v>116</v>
      </c>
      <c r="I66" s="32"/>
      <c r="J66" s="32"/>
      <c r="K66" s="32"/>
    </row>
    <row r="67" spans="1:12" x14ac:dyDescent="0.2">
      <c r="A67" s="32" t="s">
        <v>168</v>
      </c>
      <c r="B67" s="425">
        <f>SUBTOTAL(9,B62:B66)</f>
        <v>431724</v>
      </c>
      <c r="C67" s="418">
        <f>SUBTOTAL(9,C62:C66)</f>
        <v>785737.67999999982</v>
      </c>
      <c r="D67" s="418">
        <f>SUBTOTAL(9,D62:D66)</f>
        <v>1366681.87</v>
      </c>
      <c r="E67" s="418">
        <f>SUBTOTAL(9,E62:E66)</f>
        <v>-580944.19000000018</v>
      </c>
      <c r="F67" s="394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6" t="s">
        <v>170</v>
      </c>
      <c r="B69" s="296"/>
      <c r="C69" s="252"/>
      <c r="G69" s="205"/>
    </row>
    <row r="70" spans="1:12" x14ac:dyDescent="0.2">
      <c r="A70" s="32" t="s">
        <v>89</v>
      </c>
      <c r="B70" s="398">
        <f>+NGPL!F38</f>
        <v>118207</v>
      </c>
      <c r="C70" s="372">
        <f>+B70*$J$4</f>
        <v>231685.72</v>
      </c>
      <c r="D70" s="47">
        <f>+NGPL!D45</f>
        <v>314156.71000000002</v>
      </c>
      <c r="E70" s="47">
        <f>+C70-D70</f>
        <v>-82470.99000000002</v>
      </c>
      <c r="F70" s="395">
        <f>+NGPL!A38</f>
        <v>37156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8">
        <f>+PEPL!D41</f>
        <v>-9941</v>
      </c>
      <c r="C71" s="373">
        <f>+B71*$J$4</f>
        <v>-19484.36</v>
      </c>
      <c r="D71" s="47">
        <f>+PEPL!D47</f>
        <v>149995.97</v>
      </c>
      <c r="E71" s="47">
        <f>+C71-D71</f>
        <v>-169480.33000000002</v>
      </c>
      <c r="F71" s="395">
        <f>+PEPL!A41</f>
        <v>37156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9">
        <f>+Oasis!D40</f>
        <v>51897</v>
      </c>
      <c r="C72" s="372">
        <f>+B72*$J$4</f>
        <v>101718.12</v>
      </c>
      <c r="D72" s="47">
        <f>+Oasis!D47</f>
        <v>-244206.13</v>
      </c>
      <c r="E72" s="47">
        <f>+C72-D72</f>
        <v>345924.25</v>
      </c>
      <c r="F72" s="395">
        <f>+Oasis!B40</f>
        <v>37156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402">
        <f>+Lonestar!F42</f>
        <v>72634</v>
      </c>
      <c r="C73" s="375">
        <f>+B73*$J$4</f>
        <v>142362.63999999998</v>
      </c>
      <c r="D73" s="375">
        <f>+Lonestar!D49</f>
        <v>70867.62999999999</v>
      </c>
      <c r="E73" s="375">
        <f>+C73-D73</f>
        <v>71495.009999999995</v>
      </c>
      <c r="F73" s="394">
        <f>+Lonestar!B42</f>
        <v>37157</v>
      </c>
      <c r="H73" s="32" t="s">
        <v>103</v>
      </c>
      <c r="I73" s="32"/>
      <c r="J73" s="32"/>
      <c r="K73" s="32"/>
    </row>
    <row r="74" spans="1:12" x14ac:dyDescent="0.2">
      <c r="A74" s="2" t="s">
        <v>171</v>
      </c>
      <c r="B74" s="419">
        <f>SUBTOTAL(9,B70:B73)</f>
        <v>232797</v>
      </c>
      <c r="C74" s="418">
        <f>SUBTOTAL(9,C70:C73)</f>
        <v>456282.12</v>
      </c>
      <c r="D74" s="418">
        <f>SUBTOTAL(9,D70:D73)</f>
        <v>290814.18000000005</v>
      </c>
      <c r="E74" s="418">
        <f>SUBTOTAL(9,E70:E73)</f>
        <v>165467.93999999994</v>
      </c>
      <c r="F74" s="394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178</v>
      </c>
      <c r="B76" s="419">
        <f>SUBTOTAL(9,B55:B73)</f>
        <v>1253310</v>
      </c>
      <c r="C76" s="418">
        <f>SUBTOTAL(9,C55:C73)</f>
        <v>2396046.2400000002</v>
      </c>
      <c r="D76" s="418">
        <f>SUBTOTAL(9,D55:D73)</f>
        <v>910357.79999999981</v>
      </c>
      <c r="E76" s="418">
        <f>SUBTOTAL(9,E55:E73)</f>
        <v>1485688.4400000002</v>
      </c>
      <c r="F76" s="394"/>
      <c r="H76" s="32"/>
      <c r="I76" s="32"/>
      <c r="J76" s="32"/>
      <c r="K76" s="32"/>
    </row>
    <row r="77" spans="1:12" x14ac:dyDescent="0.2">
      <c r="A77" s="32"/>
      <c r="B77" s="372"/>
      <c r="C77" s="399"/>
      <c r="D77" s="372"/>
      <c r="E77" s="372"/>
      <c r="F77" s="394"/>
      <c r="H77" s="32"/>
      <c r="I77" s="32"/>
      <c r="J77" s="32"/>
      <c r="K77" s="32"/>
    </row>
    <row r="78" spans="1:12" x14ac:dyDescent="0.2">
      <c r="A78" s="32"/>
      <c r="B78" s="375"/>
      <c r="C78" s="398"/>
      <c r="D78" s="304"/>
      <c r="E78" s="304"/>
      <c r="F78" s="394"/>
      <c r="G78" s="32"/>
      <c r="I78" s="32"/>
      <c r="J78" s="32"/>
      <c r="K78" s="32"/>
      <c r="L78" s="32"/>
    </row>
    <row r="79" spans="1:12" ht="13.5" thickBot="1" x14ac:dyDescent="0.25">
      <c r="A79" s="2" t="s">
        <v>184</v>
      </c>
      <c r="B79" s="428">
        <f>+C76+B40</f>
        <v>4612883.1199999992</v>
      </c>
      <c r="C79" s="208"/>
      <c r="D79" s="372"/>
      <c r="E79" s="372"/>
      <c r="F79" s="379"/>
      <c r="H79" s="32"/>
      <c r="I79" s="32"/>
      <c r="J79" s="32"/>
      <c r="K79" s="32"/>
    </row>
    <row r="80" spans="1:12" ht="13.5" thickTop="1" x14ac:dyDescent="0.2">
      <c r="A80" s="2" t="s">
        <v>185</v>
      </c>
      <c r="B80" s="14">
        <f>+B76+C40</f>
        <v>2385238.3004926108</v>
      </c>
      <c r="C80" s="401"/>
      <c r="D80" s="457"/>
      <c r="E80" s="304"/>
      <c r="F80" s="379"/>
      <c r="G80" s="32"/>
      <c r="H80" s="32"/>
      <c r="I80" s="32"/>
      <c r="J80" s="32"/>
    </row>
    <row r="81" spans="1:10" x14ac:dyDescent="0.2">
      <c r="A81" s="32"/>
      <c r="B81" s="47"/>
      <c r="C81" s="403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2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5" sqref="B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08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08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08">
        <v>145717</v>
      </c>
      <c r="C23" s="11">
        <v>146585</v>
      </c>
      <c r="D23" s="11">
        <v>12640</v>
      </c>
      <c r="E23" s="11">
        <v>12532</v>
      </c>
      <c r="F23" s="11">
        <f t="shared" si="5"/>
        <v>760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08">
        <v>145779</v>
      </c>
      <c r="C24" s="11">
        <v>145684</v>
      </c>
      <c r="D24" s="11">
        <v>12632</v>
      </c>
      <c r="E24" s="11">
        <v>8732</v>
      </c>
      <c r="F24" s="11">
        <f t="shared" si="5"/>
        <v>-3995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08">
        <v>145400</v>
      </c>
      <c r="C25" s="11">
        <v>145482</v>
      </c>
      <c r="D25" s="11">
        <v>9142</v>
      </c>
      <c r="E25" s="11">
        <v>12532</v>
      </c>
      <c r="F25" s="11">
        <f t="shared" si="5"/>
        <v>3472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08">
        <v>145820</v>
      </c>
      <c r="C26" s="11">
        <v>145820</v>
      </c>
      <c r="D26" s="11">
        <v>12639</v>
      </c>
      <c r="E26" s="11">
        <v>12532</v>
      </c>
      <c r="F26" s="11">
        <f t="shared" si="5"/>
        <v>-107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08">
        <v>122386</v>
      </c>
      <c r="C27" s="11">
        <v>142860</v>
      </c>
      <c r="D27" s="11">
        <v>12636</v>
      </c>
      <c r="E27" s="11">
        <v>12532</v>
      </c>
      <c r="F27" s="11">
        <f t="shared" si="5"/>
        <v>20370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464">
        <v>140045</v>
      </c>
      <c r="C28" s="150">
        <v>140239</v>
      </c>
      <c r="D28" s="150">
        <v>11572</v>
      </c>
      <c r="E28" s="150">
        <v>12532</v>
      </c>
      <c r="F28" s="11">
        <f t="shared" si="5"/>
        <v>1154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464">
        <v>143859</v>
      </c>
      <c r="C29" s="150">
        <v>145682</v>
      </c>
      <c r="D29" s="150">
        <v>11265</v>
      </c>
      <c r="E29" s="150">
        <v>12532</v>
      </c>
      <c r="F29" s="11">
        <f t="shared" si="5"/>
        <v>3090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3214958</v>
      </c>
      <c r="C39" s="150">
        <f>SUM(C8:C38)</f>
        <v>3229113</v>
      </c>
      <c r="D39" s="150">
        <f>SUM(D8:D38)</f>
        <v>265621</v>
      </c>
      <c r="E39" s="150">
        <f>SUM(E8:E38)</f>
        <v>267263</v>
      </c>
      <c r="F39" s="11">
        <f t="shared" si="5"/>
        <v>15797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1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37156</v>
      </c>
      <c r="C43" s="142"/>
      <c r="D43" s="142"/>
      <c r="E43" s="142"/>
      <c r="F43" s="150">
        <f>+F42+F39</f>
        <v>158875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164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6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37156</v>
      </c>
      <c r="B51" s="32"/>
      <c r="C51" s="32"/>
      <c r="D51" s="405">
        <f>+F39*'by type_area'!J3</f>
        <v>28750.54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707998.47000000009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50" sqref="C5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-86408</v>
      </c>
      <c r="C20" s="24">
        <v>-86483</v>
      </c>
      <c r="D20" s="24">
        <f t="shared" si="0"/>
        <v>-75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-89993</v>
      </c>
      <c r="C21" s="24">
        <v>-87845</v>
      </c>
      <c r="D21" s="24">
        <f t="shared" si="0"/>
        <v>2148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-96590</v>
      </c>
      <c r="C22" s="24">
        <v>-99476</v>
      </c>
      <c r="D22" s="24">
        <f t="shared" si="0"/>
        <v>-2886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-82421</v>
      </c>
      <c r="C23" s="24">
        <v>-85614</v>
      </c>
      <c r="D23" s="24">
        <f t="shared" si="0"/>
        <v>-3193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-91217</v>
      </c>
      <c r="C24" s="24">
        <v>-96115</v>
      </c>
      <c r="D24" s="24">
        <f t="shared" si="0"/>
        <v>-4898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-79481</v>
      </c>
      <c r="C25" s="24">
        <v>-77780</v>
      </c>
      <c r="D25" s="24">
        <f t="shared" si="0"/>
        <v>1701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-94780</v>
      </c>
      <c r="C26" s="24">
        <v>-94044</v>
      </c>
      <c r="D26" s="24">
        <f t="shared" si="0"/>
        <v>736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-2295619</v>
      </c>
      <c r="C36" s="24">
        <f>SUM(C5:C35)</f>
        <v>-2291275</v>
      </c>
      <c r="D36" s="24">
        <f t="shared" si="0"/>
        <v>4344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5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37156</v>
      </c>
      <c r="C40" s="24"/>
      <c r="D40" s="195">
        <f>+D36+D38</f>
        <v>51897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155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6">
        <v>-252720.37</v>
      </c>
    </row>
    <row r="46" spans="1:65" x14ac:dyDescent="0.2">
      <c r="A46" s="49">
        <f>+B40</f>
        <v>37156</v>
      </c>
      <c r="B46" s="32"/>
      <c r="C46" s="32"/>
      <c r="D46" s="405">
        <f>+D36*'by type_area'!J4</f>
        <v>8514.24</v>
      </c>
    </row>
    <row r="47" spans="1:65" x14ac:dyDescent="0.2">
      <c r="A47" s="32"/>
      <c r="B47" s="32"/>
      <c r="C47" s="32"/>
      <c r="D47" s="202">
        <f>+D46+D45</f>
        <v>-244206.13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56339</v>
      </c>
      <c r="B5" s="90">
        <v>751234</v>
      </c>
      <c r="C5" s="90">
        <v>716145</v>
      </c>
      <c r="D5" s="90">
        <f>+C5-B5</f>
        <v>-35089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530700</v>
      </c>
      <c r="C7" s="90">
        <v>701084</v>
      </c>
      <c r="D7" s="90">
        <f t="shared" si="0"/>
        <v>170384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426504</v>
      </c>
      <c r="C8" s="90">
        <v>544501</v>
      </c>
      <c r="D8" s="90">
        <f t="shared" si="0"/>
        <v>117997</v>
      </c>
      <c r="E8" s="285"/>
      <c r="F8" s="283"/>
    </row>
    <row r="9" spans="1:13" x14ac:dyDescent="0.2">
      <c r="A9" s="87">
        <v>500293</v>
      </c>
      <c r="B9" s="90">
        <v>298198</v>
      </c>
      <c r="C9" s="90">
        <v>408652</v>
      </c>
      <c r="D9" s="90">
        <f t="shared" si="0"/>
        <v>110454</v>
      </c>
      <c r="E9" s="285"/>
      <c r="F9" s="283"/>
    </row>
    <row r="10" spans="1:13" x14ac:dyDescent="0.2">
      <c r="A10" s="87">
        <v>500302</v>
      </c>
      <c r="B10" s="319"/>
      <c r="C10" s="319">
        <v>8415</v>
      </c>
      <c r="D10" s="90">
        <f t="shared" si="0"/>
        <v>8415</v>
      </c>
      <c r="E10" s="285"/>
      <c r="F10" s="283"/>
    </row>
    <row r="11" spans="1:13" x14ac:dyDescent="0.2">
      <c r="A11" s="87">
        <v>500303</v>
      </c>
      <c r="B11" s="319">
        <v>158793</v>
      </c>
      <c r="C11" s="90">
        <v>233399</v>
      </c>
      <c r="D11" s="90">
        <f t="shared" si="0"/>
        <v>74606</v>
      </c>
      <c r="E11" s="285"/>
      <c r="F11" s="283"/>
    </row>
    <row r="12" spans="1:13" x14ac:dyDescent="0.2">
      <c r="A12" s="91">
        <v>500305</v>
      </c>
      <c r="B12" s="319">
        <v>766891</v>
      </c>
      <c r="C12" s="90">
        <v>926518</v>
      </c>
      <c r="D12" s="90">
        <f t="shared" si="0"/>
        <v>159627</v>
      </c>
      <c r="E12" s="286"/>
      <c r="F12" s="283"/>
    </row>
    <row r="13" spans="1:13" x14ac:dyDescent="0.2">
      <c r="A13" s="87">
        <v>500307</v>
      </c>
      <c r="B13" s="319">
        <v>37665</v>
      </c>
      <c r="C13" s="90">
        <v>28583</v>
      </c>
      <c r="D13" s="90">
        <f t="shared" si="0"/>
        <v>-9082</v>
      </c>
      <c r="E13" s="285"/>
      <c r="F13" s="283"/>
    </row>
    <row r="14" spans="1:13" x14ac:dyDescent="0.2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488663</v>
      </c>
      <c r="C16" s="90"/>
      <c r="D16" s="90">
        <f t="shared" si="0"/>
        <v>-488663</v>
      </c>
      <c r="E16" s="285"/>
      <c r="F16" s="283"/>
    </row>
    <row r="17" spans="1:6" x14ac:dyDescent="0.2">
      <c r="A17" s="87">
        <v>500657</v>
      </c>
      <c r="B17" s="335">
        <v>107446</v>
      </c>
      <c r="C17" s="88">
        <v>68400</v>
      </c>
      <c r="D17" s="94">
        <f t="shared" si="0"/>
        <v>-39046</v>
      </c>
      <c r="E17" s="285"/>
      <c r="F17" s="283"/>
    </row>
    <row r="18" spans="1:6" x14ac:dyDescent="0.2">
      <c r="A18" s="87"/>
      <c r="B18" s="88"/>
      <c r="C18" s="88"/>
      <c r="D18" s="88">
        <f>SUM(D5:D17)</f>
        <v>70962</v>
      </c>
      <c r="E18" s="285"/>
      <c r="F18" s="283"/>
    </row>
    <row r="19" spans="1:6" x14ac:dyDescent="0.2">
      <c r="A19" s="87" t="s">
        <v>82</v>
      </c>
      <c r="B19" s="88"/>
      <c r="C19" s="88"/>
      <c r="D19" s="95">
        <f>+summary!H4</f>
        <v>1.96</v>
      </c>
      <c r="E19" s="287"/>
      <c r="F19" s="283"/>
    </row>
    <row r="20" spans="1:6" x14ac:dyDescent="0.2">
      <c r="A20" s="87"/>
      <c r="B20" s="88"/>
      <c r="C20" s="88"/>
      <c r="D20" s="96">
        <f>+D19*D18</f>
        <v>139085.51999999999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79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37156</v>
      </c>
      <c r="B24" s="88"/>
      <c r="C24" s="88"/>
      <c r="D24" s="334">
        <f>+D22+D20</f>
        <v>132443.06999999998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154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4">
        <v>-37836</v>
      </c>
    </row>
    <row r="30" spans="1:6" x14ac:dyDescent="0.2">
      <c r="A30" s="49">
        <f>+A24</f>
        <v>37156</v>
      </c>
      <c r="B30" s="32"/>
      <c r="C30" s="32"/>
      <c r="D30" s="376">
        <f>+D18</f>
        <v>70962</v>
      </c>
    </row>
    <row r="31" spans="1:6" x14ac:dyDescent="0.2">
      <c r="A31" s="32"/>
      <c r="B31" s="32"/>
      <c r="C31" s="32"/>
      <c r="D31" s="14">
        <f>+D30+D29</f>
        <v>33126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2" workbookViewId="3">
      <selection activeCell="D27" sqref="D2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41"/>
      <c r="J2" s="2"/>
      <c r="K2" s="2"/>
      <c r="L2" s="104"/>
      <c r="M2" s="143" t="s">
        <v>194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1" t="s">
        <v>40</v>
      </c>
      <c r="I3" s="4" t="s">
        <v>20</v>
      </c>
      <c r="J3" s="4" t="s">
        <v>21</v>
      </c>
      <c r="K3" s="439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1"/>
      <c r="I4" s="14"/>
      <c r="J4" s="14"/>
      <c r="K4" s="14">
        <f t="shared" ref="K4:K9" si="0">+J4-I4</f>
        <v>0</v>
      </c>
      <c r="L4" s="387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1"/>
      <c r="I10" s="14"/>
      <c r="J10" s="14"/>
      <c r="K10" s="14"/>
      <c r="L10" s="387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1"/>
      <c r="I11" s="14"/>
      <c r="J11" s="14"/>
      <c r="K11" s="15"/>
      <c r="L11" s="38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1"/>
      <c r="I12" s="24"/>
      <c r="J12" s="24"/>
      <c r="K12" s="110"/>
      <c r="L12" s="443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3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>
        <v>30657</v>
      </c>
      <c r="C19" s="11">
        <v>26000</v>
      </c>
      <c r="D19" s="11">
        <v>33809</v>
      </c>
      <c r="E19" s="11">
        <v>29999</v>
      </c>
      <c r="F19" s="25">
        <f t="shared" si="2"/>
        <v>-8467</v>
      </c>
      <c r="G19" s="25"/>
    </row>
    <row r="20" spans="1:7" x14ac:dyDescent="0.2">
      <c r="A20" s="41">
        <v>17</v>
      </c>
      <c r="B20" s="11">
        <v>30100</v>
      </c>
      <c r="C20" s="11">
        <v>26000</v>
      </c>
      <c r="D20" s="11">
        <v>33967</v>
      </c>
      <c r="E20" s="11">
        <v>29999</v>
      </c>
      <c r="F20" s="25">
        <f t="shared" si="2"/>
        <v>-8068</v>
      </c>
      <c r="G20" s="25"/>
    </row>
    <row r="21" spans="1:7" x14ac:dyDescent="0.2">
      <c r="A21" s="41">
        <v>18</v>
      </c>
      <c r="B21" s="11">
        <v>30272</v>
      </c>
      <c r="C21" s="11">
        <v>26000</v>
      </c>
      <c r="D21" s="129">
        <v>35296</v>
      </c>
      <c r="E21" s="11">
        <v>29999</v>
      </c>
      <c r="F21" s="25">
        <f t="shared" si="2"/>
        <v>-9569</v>
      </c>
      <c r="G21" s="25"/>
    </row>
    <row r="22" spans="1:7" x14ac:dyDescent="0.2">
      <c r="A22" s="41">
        <v>19</v>
      </c>
      <c r="B22" s="11">
        <v>31177</v>
      </c>
      <c r="C22" s="11">
        <v>26000</v>
      </c>
      <c r="D22" s="11">
        <v>33887</v>
      </c>
      <c r="E22" s="11">
        <v>29999</v>
      </c>
      <c r="F22" s="25">
        <f t="shared" si="2"/>
        <v>-9065</v>
      </c>
      <c r="G22" s="25"/>
    </row>
    <row r="23" spans="1:7" x14ac:dyDescent="0.2">
      <c r="A23" s="41">
        <v>20</v>
      </c>
      <c r="B23" s="11">
        <v>27639</v>
      </c>
      <c r="C23" s="11">
        <v>20000</v>
      </c>
      <c r="D23" s="11">
        <v>32416</v>
      </c>
      <c r="E23" s="11">
        <v>35999</v>
      </c>
      <c r="F23" s="25">
        <f t="shared" si="2"/>
        <v>-4056</v>
      </c>
      <c r="G23" s="25"/>
    </row>
    <row r="24" spans="1:7" x14ac:dyDescent="0.2">
      <c r="A24" s="41">
        <v>21</v>
      </c>
      <c r="B24" s="11">
        <v>27837</v>
      </c>
      <c r="C24" s="11">
        <v>28000</v>
      </c>
      <c r="D24" s="11">
        <v>31306</v>
      </c>
      <c r="E24" s="11">
        <v>35000</v>
      </c>
      <c r="F24" s="25">
        <f t="shared" si="2"/>
        <v>3857</v>
      </c>
      <c r="G24" s="25"/>
    </row>
    <row r="25" spans="1:7" x14ac:dyDescent="0.2">
      <c r="A25" s="41">
        <v>22</v>
      </c>
      <c r="B25" s="11">
        <v>29096</v>
      </c>
      <c r="C25" s="11">
        <v>28000</v>
      </c>
      <c r="D25" s="11">
        <v>32998</v>
      </c>
      <c r="E25" s="11">
        <v>35000</v>
      </c>
      <c r="F25" s="25">
        <f t="shared" si="2"/>
        <v>906</v>
      </c>
      <c r="G25" s="25"/>
    </row>
    <row r="26" spans="1:7" x14ac:dyDescent="0.2">
      <c r="A26" s="41">
        <v>23</v>
      </c>
      <c r="B26" s="11">
        <v>24426</v>
      </c>
      <c r="C26" s="11">
        <v>28000</v>
      </c>
      <c r="D26" s="129">
        <v>31774</v>
      </c>
      <c r="E26" s="11">
        <v>35000</v>
      </c>
      <c r="F26" s="25">
        <f t="shared" si="2"/>
        <v>6800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658702</v>
      </c>
      <c r="C35" s="11">
        <f>SUM(C4:C34)</f>
        <v>590955</v>
      </c>
      <c r="D35" s="11">
        <f>SUM(D4:D34)</f>
        <v>750663</v>
      </c>
      <c r="E35" s="11">
        <f>SUM(E4:E34)</f>
        <v>744609</v>
      </c>
      <c r="F35" s="11">
        <f>+E35-D35+C35-B35</f>
        <v>-73801</v>
      </c>
    </row>
    <row r="36" spans="1:7" x14ac:dyDescent="0.2">
      <c r="A36" s="45"/>
      <c r="C36" s="14">
        <f>+C35-B35</f>
        <v>-67747</v>
      </c>
      <c r="D36" s="14"/>
      <c r="E36" s="14">
        <f>+E35-D35</f>
        <v>-6054</v>
      </c>
      <c r="F36" s="47"/>
    </row>
    <row r="37" spans="1:7" x14ac:dyDescent="0.2">
      <c r="C37" s="15">
        <f>+summary!H4</f>
        <v>1.96</v>
      </c>
      <c r="D37" s="15"/>
      <c r="E37" s="15">
        <f>+C37</f>
        <v>1.96</v>
      </c>
      <c r="F37" s="24"/>
    </row>
    <row r="38" spans="1:7" x14ac:dyDescent="0.2">
      <c r="C38" s="48">
        <f>+C37*C36</f>
        <v>-132784.12</v>
      </c>
      <c r="D38" s="47"/>
      <c r="E38" s="48">
        <f>+E37*E36</f>
        <v>-11865.84</v>
      </c>
      <c r="F38" s="46">
        <f>+E38+C38</f>
        <v>-144649.96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77">
        <v>441786.89</v>
      </c>
      <c r="D40" s="111"/>
      <c r="E40" s="477">
        <v>100794.76</v>
      </c>
      <c r="F40" s="352">
        <f>+E40+C40</f>
        <v>542581.65</v>
      </c>
      <c r="G40" s="25"/>
    </row>
    <row r="41" spans="1:7" x14ac:dyDescent="0.2">
      <c r="A41" s="57">
        <v>37157</v>
      </c>
      <c r="C41" s="106">
        <f>+C40+C38</f>
        <v>309002.77</v>
      </c>
      <c r="D41" s="106"/>
      <c r="E41" s="106">
        <f>+E40+E38</f>
        <v>88928.92</v>
      </c>
      <c r="F41" s="106">
        <f>+E41+C41</f>
        <v>397931.69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154</v>
      </c>
      <c r="E45" s="11"/>
      <c r="F45" s="11"/>
      <c r="G45" s="25"/>
    </row>
    <row r="46" spans="1:7" x14ac:dyDescent="0.2">
      <c r="A46" s="49">
        <f>+A40</f>
        <v>37134</v>
      </c>
      <c r="D46" s="475">
        <f>36388+33437</f>
        <v>69825</v>
      </c>
      <c r="E46" s="11"/>
      <c r="F46" s="11"/>
      <c r="G46" s="25"/>
    </row>
    <row r="47" spans="1:7" x14ac:dyDescent="0.2">
      <c r="A47" s="49">
        <f>+A41</f>
        <v>37157</v>
      </c>
      <c r="D47" s="376">
        <f>+F35</f>
        <v>-73801</v>
      </c>
      <c r="E47" s="11"/>
      <c r="F47" s="11"/>
      <c r="G47" s="25"/>
    </row>
    <row r="48" spans="1:7" x14ac:dyDescent="0.2">
      <c r="D48" s="14">
        <f>+D47+D46</f>
        <v>-3976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8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162410</v>
      </c>
      <c r="C20" s="11">
        <v>176488</v>
      </c>
      <c r="D20" s="11"/>
      <c r="E20" s="11">
        <v>-14704</v>
      </c>
      <c r="F20" s="11">
        <f t="shared" si="2"/>
        <v>-626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130334</v>
      </c>
      <c r="C21" s="11">
        <v>164947</v>
      </c>
      <c r="D21" s="11"/>
      <c r="E21" s="11">
        <v>-40143</v>
      </c>
      <c r="F21" s="11">
        <f t="shared" si="2"/>
        <v>-5530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125170</v>
      </c>
      <c r="C22" s="11">
        <v>168769</v>
      </c>
      <c r="D22" s="11"/>
      <c r="E22" s="11">
        <v>-44621</v>
      </c>
      <c r="F22" s="11">
        <f t="shared" si="2"/>
        <v>-1022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92463</v>
      </c>
      <c r="C23" s="11">
        <v>167291</v>
      </c>
      <c r="D23" s="11"/>
      <c r="E23" s="11">
        <v>-76220</v>
      </c>
      <c r="F23" s="11">
        <f t="shared" si="2"/>
        <v>-1392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47088</v>
      </c>
      <c r="C24" s="11">
        <v>87572</v>
      </c>
      <c r="D24" s="11"/>
      <c r="E24" s="11">
        <v>-42945</v>
      </c>
      <c r="F24" s="11">
        <f t="shared" si="2"/>
        <v>-2461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95926</v>
      </c>
      <c r="C25" s="11">
        <v>98435</v>
      </c>
      <c r="D25" s="11"/>
      <c r="E25" s="11">
        <v>-1862</v>
      </c>
      <c r="F25" s="11">
        <f t="shared" si="2"/>
        <v>647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135495</v>
      </c>
      <c r="C26" s="11">
        <v>150323</v>
      </c>
      <c r="D26" s="11"/>
      <c r="E26" s="11">
        <v>-15925</v>
      </c>
      <c r="F26" s="11">
        <f t="shared" si="2"/>
        <v>-1097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3281015</v>
      </c>
      <c r="C36" s="11">
        <f>SUM(C5:C35)</f>
        <v>3594762</v>
      </c>
      <c r="D36" s="11">
        <f>SUM(D5:D35)</f>
        <v>0</v>
      </c>
      <c r="E36" s="11">
        <f>SUM(E5:E35)</f>
        <v>-329254</v>
      </c>
      <c r="F36" s="11">
        <f>SUM(F5:F35)</f>
        <v>-15507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95">
        <v>68901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37156</v>
      </c>
      <c r="F41" s="353">
        <f>+F39+F36</f>
        <v>53394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155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91">
        <v>-316403.94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37156</v>
      </c>
      <c r="C48" s="32"/>
      <c r="D48" s="32"/>
      <c r="E48" s="405">
        <f>+F36*'by type_area'!J3</f>
        <v>-28222.74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-344626.68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53" sqref="C5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">
      <c r="A23" s="10">
        <v>16</v>
      </c>
      <c r="B23" s="11">
        <v>96997</v>
      </c>
      <c r="C23" s="11">
        <v>96172</v>
      </c>
      <c r="D23" s="11">
        <f t="shared" si="0"/>
        <v>-825</v>
      </c>
      <c r="E23" s="10"/>
      <c r="F23" s="11"/>
      <c r="G23" s="11"/>
      <c r="H23" s="11"/>
    </row>
    <row r="24" spans="1:8" x14ac:dyDescent="0.2">
      <c r="A24" s="10">
        <v>17</v>
      </c>
      <c r="B24" s="11">
        <v>98737</v>
      </c>
      <c r="C24" s="11">
        <v>97875</v>
      </c>
      <c r="D24" s="11">
        <f t="shared" si="0"/>
        <v>-862</v>
      </c>
      <c r="E24" s="10"/>
      <c r="F24" s="11"/>
      <c r="G24" s="11"/>
      <c r="H24" s="11"/>
    </row>
    <row r="25" spans="1:8" x14ac:dyDescent="0.2">
      <c r="A25" s="10">
        <v>18</v>
      </c>
      <c r="B25" s="11">
        <v>70178</v>
      </c>
      <c r="C25" s="11">
        <v>70454</v>
      </c>
      <c r="D25" s="11">
        <f t="shared" si="0"/>
        <v>276</v>
      </c>
      <c r="E25" s="10"/>
      <c r="F25" s="11"/>
      <c r="G25" s="11"/>
      <c r="H25" s="11"/>
    </row>
    <row r="26" spans="1:8" x14ac:dyDescent="0.2">
      <c r="A26" s="10">
        <v>19</v>
      </c>
      <c r="B26" s="11">
        <v>74069</v>
      </c>
      <c r="C26" s="11">
        <v>74603</v>
      </c>
      <c r="D26" s="11">
        <f t="shared" si="0"/>
        <v>534</v>
      </c>
      <c r="E26" s="10"/>
      <c r="F26" s="11"/>
      <c r="G26" s="11"/>
      <c r="H26" s="11"/>
    </row>
    <row r="27" spans="1:8" x14ac:dyDescent="0.2">
      <c r="A27" s="10">
        <v>20</v>
      </c>
      <c r="B27" s="11">
        <v>113995</v>
      </c>
      <c r="C27" s="11">
        <v>119852</v>
      </c>
      <c r="D27" s="11">
        <f t="shared" si="0"/>
        <v>5857</v>
      </c>
      <c r="E27" s="10"/>
      <c r="F27" s="11"/>
      <c r="G27" s="11"/>
      <c r="H27" s="11"/>
    </row>
    <row r="28" spans="1:8" x14ac:dyDescent="0.2">
      <c r="A28" s="10">
        <v>21</v>
      </c>
      <c r="B28" s="11">
        <v>116731</v>
      </c>
      <c r="C28" s="11">
        <v>115830</v>
      </c>
      <c r="D28" s="11">
        <f t="shared" si="0"/>
        <v>-901</v>
      </c>
      <c r="E28" s="10"/>
      <c r="F28" s="11"/>
      <c r="G28" s="11"/>
      <c r="H28" s="11"/>
    </row>
    <row r="29" spans="1:8" x14ac:dyDescent="0.2">
      <c r="A29" s="10">
        <v>22</v>
      </c>
      <c r="B29" s="11">
        <v>87813</v>
      </c>
      <c r="C29" s="11">
        <v>87532</v>
      </c>
      <c r="D29" s="11">
        <f t="shared" si="0"/>
        <v>-281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2023755</v>
      </c>
      <c r="C39" s="11">
        <f>SUM(C8:C38)</f>
        <v>2020373</v>
      </c>
      <c r="D39" s="11">
        <f>SUM(D8:D38)</f>
        <v>-3382</v>
      </c>
      <c r="E39" s="10"/>
      <c r="F39" s="11"/>
      <c r="G39" s="11"/>
      <c r="H39" s="11"/>
    </row>
    <row r="40" spans="1:8" x14ac:dyDescent="0.2">
      <c r="A40" s="26"/>
      <c r="D40" s="75">
        <f>+summary!H4</f>
        <v>1.96</v>
      </c>
      <c r="E40" s="26"/>
      <c r="H40" s="75"/>
    </row>
    <row r="41" spans="1:8" x14ac:dyDescent="0.2">
      <c r="D41" s="197">
        <f>+D40*D39</f>
        <v>-6628.72</v>
      </c>
      <c r="F41" s="252"/>
      <c r="H41" s="197"/>
    </row>
    <row r="42" spans="1:8" x14ac:dyDescent="0.2">
      <c r="A42" s="57">
        <v>37134</v>
      </c>
      <c r="D42" s="489">
        <v>40812.85</v>
      </c>
      <c r="E42" s="57"/>
      <c r="H42" s="197"/>
    </row>
    <row r="43" spans="1:8" x14ac:dyDescent="0.2">
      <c r="A43" s="57">
        <v>37156</v>
      </c>
      <c r="D43" s="198">
        <f>+D42+D41</f>
        <v>34184.129999999997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154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4">
        <v>-36540</v>
      </c>
    </row>
    <row r="49" spans="1:4" x14ac:dyDescent="0.2">
      <c r="A49" s="49">
        <f>+A43</f>
        <v>37156</v>
      </c>
      <c r="B49" s="32"/>
      <c r="C49" s="32"/>
      <c r="D49" s="376">
        <f>+D39</f>
        <v>-3382</v>
      </c>
    </row>
    <row r="50" spans="1:4" x14ac:dyDescent="0.2">
      <c r="A50" s="32"/>
      <c r="B50" s="32"/>
      <c r="C50" s="32"/>
      <c r="D50" s="14">
        <f>+D49+D48</f>
        <v>-39922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8" workbookViewId="3">
      <selection activeCell="B44" sqref="B4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3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37156</v>
      </c>
      <c r="J7" s="32"/>
    </row>
    <row r="8" spans="1:10" x14ac:dyDescent="0.2">
      <c r="A8" s="253">
        <v>60874</v>
      </c>
      <c r="B8" s="361">
        <v>3651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v>-1</v>
      </c>
      <c r="J11" s="32"/>
    </row>
    <row r="12" spans="1:10" x14ac:dyDescent="0.2">
      <c r="A12" s="253">
        <v>500251</v>
      </c>
      <c r="B12" s="332">
        <f>11660-9438</f>
        <v>2222</v>
      </c>
      <c r="J12" s="32"/>
    </row>
    <row r="13" spans="1:10" x14ac:dyDescent="0.2">
      <c r="A13" s="253">
        <v>500254</v>
      </c>
      <c r="B13" s="332">
        <f>2640-3000</f>
        <v>-360</v>
      </c>
      <c r="J13" s="32"/>
    </row>
    <row r="14" spans="1:10" x14ac:dyDescent="0.2">
      <c r="A14" s="32">
        <v>500255</v>
      </c>
      <c r="B14" s="332">
        <f>13200-12192</f>
        <v>1008</v>
      </c>
      <c r="J14" s="32"/>
    </row>
    <row r="15" spans="1:10" x14ac:dyDescent="0.2">
      <c r="A15" s="32">
        <v>500262</v>
      </c>
      <c r="B15" s="332">
        <f>5720-3903</f>
        <v>1817</v>
      </c>
      <c r="J15" s="32"/>
    </row>
    <row r="16" spans="1:10" x14ac:dyDescent="0.2">
      <c r="A16" s="290">
        <v>500267</v>
      </c>
      <c r="B16" s="362">
        <f>1225241-1226317-47702</f>
        <v>-48778</v>
      </c>
      <c r="J16" s="32"/>
    </row>
    <row r="17" spans="1:10" x14ac:dyDescent="0.2">
      <c r="B17" s="14">
        <f>SUM(B8:B16)</f>
        <v>-40441</v>
      </c>
      <c r="J17" s="32"/>
    </row>
    <row r="18" spans="1:10" x14ac:dyDescent="0.2">
      <c r="B18" s="15">
        <f>+B31</f>
        <v>1.96</v>
      </c>
      <c r="C18" s="201">
        <f>+B18*B17</f>
        <v>-79264.36</v>
      </c>
      <c r="G18" s="32"/>
      <c r="H18" s="410"/>
      <c r="I18" s="14"/>
      <c r="J18" s="32"/>
    </row>
    <row r="19" spans="1:10" x14ac:dyDescent="0.2">
      <c r="C19" s="339">
        <f>+C18+C5</f>
        <v>1249152.2799999998</v>
      </c>
      <c r="E19" s="15"/>
      <c r="G19" s="32"/>
      <c r="H19" s="410"/>
      <c r="I19" s="14"/>
      <c r="J19" s="32"/>
    </row>
    <row r="20" spans="1:10" x14ac:dyDescent="0.2">
      <c r="E20" s="15"/>
      <c r="G20" s="32"/>
      <c r="H20" s="410"/>
      <c r="I20" s="14"/>
      <c r="J20" s="32"/>
    </row>
    <row r="21" spans="1:10" x14ac:dyDescent="0.2">
      <c r="A21" s="32" t="s">
        <v>87</v>
      </c>
      <c r="G21" s="32"/>
      <c r="H21" s="410"/>
      <c r="I21" s="14"/>
      <c r="J21" s="32"/>
    </row>
    <row r="22" spans="1:10" x14ac:dyDescent="0.2">
      <c r="A22" s="2" t="s">
        <v>74</v>
      </c>
      <c r="G22" s="32"/>
      <c r="H22" s="410"/>
      <c r="I22" s="14"/>
      <c r="J22" s="32"/>
    </row>
    <row r="23" spans="1:10" x14ac:dyDescent="0.2">
      <c r="G23" s="32"/>
      <c r="H23" s="410"/>
      <c r="I23" s="14"/>
      <c r="J23" s="32"/>
    </row>
    <row r="24" spans="1:10" x14ac:dyDescent="0.2">
      <c r="G24" s="32"/>
      <c r="H24" s="410"/>
      <c r="I24" s="14"/>
      <c r="J24" s="32"/>
    </row>
    <row r="25" spans="1:10" x14ac:dyDescent="0.2">
      <c r="A25" s="200">
        <v>37134</v>
      </c>
      <c r="C25" s="483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37156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1.96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87</v>
      </c>
      <c r="E36" s="32" t="s">
        <v>154</v>
      </c>
      <c r="F36" s="378">
        <v>24268</v>
      </c>
      <c r="G36" s="378">
        <v>24693</v>
      </c>
      <c r="H36" s="378">
        <v>24361</v>
      </c>
    </row>
    <row r="37" spans="1:9" x14ac:dyDescent="0.2">
      <c r="A37" s="32" t="s">
        <v>75</v>
      </c>
      <c r="E37" s="49">
        <f>+A5</f>
        <v>37134</v>
      </c>
      <c r="F37" s="474">
        <v>281142</v>
      </c>
      <c r="G37" s="484">
        <v>117857</v>
      </c>
      <c r="H37" s="474">
        <v>148659</v>
      </c>
      <c r="I37" s="14"/>
    </row>
    <row r="38" spans="1:9" x14ac:dyDescent="0.2">
      <c r="E38" s="49">
        <f>+A7</f>
        <v>37156</v>
      </c>
      <c r="F38" s="376">
        <f>+B17</f>
        <v>-40441</v>
      </c>
      <c r="G38" s="376">
        <f>+B30</f>
        <v>0</v>
      </c>
      <c r="H38" s="376">
        <f>+B45</f>
        <v>6900</v>
      </c>
      <c r="I38" s="14"/>
    </row>
    <row r="39" spans="1:9" x14ac:dyDescent="0.2">
      <c r="A39" s="49">
        <v>37134</v>
      </c>
      <c r="C39" s="483">
        <v>760779.86</v>
      </c>
      <c r="F39" s="14">
        <f>+F38+F37</f>
        <v>240701</v>
      </c>
      <c r="G39" s="14">
        <f>+G38+G37</f>
        <v>117857</v>
      </c>
      <c r="H39" s="14">
        <f>+H38+H37</f>
        <v>155559</v>
      </c>
      <c r="I39" s="14">
        <f>+H39+G39+F39</f>
        <v>514117</v>
      </c>
    </row>
    <row r="40" spans="1:9" x14ac:dyDescent="0.2">
      <c r="G40" s="32"/>
      <c r="H40" s="15"/>
      <c r="I40" s="32"/>
    </row>
    <row r="41" spans="1:9" x14ac:dyDescent="0.2">
      <c r="A41" s="249">
        <v>37156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5148</v>
      </c>
      <c r="G43" s="32"/>
      <c r="H43" s="411"/>
      <c r="I43" s="14"/>
    </row>
    <row r="44" spans="1:9" x14ac:dyDescent="0.2">
      <c r="A44" s="32">
        <v>500392</v>
      </c>
      <c r="B44" s="257">
        <v>1752</v>
      </c>
      <c r="G44" s="32"/>
      <c r="H44" s="411"/>
      <c r="I44" s="14"/>
    </row>
    <row r="45" spans="1:9" x14ac:dyDescent="0.2">
      <c r="B45" s="14">
        <f>SUM(B42:B44)</f>
        <v>6900</v>
      </c>
      <c r="G45" s="32"/>
      <c r="H45" s="411"/>
      <c r="I45" s="14"/>
    </row>
    <row r="46" spans="1:9" x14ac:dyDescent="0.2">
      <c r="B46" s="201">
        <f>+B31</f>
        <v>1.96</v>
      </c>
      <c r="C46" s="201">
        <f>+B46*B45</f>
        <v>13524</v>
      </c>
      <c r="H46" s="411"/>
      <c r="I46" s="14"/>
    </row>
    <row r="47" spans="1:9" x14ac:dyDescent="0.2">
      <c r="C47" s="339">
        <f>+C46+C39</f>
        <v>774303.86</v>
      </c>
      <c r="E47" s="206"/>
      <c r="H47" s="411"/>
      <c r="I47" s="14"/>
    </row>
    <row r="48" spans="1:9" x14ac:dyDescent="0.2">
      <c r="E48" s="216"/>
      <c r="H48" s="411"/>
      <c r="I48" s="14"/>
    </row>
    <row r="49" spans="1:9" x14ac:dyDescent="0.2">
      <c r="E49" s="206"/>
      <c r="H49" s="411"/>
      <c r="I49" s="14"/>
    </row>
    <row r="50" spans="1:9" x14ac:dyDescent="0.2">
      <c r="C50" s="324"/>
      <c r="E50" s="216"/>
    </row>
    <row r="51" spans="1:9" x14ac:dyDescent="0.2">
      <c r="A51" s="32" t="s">
        <v>87</v>
      </c>
      <c r="C51" s="254"/>
    </row>
    <row r="52" spans="1:9" x14ac:dyDescent="0.2">
      <c r="A52" s="32">
        <v>21665</v>
      </c>
      <c r="B52" s="15" t="s">
        <v>140</v>
      </c>
      <c r="C52" s="481">
        <v>73449.16</v>
      </c>
      <c r="D52" s="32" t="s">
        <v>121</v>
      </c>
      <c r="E52" s="50"/>
      <c r="H52" s="411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82">
        <v>23612.35</v>
      </c>
      <c r="D53" s="32" t="s">
        <v>122</v>
      </c>
      <c r="H53" s="411">
        <v>22664</v>
      </c>
      <c r="I53" s="208">
        <v>18932</v>
      </c>
    </row>
    <row r="54" spans="1:9" x14ac:dyDescent="0.2">
      <c r="H54" s="412"/>
      <c r="I54" s="16"/>
    </row>
    <row r="55" spans="1:9" x14ac:dyDescent="0.2">
      <c r="C55" s="456"/>
    </row>
    <row r="56" spans="1:9" x14ac:dyDescent="0.2">
      <c r="C56" s="331">
        <f>+C53+C52+C47+C32+C19</f>
        <v>2395831.3699999996</v>
      </c>
      <c r="I56" s="14">
        <f>SUM(I39:I53)</f>
        <v>569452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E27" sqref="E2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191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">
      <c r="A19" s="10">
        <v>16</v>
      </c>
      <c r="B19" s="11">
        <v>3638</v>
      </c>
      <c r="C19" s="11"/>
      <c r="D19" s="11">
        <v>24600</v>
      </c>
      <c r="E19" s="11">
        <v>24000</v>
      </c>
      <c r="F19" s="11">
        <f t="shared" si="0"/>
        <v>-4238</v>
      </c>
      <c r="G19" s="11"/>
      <c r="I19" s="11"/>
      <c r="J19" s="24"/>
    </row>
    <row r="20" spans="1:10" x14ac:dyDescent="0.2">
      <c r="A20" s="10">
        <v>17</v>
      </c>
      <c r="B20" s="11">
        <v>3170</v>
      </c>
      <c r="C20" s="11"/>
      <c r="D20" s="11">
        <v>24855</v>
      </c>
      <c r="E20" s="11">
        <v>24000</v>
      </c>
      <c r="F20" s="11">
        <f t="shared" si="0"/>
        <v>-4025</v>
      </c>
      <c r="G20" s="11"/>
      <c r="I20" s="11"/>
      <c r="J20" s="24"/>
    </row>
    <row r="21" spans="1:10" x14ac:dyDescent="0.2">
      <c r="A21" s="10">
        <v>18</v>
      </c>
      <c r="B21" s="129">
        <v>1957</v>
      </c>
      <c r="C21" s="11"/>
      <c r="D21" s="11">
        <v>24860</v>
      </c>
      <c r="E21" s="11">
        <v>24000</v>
      </c>
      <c r="F21" s="11">
        <f t="shared" si="0"/>
        <v>-2817</v>
      </c>
      <c r="G21" s="11"/>
      <c r="I21" s="11"/>
      <c r="J21" s="24"/>
    </row>
    <row r="22" spans="1:10" x14ac:dyDescent="0.2">
      <c r="A22" s="10">
        <v>19</v>
      </c>
      <c r="B22" s="11">
        <v>1222</v>
      </c>
      <c r="C22" s="11"/>
      <c r="D22" s="11">
        <v>24859</v>
      </c>
      <c r="E22" s="11">
        <v>24000</v>
      </c>
      <c r="F22" s="11">
        <f t="shared" si="0"/>
        <v>-2081</v>
      </c>
      <c r="G22" s="11"/>
      <c r="I22" s="11"/>
      <c r="J22" s="24"/>
    </row>
    <row r="23" spans="1:10" x14ac:dyDescent="0.2">
      <c r="A23" s="10">
        <v>20</v>
      </c>
      <c r="B23" s="11">
        <v>4405</v>
      </c>
      <c r="C23" s="11"/>
      <c r="D23" s="11">
        <v>25015</v>
      </c>
      <c r="E23" s="11">
        <v>24000</v>
      </c>
      <c r="F23" s="11">
        <f t="shared" si="0"/>
        <v>-5420</v>
      </c>
      <c r="G23" s="11"/>
      <c r="I23" s="11"/>
      <c r="J23" s="24"/>
    </row>
    <row r="24" spans="1:10" x14ac:dyDescent="0.2">
      <c r="A24" s="10">
        <v>21</v>
      </c>
      <c r="B24" s="11">
        <v>25059</v>
      </c>
      <c r="C24" s="11"/>
      <c r="D24" s="11">
        <v>25426</v>
      </c>
      <c r="E24" s="11">
        <v>24000</v>
      </c>
      <c r="F24" s="11">
        <f t="shared" si="0"/>
        <v>-26485</v>
      </c>
      <c r="G24" s="11"/>
      <c r="I24" s="11"/>
      <c r="J24" s="24"/>
    </row>
    <row r="25" spans="1:10" x14ac:dyDescent="0.2">
      <c r="A25" s="10">
        <v>22</v>
      </c>
      <c r="B25" s="11">
        <v>2794</v>
      </c>
      <c r="C25" s="11"/>
      <c r="D25" s="11">
        <v>26233</v>
      </c>
      <c r="E25" s="11">
        <v>24000</v>
      </c>
      <c r="F25" s="11">
        <f t="shared" si="0"/>
        <v>-5027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154</v>
      </c>
      <c r="I33" s="378">
        <v>23995</v>
      </c>
      <c r="J33" s="378">
        <v>22051</v>
      </c>
      <c r="K33" s="378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4">
        <v>-178485</v>
      </c>
      <c r="J34" s="474">
        <v>-46545</v>
      </c>
      <c r="K34" s="14"/>
      <c r="L34" s="14"/>
    </row>
    <row r="35" spans="1:13" x14ac:dyDescent="0.2">
      <c r="A35" s="10"/>
      <c r="B35" s="11">
        <f>SUM(B4:B34)</f>
        <v>63438</v>
      </c>
      <c r="C35" s="11">
        <f>SUM(C4:C34)</f>
        <v>0</v>
      </c>
      <c r="D35" s="11">
        <f>SUM(D4:D34)</f>
        <v>548316</v>
      </c>
      <c r="E35" s="11">
        <f>SUM(E4:E34)</f>
        <v>526201</v>
      </c>
      <c r="F35" s="11">
        <f>SUM(F4:F34)</f>
        <v>-85553</v>
      </c>
      <c r="G35" s="11"/>
      <c r="H35" s="49">
        <f>+A40</f>
        <v>37156</v>
      </c>
      <c r="I35" s="376">
        <f>+C36</f>
        <v>-63438</v>
      </c>
      <c r="J35" s="376">
        <f>+E36</f>
        <v>-22115</v>
      </c>
      <c r="K35" s="208"/>
      <c r="L35" s="14"/>
    </row>
    <row r="36" spans="1:13" x14ac:dyDescent="0.2">
      <c r="C36" s="25">
        <f>+C35-B35</f>
        <v>-63438</v>
      </c>
      <c r="E36" s="25">
        <f>+E35-D35</f>
        <v>-22115</v>
      </c>
      <c r="F36" s="25">
        <f>+E36+C36</f>
        <v>-85553</v>
      </c>
      <c r="H36" s="32"/>
      <c r="I36" s="14">
        <f>+I35+I34</f>
        <v>-241923</v>
      </c>
      <c r="J36" s="14">
        <f>+J35+J34</f>
        <v>-68660</v>
      </c>
      <c r="K36" s="14">
        <f>+J36+I36</f>
        <v>-310583</v>
      </c>
      <c r="L36" s="14"/>
    </row>
    <row r="37" spans="1:13" x14ac:dyDescent="0.2">
      <c r="C37" s="329">
        <f>+summary!H5</f>
        <v>2.0299999999999998</v>
      </c>
      <c r="E37" s="104">
        <f>+C37</f>
        <v>2.0299999999999998</v>
      </c>
      <c r="F37" s="138">
        <f>+F36*E37</f>
        <v>-173672.59</v>
      </c>
    </row>
    <row r="38" spans="1:13" x14ac:dyDescent="0.2">
      <c r="C38" s="138">
        <f>+C37*C36</f>
        <v>-128779.13999999998</v>
      </c>
      <c r="E38" s="136">
        <f>+E37*E36</f>
        <v>-44893.45</v>
      </c>
      <c r="F38" s="138">
        <f>+E38+C38</f>
        <v>-173672.58999999997</v>
      </c>
    </row>
    <row r="39" spans="1:13" x14ac:dyDescent="0.2">
      <c r="A39" s="57">
        <v>37134</v>
      </c>
      <c r="B39" s="2" t="s">
        <v>46</v>
      </c>
      <c r="C39" s="485">
        <v>-1023166.39</v>
      </c>
      <c r="D39" s="338"/>
      <c r="E39" s="472">
        <v>-399182.01</v>
      </c>
      <c r="F39" s="337">
        <f>+E39+C39</f>
        <v>-1422348.4</v>
      </c>
    </row>
    <row r="40" spans="1:13" x14ac:dyDescent="0.2">
      <c r="A40" s="57">
        <v>37156</v>
      </c>
      <c r="B40" s="2" t="s">
        <v>46</v>
      </c>
      <c r="C40" s="330">
        <f>+C39+C38</f>
        <v>-1151945.53</v>
      </c>
      <c r="D40" s="259"/>
      <c r="E40" s="330">
        <f>+E39+E38</f>
        <v>-444075.46</v>
      </c>
      <c r="F40" s="330">
        <f>+E40+C40</f>
        <v>-1596020.99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113</v>
      </c>
    </row>
    <row r="44" spans="1:13" x14ac:dyDescent="0.2">
      <c r="C44" s="250"/>
      <c r="D44" s="250"/>
      <c r="E44" s="12">
        <v>22864</v>
      </c>
      <c r="F44" s="483">
        <v>-58339.66</v>
      </c>
      <c r="G44" s="254" t="s">
        <v>48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3">
        <v>-51695.87</v>
      </c>
      <c r="G45" s="254" t="s">
        <v>124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86">
        <v>44144.84</v>
      </c>
      <c r="G46" s="254" t="s">
        <v>125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3">
        <v>61340.160000000003</v>
      </c>
      <c r="G47" s="254" t="s">
        <v>126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87">
        <v>-933276.39</v>
      </c>
      <c r="G48" s="254" t="s">
        <v>123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-2533847.91</v>
      </c>
      <c r="G49" s="250"/>
      <c r="K49" s="14">
        <f>SUM(K36:K48)</f>
        <v>-311791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141</v>
      </c>
      <c r="F51" s="138">
        <f>+Duke!C56</f>
        <v>2395831.3699999996</v>
      </c>
      <c r="M51" s="14">
        <f>+Duke!I56</f>
        <v>569452</v>
      </c>
    </row>
    <row r="53" spans="3:13" x14ac:dyDescent="0.2">
      <c r="F53" s="104">
        <f>+F51+F49</f>
        <v>-138016.5400000005</v>
      </c>
      <c r="M53" s="16">
        <f>+M51+K49</f>
        <v>257661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17" workbookViewId="3">
      <selection activeCell="E40" sqref="E4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5933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-21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5912</v>
      </c>
      <c r="C23" s="11">
        <v>6386</v>
      </c>
      <c r="D23" s="11"/>
      <c r="E23" s="11"/>
      <c r="F23" s="11">
        <v>1048</v>
      </c>
      <c r="G23" s="11">
        <v>874</v>
      </c>
      <c r="H23" s="11">
        <v>1813</v>
      </c>
      <c r="I23" s="11">
        <v>1658</v>
      </c>
      <c r="J23" s="25">
        <f t="shared" si="0"/>
        <v>145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6013</v>
      </c>
      <c r="C24" s="11">
        <v>6386</v>
      </c>
      <c r="D24" s="11"/>
      <c r="E24" s="11"/>
      <c r="F24" s="11">
        <v>1016</v>
      </c>
      <c r="G24" s="11">
        <v>874</v>
      </c>
      <c r="H24" s="11">
        <v>1904</v>
      </c>
      <c r="I24" s="11">
        <v>1658</v>
      </c>
      <c r="J24" s="25">
        <f t="shared" si="0"/>
        <v>-15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6038</v>
      </c>
      <c r="C25" s="11">
        <v>6386</v>
      </c>
      <c r="D25" s="11"/>
      <c r="E25" s="11"/>
      <c r="F25" s="11">
        <v>1006</v>
      </c>
      <c r="G25" s="11">
        <v>874</v>
      </c>
      <c r="H25" s="11">
        <v>1981</v>
      </c>
      <c r="I25" s="11">
        <v>1658</v>
      </c>
      <c r="J25" s="25">
        <f t="shared" si="0"/>
        <v>-107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5943</v>
      </c>
      <c r="C26" s="11">
        <v>6386</v>
      </c>
      <c r="D26" s="11"/>
      <c r="E26" s="11"/>
      <c r="F26" s="11">
        <v>986</v>
      </c>
      <c r="G26" s="11">
        <v>874</v>
      </c>
      <c r="H26" s="11">
        <v>1926</v>
      </c>
      <c r="I26" s="11">
        <v>1658</v>
      </c>
      <c r="J26" s="25">
        <f t="shared" si="0"/>
        <v>63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6095</v>
      </c>
      <c r="C27" s="11">
        <v>6386</v>
      </c>
      <c r="D27" s="11"/>
      <c r="E27" s="11"/>
      <c r="F27" s="11">
        <v>868</v>
      </c>
      <c r="G27" s="11">
        <v>874</v>
      </c>
      <c r="H27" s="11">
        <v>1899</v>
      </c>
      <c r="I27" s="11">
        <v>1658</v>
      </c>
      <c r="J27" s="25">
        <f t="shared" si="0"/>
        <v>56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6161</v>
      </c>
      <c r="C28" s="11">
        <v>6386</v>
      </c>
      <c r="D28" s="11"/>
      <c r="E28" s="11"/>
      <c r="F28" s="11">
        <v>885</v>
      </c>
      <c r="G28" s="11">
        <v>874</v>
      </c>
      <c r="H28" s="11">
        <v>1890</v>
      </c>
      <c r="I28" s="11">
        <v>1658</v>
      </c>
      <c r="J28" s="25">
        <f t="shared" si="0"/>
        <v>-18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6074</v>
      </c>
      <c r="C29" s="11">
        <v>6386</v>
      </c>
      <c r="D29" s="11"/>
      <c r="E29" s="11"/>
      <c r="F29" s="11">
        <v>900</v>
      </c>
      <c r="G29" s="11">
        <v>874</v>
      </c>
      <c r="H29" s="11">
        <v>481</v>
      </c>
      <c r="I29" s="11">
        <v>1658</v>
      </c>
      <c r="J29" s="25">
        <f t="shared" si="0"/>
        <v>1463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130634</v>
      </c>
      <c r="C39" s="11">
        <f t="shared" si="1"/>
        <v>140454</v>
      </c>
      <c r="D39" s="11">
        <f t="shared" si="1"/>
        <v>0</v>
      </c>
      <c r="E39" s="11">
        <f t="shared" si="1"/>
        <v>0</v>
      </c>
      <c r="F39" s="11">
        <f t="shared" si="1"/>
        <v>21023</v>
      </c>
      <c r="G39" s="11">
        <f t="shared" si="1"/>
        <v>29997</v>
      </c>
      <c r="H39" s="11">
        <f t="shared" si="1"/>
        <v>42443</v>
      </c>
      <c r="I39" s="11">
        <f t="shared" si="1"/>
        <v>30876</v>
      </c>
      <c r="J39" s="25">
        <f t="shared" si="1"/>
        <v>7227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14164.92</v>
      </c>
      <c r="L41"/>
      <c r="R41" s="138"/>
      <c r="X41" s="138"/>
    </row>
    <row r="42" spans="1:24" x14ac:dyDescent="0.2">
      <c r="A42" s="57">
        <v>37134</v>
      </c>
      <c r="C42" s="15"/>
      <c r="J42" s="480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37156</v>
      </c>
      <c r="C43" s="48"/>
      <c r="J43" s="138">
        <f>+J42+J41</f>
        <v>357730.67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154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4">
        <v>135836</v>
      </c>
      <c r="L47"/>
    </row>
    <row r="48" spans="1:24" x14ac:dyDescent="0.2">
      <c r="A48" s="49">
        <f>+A43</f>
        <v>37156</v>
      </c>
      <c r="B48" s="32"/>
      <c r="C48" s="32"/>
      <c r="D48" s="376">
        <f>+J39</f>
        <v>7227</v>
      </c>
      <c r="L48"/>
    </row>
    <row r="49" spans="1:12" x14ac:dyDescent="0.2">
      <c r="A49" s="32"/>
      <c r="B49" s="32"/>
      <c r="C49" s="32"/>
      <c r="D49" s="14">
        <f>+D48+D47</f>
        <v>143063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1" workbookViewId="3">
      <selection activeCell="B49" sqref="B49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203</v>
      </c>
      <c r="C6" s="295"/>
      <c r="D6" s="34" t="s">
        <v>204</v>
      </c>
      <c r="E6" s="295"/>
      <c r="F6" s="29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6" t="s">
        <v>11</v>
      </c>
      <c r="B7" s="498" t="s">
        <v>20</v>
      </c>
      <c r="C7" s="498" t="s">
        <v>21</v>
      </c>
      <c r="D7" s="498" t="s">
        <v>20</v>
      </c>
      <c r="E7" s="498" t="s">
        <v>21</v>
      </c>
      <c r="F7" s="498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9">
        <v>1</v>
      </c>
      <c r="B8" s="446">
        <v>11248</v>
      </c>
      <c r="C8" s="446">
        <v>11294</v>
      </c>
      <c r="D8" s="446">
        <v>-98</v>
      </c>
      <c r="E8" s="446"/>
      <c r="F8" s="321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9">
        <v>2</v>
      </c>
      <c r="B9" s="446">
        <v>11633</v>
      </c>
      <c r="C9" s="446">
        <v>11294</v>
      </c>
      <c r="D9" s="446">
        <v>-72</v>
      </c>
      <c r="E9" s="446"/>
      <c r="F9" s="321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9">
        <v>3</v>
      </c>
      <c r="B10" s="446">
        <v>11027</v>
      </c>
      <c r="C10" s="446">
        <v>11294</v>
      </c>
      <c r="D10" s="446">
        <v>-114</v>
      </c>
      <c r="E10" s="446"/>
      <c r="F10" s="321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9">
        <v>4</v>
      </c>
      <c r="B11" s="446">
        <v>11274</v>
      </c>
      <c r="C11" s="446">
        <v>11294</v>
      </c>
      <c r="D11" s="446">
        <v>-97</v>
      </c>
      <c r="E11" s="446"/>
      <c r="F11" s="321">
        <f t="shared" si="0"/>
        <v>117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9">
        <v>5</v>
      </c>
      <c r="B12" s="446">
        <v>11569</v>
      </c>
      <c r="C12" s="446">
        <v>11294</v>
      </c>
      <c r="D12" s="446">
        <v>-831</v>
      </c>
      <c r="E12" s="446"/>
      <c r="F12" s="321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9">
        <v>6</v>
      </c>
      <c r="B13" s="446">
        <v>11037</v>
      </c>
      <c r="C13" s="446">
        <v>11295</v>
      </c>
      <c r="D13" s="446">
        <v>-49</v>
      </c>
      <c r="E13" s="446"/>
      <c r="F13" s="321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9">
        <v>7</v>
      </c>
      <c r="B14" s="446">
        <v>11390</v>
      </c>
      <c r="C14" s="446">
        <v>11295</v>
      </c>
      <c r="D14" s="446"/>
      <c r="E14" s="446"/>
      <c r="F14" s="321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9">
        <v>8</v>
      </c>
      <c r="B15" s="446">
        <v>11316</v>
      </c>
      <c r="C15" s="446">
        <v>11294</v>
      </c>
      <c r="D15" s="446"/>
      <c r="E15" s="446"/>
      <c r="F15" s="321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9">
        <v>9</v>
      </c>
      <c r="B16" s="446">
        <v>11201</v>
      </c>
      <c r="C16" s="446">
        <v>11294</v>
      </c>
      <c r="D16" s="446"/>
      <c r="E16" s="446"/>
      <c r="F16" s="321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9">
        <v>10</v>
      </c>
      <c r="B17" s="446">
        <v>12643</v>
      </c>
      <c r="C17" s="446">
        <v>11294</v>
      </c>
      <c r="D17" s="446">
        <v>-704</v>
      </c>
      <c r="E17" s="446"/>
      <c r="F17" s="321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9">
        <v>11</v>
      </c>
      <c r="B18" s="446">
        <v>12233</v>
      </c>
      <c r="C18" s="446">
        <v>11294</v>
      </c>
      <c r="D18" s="446">
        <v>-352</v>
      </c>
      <c r="E18" s="446"/>
      <c r="F18" s="321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9">
        <v>12</v>
      </c>
      <c r="B19" s="446">
        <v>12017</v>
      </c>
      <c r="C19" s="446">
        <v>11294</v>
      </c>
      <c r="D19" s="446">
        <v>-225</v>
      </c>
      <c r="E19" s="446"/>
      <c r="F19" s="321">
        <f t="shared" si="0"/>
        <v>-498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9">
        <v>13</v>
      </c>
      <c r="B20" s="446">
        <v>11939</v>
      </c>
      <c r="C20" s="446">
        <v>11294</v>
      </c>
      <c r="D20" s="446">
        <v>-196</v>
      </c>
      <c r="E20" s="446"/>
      <c r="F20" s="321">
        <f t="shared" si="0"/>
        <v>-449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9">
        <v>14</v>
      </c>
      <c r="B21" s="446">
        <v>11915</v>
      </c>
      <c r="C21" s="446">
        <v>11295</v>
      </c>
      <c r="D21" s="446">
        <v>-135</v>
      </c>
      <c r="E21" s="446"/>
      <c r="F21" s="321">
        <f t="shared" si="0"/>
        <v>-485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9">
        <v>15</v>
      </c>
      <c r="B22" s="446">
        <v>12828</v>
      </c>
      <c r="C22" s="446">
        <v>11294</v>
      </c>
      <c r="D22" s="446">
        <v>-490</v>
      </c>
      <c r="E22" s="446"/>
      <c r="F22" s="321">
        <f t="shared" si="0"/>
        <v>-1044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9">
        <v>16</v>
      </c>
      <c r="B23" s="446">
        <v>13094</v>
      </c>
      <c r="C23" s="446">
        <v>11294</v>
      </c>
      <c r="D23" s="446">
        <v>-370</v>
      </c>
      <c r="E23" s="446"/>
      <c r="F23" s="321">
        <f t="shared" si="0"/>
        <v>-1430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9">
        <v>17</v>
      </c>
      <c r="B24" s="446">
        <v>13691</v>
      </c>
      <c r="C24" s="446">
        <v>11294</v>
      </c>
      <c r="D24" s="446">
        <v>-734</v>
      </c>
      <c r="E24" s="446"/>
      <c r="F24" s="321">
        <f t="shared" si="0"/>
        <v>-1663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9">
        <v>18</v>
      </c>
      <c r="B25" s="446">
        <v>13166</v>
      </c>
      <c r="C25" s="446">
        <v>11295</v>
      </c>
      <c r="D25" s="446">
        <v>-396</v>
      </c>
      <c r="E25" s="446"/>
      <c r="F25" s="321">
        <f t="shared" si="0"/>
        <v>-1475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9">
        <v>19</v>
      </c>
      <c r="B26" s="446">
        <v>12678</v>
      </c>
      <c r="C26" s="446">
        <v>11294</v>
      </c>
      <c r="D26" s="446">
        <v>-69</v>
      </c>
      <c r="E26" s="446"/>
      <c r="F26" s="321">
        <f t="shared" si="0"/>
        <v>-1315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9">
        <v>20</v>
      </c>
      <c r="B27" s="446">
        <v>12792</v>
      </c>
      <c r="C27" s="446">
        <v>11293</v>
      </c>
      <c r="D27" s="446">
        <v>-149</v>
      </c>
      <c r="E27" s="446"/>
      <c r="F27" s="321">
        <f t="shared" si="0"/>
        <v>-1350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9">
        <v>21</v>
      </c>
      <c r="B28" s="446">
        <v>12765</v>
      </c>
      <c r="C28" s="446">
        <v>11293</v>
      </c>
      <c r="D28" s="446">
        <v>-74</v>
      </c>
      <c r="E28" s="446"/>
      <c r="F28" s="321">
        <f t="shared" si="0"/>
        <v>-1398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9">
        <v>22</v>
      </c>
      <c r="B29" s="446">
        <v>12784</v>
      </c>
      <c r="C29" s="446">
        <v>11293</v>
      </c>
      <c r="D29" s="446">
        <v>-87</v>
      </c>
      <c r="E29" s="446"/>
      <c r="F29" s="321">
        <f t="shared" si="0"/>
        <v>-1404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9">
        <v>23</v>
      </c>
      <c r="B30" s="446"/>
      <c r="C30" s="446"/>
      <c r="D30" s="446"/>
      <c r="E30" s="446"/>
      <c r="F30" s="321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9">
        <v>24</v>
      </c>
      <c r="B31" s="446"/>
      <c r="C31" s="446"/>
      <c r="D31" s="446"/>
      <c r="E31" s="446"/>
      <c r="F31" s="321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9">
        <v>25</v>
      </c>
      <c r="B32" s="446"/>
      <c r="C32" s="446"/>
      <c r="D32" s="446"/>
      <c r="E32" s="446"/>
      <c r="F32" s="321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9">
        <v>26</v>
      </c>
      <c r="B33" s="446"/>
      <c r="C33" s="446"/>
      <c r="D33" s="446"/>
      <c r="E33" s="446"/>
      <c r="F33" s="321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9">
        <v>27</v>
      </c>
      <c r="B34" s="446"/>
      <c r="C34" s="446"/>
      <c r="D34" s="446"/>
      <c r="E34" s="446"/>
      <c r="F34" s="321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9">
        <v>28</v>
      </c>
      <c r="B35" s="446"/>
      <c r="C35" s="446"/>
      <c r="D35" s="446"/>
      <c r="E35" s="446"/>
      <c r="F35" s="321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9">
        <v>29</v>
      </c>
      <c r="B36" s="446"/>
      <c r="C36" s="446"/>
      <c r="D36" s="446"/>
      <c r="E36" s="446"/>
      <c r="F36" s="321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9">
        <v>30</v>
      </c>
      <c r="B37" s="446"/>
      <c r="C37" s="446"/>
      <c r="D37" s="446"/>
      <c r="E37" s="446"/>
      <c r="F37" s="321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9">
        <v>31</v>
      </c>
      <c r="B38" s="446"/>
      <c r="C38" s="446"/>
      <c r="D38" s="446"/>
      <c r="E38" s="446"/>
      <c r="F38" s="321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9"/>
      <c r="B39" s="446">
        <f>SUM(B8:B38)</f>
        <v>266240</v>
      </c>
      <c r="C39" s="446">
        <f>SUM(C8:C38)</f>
        <v>248469</v>
      </c>
      <c r="D39" s="446">
        <f>SUM(D8:D38)</f>
        <v>-5242</v>
      </c>
      <c r="E39" s="446">
        <f>SUM(E8:E38)</f>
        <v>0</v>
      </c>
      <c r="F39" s="446">
        <f>SUM(F8:F38)</f>
        <v>-12529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500"/>
      <c r="B40" s="295"/>
      <c r="C40" s="501"/>
      <c r="D40" s="501"/>
      <c r="E40" s="501"/>
      <c r="F40" s="502">
        <f>+summary!H4</f>
        <v>1.96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5"/>
      <c r="B41" s="295"/>
      <c r="C41" s="295"/>
      <c r="D41" s="295"/>
      <c r="E41" s="295"/>
      <c r="F41" s="503">
        <f>+F40*F39</f>
        <v>-24556.84</v>
      </c>
      <c r="J41" s="138"/>
      <c r="N41" s="138"/>
      <c r="R41" s="138"/>
      <c r="V41" s="138"/>
      <c r="Z41" s="138"/>
    </row>
    <row r="42" spans="1:26" ht="15" customHeight="1" x14ac:dyDescent="0.2">
      <c r="A42" s="56">
        <v>37134</v>
      </c>
      <c r="B42" s="295"/>
      <c r="C42" s="504"/>
      <c r="D42" s="504"/>
      <c r="E42" s="504"/>
      <c r="F42" s="505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37156</v>
      </c>
      <c r="B43" s="295"/>
      <c r="C43" s="506"/>
      <c r="D43" s="506"/>
      <c r="E43" s="506"/>
      <c r="F43" s="452">
        <f>+F42+F41</f>
        <v>404595.13999999996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154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4">
        <v>-240480</v>
      </c>
      <c r="E47" s="11"/>
    </row>
    <row r="48" spans="1:26" x14ac:dyDescent="0.2">
      <c r="A48" s="49">
        <f>+A43</f>
        <v>37156</v>
      </c>
      <c r="B48" s="32"/>
      <c r="C48" s="32"/>
      <c r="D48" s="376">
        <f>+F39</f>
        <v>-12529</v>
      </c>
      <c r="E48" s="11"/>
    </row>
    <row r="49" spans="1:5" x14ac:dyDescent="0.2">
      <c r="A49" s="32"/>
      <c r="B49" s="32"/>
      <c r="C49" s="32"/>
      <c r="D49" s="14">
        <f>+D48+D47</f>
        <v>-253009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workbookViewId="3">
      <selection activeCell="E9" sqref="E9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143</v>
      </c>
      <c r="G2" s="393" t="s">
        <v>79</v>
      </c>
      <c r="H2" s="370"/>
    </row>
    <row r="3" spans="1:32" ht="15" customHeight="1" x14ac:dyDescent="0.2">
      <c r="G3" s="299" t="s">
        <v>30</v>
      </c>
      <c r="H3" s="369">
        <f>+'[1]0901'!$K$39</f>
        <v>1.82</v>
      </c>
      <c r="I3" s="404">
        <f ca="1">NOW()</f>
        <v>41885.693770833335</v>
      </c>
    </row>
    <row r="4" spans="1:32" ht="15" customHeight="1" x14ac:dyDescent="0.2">
      <c r="A4" s="34" t="s">
        <v>149</v>
      </c>
      <c r="C4" s="34" t="s">
        <v>5</v>
      </c>
      <c r="G4" s="300" t="s">
        <v>31</v>
      </c>
      <c r="H4" s="301">
        <f>+'[1]0901'!$M$39</f>
        <v>1.96</v>
      </c>
    </row>
    <row r="5" spans="1:32" ht="15" customHeight="1" x14ac:dyDescent="0.2">
      <c r="B5" s="367"/>
      <c r="G5" s="299" t="s">
        <v>118</v>
      </c>
      <c r="H5" s="369">
        <f>+'[1]0901'!$H$39</f>
        <v>2.0299999999999998</v>
      </c>
    </row>
    <row r="6" spans="1:32" ht="9.9499999999999993" customHeight="1" x14ac:dyDescent="0.2"/>
    <row r="7" spans="1:32" ht="15" customHeight="1" x14ac:dyDescent="0.2">
      <c r="A7" s="355" t="s">
        <v>90</v>
      </c>
      <c r="B7" s="356" t="s">
        <v>17</v>
      </c>
      <c r="C7" s="357" t="s">
        <v>0</v>
      </c>
      <c r="D7" s="5" t="s">
        <v>150</v>
      </c>
      <c r="E7" s="355" t="s">
        <v>91</v>
      </c>
      <c r="F7" s="358" t="s">
        <v>102</v>
      </c>
      <c r="G7" s="355" t="s">
        <v>99</v>
      </c>
    </row>
    <row r="8" spans="1:32" ht="15" customHeight="1" x14ac:dyDescent="0.2">
      <c r="A8" s="371" t="s">
        <v>33</v>
      </c>
      <c r="B8" s="372">
        <f>+C8*$H$4</f>
        <v>589021.16</v>
      </c>
      <c r="C8" s="208">
        <f>+SoCal!F40</f>
        <v>300521</v>
      </c>
      <c r="D8" s="394">
        <f>+SoCal!A40</f>
        <v>37157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151</v>
      </c>
      <c r="B9" s="372">
        <f>+PGETX!$H$39</f>
        <v>457833.26</v>
      </c>
      <c r="C9" s="285">
        <f t="shared" ref="C9:C16" si="0">+B9/$H$4</f>
        <v>233588.39795918367</v>
      </c>
      <c r="D9" s="395">
        <f>+PGETX!E39</f>
        <v>37157</v>
      </c>
      <c r="E9" s="32" t="s">
        <v>86</v>
      </c>
      <c r="F9" s="32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108</v>
      </c>
      <c r="B10" s="372">
        <f>+KN_Westar!F41</f>
        <v>457324.94</v>
      </c>
      <c r="C10" s="285">
        <f t="shared" si="0"/>
        <v>233329.05102040817</v>
      </c>
      <c r="D10" s="395">
        <f>+KN_Westar!A41</f>
        <v>37149</v>
      </c>
      <c r="E10" s="32" t="s">
        <v>86</v>
      </c>
      <c r="F10" s="32" t="s">
        <v>101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1" t="s">
        <v>88</v>
      </c>
      <c r="B11" s="372">
        <f>+NNG!$D$24</f>
        <v>450705.56</v>
      </c>
      <c r="C11" s="285">
        <f t="shared" si="0"/>
        <v>229951.81632653062</v>
      </c>
      <c r="D11" s="394">
        <f>+NNG!A24</f>
        <v>37156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1" t="s">
        <v>29</v>
      </c>
      <c r="B12" s="372">
        <f>+C12*$H$3</f>
        <v>440913.2</v>
      </c>
      <c r="C12" s="285">
        <f>+williams!J40</f>
        <v>242260</v>
      </c>
      <c r="D12" s="394">
        <f>+williams!A40</f>
        <v>37157</v>
      </c>
      <c r="E12" s="206" t="s">
        <v>85</v>
      </c>
      <c r="F12" s="206" t="s">
        <v>148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3</v>
      </c>
      <c r="B13" s="372">
        <f>+'Amoco Abo'!$F$43</f>
        <v>404595.13999999996</v>
      </c>
      <c r="C13" s="285">
        <f t="shared" si="0"/>
        <v>206426.09183673467</v>
      </c>
      <c r="D13" s="395">
        <f>+'Amoco Abo'!A43</f>
        <v>37156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81</v>
      </c>
      <c r="B14" s="372">
        <f>+Conoco!$F$41</f>
        <v>397931.69</v>
      </c>
      <c r="C14" s="285">
        <f>+B14/$H$4</f>
        <v>203026.37244897959</v>
      </c>
      <c r="D14" s="394">
        <f>+Conoco!A41</f>
        <v>37157</v>
      </c>
      <c r="E14" s="32" t="s">
        <v>86</v>
      </c>
      <c r="F14" s="32" t="s">
        <v>114</v>
      </c>
      <c r="G14" s="32" t="s">
        <v>146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111</v>
      </c>
      <c r="B15" s="372">
        <f>+CIG!$D$43</f>
        <v>392148.28</v>
      </c>
      <c r="C15" s="285">
        <f t="shared" si="0"/>
        <v>200075.6530612245</v>
      </c>
      <c r="D15" s="395">
        <f>+CIG!A43</f>
        <v>37156</v>
      </c>
      <c r="E15" s="32" t="s">
        <v>86</v>
      </c>
      <c r="F15" s="32" t="s">
        <v>114</v>
      </c>
      <c r="G15" s="32" t="s">
        <v>202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</v>
      </c>
      <c r="B16" s="372">
        <f>+mewborne!$J$43</f>
        <v>357730.67</v>
      </c>
      <c r="C16" s="285">
        <f t="shared" si="0"/>
        <v>182515.64795918367</v>
      </c>
      <c r="D16" s="395">
        <f>+mewborne!A43</f>
        <v>37156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95</v>
      </c>
      <c r="B17" s="372">
        <f>+C17*$H$4</f>
        <v>302422.12</v>
      </c>
      <c r="C17" s="285">
        <f>+Mojave!D40</f>
        <v>154297</v>
      </c>
      <c r="D17" s="395">
        <f>+Mojave!A40</f>
        <v>37157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38">
        <f>+C18*$H$3</f>
        <v>289152.5</v>
      </c>
      <c r="C18" s="374">
        <f>+'Red C'!F43</f>
        <v>158875</v>
      </c>
      <c r="D18" s="394">
        <f>+'Red C'!B43</f>
        <v>37156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89</v>
      </c>
      <c r="B19" s="372">
        <f>+C19*$H$4</f>
        <v>231685.72</v>
      </c>
      <c r="C19" s="285">
        <f>+NGPL!F38</f>
        <v>118207</v>
      </c>
      <c r="D19" s="395">
        <f>+NGPL!A38</f>
        <v>37156</v>
      </c>
      <c r="E19" s="32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83</v>
      </c>
      <c r="B20" s="372">
        <f>+PNM!$D$23</f>
        <v>228605.31</v>
      </c>
      <c r="C20" s="285">
        <f t="shared" ref="C20:C30" si="1">+B20/$H$4</f>
        <v>116635.36224489796</v>
      </c>
      <c r="D20" s="395">
        <f>+PNM!A23</f>
        <v>37156</v>
      </c>
      <c r="E20" s="32" t="s">
        <v>86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32</v>
      </c>
      <c r="B21" s="372">
        <f>+C21*$H$4</f>
        <v>142362.63999999998</v>
      </c>
      <c r="C21" s="285">
        <f>+Lonestar!F42</f>
        <v>72634</v>
      </c>
      <c r="D21" s="394">
        <f>+Lonestar!B42</f>
        <v>37157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115</v>
      </c>
      <c r="B22" s="372">
        <f>+C22*$H$4</f>
        <v>136664.91999999998</v>
      </c>
      <c r="C22" s="208">
        <f>+'PG&amp;E'!D40</f>
        <v>69727</v>
      </c>
      <c r="D22" s="395">
        <f>+'PG&amp;E'!A40</f>
        <v>37157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371" t="s">
        <v>80</v>
      </c>
      <c r="B23" s="372">
        <f>+Agave!$D$24</f>
        <v>132443.06999999998</v>
      </c>
      <c r="C23" s="208">
        <f>+B23/$H$4</f>
        <v>67572.994897959172</v>
      </c>
      <c r="D23" s="394">
        <f>+Agave!A24</f>
        <v>37156</v>
      </c>
      <c r="E23" s="206" t="s">
        <v>86</v>
      </c>
      <c r="F23" s="206" t="s">
        <v>103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6</v>
      </c>
      <c r="B24" s="372">
        <f>+C24*$H$3</f>
        <v>102698.96</v>
      </c>
      <c r="C24" s="285">
        <f>+Amoco!D40</f>
        <v>56428</v>
      </c>
      <c r="D24" s="395">
        <f>+Amoco!A40</f>
        <v>37157</v>
      </c>
      <c r="E24" s="32" t="s">
        <v>85</v>
      </c>
      <c r="F24" s="32" t="s">
        <v>116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7</v>
      </c>
      <c r="B25" s="372">
        <f>+C25*$H$4</f>
        <v>101718.12</v>
      </c>
      <c r="C25" s="208">
        <f>+Oasis!D40</f>
        <v>51897</v>
      </c>
      <c r="D25" s="395">
        <f>+Oasis!B40</f>
        <v>37156</v>
      </c>
      <c r="E25" s="32" t="s">
        <v>85</v>
      </c>
      <c r="F25" s="32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1" t="s">
        <v>130</v>
      </c>
      <c r="B26" s="372">
        <f>+Calpine!D41</f>
        <v>99866.06</v>
      </c>
      <c r="C26" s="208">
        <f t="shared" si="1"/>
        <v>50952.071428571428</v>
      </c>
      <c r="D26" s="394">
        <f>+Calpine!A41</f>
        <v>37157</v>
      </c>
      <c r="E26" s="206" t="s">
        <v>86</v>
      </c>
      <c r="F26" s="206" t="s">
        <v>100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</v>
      </c>
      <c r="B27" s="372">
        <f>+C27*$H$3</f>
        <v>97177.08</v>
      </c>
      <c r="C27" s="208">
        <f>+NW!$F$41</f>
        <v>53394</v>
      </c>
      <c r="D27" s="394">
        <f>+NW!B41</f>
        <v>37156</v>
      </c>
      <c r="E27" s="32" t="s">
        <v>85</v>
      </c>
      <c r="F27" s="32" t="s">
        <v>116</v>
      </c>
      <c r="G27" s="378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104</v>
      </c>
      <c r="B28" s="372">
        <f>+EOG!J41</f>
        <v>56367.64</v>
      </c>
      <c r="C28" s="285">
        <f t="shared" si="1"/>
        <v>28759</v>
      </c>
      <c r="D28" s="394">
        <f>+EOG!A41</f>
        <v>37156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71" t="s">
        <v>72</v>
      </c>
      <c r="B29" s="373">
        <f>+transcol!$D$43</f>
        <v>34184.129999999997</v>
      </c>
      <c r="C29" s="374">
        <f t="shared" si="1"/>
        <v>17440.882653061224</v>
      </c>
      <c r="D29" s="394">
        <f>+transcol!A43</f>
        <v>37156</v>
      </c>
      <c r="E29" s="206" t="s">
        <v>86</v>
      </c>
      <c r="F29" s="206" t="s">
        <v>116</v>
      </c>
      <c r="G29" s="304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2.95" customHeight="1" x14ac:dyDescent="0.2">
      <c r="A30" s="253" t="s">
        <v>134</v>
      </c>
      <c r="B30" s="372">
        <f>+SidR!D41</f>
        <v>30842.25</v>
      </c>
      <c r="C30" s="285">
        <f t="shared" si="1"/>
        <v>15735.841836734695</v>
      </c>
      <c r="D30" s="395">
        <f>+SidR!A41</f>
        <v>37156</v>
      </c>
      <c r="E30" s="32" t="s">
        <v>86</v>
      </c>
      <c r="F30" s="32" t="s">
        <v>103</v>
      </c>
      <c r="G30" s="32" t="s">
        <v>165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304" customFormat="1" ht="12.95" customHeight="1" x14ac:dyDescent="0.2">
      <c r="A31" s="371" t="s">
        <v>110</v>
      </c>
      <c r="B31" s="372">
        <f>+Continental!F43</f>
        <v>5737.33</v>
      </c>
      <c r="C31" s="208">
        <f>+B31/$H$4</f>
        <v>2927.2091836734694</v>
      </c>
      <c r="D31" s="394">
        <f>+Continental!A43</f>
        <v>37156</v>
      </c>
      <c r="E31" s="206" t="s">
        <v>86</v>
      </c>
      <c r="F31" s="206" t="s">
        <v>116</v>
      </c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ht="13.5" customHeight="1" x14ac:dyDescent="0.2">
      <c r="A32" s="371" t="s">
        <v>96</v>
      </c>
      <c r="B32" s="375">
        <f>+burlington!D42</f>
        <v>3707.34</v>
      </c>
      <c r="C32" s="71">
        <f>+B32/$H$3</f>
        <v>2037</v>
      </c>
      <c r="D32" s="394">
        <f>+burlington!A42</f>
        <v>37156</v>
      </c>
      <c r="E32" s="206" t="s">
        <v>86</v>
      </c>
      <c r="F32" s="32" t="s">
        <v>114</v>
      </c>
      <c r="G32" s="32" t="s">
        <v>147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97</v>
      </c>
      <c r="B33" s="47">
        <f>SUM(B8:B32)</f>
        <v>5943839.0899999989</v>
      </c>
      <c r="C33" s="69">
        <f>SUM(C8:C32)</f>
        <v>3069213.3928571432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77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5" t="s">
        <v>90</v>
      </c>
      <c r="B35" s="356" t="s">
        <v>17</v>
      </c>
      <c r="C35" s="357" t="s">
        <v>0</v>
      </c>
      <c r="D35" s="366" t="s">
        <v>150</v>
      </c>
      <c r="E35" s="355" t="s">
        <v>91</v>
      </c>
      <c r="F35" s="358" t="s">
        <v>102</v>
      </c>
      <c r="G35" s="355" t="s">
        <v>99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5" customHeight="1" x14ac:dyDescent="0.2">
      <c r="A36" s="371" t="s">
        <v>138</v>
      </c>
      <c r="B36" s="372">
        <f>+Citizens!D18</f>
        <v>-611739.05000000005</v>
      </c>
      <c r="C36" s="208">
        <f>+B36/$H$4</f>
        <v>-312111.76020408166</v>
      </c>
      <c r="D36" s="394">
        <f>+Citizens!A18</f>
        <v>37156</v>
      </c>
      <c r="E36" s="206" t="s">
        <v>86</v>
      </c>
      <c r="F36" s="206" t="s">
        <v>100</v>
      </c>
      <c r="G36" s="37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253" t="s">
        <v>136</v>
      </c>
      <c r="B37" s="372">
        <f>+'NS Steel'!D41</f>
        <v>-443027.86</v>
      </c>
      <c r="C37" s="208">
        <f>+B37/$H$4</f>
        <v>-226034.62244897959</v>
      </c>
      <c r="D37" s="395">
        <f>+'NS Steel'!A41</f>
        <v>37156</v>
      </c>
      <c r="E37" s="32" t="s">
        <v>86</v>
      </c>
      <c r="F37" s="32" t="s">
        <v>101</v>
      </c>
      <c r="G37" s="378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129</v>
      </c>
      <c r="B38" s="372">
        <f>+DEFS!F53</f>
        <v>-138016.5400000005</v>
      </c>
      <c r="C38" s="208">
        <f>+B38/$H$4</f>
        <v>-70416.602040816579</v>
      </c>
      <c r="D38" s="394">
        <f>+DEFS!A40</f>
        <v>37156</v>
      </c>
      <c r="E38" s="32" t="s">
        <v>86</v>
      </c>
      <c r="F38" s="32" t="s">
        <v>101</v>
      </c>
      <c r="G38" s="32" t="s">
        <v>119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3.5" customHeight="1" x14ac:dyDescent="0.2">
      <c r="A39" s="253" t="s">
        <v>142</v>
      </c>
      <c r="B39" s="372">
        <f>+'Citizens-Griffith'!D41</f>
        <v>-58137.479999999996</v>
      </c>
      <c r="C39" s="285">
        <f>+B39/$H$4</f>
        <v>-29661.979591836734</v>
      </c>
      <c r="D39" s="394">
        <f>+'Citizens-Griffith'!A41</f>
        <v>37157</v>
      </c>
      <c r="E39" s="32" t="s">
        <v>86</v>
      </c>
      <c r="F39" s="32" t="s">
        <v>100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132</v>
      </c>
      <c r="B40" s="372">
        <f>+EPFS!D41</f>
        <v>-42264.86</v>
      </c>
      <c r="C40" s="208">
        <f>+B40/$H$5</f>
        <v>-20820.128078817736</v>
      </c>
      <c r="D40" s="394">
        <f>+EPFS!A41</f>
        <v>37157</v>
      </c>
      <c r="E40" s="32" t="s">
        <v>86</v>
      </c>
      <c r="F40" s="32" t="s">
        <v>103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34</v>
      </c>
      <c r="B41" s="372">
        <f>+'El Paso'!C39*summary!H4+'El Paso'!E39*summary!H3</f>
        <v>-18285.820000000007</v>
      </c>
      <c r="C41" s="285">
        <f>+'El Paso'!H39</f>
        <v>-14989</v>
      </c>
      <c r="D41" s="395">
        <f>+'El Paso'!A39</f>
        <v>37156</v>
      </c>
      <c r="E41" s="32" t="s">
        <v>85</v>
      </c>
      <c r="F41" s="32" t="s">
        <v>101</v>
      </c>
      <c r="G41" s="32" t="s">
        <v>120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145</v>
      </c>
      <c r="B42" s="510">
        <f>+C42*$H$4</f>
        <v>-19484.36</v>
      </c>
      <c r="C42" s="293">
        <f>+PEPL!D41</f>
        <v>-9941</v>
      </c>
      <c r="D42" s="395">
        <f>+PEPL!A41</f>
        <v>37156</v>
      </c>
      <c r="E42" s="32" t="s">
        <v>85</v>
      </c>
      <c r="F42" s="32" t="s">
        <v>101</v>
      </c>
      <c r="G42" s="32" t="s">
        <v>144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98</v>
      </c>
      <c r="B43" s="372">
        <f>SUM(B36:B42)</f>
        <v>-1330955.9700000009</v>
      </c>
      <c r="C43" s="208">
        <f>SUM(C36:C42)</f>
        <v>-683975.09236453229</v>
      </c>
      <c r="D43" s="379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5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80">
        <f>+B43+B33</f>
        <v>4612883.1199999982</v>
      </c>
      <c r="C45" s="381">
        <f>+C43+C33</f>
        <v>2385238.3004926108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2"/>
      <c r="C60" s="383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4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5"/>
      <c r="E66" s="38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89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0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0"/>
      <c r="C72" s="69"/>
      <c r="D72" s="384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1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1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0"/>
      <c r="C75" s="14"/>
      <c r="D75" s="384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0"/>
      <c r="C76" s="69"/>
      <c r="D76" s="384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0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2"/>
      <c r="C78" s="392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50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-647769</v>
      </c>
      <c r="C7" s="80">
        <v>-287299</v>
      </c>
      <c r="D7" s="80">
        <f t="shared" si="0"/>
        <v>360470</v>
      </c>
    </row>
    <row r="8" spans="1:8" x14ac:dyDescent="0.2">
      <c r="A8" s="32">
        <v>60667</v>
      </c>
      <c r="B8" s="323">
        <v>-70935</v>
      </c>
      <c r="C8" s="80">
        <v>-30939</v>
      </c>
      <c r="D8" s="80">
        <f t="shared" si="0"/>
        <v>39996</v>
      </c>
      <c r="H8" s="254"/>
    </row>
    <row r="9" spans="1:8" x14ac:dyDescent="0.2">
      <c r="A9" s="32">
        <v>60749</v>
      </c>
      <c r="B9" s="323">
        <v>1064860</v>
      </c>
      <c r="C9" s="80">
        <v>241403</v>
      </c>
      <c r="D9" s="80">
        <f t="shared" si="0"/>
        <v>-823457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-169236</v>
      </c>
      <c r="C11" s="80"/>
      <c r="D11" s="80">
        <f t="shared" si="0"/>
        <v>169236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25519</v>
      </c>
    </row>
    <row r="19" spans="1:5" x14ac:dyDescent="0.2">
      <c r="A19" s="32" t="s">
        <v>82</v>
      </c>
      <c r="B19" s="69"/>
      <c r="C19" s="69"/>
      <c r="D19" s="73">
        <f>+summary!H4</f>
        <v>1.96</v>
      </c>
    </row>
    <row r="20" spans="1:5" x14ac:dyDescent="0.2">
      <c r="B20" s="69"/>
      <c r="C20" s="69"/>
      <c r="D20" s="75">
        <f>+D19*D18</f>
        <v>50017.24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3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37156</v>
      </c>
      <c r="B24" s="69"/>
      <c r="C24" s="69"/>
      <c r="D24" s="351">
        <f>+D22+D20</f>
        <v>450705.56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154</v>
      </c>
    </row>
    <row r="32" spans="1:5" x14ac:dyDescent="0.2">
      <c r="A32" s="49">
        <f>+A22</f>
        <v>37134</v>
      </c>
      <c r="D32" s="492">
        <v>-29477</v>
      </c>
    </row>
    <row r="33" spans="1:4" x14ac:dyDescent="0.2">
      <c r="A33" s="49">
        <f>+A24</f>
        <v>37156</v>
      </c>
      <c r="D33" s="376">
        <f>+D18</f>
        <v>25519</v>
      </c>
    </row>
    <row r="34" spans="1:4" x14ac:dyDescent="0.2">
      <c r="D34" s="14">
        <f>+D33+D32</f>
        <v>-3958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9236</v>
      </c>
      <c r="B5" s="364">
        <v>-23719</v>
      </c>
      <c r="C5" s="90">
        <v>-22302</v>
      </c>
      <c r="D5" s="90">
        <f t="shared" ref="D5:D13" si="0">+C5-B5</f>
        <v>1417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-2149512</v>
      </c>
      <c r="C7" s="90">
        <v>-2131133</v>
      </c>
      <c r="D7" s="90">
        <f t="shared" si="0"/>
        <v>18379</v>
      </c>
      <c r="E7" s="285"/>
      <c r="F7" s="70"/>
    </row>
    <row r="8" spans="1:13" x14ac:dyDescent="0.2">
      <c r="A8" s="87">
        <v>58710</v>
      </c>
      <c r="B8" s="364">
        <v>-167</v>
      </c>
      <c r="C8" s="90">
        <v>-1009</v>
      </c>
      <c r="D8" s="90">
        <f t="shared" si="0"/>
        <v>-842</v>
      </c>
      <c r="E8" s="285"/>
      <c r="F8" s="70"/>
    </row>
    <row r="9" spans="1:13" x14ac:dyDescent="0.2">
      <c r="A9" s="87">
        <v>60921</v>
      </c>
      <c r="B9" s="319">
        <v>1366289</v>
      </c>
      <c r="C9" s="90">
        <v>1319320</v>
      </c>
      <c r="D9" s="90">
        <f t="shared" si="0"/>
        <v>-46969</v>
      </c>
      <c r="E9" s="285"/>
      <c r="F9" s="70"/>
    </row>
    <row r="10" spans="1:13" x14ac:dyDescent="0.2">
      <c r="A10" s="87">
        <v>78026</v>
      </c>
      <c r="B10" s="364"/>
      <c r="C10" s="90">
        <v>81197</v>
      </c>
      <c r="D10" s="90">
        <f t="shared" si="0"/>
        <v>81197</v>
      </c>
      <c r="E10" s="285"/>
      <c r="F10" s="283"/>
    </row>
    <row r="11" spans="1:13" x14ac:dyDescent="0.2">
      <c r="A11" s="87">
        <v>500084</v>
      </c>
      <c r="B11" s="364">
        <v>-6753</v>
      </c>
      <c r="C11" s="90">
        <v>-19000</v>
      </c>
      <c r="D11" s="90">
        <f t="shared" si="0"/>
        <v>-12247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-9773</v>
      </c>
      <c r="C13" s="90"/>
      <c r="D13" s="90">
        <f t="shared" si="0"/>
        <v>9773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50708</v>
      </c>
      <c r="E17" s="285"/>
      <c r="F17" s="283"/>
    </row>
    <row r="18" spans="1:7" x14ac:dyDescent="0.2">
      <c r="A18" s="87" t="s">
        <v>82</v>
      </c>
      <c r="B18" s="88"/>
      <c r="C18" s="88"/>
      <c r="D18" s="95">
        <f>+summary!H4</f>
        <v>1.96</v>
      </c>
      <c r="E18" s="287"/>
      <c r="F18" s="283"/>
    </row>
    <row r="19" spans="1:7" x14ac:dyDescent="0.2">
      <c r="A19" s="87"/>
      <c r="B19" s="88"/>
      <c r="C19" s="88"/>
      <c r="D19" s="96">
        <f>+D18*D17</f>
        <v>99387.68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79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37156</v>
      </c>
      <c r="B23" s="88"/>
      <c r="C23" s="88"/>
      <c r="D23" s="334">
        <f>+D21+D19</f>
        <v>228605.31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154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4">
        <v>7128</v>
      </c>
    </row>
    <row r="29" spans="1:7" x14ac:dyDescent="0.2">
      <c r="A29" s="49">
        <f>+A23</f>
        <v>37156</v>
      </c>
      <c r="B29" s="32"/>
      <c r="C29" s="32"/>
      <c r="D29" s="376">
        <f>+D17</f>
        <v>50708</v>
      </c>
    </row>
    <row r="30" spans="1:7" x14ac:dyDescent="0.2">
      <c r="A30" s="32"/>
      <c r="B30" s="32"/>
      <c r="C30" s="32"/>
      <c r="D30" s="14">
        <f>+D29+D28</f>
        <v>57836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50</v>
      </c>
    </row>
    <row r="3" spans="1:6" x14ac:dyDescent="0.2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">
      <c r="A18">
        <v>16</v>
      </c>
      <c r="B18" s="88">
        <v>39686</v>
      </c>
      <c r="C18" s="88">
        <v>39751</v>
      </c>
      <c r="D18" s="14">
        <v>-37645</v>
      </c>
      <c r="E18" s="14">
        <v>-39770</v>
      </c>
      <c r="F18" s="90">
        <f t="shared" si="0"/>
        <v>-2060</v>
      </c>
    </row>
    <row r="19" spans="1:6" x14ac:dyDescent="0.2">
      <c r="A19">
        <v>17</v>
      </c>
      <c r="B19" s="88">
        <v>39687</v>
      </c>
      <c r="C19" s="88">
        <v>39751</v>
      </c>
      <c r="D19" s="14">
        <v>-40555</v>
      </c>
      <c r="E19" s="14">
        <v>-39770</v>
      </c>
      <c r="F19" s="90">
        <f t="shared" si="0"/>
        <v>849</v>
      </c>
    </row>
    <row r="20" spans="1:6" x14ac:dyDescent="0.2">
      <c r="A20">
        <v>18</v>
      </c>
      <c r="B20" s="346">
        <v>49679</v>
      </c>
      <c r="C20" s="346">
        <v>49751</v>
      </c>
      <c r="D20" s="14"/>
      <c r="E20" s="14">
        <v>-5000</v>
      </c>
      <c r="F20" s="90">
        <f t="shared" si="0"/>
        <v>-4928</v>
      </c>
    </row>
    <row r="21" spans="1:6" x14ac:dyDescent="0.2">
      <c r="A21">
        <v>19</v>
      </c>
      <c r="B21" s="346">
        <v>49727</v>
      </c>
      <c r="C21" s="346">
        <v>49751</v>
      </c>
      <c r="D21" s="14">
        <v>-1</v>
      </c>
      <c r="E21" s="14">
        <v>-1262</v>
      </c>
      <c r="F21" s="90">
        <f t="shared" si="0"/>
        <v>-1237</v>
      </c>
    </row>
    <row r="22" spans="1:6" x14ac:dyDescent="0.2">
      <c r="A22">
        <v>20</v>
      </c>
      <c r="B22" s="346">
        <v>37751</v>
      </c>
      <c r="C22" s="346">
        <v>37751</v>
      </c>
      <c r="D22" s="14">
        <v>-16148</v>
      </c>
      <c r="E22" s="14">
        <v>-44825</v>
      </c>
      <c r="F22" s="90">
        <f t="shared" si="0"/>
        <v>-28677</v>
      </c>
    </row>
    <row r="23" spans="1:6" x14ac:dyDescent="0.2">
      <c r="A23">
        <v>21</v>
      </c>
      <c r="B23" s="346">
        <v>21993</v>
      </c>
      <c r="C23" s="346">
        <v>21751</v>
      </c>
      <c r="D23" s="14">
        <v>-42284</v>
      </c>
      <c r="E23" s="14">
        <v>-42349</v>
      </c>
      <c r="F23" s="90">
        <f t="shared" si="0"/>
        <v>-307</v>
      </c>
    </row>
    <row r="24" spans="1:6" x14ac:dyDescent="0.2">
      <c r="A24">
        <v>22</v>
      </c>
      <c r="B24" s="346">
        <v>12919</v>
      </c>
      <c r="C24" s="346">
        <v>12751</v>
      </c>
      <c r="D24" s="14">
        <v>-44454</v>
      </c>
      <c r="E24" s="14">
        <v>-48482</v>
      </c>
      <c r="F24" s="90">
        <f t="shared" si="0"/>
        <v>-4196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3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907709</v>
      </c>
      <c r="C34" s="297">
        <f>SUM(C3:C33)</f>
        <v>909645</v>
      </c>
      <c r="D34" s="14">
        <f>SUM(D3:D33)</f>
        <v>-793881</v>
      </c>
      <c r="E34" s="14">
        <f>SUM(E3:E33)</f>
        <v>-817287</v>
      </c>
      <c r="F34" s="14">
        <f>SUM(F3:F33)</f>
        <v>-21470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1">
        <f>12393+127284</f>
        <v>139677</v>
      </c>
    </row>
    <row r="38" spans="1:6" x14ac:dyDescent="0.2">
      <c r="A38" s="263">
        <v>37156</v>
      </c>
      <c r="B38" s="14"/>
      <c r="C38" s="14"/>
      <c r="D38" s="14"/>
      <c r="E38" s="14"/>
      <c r="F38" s="150">
        <f>+F37+F34</f>
        <v>118207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155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2">
        <f>151845.69+204392.22</f>
        <v>356237.91000000003</v>
      </c>
      <c r="F43" s="304"/>
    </row>
    <row r="44" spans="1:6" x14ac:dyDescent="0.2">
      <c r="A44" s="49">
        <f>+A38</f>
        <v>37156</v>
      </c>
      <c r="B44" s="32"/>
      <c r="C44" s="32"/>
      <c r="D44" s="405">
        <f>+F34*'by type_area'!J4</f>
        <v>-42081.2</v>
      </c>
      <c r="F44" s="304"/>
    </row>
    <row r="45" spans="1:6" x14ac:dyDescent="0.2">
      <c r="A45" s="32"/>
      <c r="B45" s="32"/>
      <c r="C45" s="32"/>
      <c r="D45" s="202">
        <f>+D44+D43</f>
        <v>314156.71000000002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7" sqref="C27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">
      <c r="A19" s="10">
        <v>16</v>
      </c>
      <c r="B19" s="11">
        <v>-19996</v>
      </c>
      <c r="C19" s="11">
        <v>-18830</v>
      </c>
      <c r="D19" s="25">
        <f t="shared" si="0"/>
        <v>1166</v>
      </c>
    </row>
    <row r="20" spans="1:4" x14ac:dyDescent="0.2">
      <c r="A20" s="10">
        <v>17</v>
      </c>
      <c r="B20" s="11">
        <v>-19997</v>
      </c>
      <c r="C20" s="11">
        <v>-19071</v>
      </c>
      <c r="D20" s="25">
        <f t="shared" si="0"/>
        <v>926</v>
      </c>
    </row>
    <row r="21" spans="1:4" x14ac:dyDescent="0.2">
      <c r="A21" s="10">
        <v>18</v>
      </c>
      <c r="B21" s="11">
        <v>-20009</v>
      </c>
      <c r="C21" s="11">
        <v>-19572</v>
      </c>
      <c r="D21" s="25">
        <f t="shared" si="0"/>
        <v>437</v>
      </c>
    </row>
    <row r="22" spans="1:4" x14ac:dyDescent="0.2">
      <c r="A22" s="10">
        <v>19</v>
      </c>
      <c r="B22" s="11">
        <v>-20554</v>
      </c>
      <c r="C22" s="11">
        <v>-20000</v>
      </c>
      <c r="D22" s="25">
        <f t="shared" si="0"/>
        <v>554</v>
      </c>
    </row>
    <row r="23" spans="1:4" x14ac:dyDescent="0.2">
      <c r="A23" s="10">
        <v>20</v>
      </c>
      <c r="B23" s="11">
        <v>-20906</v>
      </c>
      <c r="C23" s="11">
        <v>-19514</v>
      </c>
      <c r="D23" s="25">
        <f t="shared" si="0"/>
        <v>1392</v>
      </c>
    </row>
    <row r="24" spans="1:4" x14ac:dyDescent="0.2">
      <c r="A24" s="10">
        <v>21</v>
      </c>
      <c r="B24" s="11">
        <v>-20015</v>
      </c>
      <c r="C24" s="11">
        <v>-19411</v>
      </c>
      <c r="D24" s="25">
        <f t="shared" si="0"/>
        <v>604</v>
      </c>
    </row>
    <row r="25" spans="1:4" x14ac:dyDescent="0.2">
      <c r="A25" s="10">
        <v>22</v>
      </c>
      <c r="B25" s="11">
        <v>-19762</v>
      </c>
      <c r="C25" s="11">
        <v>-19089</v>
      </c>
      <c r="D25" s="25">
        <f t="shared" si="0"/>
        <v>673</v>
      </c>
    </row>
    <row r="26" spans="1:4" x14ac:dyDescent="0.2">
      <c r="A26" s="10">
        <v>23</v>
      </c>
      <c r="B26" s="11">
        <v>-19556</v>
      </c>
      <c r="C26" s="11">
        <v>-19036</v>
      </c>
      <c r="D26" s="25">
        <f t="shared" si="0"/>
        <v>520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-465245</v>
      </c>
      <c r="C35" s="11">
        <f>SUM(C4:C34)</f>
        <v>-462412</v>
      </c>
      <c r="D35" s="11">
        <f>SUM(D4:D34)</f>
        <v>2833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5">
        <v>151464</v>
      </c>
    </row>
    <row r="39" spans="1:4" x14ac:dyDescent="0.2">
      <c r="A39" s="2"/>
      <c r="D39" s="24"/>
    </row>
    <row r="40" spans="1:4" x14ac:dyDescent="0.2">
      <c r="A40" s="57">
        <v>37157</v>
      </c>
      <c r="D40" s="51">
        <f>+D38+D35</f>
        <v>154297</v>
      </c>
    </row>
    <row r="44" spans="1:4" x14ac:dyDescent="0.2">
      <c r="A44" s="32" t="s">
        <v>155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497">
        <v>125521</v>
      </c>
    </row>
    <row r="46" spans="1:4" x14ac:dyDescent="0.2">
      <c r="A46" s="49">
        <f>+A40</f>
        <v>37157</v>
      </c>
      <c r="B46" s="32"/>
      <c r="C46" s="32"/>
      <c r="D46" s="405">
        <f>+D35*'by type_area'!J4</f>
        <v>5552.68</v>
      </c>
    </row>
    <row r="47" spans="1:4" x14ac:dyDescent="0.2">
      <c r="A47" s="32"/>
      <c r="B47" s="32"/>
      <c r="C47" s="32"/>
      <c r="D47" s="202">
        <f>+D46+D45</f>
        <v>131073.68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C20" sqref="C20:C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18942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18885</v>
      </c>
      <c r="C19" s="11">
        <v>18764</v>
      </c>
      <c r="D19" s="11">
        <v>9601</v>
      </c>
      <c r="E19" s="11">
        <v>8500</v>
      </c>
      <c r="F19" s="11"/>
      <c r="G19" s="11"/>
      <c r="H19" s="11"/>
      <c r="I19" s="11"/>
      <c r="J19" s="11">
        <f t="shared" si="0"/>
        <v>-1222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18828</v>
      </c>
      <c r="C20" s="11">
        <v>18764</v>
      </c>
      <c r="D20" s="11">
        <v>9202</v>
      </c>
      <c r="E20" s="11">
        <v>8500</v>
      </c>
      <c r="F20" s="11"/>
      <c r="G20" s="11"/>
      <c r="H20" s="11"/>
      <c r="I20" s="11"/>
      <c r="J20" s="11">
        <f t="shared" si="0"/>
        <v>-766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18681</v>
      </c>
      <c r="C21" s="11">
        <v>18764</v>
      </c>
      <c r="D21" s="11">
        <v>8745</v>
      </c>
      <c r="E21" s="11">
        <v>8500</v>
      </c>
      <c r="F21" s="11"/>
      <c r="G21" s="11"/>
      <c r="H21" s="11"/>
      <c r="I21" s="11"/>
      <c r="J21" s="11">
        <f t="shared" si="0"/>
        <v>-162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18643</v>
      </c>
      <c r="C22" s="11">
        <v>18764</v>
      </c>
      <c r="D22" s="11">
        <v>8551</v>
      </c>
      <c r="E22" s="11">
        <v>8500</v>
      </c>
      <c r="F22" s="11"/>
      <c r="G22" s="11"/>
      <c r="H22" s="11"/>
      <c r="I22" s="11"/>
      <c r="J22" s="11">
        <f t="shared" si="0"/>
        <v>70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18697</v>
      </c>
      <c r="C23" s="11">
        <v>18764</v>
      </c>
      <c r="D23" s="11">
        <v>8529</v>
      </c>
      <c r="E23" s="11">
        <v>8500</v>
      </c>
      <c r="F23" s="11"/>
      <c r="G23" s="11"/>
      <c r="H23" s="11"/>
      <c r="I23" s="11"/>
      <c r="J23" s="11">
        <f t="shared" si="0"/>
        <v>38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18507</v>
      </c>
      <c r="C24" s="11">
        <v>18764</v>
      </c>
      <c r="D24" s="11">
        <v>9382</v>
      </c>
      <c r="E24" s="11">
        <v>8500</v>
      </c>
      <c r="F24" s="11"/>
      <c r="G24" s="11"/>
      <c r="H24" s="11"/>
      <c r="I24" s="11"/>
      <c r="J24" s="11">
        <f t="shared" si="0"/>
        <v>-625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18480</v>
      </c>
      <c r="C25" s="11">
        <v>18764</v>
      </c>
      <c r="D25" s="11">
        <v>8992</v>
      </c>
      <c r="E25" s="11">
        <v>8500</v>
      </c>
      <c r="F25" s="11"/>
      <c r="G25" s="11"/>
      <c r="H25" s="11"/>
      <c r="I25" s="11"/>
      <c r="J25" s="11">
        <f t="shared" si="0"/>
        <v>-208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424870</v>
      </c>
      <c r="C35" s="11">
        <f t="shared" ref="C35:I35" si="1">SUM(C4:C34)</f>
        <v>416308</v>
      </c>
      <c r="D35" s="11">
        <f t="shared" si="1"/>
        <v>194394</v>
      </c>
      <c r="E35" s="11">
        <f t="shared" si="1"/>
        <v>190500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-15730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-30830.799999999999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2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37156</v>
      </c>
      <c r="J41" s="337">
        <f>+J39+J37</f>
        <v>56367.64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154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4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37156</v>
      </c>
      <c r="B47" s="32"/>
      <c r="C47" s="32"/>
      <c r="D47" s="376">
        <f>+J35</f>
        <v>-15730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-98459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0" workbookViewId="3">
      <selection activeCell="E41" sqref="E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117</v>
      </c>
      <c r="B4" s="235">
        <v>12353</v>
      </c>
      <c r="C4" s="24" t="s">
        <v>128</v>
      </c>
      <c r="D4" s="235">
        <v>500168</v>
      </c>
      <c r="E4" s="24" t="s">
        <v>78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1.96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-11640.44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3">
        <v>37134</v>
      </c>
      <c r="E40" s="14"/>
      <c r="F40" s="478">
        <v>468965.38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3">
        <v>37149</v>
      </c>
      <c r="E41" s="14"/>
      <c r="F41" s="104">
        <f>+F40+F39</f>
        <v>457324.94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154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4">
        <v>28738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6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22799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1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">
      <c r="A23" s="10">
        <v>16</v>
      </c>
      <c r="B23" s="11"/>
      <c r="C23" s="11"/>
      <c r="D23" s="11"/>
      <c r="E23" s="11">
        <v>37</v>
      </c>
      <c r="F23" s="25">
        <f t="shared" si="0"/>
        <v>37</v>
      </c>
    </row>
    <row r="24" spans="1:10" x14ac:dyDescent="0.2">
      <c r="A24" s="10">
        <v>17</v>
      </c>
      <c r="B24" s="11"/>
      <c r="C24" s="11"/>
      <c r="D24" s="11"/>
      <c r="E24" s="11">
        <v>37</v>
      </c>
      <c r="F24" s="25">
        <f t="shared" si="0"/>
        <v>37</v>
      </c>
    </row>
    <row r="25" spans="1:10" x14ac:dyDescent="0.2">
      <c r="A25" s="10">
        <v>18</v>
      </c>
      <c r="B25" s="11"/>
      <c r="C25" s="11"/>
      <c r="D25" s="11"/>
      <c r="E25" s="11">
        <v>37</v>
      </c>
      <c r="F25" s="25">
        <f t="shared" si="0"/>
        <v>37</v>
      </c>
    </row>
    <row r="26" spans="1:10" x14ac:dyDescent="0.2">
      <c r="A26" s="10">
        <v>19</v>
      </c>
      <c r="B26" s="11"/>
      <c r="C26" s="11"/>
      <c r="D26" s="11"/>
      <c r="E26" s="11">
        <v>37</v>
      </c>
      <c r="F26" s="25">
        <f t="shared" si="0"/>
        <v>37</v>
      </c>
    </row>
    <row r="27" spans="1:10" x14ac:dyDescent="0.2">
      <c r="A27" s="10">
        <v>20</v>
      </c>
      <c r="B27" s="11"/>
      <c r="C27" s="11"/>
      <c r="D27" s="11"/>
      <c r="E27" s="11">
        <v>37</v>
      </c>
      <c r="F27" s="25">
        <f t="shared" si="0"/>
        <v>37</v>
      </c>
    </row>
    <row r="28" spans="1:10" x14ac:dyDescent="0.2">
      <c r="A28" s="10">
        <v>21</v>
      </c>
      <c r="B28" s="11"/>
      <c r="C28" s="11"/>
      <c r="D28" s="11"/>
      <c r="E28" s="11">
        <v>37</v>
      </c>
      <c r="F28" s="25">
        <f t="shared" si="0"/>
        <v>37</v>
      </c>
    </row>
    <row r="29" spans="1:10" x14ac:dyDescent="0.2">
      <c r="A29" s="10">
        <v>22</v>
      </c>
      <c r="B29" s="11"/>
      <c r="C29" s="11"/>
      <c r="D29" s="11">
        <v>14</v>
      </c>
      <c r="E29" s="11">
        <v>68</v>
      </c>
      <c r="F29" s="25">
        <f t="shared" si="0"/>
        <v>54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6943</v>
      </c>
      <c r="C39" s="11">
        <f>SUM(C8:C38)</f>
        <v>6000</v>
      </c>
      <c r="D39" s="11">
        <f>SUM(D8:D38)</f>
        <v>4959</v>
      </c>
      <c r="E39" s="11">
        <f>SUM(E8:E38)</f>
        <v>5767</v>
      </c>
      <c r="F39" s="25">
        <f>SUM(F8:F38)</f>
        <v>-135</v>
      </c>
    </row>
    <row r="40" spans="1:6" x14ac:dyDescent="0.2">
      <c r="A40" s="26"/>
      <c r="C40" s="14"/>
      <c r="F40" s="260">
        <f>+summary!H4</f>
        <v>1.96</v>
      </c>
    </row>
    <row r="41" spans="1:6" x14ac:dyDescent="0.2">
      <c r="F41" s="138">
        <f>+F40*F39</f>
        <v>-264.60000000000002</v>
      </c>
    </row>
    <row r="42" spans="1:6" x14ac:dyDescent="0.2">
      <c r="A42" s="57">
        <v>37134</v>
      </c>
      <c r="C42" s="15"/>
      <c r="F42" s="480">
        <v>6001.93</v>
      </c>
    </row>
    <row r="43" spans="1:6" x14ac:dyDescent="0.2">
      <c r="A43" s="57">
        <v>37156</v>
      </c>
      <c r="C43" s="48"/>
      <c r="F43" s="138">
        <f>+F42+F41</f>
        <v>5737.33</v>
      </c>
    </row>
    <row r="47" spans="1:6" x14ac:dyDescent="0.2">
      <c r="A47" s="32" t="s">
        <v>154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4">
        <v>-13252</v>
      </c>
    </row>
    <row r="49" spans="1:4" x14ac:dyDescent="0.2">
      <c r="A49" s="49">
        <f>+A43</f>
        <v>37156</v>
      </c>
      <c r="B49" s="32"/>
      <c r="C49" s="32"/>
      <c r="D49" s="376">
        <f>+F39</f>
        <v>-135</v>
      </c>
    </row>
    <row r="50" spans="1:4" x14ac:dyDescent="0.2">
      <c r="A50" s="32"/>
      <c r="B50" s="32"/>
      <c r="C50" s="32"/>
      <c r="D50" s="14">
        <f>+D49+D48</f>
        <v>-13387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1.96</v>
      </c>
    </row>
    <row r="41" spans="1:4" x14ac:dyDescent="0.2">
      <c r="D41" s="138">
        <f>+D40*D39</f>
        <v>-55744.36</v>
      </c>
    </row>
    <row r="42" spans="1:4" x14ac:dyDescent="0.2">
      <c r="A42" s="57">
        <v>37134</v>
      </c>
      <c r="C42" s="15"/>
      <c r="D42" s="496">
        <v>447892.64</v>
      </c>
    </row>
    <row r="43" spans="1:4" x14ac:dyDescent="0.2">
      <c r="A43" s="57">
        <v>37156</v>
      </c>
      <c r="C43" s="48"/>
      <c r="D43" s="138">
        <f>+D42+D41</f>
        <v>392148.28</v>
      </c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492">
        <v>50021</v>
      </c>
    </row>
    <row r="48" spans="1:4" x14ac:dyDescent="0.2">
      <c r="A48" s="49">
        <f>+A43</f>
        <v>37156</v>
      </c>
      <c r="B48" s="32"/>
      <c r="C48" s="32"/>
      <c r="D48" s="376">
        <f>+D39</f>
        <v>-28441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9" sqref="C2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">
      <c r="A21" s="10">
        <v>16</v>
      </c>
      <c r="B21" s="11">
        <v>-40863</v>
      </c>
      <c r="C21" s="11">
        <v>-40001</v>
      </c>
      <c r="D21" s="25">
        <f t="shared" si="0"/>
        <v>862</v>
      </c>
    </row>
    <row r="22" spans="1:4" x14ac:dyDescent="0.2">
      <c r="A22" s="10">
        <v>17</v>
      </c>
      <c r="B22" s="108">
        <v>-78929</v>
      </c>
      <c r="C22" s="11">
        <v>-77228</v>
      </c>
      <c r="D22" s="25">
        <f t="shared" si="0"/>
        <v>1701</v>
      </c>
    </row>
    <row r="23" spans="1:4" x14ac:dyDescent="0.2">
      <c r="A23" s="10">
        <v>18</v>
      </c>
      <c r="B23" s="108">
        <v>-80798</v>
      </c>
      <c r="C23" s="11">
        <v>-79981</v>
      </c>
      <c r="D23" s="25">
        <f t="shared" si="0"/>
        <v>817</v>
      </c>
    </row>
    <row r="24" spans="1:4" x14ac:dyDescent="0.2">
      <c r="A24" s="10">
        <v>19</v>
      </c>
      <c r="B24" s="129">
        <v>-81778</v>
      </c>
      <c r="C24" s="11">
        <v>-81389</v>
      </c>
      <c r="D24" s="25">
        <f t="shared" si="0"/>
        <v>389</v>
      </c>
    </row>
    <row r="25" spans="1:4" x14ac:dyDescent="0.2">
      <c r="A25" s="10">
        <v>20</v>
      </c>
      <c r="B25" s="129">
        <v>-71744</v>
      </c>
      <c r="C25" s="11">
        <v>-69426</v>
      </c>
      <c r="D25" s="25">
        <f t="shared" si="0"/>
        <v>2318</v>
      </c>
    </row>
    <row r="26" spans="1:4" x14ac:dyDescent="0.2">
      <c r="A26" s="10">
        <v>21</v>
      </c>
      <c r="B26" s="129">
        <v>-68034</v>
      </c>
      <c r="C26" s="11">
        <v>-68428</v>
      </c>
      <c r="D26" s="25">
        <f t="shared" si="0"/>
        <v>-394</v>
      </c>
    </row>
    <row r="27" spans="1:4" x14ac:dyDescent="0.2">
      <c r="A27" s="10">
        <v>22</v>
      </c>
      <c r="B27" s="129">
        <v>-79946</v>
      </c>
      <c r="C27" s="11">
        <v>-78325</v>
      </c>
      <c r="D27" s="25">
        <f t="shared" si="0"/>
        <v>1621</v>
      </c>
    </row>
    <row r="28" spans="1:4" x14ac:dyDescent="0.2">
      <c r="A28" s="10">
        <v>23</v>
      </c>
      <c r="B28" s="129">
        <v>-80642</v>
      </c>
      <c r="C28" s="11">
        <v>-83734</v>
      </c>
      <c r="D28" s="25">
        <f t="shared" si="0"/>
        <v>-3092</v>
      </c>
    </row>
    <row r="29" spans="1:4" x14ac:dyDescent="0.2">
      <c r="A29" s="10">
        <v>24</v>
      </c>
      <c r="B29" s="129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29"/>
      <c r="C31" s="11"/>
      <c r="D31" s="25">
        <f t="shared" si="0"/>
        <v>0</v>
      </c>
    </row>
    <row r="32" spans="1: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-1650126</v>
      </c>
      <c r="C37" s="11">
        <f>SUM(C6:C36)</f>
        <v>-1640850</v>
      </c>
      <c r="D37" s="25">
        <f>SUM(D6:D36)</f>
        <v>9276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18180.96</v>
      </c>
    </row>
    <row r="40" spans="1:4" x14ac:dyDescent="0.2">
      <c r="A40" s="57">
        <v>37134</v>
      </c>
      <c r="C40" s="15"/>
      <c r="D40" s="493">
        <v>81685.100000000006</v>
      </c>
    </row>
    <row r="41" spans="1:4" x14ac:dyDescent="0.2">
      <c r="A41" s="57">
        <v>37157</v>
      </c>
      <c r="C41" s="48"/>
      <c r="D41" s="138">
        <f>+D40+D39</f>
        <v>99866.06</v>
      </c>
    </row>
    <row r="44" spans="1:4" x14ac:dyDescent="0.2">
      <c r="A44" s="32" t="s">
        <v>154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494">
        <v>130492</v>
      </c>
    </row>
    <row r="46" spans="1:4" x14ac:dyDescent="0.2">
      <c r="A46" s="49">
        <f>+A41</f>
        <v>37157</v>
      </c>
      <c r="B46" s="32"/>
      <c r="C46" s="32"/>
      <c r="D46" s="376">
        <f>+D37</f>
        <v>9276</v>
      </c>
    </row>
    <row r="47" spans="1:4" x14ac:dyDescent="0.2">
      <c r="A47" s="32"/>
      <c r="B47" s="32"/>
      <c r="C47" s="32"/>
      <c r="D47" s="14">
        <f>+D46+D45</f>
        <v>139768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9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">
      <c r="A21" s="10">
        <v>16</v>
      </c>
      <c r="B21" s="11">
        <v>36326</v>
      </c>
      <c r="C21" s="11">
        <v>33000</v>
      </c>
      <c r="D21" s="25">
        <f t="shared" si="0"/>
        <v>-3326</v>
      </c>
    </row>
    <row r="22" spans="1:4" x14ac:dyDescent="0.2">
      <c r="A22" s="10">
        <v>17</v>
      </c>
      <c r="B22" s="11">
        <v>33412</v>
      </c>
      <c r="C22" s="11">
        <v>33000</v>
      </c>
      <c r="D22" s="25">
        <f t="shared" si="0"/>
        <v>-412</v>
      </c>
    </row>
    <row r="23" spans="1:4" x14ac:dyDescent="0.2">
      <c r="A23" s="10">
        <v>18</v>
      </c>
      <c r="B23" s="11">
        <v>35087</v>
      </c>
      <c r="C23" s="11">
        <v>33000</v>
      </c>
      <c r="D23" s="25">
        <f t="shared" si="0"/>
        <v>-2087</v>
      </c>
    </row>
    <row r="24" spans="1:4" x14ac:dyDescent="0.2">
      <c r="A24" s="10">
        <v>19</v>
      </c>
      <c r="B24" s="11">
        <v>35961</v>
      </c>
      <c r="C24" s="11">
        <v>33000</v>
      </c>
      <c r="D24" s="25">
        <f t="shared" si="0"/>
        <v>-2961</v>
      </c>
    </row>
    <row r="25" spans="1:4" x14ac:dyDescent="0.2">
      <c r="A25" s="10">
        <v>20</v>
      </c>
      <c r="B25" s="11">
        <v>35534</v>
      </c>
      <c r="C25" s="11">
        <v>34732</v>
      </c>
      <c r="D25" s="25">
        <f t="shared" si="0"/>
        <v>-802</v>
      </c>
    </row>
    <row r="26" spans="1:4" x14ac:dyDescent="0.2">
      <c r="A26" s="10">
        <v>21</v>
      </c>
      <c r="B26" s="11">
        <v>37450</v>
      </c>
      <c r="C26" s="11">
        <v>36000</v>
      </c>
      <c r="D26" s="25">
        <f t="shared" si="0"/>
        <v>-1450</v>
      </c>
    </row>
    <row r="27" spans="1:4" x14ac:dyDescent="0.2">
      <c r="A27" s="10">
        <v>22</v>
      </c>
      <c r="B27" s="11">
        <v>36078</v>
      </c>
      <c r="C27" s="11">
        <v>40000</v>
      </c>
      <c r="D27" s="25">
        <f t="shared" si="0"/>
        <v>3922</v>
      </c>
    </row>
    <row r="28" spans="1:4" x14ac:dyDescent="0.2">
      <c r="A28" s="10">
        <v>23</v>
      </c>
      <c r="B28" s="11">
        <v>36669</v>
      </c>
      <c r="C28" s="11">
        <v>40000</v>
      </c>
      <c r="D28" s="25">
        <f t="shared" si="0"/>
        <v>3331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816032</v>
      </c>
      <c r="C37" s="11">
        <f>SUM(C6:C36)</f>
        <v>812960</v>
      </c>
      <c r="D37" s="25">
        <f>SUM(D6:D36)</f>
        <v>-3072</v>
      </c>
    </row>
    <row r="38" spans="1:4" x14ac:dyDescent="0.2">
      <c r="A38" s="26"/>
      <c r="C38" s="14"/>
      <c r="D38" s="345">
        <f>+summary!H5</f>
        <v>2.0299999999999998</v>
      </c>
    </row>
    <row r="39" spans="1:4" x14ac:dyDescent="0.2">
      <c r="D39" s="138">
        <f>+D38*D37</f>
        <v>-6236.16</v>
      </c>
    </row>
    <row r="40" spans="1:4" x14ac:dyDescent="0.2">
      <c r="A40" s="57">
        <v>37134</v>
      </c>
      <c r="C40" s="15"/>
      <c r="D40" s="493">
        <v>-36028.699999999997</v>
      </c>
    </row>
    <row r="41" spans="1:4" x14ac:dyDescent="0.2">
      <c r="A41" s="57">
        <v>37157</v>
      </c>
      <c r="C41" s="48"/>
      <c r="D41" s="138">
        <f>+D40+D39</f>
        <v>-42264.86</v>
      </c>
    </row>
    <row r="44" spans="1:4" x14ac:dyDescent="0.2">
      <c r="A44" s="32" t="s">
        <v>154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494">
        <v>-1370</v>
      </c>
    </row>
    <row r="46" spans="1:4" x14ac:dyDescent="0.2">
      <c r="A46" s="49">
        <f>+A41</f>
        <v>37157</v>
      </c>
      <c r="B46" s="32"/>
      <c r="C46" s="32"/>
      <c r="D46" s="376">
        <f>+D37</f>
        <v>-3072</v>
      </c>
    </row>
    <row r="47" spans="1:4" x14ac:dyDescent="0.2">
      <c r="A47" s="32"/>
      <c r="B47" s="32"/>
      <c r="C47" s="32"/>
      <c r="D47" s="14">
        <f>+D46+D45</f>
        <v>-4442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27" sqref="C2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2" bestFit="1" customWidth="1"/>
    <col min="18" max="18" width="11.42578125" style="267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7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1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1" t="s">
        <v>40</v>
      </c>
      <c r="N4" s="4" t="s">
        <v>20</v>
      </c>
      <c r="O4" s="4" t="s">
        <v>21</v>
      </c>
      <c r="P4" s="439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1"/>
      <c r="N5" s="14"/>
      <c r="O5" s="14"/>
      <c r="P5" s="14">
        <f t="shared" ref="P5:P13" si="1">+O5-N5</f>
        <v>0</v>
      </c>
      <c r="Q5" s="387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1">
        <v>36861</v>
      </c>
      <c r="N6" s="24">
        <v>19698194</v>
      </c>
      <c r="O6" s="24">
        <v>19662410</v>
      </c>
      <c r="P6" s="14">
        <f t="shared" si="1"/>
        <v>-35784</v>
      </c>
      <c r="Q6" s="387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305301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-3304</v>
      </c>
      <c r="M7" s="441">
        <v>36892</v>
      </c>
      <c r="N7" s="24">
        <v>18949781</v>
      </c>
      <c r="O7" s="14">
        <v>18975457</v>
      </c>
      <c r="P7" s="14">
        <f t="shared" si="1"/>
        <v>25676</v>
      </c>
      <c r="Q7" s="387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1">
        <v>36923</v>
      </c>
      <c r="N8" s="24">
        <v>15193330</v>
      </c>
      <c r="O8" s="14">
        <v>15256233</v>
      </c>
      <c r="P8" s="14">
        <f t="shared" si="1"/>
        <v>62903</v>
      </c>
      <c r="Q8" s="387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1">
        <v>36951</v>
      </c>
      <c r="N9" s="24">
        <v>17049350</v>
      </c>
      <c r="O9" s="14">
        <v>17089226</v>
      </c>
      <c r="P9" s="14">
        <f t="shared" si="1"/>
        <v>39876</v>
      </c>
      <c r="Q9" s="387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1">
        <v>36982</v>
      </c>
      <c r="N10" s="24">
        <v>17652369</v>
      </c>
      <c r="O10" s="14">
        <v>17743987</v>
      </c>
      <c r="P10" s="14">
        <f t="shared" si="1"/>
        <v>91618</v>
      </c>
      <c r="Q10" s="387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1">
        <v>37012</v>
      </c>
      <c r="N11" s="24">
        <v>16124989</v>
      </c>
      <c r="O11" s="14">
        <v>16282021</v>
      </c>
      <c r="P11" s="14">
        <f t="shared" si="1"/>
        <v>157032</v>
      </c>
      <c r="Q11" s="387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1">
        <v>37043</v>
      </c>
      <c r="N12" s="24">
        <v>15928675</v>
      </c>
      <c r="O12" s="14">
        <v>15936227</v>
      </c>
      <c r="P12" s="14">
        <f t="shared" si="1"/>
        <v>7552</v>
      </c>
      <c r="Q12" s="387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1">
        <v>37073</v>
      </c>
      <c r="N13" s="24">
        <v>16669639</v>
      </c>
      <c r="O13" s="14">
        <v>16693576</v>
      </c>
      <c r="P13" s="14">
        <f t="shared" si="1"/>
        <v>23937</v>
      </c>
      <c r="Q13" s="387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291094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-4253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1"/>
      <c r="N17" s="24"/>
      <c r="O17" s="14"/>
      <c r="P17" s="14">
        <f>+O17-N17</f>
        <v>0</v>
      </c>
      <c r="Q17" s="387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1"/>
      <c r="N18" s="24"/>
      <c r="O18" s="14"/>
      <c r="P18" s="14"/>
      <c r="Q18" s="387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303932</v>
      </c>
      <c r="C19" s="11">
        <v>305270</v>
      </c>
      <c r="D19" s="11">
        <v>72768</v>
      </c>
      <c r="E19" s="11">
        <v>72956</v>
      </c>
      <c r="F19" s="11">
        <v>55704</v>
      </c>
      <c r="G19" s="11">
        <v>55080</v>
      </c>
      <c r="H19" s="11">
        <v>103201</v>
      </c>
      <c r="I19" s="11">
        <v>100656</v>
      </c>
      <c r="J19" s="11">
        <f t="shared" si="0"/>
        <v>-1643</v>
      </c>
      <c r="M19" s="441"/>
      <c r="N19" s="14"/>
      <c r="O19" s="14"/>
      <c r="P19" s="14"/>
      <c r="Q19" s="387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319771</v>
      </c>
      <c r="C20" s="11">
        <v>319733</v>
      </c>
      <c r="D20" s="11">
        <v>73941</v>
      </c>
      <c r="E20" s="11">
        <v>72956</v>
      </c>
      <c r="F20" s="11">
        <v>813</v>
      </c>
      <c r="G20" s="11">
        <v>5</v>
      </c>
      <c r="H20" s="11">
        <v>98823</v>
      </c>
      <c r="I20" s="11">
        <v>97392</v>
      </c>
      <c r="J20" s="11">
        <f t="shared" si="0"/>
        <v>-3262</v>
      </c>
      <c r="M20" s="441"/>
      <c r="N20" s="14"/>
      <c r="O20" s="14"/>
      <c r="P20" s="15"/>
      <c r="Q20" s="387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311942</v>
      </c>
      <c r="C21" s="11">
        <v>321210</v>
      </c>
      <c r="D21" s="11">
        <v>73983</v>
      </c>
      <c r="E21" s="11">
        <v>72956</v>
      </c>
      <c r="F21" s="11"/>
      <c r="G21" s="11"/>
      <c r="H21" s="11">
        <v>109630</v>
      </c>
      <c r="I21" s="11">
        <v>101598</v>
      </c>
      <c r="J21" s="11">
        <f t="shared" si="0"/>
        <v>209</v>
      </c>
      <c r="M21" s="441"/>
      <c r="N21" s="24"/>
      <c r="O21" s="24"/>
      <c r="P21" s="110"/>
      <c r="Q21" s="44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299868</v>
      </c>
      <c r="C22" s="11">
        <v>300117</v>
      </c>
      <c r="D22" s="11">
        <v>60178</v>
      </c>
      <c r="E22" s="11">
        <v>72956</v>
      </c>
      <c r="F22" s="11"/>
      <c r="G22" s="11"/>
      <c r="H22" s="11">
        <v>107668</v>
      </c>
      <c r="I22" s="11">
        <v>103751</v>
      </c>
      <c r="J22" s="11">
        <f t="shared" si="0"/>
        <v>9110</v>
      </c>
      <c r="M22" s="32"/>
      <c r="N22" s="24"/>
      <c r="O22" s="24"/>
      <c r="P22" s="24">
        <f>SUM(P5:P21)</f>
        <v>372810</v>
      </c>
      <c r="Q22" s="44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262859</v>
      </c>
      <c r="C23" s="11">
        <v>284474</v>
      </c>
      <c r="D23" s="11">
        <v>72043</v>
      </c>
      <c r="E23" s="11">
        <v>72956</v>
      </c>
      <c r="F23" s="11">
        <v>17775</v>
      </c>
      <c r="G23" s="11">
        <v>15677</v>
      </c>
      <c r="H23" s="11">
        <v>129491</v>
      </c>
      <c r="I23" s="11">
        <v>110869</v>
      </c>
      <c r="J23" s="11">
        <f t="shared" si="0"/>
        <v>1808</v>
      </c>
      <c r="M23" s="32"/>
      <c r="N23" s="24"/>
      <c r="O23" s="24"/>
      <c r="P23" s="110"/>
      <c r="Q23" s="44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296530</v>
      </c>
      <c r="C24" s="11">
        <v>299130</v>
      </c>
      <c r="D24" s="11">
        <v>69804</v>
      </c>
      <c r="E24" s="11">
        <v>72956</v>
      </c>
      <c r="F24" s="11">
        <v>74372</v>
      </c>
      <c r="G24" s="11">
        <v>77876</v>
      </c>
      <c r="H24" s="11">
        <v>137849</v>
      </c>
      <c r="I24" s="11">
        <v>136834</v>
      </c>
      <c r="J24" s="11">
        <f t="shared" si="0"/>
        <v>8241</v>
      </c>
      <c r="M24" s="32"/>
      <c r="N24" s="24"/>
      <c r="O24" s="24"/>
      <c r="P24" s="110"/>
      <c r="Q24" s="44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312389</v>
      </c>
      <c r="C25" s="11">
        <v>327320</v>
      </c>
      <c r="D25" s="11">
        <v>78262</v>
      </c>
      <c r="E25" s="11">
        <v>71299</v>
      </c>
      <c r="F25" s="11">
        <v>75568</v>
      </c>
      <c r="G25" s="11">
        <v>71528</v>
      </c>
      <c r="H25" s="11">
        <v>121053</v>
      </c>
      <c r="I25" s="11">
        <v>128666</v>
      </c>
      <c r="J25" s="11">
        <f t="shared" si="0"/>
        <v>11541</v>
      </c>
      <c r="M25" s="32"/>
      <c r="N25" s="24"/>
      <c r="O25" s="24"/>
      <c r="P25" s="110"/>
      <c r="Q25" s="44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328624</v>
      </c>
      <c r="C26" s="11">
        <v>326720</v>
      </c>
      <c r="D26" s="11">
        <v>72145</v>
      </c>
      <c r="E26" s="11">
        <v>72956</v>
      </c>
      <c r="F26" s="11">
        <v>76707</v>
      </c>
      <c r="G26" s="11">
        <v>73432</v>
      </c>
      <c r="H26" s="11">
        <v>122422</v>
      </c>
      <c r="I26" s="11">
        <v>122551</v>
      </c>
      <c r="J26" s="11">
        <f t="shared" si="0"/>
        <v>-4239</v>
      </c>
      <c r="M26" s="32"/>
      <c r="N26" s="24"/>
      <c r="O26" s="24"/>
      <c r="P26" s="110"/>
      <c r="Q26" s="44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6963931</v>
      </c>
      <c r="C35" s="11">
        <f t="shared" ref="C35:I35" si="3">SUM(C4:C34)</f>
        <v>6992698</v>
      </c>
      <c r="D35" s="11">
        <f t="shared" si="3"/>
        <v>1571412</v>
      </c>
      <c r="E35" s="11">
        <f t="shared" si="3"/>
        <v>1661330</v>
      </c>
      <c r="F35" s="11">
        <f t="shared" si="3"/>
        <v>1237663</v>
      </c>
      <c r="G35" s="11">
        <f t="shared" si="3"/>
        <v>1197252</v>
      </c>
      <c r="H35" s="11">
        <f t="shared" si="3"/>
        <v>2512783</v>
      </c>
      <c r="I35" s="11">
        <f t="shared" si="3"/>
        <v>2401379</v>
      </c>
      <c r="J35" s="11">
        <f>SUM(J4:J34)</f>
        <v>-33130</v>
      </c>
      <c r="M35" s="32"/>
      <c r="N35" s="24"/>
      <c r="O35" s="32"/>
      <c r="P35" s="15"/>
      <c r="Q35" s="38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7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5">
        <v>275390</v>
      </c>
      <c r="M38" s="32"/>
      <c r="N38" s="24"/>
      <c r="O38" s="32"/>
      <c r="P38" s="15"/>
      <c r="Q38" s="38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7"/>
      <c r="R39" s="110"/>
      <c r="S39" s="19"/>
      <c r="T39" s="104"/>
      <c r="U39" s="16"/>
      <c r="V39" s="15"/>
      <c r="W39" s="13"/>
    </row>
    <row r="40" spans="1:23" x14ac:dyDescent="0.2">
      <c r="A40" s="33">
        <v>37157</v>
      </c>
      <c r="J40" s="51">
        <f>+J38+J35</f>
        <v>242260</v>
      </c>
      <c r="M40" s="32"/>
      <c r="N40" s="24"/>
      <c r="O40" s="32"/>
      <c r="P40" s="15"/>
      <c r="Q40" s="38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7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7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7"/>
      <c r="R44" s="110"/>
      <c r="S44" s="19"/>
      <c r="T44" s="104"/>
      <c r="U44" s="16"/>
      <c r="V44" s="15"/>
      <c r="W44" s="13"/>
    </row>
    <row r="45" spans="1:23" x14ac:dyDescent="0.2">
      <c r="A45" s="32" t="s">
        <v>155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6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37157</v>
      </c>
      <c r="B47" s="32"/>
      <c r="C47" s="32"/>
      <c r="D47" s="405">
        <f>+J35*'by type_area'!J3</f>
        <v>-60296.6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1227941.3899999999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7"/>
      <c r="R48" s="15"/>
      <c r="S48" s="19"/>
      <c r="T48" s="32"/>
    </row>
    <row r="49" spans="1:20" x14ac:dyDescent="0.2">
      <c r="A49" s="139"/>
      <c r="B49" s="119"/>
      <c r="C49" s="140"/>
      <c r="D49" s="40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7"/>
      <c r="R49" s="15"/>
      <c r="S49" s="32"/>
      <c r="T49" s="32"/>
    </row>
    <row r="50" spans="1:20" x14ac:dyDescent="0.2">
      <c r="A50" s="10"/>
      <c r="B50" s="11"/>
      <c r="C50" s="11"/>
      <c r="D50" s="40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7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9"/>
      <c r="Q255" s="143"/>
      <c r="R255" s="43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0"/>
      <c r="Q256" s="445"/>
      <c r="R256" s="44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4"/>
      <c r="S295" s="1"/>
    </row>
    <row r="296" spans="9:21" x14ac:dyDescent="0.2">
      <c r="K296" s="2"/>
      <c r="M296" s="30"/>
      <c r="N296" s="4"/>
      <c r="O296" s="4"/>
      <c r="P296" s="439"/>
      <c r="Q296" s="143"/>
      <c r="R296" s="43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0"/>
      <c r="Q297" s="445"/>
      <c r="R297" s="44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4"/>
      <c r="S337" s="1"/>
    </row>
    <row r="338" spans="11:21" x14ac:dyDescent="0.2">
      <c r="K338" s="2"/>
      <c r="M338" s="30"/>
      <c r="N338" s="4"/>
      <c r="O338" s="4"/>
      <c r="P338" s="439"/>
      <c r="Q338" s="143"/>
      <c r="R338" s="43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0"/>
      <c r="Q339" s="445"/>
      <c r="R339" s="44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4"/>
      <c r="S379" s="1"/>
    </row>
    <row r="380" spans="11:21" x14ac:dyDescent="0.2">
      <c r="K380" s="2"/>
      <c r="M380" s="30"/>
      <c r="N380" s="4"/>
      <c r="O380" s="4"/>
      <c r="P380" s="439"/>
      <c r="Q380" s="143"/>
      <c r="R380" s="43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0"/>
      <c r="Q381" s="445"/>
      <c r="R381" s="44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4"/>
      <c r="S423" s="1"/>
    </row>
    <row r="424" spans="11:21" x14ac:dyDescent="0.2">
      <c r="K424" s="2"/>
      <c r="M424" s="30"/>
      <c r="N424" s="4"/>
      <c r="O424" s="4"/>
      <c r="P424" s="439"/>
      <c r="Q424" s="143"/>
      <c r="R424" s="43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0"/>
      <c r="Q425" s="445"/>
      <c r="R425" s="44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9"/>
      <c r="Q466" s="143"/>
      <c r="R466" s="43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0"/>
      <c r="Q467" s="445"/>
      <c r="R467" s="44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0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">
      <c r="A21" s="10">
        <v>16</v>
      </c>
      <c r="B21" s="11">
        <v>65102</v>
      </c>
      <c r="C21" s="11">
        <v>64520</v>
      </c>
      <c r="D21" s="25">
        <f t="shared" si="0"/>
        <v>-582</v>
      </c>
    </row>
    <row r="22" spans="1:4" x14ac:dyDescent="0.2">
      <c r="A22" s="10">
        <v>17</v>
      </c>
      <c r="B22" s="11">
        <v>65688</v>
      </c>
      <c r="C22" s="11">
        <v>64520</v>
      </c>
      <c r="D22" s="25">
        <f t="shared" si="0"/>
        <v>-1168</v>
      </c>
    </row>
    <row r="23" spans="1:4" x14ac:dyDescent="0.2">
      <c r="A23" s="10">
        <v>18</v>
      </c>
      <c r="B23" s="11">
        <v>61645</v>
      </c>
      <c r="C23" s="11">
        <v>61928</v>
      </c>
      <c r="D23" s="25">
        <f t="shared" si="0"/>
        <v>283</v>
      </c>
    </row>
    <row r="24" spans="1:4" x14ac:dyDescent="0.2">
      <c r="A24" s="10">
        <v>19</v>
      </c>
      <c r="B24" s="11">
        <v>61219</v>
      </c>
      <c r="C24" s="11">
        <v>59779</v>
      </c>
      <c r="D24" s="25">
        <f t="shared" si="0"/>
        <v>-1440</v>
      </c>
    </row>
    <row r="25" spans="1:4" x14ac:dyDescent="0.2">
      <c r="A25" s="10">
        <v>20</v>
      </c>
      <c r="B25" s="11">
        <v>63542</v>
      </c>
      <c r="C25" s="11">
        <v>62190</v>
      </c>
      <c r="D25" s="25">
        <f t="shared" si="0"/>
        <v>-1352</v>
      </c>
    </row>
    <row r="26" spans="1:4" x14ac:dyDescent="0.2">
      <c r="A26" s="10">
        <v>21</v>
      </c>
      <c r="B26" s="11">
        <v>62220</v>
      </c>
      <c r="C26" s="11">
        <v>62257</v>
      </c>
      <c r="D26" s="25">
        <f t="shared" si="0"/>
        <v>37</v>
      </c>
    </row>
    <row r="27" spans="1:4" x14ac:dyDescent="0.2">
      <c r="A27" s="10">
        <v>22</v>
      </c>
      <c r="B27" s="11">
        <v>63398</v>
      </c>
      <c r="C27" s="11">
        <v>62633</v>
      </c>
      <c r="D27" s="25">
        <f t="shared" si="0"/>
        <v>-765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1332263</v>
      </c>
      <c r="C37" s="11">
        <f>SUM(C6:C36)</f>
        <v>1340108</v>
      </c>
      <c r="D37" s="25">
        <f>SUM(D6:D36)</f>
        <v>7845</v>
      </c>
    </row>
    <row r="38" spans="1:4" x14ac:dyDescent="0.2">
      <c r="A38" s="26"/>
      <c r="C38" s="14"/>
      <c r="D38" s="345">
        <f>+summary!H5</f>
        <v>2.0299999999999998</v>
      </c>
    </row>
    <row r="39" spans="1:4" x14ac:dyDescent="0.2">
      <c r="D39" s="138">
        <f>+D38*D37</f>
        <v>15925.349999999999</v>
      </c>
    </row>
    <row r="40" spans="1:4" x14ac:dyDescent="0.2">
      <c r="A40" s="57">
        <v>37134</v>
      </c>
      <c r="C40" s="15"/>
      <c r="D40" s="488">
        <v>14916.9</v>
      </c>
    </row>
    <row r="41" spans="1:4" x14ac:dyDescent="0.2">
      <c r="A41" s="57">
        <v>37156</v>
      </c>
      <c r="C41" s="48"/>
      <c r="D41" s="138">
        <f>+D40+D39</f>
        <v>30842.25</v>
      </c>
    </row>
    <row r="45" spans="1:4" x14ac:dyDescent="0.2">
      <c r="A45" s="32" t="s">
        <v>154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4">
        <v>5234</v>
      </c>
    </row>
    <row r="47" spans="1:4" x14ac:dyDescent="0.2">
      <c r="A47" s="49">
        <f>+A41</f>
        <v>37156</v>
      </c>
      <c r="B47" s="32"/>
      <c r="C47" s="32"/>
      <c r="D47" s="376">
        <f>+D37</f>
        <v>7845</v>
      </c>
    </row>
    <row r="48" spans="1:4" x14ac:dyDescent="0.2">
      <c r="A48" s="32"/>
      <c r="B48" s="32"/>
      <c r="C48" s="32"/>
      <c r="D48" s="14">
        <f>+D47+D46</f>
        <v>13079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4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7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47" t="s">
        <v>194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48" t="s">
        <v>20</v>
      </c>
      <c r="J14" s="448" t="s">
        <v>21</v>
      </c>
      <c r="K14" s="449" t="s">
        <v>50</v>
      </c>
      <c r="L14" s="447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7">
        <v>8.2100000000000009</v>
      </c>
      <c r="M16" s="452">
        <f t="shared" ref="M16:M22" si="2">+L16*K16</f>
        <v>-148748.78000000003</v>
      </c>
    </row>
    <row r="17" spans="1:15" x14ac:dyDescent="0.2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7">
        <v>5.62</v>
      </c>
      <c r="M17" s="452">
        <f t="shared" si="2"/>
        <v>-91100.2</v>
      </c>
    </row>
    <row r="18" spans="1:15" x14ac:dyDescent="0.2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7">
        <v>4.9800000000000004</v>
      </c>
      <c r="M18" s="452">
        <f t="shared" si="2"/>
        <v>-118748.1</v>
      </c>
    </row>
    <row r="19" spans="1:15" x14ac:dyDescent="0.2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7">
        <v>4.87</v>
      </c>
      <c r="M19" s="452">
        <f t="shared" si="2"/>
        <v>63012.93</v>
      </c>
      <c r="O19" s="267"/>
    </row>
    <row r="20" spans="1:15" x14ac:dyDescent="0.2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7">
        <v>3.82</v>
      </c>
      <c r="M20" s="452">
        <f t="shared" si="2"/>
        <v>32531.119999999999</v>
      </c>
    </row>
    <row r="21" spans="1:15" x14ac:dyDescent="0.2">
      <c r="A21" s="10">
        <v>16</v>
      </c>
      <c r="B21" s="11"/>
      <c r="C21" s="11">
        <v>-339</v>
      </c>
      <c r="D21" s="25">
        <f t="shared" si="0"/>
        <v>-339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7">
        <v>3.2</v>
      </c>
      <c r="M21" s="452">
        <f t="shared" si="2"/>
        <v>-47644.800000000003</v>
      </c>
    </row>
    <row r="22" spans="1:15" x14ac:dyDescent="0.2">
      <c r="A22" s="10">
        <v>17</v>
      </c>
      <c r="B22" s="11"/>
      <c r="C22" s="11">
        <v>-370</v>
      </c>
      <c r="D22" s="25">
        <f t="shared" si="0"/>
        <v>-370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7">
        <v>2.77</v>
      </c>
      <c r="M22" s="453">
        <f t="shared" si="2"/>
        <v>-43139.98</v>
      </c>
    </row>
    <row r="23" spans="1:15" ht="13.5" thickBot="1" x14ac:dyDescent="0.25">
      <c r="A23" s="10">
        <v>18</v>
      </c>
      <c r="B23" s="11"/>
      <c r="C23" s="11">
        <v>-401</v>
      </c>
      <c r="D23" s="25">
        <f t="shared" si="0"/>
        <v>-401</v>
      </c>
      <c r="H23" s="34"/>
      <c r="I23" s="119"/>
      <c r="J23" s="119"/>
      <c r="K23" s="119"/>
      <c r="L23" s="450"/>
      <c r="M23" s="45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>
        <v>-438</v>
      </c>
      <c r="D24" s="25">
        <f t="shared" si="0"/>
        <v>-438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>
        <v>-395</v>
      </c>
      <c r="D25" s="25">
        <f t="shared" si="0"/>
        <v>-395</v>
      </c>
    </row>
    <row r="26" spans="1:15" x14ac:dyDescent="0.2">
      <c r="A26" s="10">
        <v>21</v>
      </c>
      <c r="B26" s="11"/>
      <c r="C26" s="11">
        <v>-389</v>
      </c>
      <c r="D26" s="25">
        <f t="shared" si="0"/>
        <v>-389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>
        <v>-372</v>
      </c>
      <c r="D27" s="25">
        <f t="shared" si="0"/>
        <v>-372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-19969</v>
      </c>
      <c r="D37" s="25">
        <f>SUM(D6:D36)</f>
        <v>-10993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-21546.28</v>
      </c>
    </row>
    <row r="40" spans="1:4" x14ac:dyDescent="0.2">
      <c r="A40" s="57">
        <v>37134</v>
      </c>
      <c r="C40" s="15"/>
      <c r="D40" s="480">
        <v>-421481.58</v>
      </c>
    </row>
    <row r="41" spans="1:4" x14ac:dyDescent="0.2">
      <c r="A41" s="57">
        <v>37156</v>
      </c>
      <c r="C41" s="48"/>
      <c r="D41" s="138">
        <f>+D40+D39</f>
        <v>-443027.86</v>
      </c>
    </row>
    <row r="47" spans="1:4" x14ac:dyDescent="0.2">
      <c r="A47" s="32" t="s">
        <v>154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4">
        <v>-77754</v>
      </c>
    </row>
    <row r="49" spans="1:4" x14ac:dyDescent="0.2">
      <c r="A49" s="49">
        <f>+A41</f>
        <v>37156</v>
      </c>
      <c r="B49" s="32"/>
      <c r="C49" s="32"/>
      <c r="D49" s="376">
        <f>+D37</f>
        <v>-10993</v>
      </c>
    </row>
    <row r="50" spans="1:4" x14ac:dyDescent="0.2">
      <c r="A50" s="32"/>
      <c r="B50" s="32"/>
      <c r="C50" s="32"/>
      <c r="D50" s="14">
        <f>+D49+D48</f>
        <v>-88747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7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">
      <c r="A21" s="10">
        <v>16</v>
      </c>
      <c r="B21" s="11">
        <v>-45049</v>
      </c>
      <c r="C21" s="11">
        <v>-40078</v>
      </c>
      <c r="D21" s="25">
        <f t="shared" si="0"/>
        <v>4971</v>
      </c>
    </row>
    <row r="22" spans="1:4" x14ac:dyDescent="0.2">
      <c r="A22" s="10">
        <v>17</v>
      </c>
      <c r="B22" s="11">
        <v>-39119</v>
      </c>
      <c r="C22" s="11">
        <v>-40422</v>
      </c>
      <c r="D22" s="25">
        <f t="shared" si="0"/>
        <v>-1303</v>
      </c>
    </row>
    <row r="23" spans="1:4" x14ac:dyDescent="0.2">
      <c r="A23" s="10">
        <v>18</v>
      </c>
      <c r="B23" s="11">
        <v>-39192</v>
      </c>
      <c r="C23" s="11">
        <v>-38093</v>
      </c>
      <c r="D23" s="25">
        <f t="shared" si="0"/>
        <v>1099</v>
      </c>
    </row>
    <row r="24" spans="1:4" x14ac:dyDescent="0.2">
      <c r="A24" s="10">
        <v>19</v>
      </c>
      <c r="B24" s="11">
        <v>-44852</v>
      </c>
      <c r="C24" s="11">
        <v>-44880</v>
      </c>
      <c r="D24" s="25">
        <f t="shared" si="0"/>
        <v>-28</v>
      </c>
    </row>
    <row r="25" spans="1:4" x14ac:dyDescent="0.2">
      <c r="A25" s="10">
        <v>20</v>
      </c>
      <c r="B25" s="11">
        <v>-1559</v>
      </c>
      <c r="C25" s="11">
        <v>-8068</v>
      </c>
      <c r="D25" s="25">
        <f t="shared" si="0"/>
        <v>-6509</v>
      </c>
    </row>
    <row r="26" spans="1:4" x14ac:dyDescent="0.2">
      <c r="A26" s="10">
        <v>21</v>
      </c>
      <c r="B26" s="11"/>
      <c r="C26" s="11">
        <v>-6446</v>
      </c>
      <c r="D26" s="25">
        <f t="shared" si="0"/>
        <v>-6446</v>
      </c>
    </row>
    <row r="27" spans="1:4" x14ac:dyDescent="0.2">
      <c r="A27" s="10">
        <v>22</v>
      </c>
      <c r="B27" s="11">
        <v>-2549</v>
      </c>
      <c r="C27" s="11"/>
      <c r="D27" s="25">
        <f t="shared" si="0"/>
        <v>2549</v>
      </c>
    </row>
    <row r="28" spans="1:4" x14ac:dyDescent="0.2">
      <c r="A28" s="10">
        <v>23</v>
      </c>
      <c r="B28" s="11">
        <v>-52440</v>
      </c>
      <c r="C28" s="11">
        <v>-47868</v>
      </c>
      <c r="D28" s="25">
        <f t="shared" si="0"/>
        <v>4572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-592911</v>
      </c>
      <c r="C37" s="11">
        <f>SUM(C6:C36)</f>
        <v>-533999</v>
      </c>
      <c r="D37" s="25">
        <f>SUM(D6:D36)</f>
        <v>58912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115467.52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37157</v>
      </c>
      <c r="C41" s="48"/>
      <c r="D41" s="138">
        <f>+D40+D39</f>
        <v>-58137.479999999996</v>
      </c>
    </row>
    <row r="42" spans="1:4" x14ac:dyDescent="0.2">
      <c r="D42" s="24"/>
    </row>
    <row r="45" spans="1:4" x14ac:dyDescent="0.2">
      <c r="A45" s="32" t="s">
        <v>154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37157</v>
      </c>
      <c r="B47" s="32"/>
      <c r="C47" s="32"/>
      <c r="D47" s="376">
        <f>+D37</f>
        <v>58912</v>
      </c>
    </row>
    <row r="48" spans="1:4" x14ac:dyDescent="0.2">
      <c r="A48" s="32"/>
      <c r="B48" s="32"/>
      <c r="C48" s="32"/>
      <c r="D48" s="14">
        <f>+D47+D46</f>
        <v>-27272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abSelected="1" workbookViewId="0"/>
    <sheetView workbookViewId="1"/>
    <sheetView workbookViewId="2">
      <selection activeCell="F8" sqref="F8"/>
    </sheetView>
    <sheetView tabSelected="1"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56659</v>
      </c>
      <c r="B5" s="342">
        <v>-23994</v>
      </c>
      <c r="C5" s="90">
        <v>-2772</v>
      </c>
      <c r="D5" s="90">
        <f>+C5-B5</f>
        <v>21222</v>
      </c>
      <c r="E5" s="285"/>
      <c r="F5" s="283"/>
    </row>
    <row r="6" spans="1:13" x14ac:dyDescent="0.2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-52988</v>
      </c>
      <c r="C8" s="90"/>
      <c r="D8" s="90">
        <f t="shared" si="0"/>
        <v>52988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74517</v>
      </c>
      <c r="E12" s="285"/>
      <c r="F12" s="283"/>
    </row>
    <row r="13" spans="1:13" x14ac:dyDescent="0.2">
      <c r="A13" s="87" t="s">
        <v>82</v>
      </c>
      <c r="B13" s="88"/>
      <c r="C13" s="88"/>
      <c r="D13" s="95">
        <f>+summary!H4</f>
        <v>1.96</v>
      </c>
      <c r="E13" s="287"/>
      <c r="F13" s="283"/>
    </row>
    <row r="14" spans="1:13" x14ac:dyDescent="0.2">
      <c r="A14" s="87"/>
      <c r="B14" s="88"/>
      <c r="C14" s="88"/>
      <c r="D14" s="96">
        <f>+D13*D12</f>
        <v>146053.32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7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37156</v>
      </c>
      <c r="B18" s="88"/>
      <c r="C18" s="88"/>
      <c r="D18" s="334">
        <f>+D16+D14</f>
        <v>-611739.05000000005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154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37156</v>
      </c>
      <c r="B23" s="32"/>
      <c r="C23" s="32"/>
      <c r="D23" s="376">
        <f>+D12</f>
        <v>74517</v>
      </c>
    </row>
    <row r="24" spans="1:7" x14ac:dyDescent="0.2">
      <c r="A24" s="32"/>
      <c r="B24" s="32"/>
      <c r="C24" s="32"/>
      <c r="D24" s="14">
        <f>+D23+D22</f>
        <v>-77659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17" workbookViewId="3">
      <selection activeCell="C29" sqref="C29"/>
    </sheetView>
  </sheetViews>
  <sheetFormatPr defaultRowHeight="12.75" x14ac:dyDescent="0.2"/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">
      <c r="A21" s="10">
        <v>16</v>
      </c>
      <c r="B21" s="11">
        <v>-55561</v>
      </c>
      <c r="C21" s="11">
        <v>-54808</v>
      </c>
      <c r="D21" s="25">
        <f t="shared" si="0"/>
        <v>753</v>
      </c>
    </row>
    <row r="22" spans="1:4" x14ac:dyDescent="0.2">
      <c r="A22" s="10">
        <v>17</v>
      </c>
      <c r="B22" s="11">
        <v>-55426</v>
      </c>
      <c r="C22" s="11">
        <v>-54808</v>
      </c>
      <c r="D22" s="25">
        <f t="shared" si="0"/>
        <v>618</v>
      </c>
    </row>
    <row r="23" spans="1:4" x14ac:dyDescent="0.2">
      <c r="A23" s="10">
        <v>18</v>
      </c>
      <c r="B23" s="11">
        <v>-27554</v>
      </c>
      <c r="C23" s="11">
        <v>-29000</v>
      </c>
      <c r="D23" s="25">
        <f t="shared" si="0"/>
        <v>-1446</v>
      </c>
    </row>
    <row r="24" spans="1:4" x14ac:dyDescent="0.2">
      <c r="A24" s="10">
        <v>19</v>
      </c>
      <c r="B24" s="11">
        <v>-10686</v>
      </c>
      <c r="C24" s="11">
        <v>-15000</v>
      </c>
      <c r="D24" s="25">
        <f t="shared" si="0"/>
        <v>-4314</v>
      </c>
    </row>
    <row r="25" spans="1:4" x14ac:dyDescent="0.2">
      <c r="A25" s="10">
        <v>20</v>
      </c>
      <c r="B25" s="11">
        <v>-21722</v>
      </c>
      <c r="C25" s="11">
        <v>-53000</v>
      </c>
      <c r="D25" s="25">
        <f t="shared" si="0"/>
        <v>-31278</v>
      </c>
    </row>
    <row r="26" spans="1:4" x14ac:dyDescent="0.2">
      <c r="A26" s="10">
        <v>21</v>
      </c>
      <c r="B26" s="11">
        <v>-52173</v>
      </c>
      <c r="C26" s="11">
        <v>-66199</v>
      </c>
      <c r="D26" s="25">
        <f t="shared" si="0"/>
        <v>-14026</v>
      </c>
    </row>
    <row r="27" spans="1:4" x14ac:dyDescent="0.2">
      <c r="A27" s="10">
        <v>22</v>
      </c>
      <c r="B27" s="11">
        <v>-62636</v>
      </c>
      <c r="C27" s="11">
        <v>-80000</v>
      </c>
      <c r="D27" s="25">
        <f t="shared" si="0"/>
        <v>-17364</v>
      </c>
    </row>
    <row r="28" spans="1:4" x14ac:dyDescent="0.2">
      <c r="A28" s="10">
        <v>23</v>
      </c>
      <c r="B28" s="11">
        <v>-70786</v>
      </c>
      <c r="C28" s="11">
        <v>-74560</v>
      </c>
      <c r="D28" s="25">
        <f t="shared" si="0"/>
        <v>-3774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-747110</v>
      </c>
      <c r="C37" s="11">
        <f>SUM(C6:C36)</f>
        <v>-806039</v>
      </c>
      <c r="D37" s="25">
        <f>SUM(D6:D36)</f>
        <v>-58929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5">
        <v>48988</v>
      </c>
    </row>
    <row r="41" spans="1:4" x14ac:dyDescent="0.2">
      <c r="A41" s="57">
        <v>37156</v>
      </c>
      <c r="C41" s="48"/>
      <c r="D41" s="25">
        <f>+D40+D37</f>
        <v>-9941</v>
      </c>
    </row>
    <row r="44" spans="1:4" x14ac:dyDescent="0.2">
      <c r="A44" s="32" t="s">
        <v>155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6">
        <v>265496.81</v>
      </c>
    </row>
    <row r="46" spans="1:4" x14ac:dyDescent="0.2">
      <c r="A46" s="49">
        <f>+A41</f>
        <v>37156</v>
      </c>
      <c r="B46" s="32"/>
      <c r="C46" s="32"/>
      <c r="D46" s="405">
        <f>+D37*'by type_area'!J4</f>
        <v>-115500.84</v>
      </c>
    </row>
    <row r="47" spans="1:4" x14ac:dyDescent="0.2">
      <c r="A47" s="32"/>
      <c r="B47" s="32"/>
      <c r="C47" s="32"/>
      <c r="D47" s="202">
        <f>+D46+D45</f>
        <v>149995.97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A51" sqref="A5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">
      <c r="A22" s="10">
        <v>16</v>
      </c>
      <c r="B22" s="11">
        <v>112497</v>
      </c>
      <c r="C22" s="11">
        <v>112104</v>
      </c>
      <c r="D22" s="25">
        <f t="shared" si="0"/>
        <v>-393</v>
      </c>
    </row>
    <row r="23" spans="1:4" x14ac:dyDescent="0.2">
      <c r="A23" s="10">
        <v>17</v>
      </c>
      <c r="B23" s="11">
        <v>137155</v>
      </c>
      <c r="C23" s="11">
        <v>137134</v>
      </c>
      <c r="D23" s="25">
        <f t="shared" si="0"/>
        <v>-21</v>
      </c>
    </row>
    <row r="24" spans="1:4" x14ac:dyDescent="0.2">
      <c r="A24" s="10">
        <v>18</v>
      </c>
      <c r="B24" s="11">
        <v>120866</v>
      </c>
      <c r="C24" s="11">
        <v>120501</v>
      </c>
      <c r="D24" s="25">
        <f t="shared" si="0"/>
        <v>-365</v>
      </c>
    </row>
    <row r="25" spans="1:4" x14ac:dyDescent="0.2">
      <c r="A25" s="10">
        <v>19</v>
      </c>
      <c r="B25" s="11">
        <v>149368</v>
      </c>
      <c r="C25" s="11">
        <v>149005</v>
      </c>
      <c r="D25" s="25">
        <f t="shared" si="0"/>
        <v>-363</v>
      </c>
    </row>
    <row r="26" spans="1:4" x14ac:dyDescent="0.2">
      <c r="A26" s="10">
        <v>20</v>
      </c>
      <c r="B26" s="11">
        <v>130710</v>
      </c>
      <c r="C26" s="11">
        <v>130966</v>
      </c>
      <c r="D26" s="25">
        <f t="shared" si="0"/>
        <v>256</v>
      </c>
    </row>
    <row r="27" spans="1:4" x14ac:dyDescent="0.2">
      <c r="A27" s="10">
        <v>21</v>
      </c>
      <c r="B27" s="11">
        <v>114908</v>
      </c>
      <c r="C27" s="11">
        <v>114891</v>
      </c>
      <c r="D27" s="25">
        <f t="shared" si="0"/>
        <v>-17</v>
      </c>
    </row>
    <row r="28" spans="1:4" x14ac:dyDescent="0.2">
      <c r="A28" s="10">
        <v>22</v>
      </c>
      <c r="B28" s="11">
        <v>90162</v>
      </c>
      <c r="C28" s="11">
        <v>90283</v>
      </c>
      <c r="D28" s="25">
        <f t="shared" si="0"/>
        <v>121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2768248</v>
      </c>
      <c r="C38" s="11">
        <f>SUM(C7:C37)</f>
        <v>2770285</v>
      </c>
      <c r="D38" s="11">
        <f>SUM(D7:D37)</f>
        <v>2037</v>
      </c>
    </row>
    <row r="39" spans="1:4" x14ac:dyDescent="0.2">
      <c r="A39" s="26"/>
      <c r="C39" s="14"/>
      <c r="D39" s="106">
        <f>+summary!H3</f>
        <v>1.82</v>
      </c>
    </row>
    <row r="40" spans="1:4" x14ac:dyDescent="0.2">
      <c r="D40" s="138">
        <f>+D39*D38</f>
        <v>3707.34</v>
      </c>
    </row>
    <row r="41" spans="1:4" x14ac:dyDescent="0.2">
      <c r="A41" s="57">
        <v>37134</v>
      </c>
      <c r="C41" s="15"/>
      <c r="D41" s="368">
        <v>0</v>
      </c>
    </row>
    <row r="42" spans="1:4" x14ac:dyDescent="0.2">
      <c r="A42" s="57">
        <v>37156</v>
      </c>
      <c r="D42" s="337">
        <f>+D41+D40</f>
        <v>3707.34</v>
      </c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37156</v>
      </c>
      <c r="B48" s="32"/>
      <c r="C48" s="32"/>
      <c r="D48" s="376">
        <f>+D38</f>
        <v>2037</v>
      </c>
    </row>
    <row r="49" spans="1:4" x14ac:dyDescent="0.2">
      <c r="A49" s="32"/>
      <c r="B49" s="32"/>
      <c r="C49" s="32"/>
      <c r="D49" s="14">
        <f>+D48+D47</f>
        <v>2037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-68686</v>
      </c>
      <c r="C20" s="11">
        <v>-54000</v>
      </c>
      <c r="D20" s="11">
        <v>-19172</v>
      </c>
      <c r="E20" s="11">
        <v>-32608</v>
      </c>
      <c r="F20" s="11">
        <f t="shared" si="0"/>
        <v>1250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-60138</v>
      </c>
      <c r="C21" s="11">
        <v>-54000</v>
      </c>
      <c r="D21" s="11">
        <v>-27411</v>
      </c>
      <c r="E21" s="11">
        <v>-32608</v>
      </c>
      <c r="F21" s="11">
        <f t="shared" si="0"/>
        <v>941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-73176</v>
      </c>
      <c r="C22" s="11">
        <v>-20202</v>
      </c>
      <c r="D22" s="11">
        <v>-186</v>
      </c>
      <c r="E22" s="11">
        <v>-54709</v>
      </c>
      <c r="F22" s="11">
        <f t="shared" si="0"/>
        <v>-1549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-74991</v>
      </c>
      <c r="C23" s="11">
        <v>-40404</v>
      </c>
      <c r="D23" s="11"/>
      <c r="E23" s="11">
        <v>-35391</v>
      </c>
      <c r="F23" s="11">
        <f t="shared" si="0"/>
        <v>-804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-62822</v>
      </c>
      <c r="C24" s="11">
        <v>-74648</v>
      </c>
      <c r="D24" s="11">
        <v>-34224</v>
      </c>
      <c r="E24" s="11">
        <v>-25306</v>
      </c>
      <c r="F24" s="11">
        <f t="shared" si="0"/>
        <v>-2908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-82790</v>
      </c>
      <c r="C25" s="11">
        <v>-57989</v>
      </c>
      <c r="D25" s="11">
        <v>-35804</v>
      </c>
      <c r="E25" s="11">
        <v>-60408</v>
      </c>
      <c r="F25" s="11">
        <f t="shared" si="0"/>
        <v>197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-72527</v>
      </c>
      <c r="C26" s="11">
        <v>-40583</v>
      </c>
      <c r="D26" s="11">
        <v>-251</v>
      </c>
      <c r="E26" s="11">
        <v>-33469</v>
      </c>
      <c r="F26" s="11">
        <f t="shared" si="0"/>
        <v>-1274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-72983</v>
      </c>
      <c r="C27" s="11">
        <v>-40583</v>
      </c>
      <c r="D27" s="11"/>
      <c r="E27" s="11">
        <v>-33469</v>
      </c>
      <c r="F27" s="11">
        <f t="shared" si="0"/>
        <v>-1069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-1080199</v>
      </c>
      <c r="C36" s="44">
        <f>SUM(C5:C35)</f>
        <v>-499896</v>
      </c>
      <c r="D36" s="43">
        <f>SUM(D5:D35)</f>
        <v>-117082</v>
      </c>
      <c r="E36" s="44">
        <f>SUM(E5:E35)</f>
        <v>-697754</v>
      </c>
      <c r="F36" s="11">
        <f>SUM(F5:F35)</f>
        <v>-369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-580303</v>
      </c>
      <c r="D37" s="24"/>
      <c r="E37" s="24">
        <f>+D36-E36</f>
        <v>580672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5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37157</v>
      </c>
      <c r="C42" s="14"/>
      <c r="D42" s="50"/>
      <c r="E42" s="50"/>
      <c r="F42" s="51">
        <f>+F41+F36</f>
        <v>72634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155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76">
        <v>71590.87</v>
      </c>
    </row>
    <row r="48" spans="1:12" x14ac:dyDescent="0.2">
      <c r="A48" s="49">
        <f>+B42</f>
        <v>37157</v>
      </c>
      <c r="B48" s="32"/>
      <c r="C48" s="32"/>
      <c r="D48" s="405">
        <f>+F36*'by type_area'!J4</f>
        <v>-723.24</v>
      </c>
    </row>
    <row r="49" spans="1:4" x14ac:dyDescent="0.2">
      <c r="A49" s="32"/>
      <c r="B49" s="32"/>
      <c r="C49" s="32"/>
      <c r="D49" s="202">
        <f>+D48+D47</f>
        <v>70867.62999999999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19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">
      <c r="A19" s="10">
        <v>16</v>
      </c>
      <c r="B19" s="11">
        <v>-155249</v>
      </c>
      <c r="C19" s="11">
        <v>-154056</v>
      </c>
      <c r="D19" s="25">
        <f t="shared" si="0"/>
        <v>1193</v>
      </c>
    </row>
    <row r="20" spans="1:4" x14ac:dyDescent="0.2">
      <c r="A20" s="10">
        <v>17</v>
      </c>
      <c r="B20" s="11">
        <v>-146321</v>
      </c>
      <c r="C20" s="11">
        <v>-145963</v>
      </c>
      <c r="D20" s="25">
        <f t="shared" si="0"/>
        <v>358</v>
      </c>
    </row>
    <row r="21" spans="1:4" x14ac:dyDescent="0.2">
      <c r="A21" s="10">
        <v>18</v>
      </c>
      <c r="B21" s="108">
        <v>-124092</v>
      </c>
      <c r="C21" s="11">
        <v>-123717</v>
      </c>
      <c r="D21" s="25">
        <f t="shared" si="0"/>
        <v>375</v>
      </c>
    </row>
    <row r="22" spans="1:4" x14ac:dyDescent="0.2">
      <c r="A22" s="10">
        <v>19</v>
      </c>
      <c r="B22" s="108">
        <v>-74875</v>
      </c>
      <c r="C22" s="11">
        <v>-74201</v>
      </c>
      <c r="D22" s="25">
        <f t="shared" si="0"/>
        <v>674</v>
      </c>
    </row>
    <row r="23" spans="1:4" x14ac:dyDescent="0.2">
      <c r="A23" s="10">
        <v>20</v>
      </c>
      <c r="B23" s="11">
        <v>-186736</v>
      </c>
      <c r="C23" s="11">
        <v>-186184</v>
      </c>
      <c r="D23" s="25">
        <f t="shared" si="0"/>
        <v>552</v>
      </c>
    </row>
    <row r="24" spans="1:4" x14ac:dyDescent="0.2">
      <c r="A24" s="10">
        <v>21</v>
      </c>
      <c r="B24" s="108">
        <v>-152827</v>
      </c>
      <c r="C24" s="11">
        <v>-144683</v>
      </c>
      <c r="D24" s="25">
        <f t="shared" si="0"/>
        <v>8144</v>
      </c>
    </row>
    <row r="25" spans="1:4" x14ac:dyDescent="0.2">
      <c r="A25" s="10">
        <v>22</v>
      </c>
      <c r="B25" s="11">
        <v>-136241</v>
      </c>
      <c r="C25" s="11">
        <v>-135394</v>
      </c>
      <c r="D25" s="25">
        <f t="shared" si="0"/>
        <v>847</v>
      </c>
    </row>
    <row r="26" spans="1:4" x14ac:dyDescent="0.2">
      <c r="A26" s="10">
        <v>23</v>
      </c>
      <c r="B26" s="108">
        <v>-71630</v>
      </c>
      <c r="C26" s="11">
        <v>-71255</v>
      </c>
      <c r="D26" s="25">
        <f t="shared" si="0"/>
        <v>375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-3373455</v>
      </c>
      <c r="C35" s="11">
        <f>SUM(C4:C34)</f>
        <v>-3347270</v>
      </c>
      <c r="D35" s="11">
        <f>SUM(D4:D34)</f>
        <v>26185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490">
        <v>43542</v>
      </c>
    </row>
    <row r="39" spans="1:30" x14ac:dyDescent="0.2">
      <c r="A39" s="12"/>
      <c r="D39" s="24"/>
    </row>
    <row r="40" spans="1:30" x14ac:dyDescent="0.2">
      <c r="A40" s="249">
        <v>37157</v>
      </c>
      <c r="D40" s="24">
        <f>+D38+D35</f>
        <v>69727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155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91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37157</v>
      </c>
      <c r="B46" s="32"/>
      <c r="C46" s="32"/>
      <c r="D46" s="405">
        <f>+D35*'by type_area'!J4</f>
        <v>51322.6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-53122.400000000001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41" sqref="D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">
      <c r="A19" s="10">
        <v>16</v>
      </c>
      <c r="B19" s="11">
        <v>-615349</v>
      </c>
      <c r="C19" s="11">
        <v>-615618</v>
      </c>
      <c r="D19" s="11"/>
      <c r="E19" s="11"/>
      <c r="F19" s="25">
        <f t="shared" si="0"/>
        <v>-269</v>
      </c>
      <c r="H19" s="10"/>
      <c r="I19" s="11"/>
    </row>
    <row r="20" spans="1:11" x14ac:dyDescent="0.2">
      <c r="A20" s="10">
        <v>17</v>
      </c>
      <c r="B20" s="11">
        <v>-607398</v>
      </c>
      <c r="C20" s="11">
        <v>-609438</v>
      </c>
      <c r="D20" s="11"/>
      <c r="E20" s="11"/>
      <c r="F20" s="25">
        <f t="shared" si="0"/>
        <v>-2040</v>
      </c>
      <c r="H20" s="10"/>
      <c r="I20" s="11"/>
    </row>
    <row r="21" spans="1:11" x14ac:dyDescent="0.2">
      <c r="A21" s="10">
        <v>18</v>
      </c>
      <c r="B21" s="11">
        <v>-685084</v>
      </c>
      <c r="C21" s="11">
        <v>-679623</v>
      </c>
      <c r="D21" s="11"/>
      <c r="E21" s="11"/>
      <c r="F21" s="25">
        <f t="shared" si="0"/>
        <v>5461</v>
      </c>
      <c r="H21" s="10"/>
      <c r="I21" s="11"/>
    </row>
    <row r="22" spans="1:11" x14ac:dyDescent="0.2">
      <c r="A22" s="10">
        <v>19</v>
      </c>
      <c r="B22" s="11">
        <v>-708148</v>
      </c>
      <c r="C22" s="11">
        <v>-709958</v>
      </c>
      <c r="D22" s="11">
        <v>-1</v>
      </c>
      <c r="E22" s="11"/>
      <c r="F22" s="25">
        <f t="shared" si="0"/>
        <v>-1809</v>
      </c>
      <c r="H22" s="10"/>
      <c r="I22" s="11"/>
    </row>
    <row r="23" spans="1:11" x14ac:dyDescent="0.2">
      <c r="A23" s="10">
        <v>20</v>
      </c>
      <c r="B23" s="11">
        <v>-632821</v>
      </c>
      <c r="C23" s="11">
        <v>-582775</v>
      </c>
      <c r="D23" s="11"/>
      <c r="E23" s="11"/>
      <c r="F23" s="25">
        <f t="shared" si="0"/>
        <v>50046</v>
      </c>
      <c r="H23" s="10"/>
      <c r="I23" s="11"/>
    </row>
    <row r="24" spans="1:11" x14ac:dyDescent="0.2">
      <c r="A24" s="10">
        <v>21</v>
      </c>
      <c r="B24" s="11">
        <v>-606326</v>
      </c>
      <c r="C24" s="11">
        <v>-590151</v>
      </c>
      <c r="D24" s="129"/>
      <c r="E24" s="11"/>
      <c r="F24" s="25">
        <f t="shared" si="0"/>
        <v>16175</v>
      </c>
      <c r="H24" s="10"/>
      <c r="I24" s="11"/>
      <c r="K24" s="25"/>
    </row>
    <row r="25" spans="1:11" x14ac:dyDescent="0.2">
      <c r="A25" s="10">
        <v>22</v>
      </c>
      <c r="B25" s="11">
        <v>-609261</v>
      </c>
      <c r="C25" s="11">
        <v>-589970</v>
      </c>
      <c r="D25" s="11"/>
      <c r="E25" s="11"/>
      <c r="F25" s="25">
        <f t="shared" si="0"/>
        <v>19291</v>
      </c>
      <c r="H25" s="10"/>
      <c r="I25" s="11"/>
    </row>
    <row r="26" spans="1:11" x14ac:dyDescent="0.2">
      <c r="A26" s="10">
        <v>23</v>
      </c>
      <c r="B26" s="11">
        <v>-610310</v>
      </c>
      <c r="C26" s="11">
        <v>-585021</v>
      </c>
      <c r="D26" s="11"/>
      <c r="E26" s="11"/>
      <c r="F26" s="25">
        <f t="shared" si="0"/>
        <v>25289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-15298052</v>
      </c>
      <c r="C35" s="11">
        <f>SUM(C4:C34)</f>
        <v>-15173433</v>
      </c>
      <c r="D35" s="11">
        <f>SUM(D4:D34)</f>
        <v>-324769</v>
      </c>
      <c r="E35" s="11">
        <f>SUM(E4:E34)</f>
        <v>-300000</v>
      </c>
      <c r="F35" s="11">
        <f>SUM(F4:F34)</f>
        <v>149388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1">
        <v>151133</v>
      </c>
    </row>
    <row r="39" spans="1:45" x14ac:dyDescent="0.2">
      <c r="A39" s="2"/>
      <c r="F39" s="24"/>
    </row>
    <row r="40" spans="1:45" x14ac:dyDescent="0.2">
      <c r="A40" s="57">
        <v>37157</v>
      </c>
      <c r="F40" s="51">
        <f>+F38+F35</f>
        <v>300521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155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6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37157</v>
      </c>
      <c r="B46" s="32"/>
      <c r="C46" s="32"/>
      <c r="D46" s="405">
        <f>+F35*'by type_area'!J4</f>
        <v>292800.48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757920.48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G39" sqref="G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6"/>
      <c r="L4" s="446"/>
      <c r="M4" s="446"/>
      <c r="N4" s="44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47" t="s">
        <v>194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48" t="s">
        <v>20</v>
      </c>
      <c r="M6" s="448" t="s">
        <v>21</v>
      </c>
      <c r="N6" s="449" t="s">
        <v>50</v>
      </c>
      <c r="O6" s="44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7">
        <v>8.2100000000000009</v>
      </c>
      <c r="P9" s="45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7">
        <v>5.62</v>
      </c>
      <c r="P10" s="45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7">
        <v>4.9800000000000004</v>
      </c>
      <c r="P11" s="45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7">
        <v>4.87</v>
      </c>
      <c r="P12" s="45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7">
        <v>3.82</v>
      </c>
      <c r="P13" s="45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7">
        <v>3.2</v>
      </c>
      <c r="P14" s="45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7">
        <v>2.77</v>
      </c>
      <c r="P15" s="45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0"/>
      <c r="P16" s="451">
        <f>SUM(P9:P15)</f>
        <v>460835.37</v>
      </c>
      <c r="Q16" s="2"/>
    </row>
    <row r="17" spans="1:17" ht="13.5" thickTop="1" x14ac:dyDescent="0.2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-126244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-124446</v>
      </c>
      <c r="C19" s="11">
        <v>-125649</v>
      </c>
      <c r="D19" s="11">
        <v>-26997</v>
      </c>
      <c r="E19" s="11">
        <v>-23475</v>
      </c>
      <c r="F19" s="11"/>
      <c r="G19" s="11"/>
      <c r="H19" s="11">
        <f t="shared" si="0"/>
        <v>2319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-122387</v>
      </c>
      <c r="C20" s="11">
        <v>-126207</v>
      </c>
      <c r="D20" s="11">
        <v>-28598</v>
      </c>
      <c r="E20" s="11">
        <v>-23922</v>
      </c>
      <c r="F20" s="11"/>
      <c r="G20" s="11"/>
      <c r="H20" s="11">
        <f t="shared" si="0"/>
        <v>856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-108356</v>
      </c>
      <c r="C21" s="11">
        <v>-94698</v>
      </c>
      <c r="D21" s="11">
        <v>-798</v>
      </c>
      <c r="E21" s="11">
        <v>-14282</v>
      </c>
      <c r="F21" s="11"/>
      <c r="G21" s="11"/>
      <c r="H21" s="11">
        <f t="shared" si="0"/>
        <v>174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-114725</v>
      </c>
      <c r="C22" s="11">
        <v>-105190</v>
      </c>
      <c r="D22" s="11"/>
      <c r="E22" s="11">
        <v>-9460</v>
      </c>
      <c r="F22" s="11"/>
      <c r="G22" s="11"/>
      <c r="H22" s="11">
        <f t="shared" si="0"/>
        <v>75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-76579</v>
      </c>
      <c r="C23" s="11">
        <v>-62903</v>
      </c>
      <c r="D23" s="11"/>
      <c r="E23" s="11">
        <v>-14515</v>
      </c>
      <c r="F23" s="11"/>
      <c r="G23" s="11"/>
      <c r="H23" s="11">
        <f t="shared" si="0"/>
        <v>-839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-119961</v>
      </c>
      <c r="C24" s="11">
        <v>-114049</v>
      </c>
      <c r="D24" s="11">
        <v>-9635</v>
      </c>
      <c r="E24" s="11">
        <v>-16604</v>
      </c>
      <c r="F24" s="11"/>
      <c r="G24" s="11"/>
      <c r="H24" s="11">
        <f t="shared" si="0"/>
        <v>-1057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-105798</v>
      </c>
      <c r="C25" s="11">
        <v>-93449</v>
      </c>
      <c r="D25" s="11">
        <v>-572</v>
      </c>
      <c r="E25" s="11">
        <v>-13946</v>
      </c>
      <c r="F25" s="11"/>
      <c r="G25" s="11"/>
      <c r="H25" s="11">
        <f t="shared" si="0"/>
        <v>-1025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-114411</v>
      </c>
      <c r="C26" s="11">
        <v>-102286</v>
      </c>
      <c r="D26" s="11"/>
      <c r="E26" s="11">
        <v>-13687</v>
      </c>
      <c r="F26" s="11"/>
      <c r="G26" s="11"/>
      <c r="H26" s="11">
        <f t="shared" si="0"/>
        <v>-1562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-2389086</v>
      </c>
      <c r="C35" s="44">
        <f t="shared" si="3"/>
        <v>-2017972</v>
      </c>
      <c r="D35" s="11">
        <f t="shared" si="3"/>
        <v>-91368</v>
      </c>
      <c r="E35" s="44">
        <f t="shared" si="3"/>
        <v>-462534</v>
      </c>
      <c r="F35" s="11">
        <f t="shared" si="3"/>
        <v>0</v>
      </c>
      <c r="G35" s="11">
        <f t="shared" si="3"/>
        <v>0</v>
      </c>
      <c r="H35" s="11">
        <f t="shared" si="3"/>
        <v>-52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-101.92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0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37157</v>
      </c>
      <c r="F39" s="47"/>
      <c r="G39" s="47"/>
      <c r="H39" s="137">
        <f>+H38+H37</f>
        <v>457833.26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154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492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37157</v>
      </c>
      <c r="E47" s="376">
        <f>+H35</f>
        <v>-52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110137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8" workbookViewId="3">
      <selection activeCell="D50" sqref="D5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-250508-750</f>
        <v>-251258</v>
      </c>
      <c r="E5" s="11">
        <v>-251915</v>
      </c>
      <c r="F5" s="11"/>
      <c r="G5" s="11"/>
      <c r="H5" s="24">
        <f>+E5-D5+C5-B5</f>
        <v>-657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-266868-750</f>
        <v>-267618</v>
      </c>
      <c r="E6" s="11">
        <v>-268107</v>
      </c>
      <c r="F6" s="11"/>
      <c r="G6" s="11"/>
      <c r="H6" s="24">
        <f t="shared" ref="H6:H35" si="0">+E6-D6+C6-B6</f>
        <v>-489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-280823-750</f>
        <v>-281573</v>
      </c>
      <c r="E7" s="129">
        <v>-279686</v>
      </c>
      <c r="F7" s="11"/>
      <c r="G7" s="11"/>
      <c r="H7" s="24">
        <f t="shared" si="0"/>
        <v>1887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-269685-750</f>
        <v>-270435</v>
      </c>
      <c r="E8" s="129">
        <v>-270741</v>
      </c>
      <c r="F8" s="11"/>
      <c r="G8" s="11"/>
      <c r="H8" s="24">
        <f t="shared" si="0"/>
        <v>-306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-292953-750</f>
        <v>-293703</v>
      </c>
      <c r="E9" s="11">
        <v>-307670</v>
      </c>
      <c r="F9" s="11"/>
      <c r="G9" s="11"/>
      <c r="H9" s="24">
        <f t="shared" si="0"/>
        <v>-13967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-302287-750</f>
        <v>-303037</v>
      </c>
      <c r="E10" s="11">
        <v>-324302</v>
      </c>
      <c r="F10" s="11"/>
      <c r="G10" s="11"/>
      <c r="H10" s="24">
        <f t="shared" si="0"/>
        <v>-21265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f>-316556-750</f>
        <v>-317306</v>
      </c>
      <c r="E11" s="11">
        <v>-315034</v>
      </c>
      <c r="F11" s="11">
        <v>25</v>
      </c>
      <c r="G11" s="11"/>
      <c r="H11" s="24">
        <f t="shared" si="0"/>
        <v>2247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-299575-750</f>
        <v>-300325</v>
      </c>
      <c r="E12" s="11">
        <v>-292964</v>
      </c>
      <c r="F12" s="11"/>
      <c r="G12" s="11"/>
      <c r="H12" s="24">
        <f t="shared" si="0"/>
        <v>7361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-299393-750</f>
        <v>-300143</v>
      </c>
      <c r="E13" s="11">
        <v>-300098</v>
      </c>
      <c r="F13" s="11"/>
      <c r="G13" s="11"/>
      <c r="H13" s="24">
        <f t="shared" si="0"/>
        <v>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-304849-750</f>
        <v>-305599</v>
      </c>
      <c r="E14" s="11">
        <v>-290831</v>
      </c>
      <c r="F14" s="11"/>
      <c r="G14" s="11"/>
      <c r="H14" s="24">
        <f t="shared" si="0"/>
        <v>14768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-311901-750</f>
        <v>-312651</v>
      </c>
      <c r="E15" s="11">
        <v>-310222</v>
      </c>
      <c r="F15" s="11"/>
      <c r="G15" s="11"/>
      <c r="H15" s="24">
        <f t="shared" si="0"/>
        <v>2429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-316740-750</f>
        <v>-317490</v>
      </c>
      <c r="E16" s="11">
        <v>-316878</v>
      </c>
      <c r="F16" s="11"/>
      <c r="G16" s="11"/>
      <c r="H16" s="24">
        <f t="shared" si="0"/>
        <v>612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-259400-750</f>
        <v>-260150</v>
      </c>
      <c r="E17" s="11">
        <v>-259196</v>
      </c>
      <c r="F17" s="11"/>
      <c r="G17" s="11"/>
      <c r="H17" s="24">
        <f t="shared" si="0"/>
        <v>954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-317090-750</f>
        <v>-317840</v>
      </c>
      <c r="E18" s="11">
        <v>-321641</v>
      </c>
      <c r="F18" s="11"/>
      <c r="G18" s="11"/>
      <c r="H18" s="24">
        <f t="shared" si="0"/>
        <v>-3801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-294314-750</f>
        <v>-295064</v>
      </c>
      <c r="E19" s="11">
        <v>-292920</v>
      </c>
      <c r="F19" s="11"/>
      <c r="G19" s="11"/>
      <c r="H19" s="24">
        <f t="shared" si="0"/>
        <v>2144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-298603-750</f>
        <v>-299353</v>
      </c>
      <c r="E20" s="11">
        <v>-301810</v>
      </c>
      <c r="F20" s="11"/>
      <c r="G20" s="11"/>
      <c r="H20" s="24">
        <f t="shared" si="0"/>
        <v>-2457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-267728-750</f>
        <v>-268478</v>
      </c>
      <c r="E21" s="11">
        <v>-269282</v>
      </c>
      <c r="F21" s="11"/>
      <c r="G21" s="11"/>
      <c r="H21" s="24">
        <f t="shared" si="0"/>
        <v>-804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-293746-750</f>
        <v>-294496</v>
      </c>
      <c r="E22" s="11">
        <v>-292599</v>
      </c>
      <c r="F22" s="11"/>
      <c r="G22" s="11"/>
      <c r="H22" s="24">
        <f t="shared" si="0"/>
        <v>1897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-303611-750</f>
        <v>-304361</v>
      </c>
      <c r="E23" s="11">
        <v>-303149</v>
      </c>
      <c r="F23" s="11"/>
      <c r="G23" s="11"/>
      <c r="H23" s="24">
        <f t="shared" si="0"/>
        <v>1212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-242504-750</f>
        <v>-243254</v>
      </c>
      <c r="E24" s="11">
        <v>-246441</v>
      </c>
      <c r="F24" s="11"/>
      <c r="G24" s="11"/>
      <c r="H24" s="24">
        <f t="shared" si="0"/>
        <v>-3187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-294995-750</f>
        <v>-295745</v>
      </c>
      <c r="E25" s="11">
        <v>-297552</v>
      </c>
      <c r="F25" s="11"/>
      <c r="G25" s="11"/>
      <c r="H25" s="24">
        <f t="shared" si="0"/>
        <v>-1807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f>-268006-750</f>
        <v>-268756</v>
      </c>
      <c r="E26" s="11">
        <v>-268856</v>
      </c>
      <c r="F26" s="11"/>
      <c r="G26" s="11"/>
      <c r="H26" s="24">
        <f t="shared" si="0"/>
        <v>-100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-6368635</v>
      </c>
      <c r="E36" s="11">
        <f t="shared" si="15"/>
        <v>-6381894</v>
      </c>
      <c r="F36" s="11">
        <f t="shared" si="15"/>
        <v>25</v>
      </c>
      <c r="G36" s="11">
        <f t="shared" si="15"/>
        <v>0</v>
      </c>
      <c r="H36" s="11">
        <f t="shared" si="15"/>
        <v>-13284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-13259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68">
        <v>64269</v>
      </c>
      <c r="D38" s="338"/>
      <c r="E38" s="467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37156</v>
      </c>
      <c r="B39" s="2" t="s">
        <v>46</v>
      </c>
      <c r="C39" s="131">
        <f>+C38+C37</f>
        <v>64244</v>
      </c>
      <c r="D39" s="259"/>
      <c r="E39" s="131">
        <f>+E38+E37</f>
        <v>-79233</v>
      </c>
      <c r="F39" s="259"/>
      <c r="G39" s="131"/>
      <c r="H39" s="131">
        <f>+H38+H36</f>
        <v>-14989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155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69">
        <v>-1582961.01</v>
      </c>
      <c r="D44" s="207"/>
      <c r="E44" s="470">
        <v>942518.92</v>
      </c>
      <c r="F44" s="47">
        <f>+E44+C44</f>
        <v>-640442.09</v>
      </c>
      <c r="G44" s="252"/>
      <c r="H44" s="40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37156</v>
      </c>
      <c r="B45" s="32"/>
      <c r="C45" s="47">
        <f>+C37*summary!H4</f>
        <v>-49</v>
      </c>
      <c r="D45" s="207"/>
      <c r="E45" s="407">
        <f>+E37*summary!H3</f>
        <v>-24131.38</v>
      </c>
      <c r="F45" s="47">
        <f>+E45+C45</f>
        <v>-24180.38</v>
      </c>
      <c r="G45" s="252"/>
      <c r="H45" s="40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-1583010.01</v>
      </c>
      <c r="D46" s="207"/>
      <c r="E46" s="407">
        <f>+E45+E44</f>
        <v>918387.54</v>
      </c>
      <c r="F46" s="47">
        <f>+E46+C46</f>
        <v>-664622.47</v>
      </c>
      <c r="G46" s="252"/>
      <c r="H46" s="40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7"/>
      <c r="D47" s="407"/>
      <c r="E47" s="407"/>
      <c r="F47" s="47"/>
      <c r="G47" s="252"/>
      <c r="H47" s="40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6" workbookViewId="3">
      <selection activeCell="C29" sqref="C29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205</v>
      </c>
      <c r="C4" s="295"/>
      <c r="D4" s="295"/>
      <c r="E4" s="3"/>
      <c r="F4" s="1"/>
      <c r="I4" s="3"/>
      <c r="J4" s="1"/>
      <c r="M4" s="3"/>
      <c r="N4" s="1"/>
    </row>
    <row r="5" spans="1:16" x14ac:dyDescent="0.2">
      <c r="A5" s="366" t="s">
        <v>11</v>
      </c>
      <c r="B5" s="498" t="s">
        <v>20</v>
      </c>
      <c r="C5" s="498" t="s">
        <v>21</v>
      </c>
      <c r="D5" s="498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9">
        <v>1</v>
      </c>
      <c r="B6" s="446">
        <v>139453</v>
      </c>
      <c r="C6" s="446">
        <v>137487</v>
      </c>
      <c r="D6" s="321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9">
        <v>2</v>
      </c>
      <c r="B7" s="507">
        <v>136238</v>
      </c>
      <c r="C7" s="446">
        <v>132590</v>
      </c>
      <c r="D7" s="321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9">
        <v>3</v>
      </c>
      <c r="B8" s="507">
        <v>140193</v>
      </c>
      <c r="C8" s="446">
        <v>138247</v>
      </c>
      <c r="D8" s="321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9">
        <v>4</v>
      </c>
      <c r="B9" s="507">
        <v>139552</v>
      </c>
      <c r="C9" s="446">
        <v>143874</v>
      </c>
      <c r="D9" s="321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9">
        <v>5</v>
      </c>
      <c r="B10" s="507">
        <v>107543</v>
      </c>
      <c r="C10" s="446">
        <v>105917</v>
      </c>
      <c r="D10" s="321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9">
        <v>6</v>
      </c>
      <c r="B11" s="507">
        <v>84585</v>
      </c>
      <c r="C11" s="446">
        <v>78803</v>
      </c>
      <c r="D11" s="321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9">
        <v>7</v>
      </c>
      <c r="B12" s="507">
        <v>91306</v>
      </c>
      <c r="C12" s="446">
        <v>89095</v>
      </c>
      <c r="D12" s="321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9">
        <v>8</v>
      </c>
      <c r="B13" s="446">
        <v>137167</v>
      </c>
      <c r="C13" s="446">
        <v>135312</v>
      </c>
      <c r="D13" s="321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9">
        <v>9</v>
      </c>
      <c r="B14" s="446">
        <v>137690</v>
      </c>
      <c r="C14" s="446">
        <v>134643</v>
      </c>
      <c r="D14" s="321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9">
        <v>10</v>
      </c>
      <c r="B15" s="446">
        <v>128225</v>
      </c>
      <c r="C15" s="446">
        <v>130397</v>
      </c>
      <c r="D15" s="321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9">
        <v>11</v>
      </c>
      <c r="B16" s="446">
        <v>136545</v>
      </c>
      <c r="C16" s="446">
        <v>132866</v>
      </c>
      <c r="D16" s="321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9">
        <v>12</v>
      </c>
      <c r="B17" s="446">
        <v>127883</v>
      </c>
      <c r="C17" s="446">
        <v>126132</v>
      </c>
      <c r="D17" s="321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9">
        <v>13</v>
      </c>
      <c r="B18" s="446">
        <v>130163</v>
      </c>
      <c r="C18" s="446">
        <v>129359</v>
      </c>
      <c r="D18" s="321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9">
        <v>14</v>
      </c>
      <c r="B19" s="446">
        <v>142784</v>
      </c>
      <c r="C19" s="446">
        <v>149034</v>
      </c>
      <c r="D19" s="321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9">
        <v>15</v>
      </c>
      <c r="B20" s="446">
        <v>128945</v>
      </c>
      <c r="C20" s="446">
        <v>128745</v>
      </c>
      <c r="D20" s="321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9">
        <v>16</v>
      </c>
      <c r="B21" s="446">
        <v>133900</v>
      </c>
      <c r="C21" s="446">
        <v>131606</v>
      </c>
      <c r="D21" s="321">
        <f t="shared" si="0"/>
        <v>-2294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9">
        <v>17</v>
      </c>
      <c r="B22" s="509">
        <v>133203</v>
      </c>
      <c r="C22" s="446">
        <v>133203</v>
      </c>
      <c r="D22" s="321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9">
        <v>18</v>
      </c>
      <c r="B23" s="446">
        <v>136733</v>
      </c>
      <c r="C23" s="446">
        <v>134371</v>
      </c>
      <c r="D23" s="321">
        <f t="shared" si="0"/>
        <v>-2362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9">
        <v>19</v>
      </c>
      <c r="B24" s="446">
        <v>147463</v>
      </c>
      <c r="C24" s="446">
        <v>145224</v>
      </c>
      <c r="D24" s="321">
        <f t="shared" si="0"/>
        <v>-2239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9">
        <v>20</v>
      </c>
      <c r="B25" s="446">
        <v>138339</v>
      </c>
      <c r="C25" s="446">
        <v>136579</v>
      </c>
      <c r="D25" s="321">
        <f t="shared" si="0"/>
        <v>-1760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9">
        <v>21</v>
      </c>
      <c r="B26" s="446">
        <v>147869</v>
      </c>
      <c r="C26" s="446">
        <v>145541</v>
      </c>
      <c r="D26" s="321">
        <f t="shared" si="0"/>
        <v>-2328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9">
        <v>22</v>
      </c>
      <c r="B27" s="446">
        <v>137991</v>
      </c>
      <c r="C27" s="446">
        <v>136259</v>
      </c>
      <c r="D27" s="321">
        <f t="shared" si="0"/>
        <v>-1732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9">
        <v>23</v>
      </c>
      <c r="B28" s="446">
        <v>138286</v>
      </c>
      <c r="C28" s="446">
        <v>136130</v>
      </c>
      <c r="D28" s="321">
        <f t="shared" si="0"/>
        <v>-2156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9">
        <v>24</v>
      </c>
      <c r="B29" s="446"/>
      <c r="C29" s="446"/>
      <c r="D29" s="321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9">
        <v>25</v>
      </c>
      <c r="B30" s="446"/>
      <c r="C30" s="446"/>
      <c r="D30" s="321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9">
        <v>26</v>
      </c>
      <c r="B31" s="446"/>
      <c r="C31" s="446"/>
      <c r="D31" s="321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9">
        <v>27</v>
      </c>
      <c r="B32" s="446"/>
      <c r="C32" s="446"/>
      <c r="D32" s="321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9">
        <v>28</v>
      </c>
      <c r="B33" s="446"/>
      <c r="C33" s="446"/>
      <c r="D33" s="321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9">
        <v>29</v>
      </c>
      <c r="B34" s="446"/>
      <c r="C34" s="446"/>
      <c r="D34" s="321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9">
        <v>30</v>
      </c>
      <c r="B35" s="446"/>
      <c r="C35" s="446"/>
      <c r="D35" s="321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9">
        <v>31</v>
      </c>
      <c r="B36" s="446"/>
      <c r="C36" s="446"/>
      <c r="D36" s="321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9"/>
      <c r="B37" s="446">
        <f>SUM(B6:B36)</f>
        <v>3022056</v>
      </c>
      <c r="C37" s="446">
        <f>SUM(C6:C36)</f>
        <v>2991414</v>
      </c>
      <c r="D37" s="446">
        <f>SUM(D6:D36)</f>
        <v>-30642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500"/>
      <c r="B38" s="295"/>
      <c r="C38" s="501"/>
      <c r="D38" s="295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6">
        <v>37134</v>
      </c>
      <c r="B39" s="295"/>
      <c r="C39" s="504"/>
      <c r="D39" s="508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6">
        <v>37157</v>
      </c>
      <c r="B40" s="295"/>
      <c r="C40" s="506"/>
      <c r="D40" s="321">
        <f>+D39+D37</f>
        <v>56428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155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37134</v>
      </c>
      <c r="B45" s="32"/>
      <c r="C45" s="32"/>
      <c r="D45" s="476">
        <v>495759.6</v>
      </c>
    </row>
    <row r="46" spans="1:16" x14ac:dyDescent="0.2">
      <c r="A46" s="49">
        <f>+A40</f>
        <v>37157</v>
      </c>
      <c r="B46" s="32"/>
      <c r="C46" s="32"/>
      <c r="D46" s="405">
        <f>+D37*'by type_area'!J3</f>
        <v>-55768.44</v>
      </c>
    </row>
    <row r="47" spans="1:16" x14ac:dyDescent="0.2">
      <c r="A47" s="32"/>
      <c r="B47" s="32"/>
      <c r="C47" s="32"/>
      <c r="D47" s="202">
        <f>+D46+D45</f>
        <v>439991.16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2001-09-24T22:51:54Z</cp:lastPrinted>
  <dcterms:created xsi:type="dcterms:W3CDTF">2000-03-28T16:52:23Z</dcterms:created>
  <dcterms:modified xsi:type="dcterms:W3CDTF">2014-09-03T14:39:02Z</dcterms:modified>
</cp:coreProperties>
</file>