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1565" windowHeight="2535" tabRatio="608"/>
  </bookViews>
  <sheets>
    <sheet name="East Power - December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6" i="1" l="1"/>
  <c r="E6" i="1"/>
  <c r="F6" i="1" s="1"/>
  <c r="G6" i="1"/>
  <c r="M6" i="1" s="1"/>
  <c r="H6" i="1"/>
  <c r="J6" i="1"/>
  <c r="L6" i="1" s="1"/>
  <c r="K6" i="1"/>
  <c r="D7" i="1"/>
  <c r="E7" i="1"/>
  <c r="G7" i="1"/>
  <c r="H7" i="1"/>
  <c r="I7" i="1"/>
  <c r="J7" i="1"/>
  <c r="K7" i="1"/>
  <c r="K73" i="1" s="1"/>
  <c r="L7" i="1"/>
  <c r="L12" i="1" s="1"/>
  <c r="D8" i="1"/>
  <c r="E8" i="1"/>
  <c r="F8" i="1" s="1"/>
  <c r="G8" i="1"/>
  <c r="M8" i="1" s="1"/>
  <c r="H8" i="1"/>
  <c r="J8" i="1"/>
  <c r="L8" i="1" s="1"/>
  <c r="K8" i="1"/>
  <c r="D9" i="1"/>
  <c r="E9" i="1"/>
  <c r="G9" i="1"/>
  <c r="H9" i="1"/>
  <c r="I9" i="1"/>
  <c r="J9" i="1"/>
  <c r="K9" i="1"/>
  <c r="K75" i="1" s="1"/>
  <c r="K78" i="1" s="1"/>
  <c r="L9" i="1"/>
  <c r="D10" i="1"/>
  <c r="E10" i="1"/>
  <c r="F10" i="1" s="1"/>
  <c r="G10" i="1"/>
  <c r="M10" i="1" s="1"/>
  <c r="H10" i="1"/>
  <c r="J10" i="1"/>
  <c r="L10" i="1" s="1"/>
  <c r="K10" i="1"/>
  <c r="K12" i="1"/>
  <c r="D14" i="1"/>
  <c r="E14" i="1"/>
  <c r="F14" i="1" s="1"/>
  <c r="G14" i="1"/>
  <c r="M14" i="1" s="1"/>
  <c r="H14" i="1"/>
  <c r="J14" i="1"/>
  <c r="L14" i="1" s="1"/>
  <c r="K14" i="1"/>
  <c r="D15" i="1"/>
  <c r="E15" i="1"/>
  <c r="G15" i="1"/>
  <c r="H15" i="1"/>
  <c r="I15" i="1"/>
  <c r="J15" i="1"/>
  <c r="K15" i="1"/>
  <c r="N15" i="1" s="1"/>
  <c r="L15" i="1"/>
  <c r="D16" i="1"/>
  <c r="E16" i="1"/>
  <c r="F16" i="1" s="1"/>
  <c r="G16" i="1"/>
  <c r="M16" i="1" s="1"/>
  <c r="H16" i="1"/>
  <c r="H19" i="1" s="1"/>
  <c r="J16" i="1"/>
  <c r="L16" i="1" s="1"/>
  <c r="K16" i="1"/>
  <c r="D17" i="1"/>
  <c r="E17" i="1"/>
  <c r="G17" i="1"/>
  <c r="H17" i="1"/>
  <c r="I17" i="1"/>
  <c r="J17" i="1"/>
  <c r="K17" i="1"/>
  <c r="K74" i="1" s="1"/>
  <c r="L17" i="1"/>
  <c r="N17" i="1"/>
  <c r="E19" i="1"/>
  <c r="G19" i="1"/>
  <c r="J19" i="1"/>
  <c r="D21" i="1"/>
  <c r="D24" i="1" s="1"/>
  <c r="E21" i="1"/>
  <c r="G21" i="1"/>
  <c r="H21" i="1"/>
  <c r="I21" i="1"/>
  <c r="J21" i="1"/>
  <c r="K21" i="1"/>
  <c r="L21" i="1"/>
  <c r="L24" i="1" s="1"/>
  <c r="N21" i="1"/>
  <c r="D22" i="1"/>
  <c r="E22" i="1"/>
  <c r="F22" i="1" s="1"/>
  <c r="G22" i="1"/>
  <c r="M22" i="1" s="1"/>
  <c r="H22" i="1"/>
  <c r="H24" i="1" s="1"/>
  <c r="J22" i="1"/>
  <c r="L22" i="1" s="1"/>
  <c r="K22" i="1"/>
  <c r="K24" i="1"/>
  <c r="D26" i="1"/>
  <c r="E26" i="1"/>
  <c r="F26" i="1" s="1"/>
  <c r="G26" i="1"/>
  <c r="M26" i="1" s="1"/>
  <c r="H26" i="1"/>
  <c r="H30" i="1" s="1"/>
  <c r="J26" i="1"/>
  <c r="L26" i="1" s="1"/>
  <c r="L30" i="1" s="1"/>
  <c r="K26" i="1"/>
  <c r="D27" i="1"/>
  <c r="E27" i="1"/>
  <c r="G27" i="1"/>
  <c r="H27" i="1"/>
  <c r="I27" i="1"/>
  <c r="J27" i="1"/>
  <c r="K27" i="1"/>
  <c r="L27" i="1"/>
  <c r="L74" i="1" s="1"/>
  <c r="N27" i="1"/>
  <c r="D28" i="1"/>
  <c r="E28" i="1"/>
  <c r="F28" i="1" s="1"/>
  <c r="G28" i="1"/>
  <c r="M28" i="1" s="1"/>
  <c r="H28" i="1"/>
  <c r="J28" i="1"/>
  <c r="L28" i="1" s="1"/>
  <c r="K28" i="1"/>
  <c r="K30" i="1"/>
  <c r="D32" i="1"/>
  <c r="E32" i="1"/>
  <c r="F32" i="1" s="1"/>
  <c r="G32" i="1"/>
  <c r="M32" i="1" s="1"/>
  <c r="H32" i="1"/>
  <c r="H36" i="1" s="1"/>
  <c r="J32" i="1"/>
  <c r="L32" i="1" s="1"/>
  <c r="L36" i="1" s="1"/>
  <c r="K32" i="1"/>
  <c r="D33" i="1"/>
  <c r="E33" i="1"/>
  <c r="G33" i="1"/>
  <c r="H33" i="1"/>
  <c r="I33" i="1"/>
  <c r="J33" i="1"/>
  <c r="K33" i="1"/>
  <c r="L33" i="1"/>
  <c r="N33" i="1"/>
  <c r="D34" i="1"/>
  <c r="E34" i="1"/>
  <c r="F34" i="1" s="1"/>
  <c r="G34" i="1"/>
  <c r="M34" i="1" s="1"/>
  <c r="H34" i="1"/>
  <c r="J34" i="1"/>
  <c r="L34" i="1" s="1"/>
  <c r="K34" i="1"/>
  <c r="K36" i="1"/>
  <c r="D38" i="1"/>
  <c r="E38" i="1"/>
  <c r="F38" i="1" s="1"/>
  <c r="G38" i="1"/>
  <c r="M38" i="1" s="1"/>
  <c r="H38" i="1"/>
  <c r="J38" i="1"/>
  <c r="L38" i="1" s="1"/>
  <c r="K38" i="1"/>
  <c r="D40" i="1"/>
  <c r="E40" i="1"/>
  <c r="G40" i="1"/>
  <c r="H40" i="1"/>
  <c r="I40" i="1"/>
  <c r="J40" i="1"/>
  <c r="K40" i="1"/>
  <c r="L40" i="1"/>
  <c r="N40" i="1"/>
  <c r="D42" i="1"/>
  <c r="E42" i="1"/>
  <c r="F42" i="1" s="1"/>
  <c r="G42" i="1"/>
  <c r="M42" i="1" s="1"/>
  <c r="H42" i="1"/>
  <c r="H47" i="1" s="1"/>
  <c r="J42" i="1"/>
  <c r="L42" i="1" s="1"/>
  <c r="K42" i="1"/>
  <c r="D43" i="1"/>
  <c r="E43" i="1"/>
  <c r="G43" i="1"/>
  <c r="H43" i="1"/>
  <c r="I43" i="1"/>
  <c r="J43" i="1"/>
  <c r="K43" i="1"/>
  <c r="K47" i="1" s="1"/>
  <c r="L43" i="1"/>
  <c r="N43" i="1"/>
  <c r="D44" i="1"/>
  <c r="E44" i="1"/>
  <c r="F44" i="1" s="1"/>
  <c r="G44" i="1"/>
  <c r="M44" i="1" s="1"/>
  <c r="H44" i="1"/>
  <c r="J44" i="1"/>
  <c r="L44" i="1" s="1"/>
  <c r="K44" i="1"/>
  <c r="D45" i="1"/>
  <c r="E45" i="1"/>
  <c r="G45" i="1"/>
  <c r="H45" i="1"/>
  <c r="I45" i="1"/>
  <c r="J45" i="1"/>
  <c r="K45" i="1"/>
  <c r="L45" i="1"/>
  <c r="N45" i="1"/>
  <c r="E47" i="1"/>
  <c r="G47" i="1"/>
  <c r="J47" i="1"/>
  <c r="D49" i="1"/>
  <c r="E49" i="1"/>
  <c r="G49" i="1"/>
  <c r="H49" i="1"/>
  <c r="I49" i="1"/>
  <c r="J49" i="1"/>
  <c r="K49" i="1"/>
  <c r="K56" i="1" s="1"/>
  <c r="L49" i="1"/>
  <c r="N49" i="1"/>
  <c r="F50" i="1"/>
  <c r="I50" i="1"/>
  <c r="L50" i="1"/>
  <c r="M50" i="1"/>
  <c r="N50" i="1"/>
  <c r="D51" i="1"/>
  <c r="F51" i="1" s="1"/>
  <c r="E51" i="1"/>
  <c r="G51" i="1"/>
  <c r="H51" i="1"/>
  <c r="N51" i="1" s="1"/>
  <c r="I51" i="1"/>
  <c r="J51" i="1"/>
  <c r="L51" i="1" s="1"/>
  <c r="K51" i="1"/>
  <c r="D52" i="1"/>
  <c r="E52" i="1"/>
  <c r="E56" i="1" s="1"/>
  <c r="F52" i="1"/>
  <c r="G52" i="1"/>
  <c r="H52" i="1"/>
  <c r="H56" i="1" s="1"/>
  <c r="J52" i="1"/>
  <c r="K52" i="1"/>
  <c r="L52" i="1"/>
  <c r="M52" i="1"/>
  <c r="O52" i="1" s="1"/>
  <c r="N52" i="1"/>
  <c r="D53" i="1"/>
  <c r="F53" i="1" s="1"/>
  <c r="E53" i="1"/>
  <c r="G53" i="1"/>
  <c r="H53" i="1"/>
  <c r="N53" i="1" s="1"/>
  <c r="I53" i="1"/>
  <c r="J53" i="1"/>
  <c r="L53" i="1" s="1"/>
  <c r="K53" i="1"/>
  <c r="D54" i="1"/>
  <c r="E54" i="1"/>
  <c r="F54" i="1"/>
  <c r="G54" i="1"/>
  <c r="H54" i="1"/>
  <c r="I54" i="1" s="1"/>
  <c r="J54" i="1"/>
  <c r="K54" i="1"/>
  <c r="L54" i="1"/>
  <c r="M54" i="1"/>
  <c r="N54" i="1"/>
  <c r="G56" i="1"/>
  <c r="D58" i="1"/>
  <c r="E58" i="1"/>
  <c r="E62" i="1" s="1"/>
  <c r="F58" i="1"/>
  <c r="G58" i="1"/>
  <c r="H58" i="1"/>
  <c r="H62" i="1" s="1"/>
  <c r="J58" i="1"/>
  <c r="K58" i="1"/>
  <c r="K62" i="1" s="1"/>
  <c r="L58" i="1"/>
  <c r="M58" i="1"/>
  <c r="N58" i="1"/>
  <c r="D59" i="1"/>
  <c r="F59" i="1" s="1"/>
  <c r="E59" i="1"/>
  <c r="N59" i="1" s="1"/>
  <c r="G59" i="1"/>
  <c r="H59" i="1"/>
  <c r="I59" i="1"/>
  <c r="J59" i="1"/>
  <c r="L59" i="1" s="1"/>
  <c r="L62" i="1" s="1"/>
  <c r="K59" i="1"/>
  <c r="D60" i="1"/>
  <c r="E60" i="1"/>
  <c r="F60" i="1"/>
  <c r="G60" i="1"/>
  <c r="H60" i="1"/>
  <c r="I60" i="1" s="1"/>
  <c r="J60" i="1"/>
  <c r="K60" i="1"/>
  <c r="L60" i="1"/>
  <c r="M60" i="1"/>
  <c r="N60" i="1"/>
  <c r="D62" i="1"/>
  <c r="G62" i="1"/>
  <c r="J62" i="1"/>
  <c r="D64" i="1"/>
  <c r="E64" i="1"/>
  <c r="F64" i="1"/>
  <c r="G64" i="1"/>
  <c r="H64" i="1"/>
  <c r="I64" i="1" s="1"/>
  <c r="J64" i="1"/>
  <c r="K64" i="1"/>
  <c r="L64" i="1"/>
  <c r="M64" i="1"/>
  <c r="N64" i="1"/>
  <c r="D66" i="1"/>
  <c r="F66" i="1" s="1"/>
  <c r="E66" i="1"/>
  <c r="G66" i="1"/>
  <c r="H66" i="1"/>
  <c r="N66" i="1" s="1"/>
  <c r="I66" i="1"/>
  <c r="J66" i="1"/>
  <c r="L66" i="1" s="1"/>
  <c r="K66" i="1"/>
  <c r="D68" i="1"/>
  <c r="E68" i="1"/>
  <c r="F68" i="1"/>
  <c r="G68" i="1"/>
  <c r="H68" i="1"/>
  <c r="I68" i="1" s="1"/>
  <c r="J68" i="1"/>
  <c r="K68" i="1"/>
  <c r="L68" i="1"/>
  <c r="M68" i="1"/>
  <c r="N68" i="1"/>
  <c r="E73" i="1"/>
  <c r="E76" i="1" s="1"/>
  <c r="E74" i="1"/>
  <c r="J74" i="1"/>
  <c r="E75" i="1"/>
  <c r="E78" i="1" s="1"/>
  <c r="H75" i="1"/>
  <c r="H78" i="1" s="1"/>
  <c r="M33" i="1" l="1"/>
  <c r="O33" i="1" s="1"/>
  <c r="F33" i="1"/>
  <c r="D36" i="1"/>
  <c r="K76" i="1"/>
  <c r="K79" i="1"/>
  <c r="O58" i="1"/>
  <c r="O54" i="1"/>
  <c r="H74" i="1"/>
  <c r="O10" i="1"/>
  <c r="M40" i="1"/>
  <c r="O40" i="1" s="1"/>
  <c r="F40" i="1"/>
  <c r="M27" i="1"/>
  <c r="O27" i="1" s="1"/>
  <c r="F27" i="1"/>
  <c r="M21" i="1"/>
  <c r="F21" i="1"/>
  <c r="F24" i="1" s="1"/>
  <c r="D73" i="1"/>
  <c r="M7" i="1"/>
  <c r="F7" i="1"/>
  <c r="F62" i="1"/>
  <c r="O50" i="1"/>
  <c r="D30" i="1"/>
  <c r="O60" i="1"/>
  <c r="L73" i="1"/>
  <c r="L47" i="1"/>
  <c r="L70" i="1" s="1"/>
  <c r="D19" i="1"/>
  <c r="M15" i="1"/>
  <c r="O15" i="1" s="1"/>
  <c r="F15" i="1"/>
  <c r="H12" i="1"/>
  <c r="H70" i="1" s="1"/>
  <c r="H73" i="1"/>
  <c r="O68" i="1"/>
  <c r="J56" i="1"/>
  <c r="M30" i="1"/>
  <c r="D12" i="1"/>
  <c r="L75" i="1"/>
  <c r="M73" i="1"/>
  <c r="M12" i="1"/>
  <c r="D47" i="1"/>
  <c r="M43" i="1"/>
  <c r="O43" i="1" s="1"/>
  <c r="F43" i="1"/>
  <c r="F47" i="1" s="1"/>
  <c r="N62" i="1"/>
  <c r="M45" i="1"/>
  <c r="O45" i="1" s="1"/>
  <c r="F45" i="1"/>
  <c r="D75" i="1"/>
  <c r="D78" i="1" s="1"/>
  <c r="F78" i="1" s="1"/>
  <c r="M9" i="1"/>
  <c r="F9" i="1"/>
  <c r="O64" i="1"/>
  <c r="N56" i="1"/>
  <c r="M49" i="1"/>
  <c r="F49" i="1"/>
  <c r="F56" i="1" s="1"/>
  <c r="D56" i="1"/>
  <c r="F36" i="1"/>
  <c r="F30" i="1"/>
  <c r="M17" i="1"/>
  <c r="O17" i="1" s="1"/>
  <c r="F17" i="1"/>
  <c r="F74" i="1" s="1"/>
  <c r="L19" i="1"/>
  <c r="F12" i="1"/>
  <c r="O16" i="1"/>
  <c r="D74" i="1"/>
  <c r="L56" i="1"/>
  <c r="O44" i="1"/>
  <c r="E79" i="1"/>
  <c r="M66" i="1"/>
  <c r="O66" i="1" s="1"/>
  <c r="M59" i="1"/>
  <c r="O59" i="1" s="1"/>
  <c r="I58" i="1"/>
  <c r="I62" i="1" s="1"/>
  <c r="M53" i="1"/>
  <c r="O53" i="1" s="1"/>
  <c r="I52" i="1"/>
  <c r="I56" i="1" s="1"/>
  <c r="M51" i="1"/>
  <c r="O51" i="1" s="1"/>
  <c r="G36" i="1"/>
  <c r="G30" i="1"/>
  <c r="G24" i="1"/>
  <c r="K19" i="1"/>
  <c r="K70" i="1" s="1"/>
  <c r="G12" i="1"/>
  <c r="G70" i="1" s="1"/>
  <c r="N9" i="1"/>
  <c r="N7" i="1"/>
  <c r="G75" i="1"/>
  <c r="G78" i="1" s="1"/>
  <c r="I78" i="1" s="1"/>
  <c r="G73" i="1"/>
  <c r="I44" i="1"/>
  <c r="I42" i="1"/>
  <c r="I38" i="1"/>
  <c r="E36" i="1"/>
  <c r="I34" i="1"/>
  <c r="I32" i="1"/>
  <c r="I36" i="1" s="1"/>
  <c r="E30" i="1"/>
  <c r="I28" i="1"/>
  <c r="I26" i="1"/>
  <c r="I30" i="1" s="1"/>
  <c r="E24" i="1"/>
  <c r="I22" i="1"/>
  <c r="I24" i="1" s="1"/>
  <c r="I16" i="1"/>
  <c r="I14" i="1"/>
  <c r="E12" i="1"/>
  <c r="I10" i="1"/>
  <c r="I8" i="1"/>
  <c r="I6" i="1"/>
  <c r="N44" i="1"/>
  <c r="N42" i="1"/>
  <c r="N47" i="1" s="1"/>
  <c r="N38" i="1"/>
  <c r="O38" i="1" s="1"/>
  <c r="J36" i="1"/>
  <c r="N34" i="1"/>
  <c r="O34" i="1" s="1"/>
  <c r="N32" i="1"/>
  <c r="J30" i="1"/>
  <c r="N28" i="1"/>
  <c r="O28" i="1" s="1"/>
  <c r="N26" i="1"/>
  <c r="J24" i="1"/>
  <c r="N22" i="1"/>
  <c r="N24" i="1" s="1"/>
  <c r="N16" i="1"/>
  <c r="N14" i="1"/>
  <c r="N19" i="1" s="1"/>
  <c r="J12" i="1"/>
  <c r="N10" i="1"/>
  <c r="N8" i="1"/>
  <c r="N6" i="1"/>
  <c r="O6" i="1" s="1"/>
  <c r="G74" i="1"/>
  <c r="J75" i="1"/>
  <c r="J78" i="1" s="1"/>
  <c r="L78" i="1" s="1"/>
  <c r="J73" i="1"/>
  <c r="D76" i="1" l="1"/>
  <c r="D79" i="1"/>
  <c r="N75" i="1"/>
  <c r="N78" i="1" s="1"/>
  <c r="I75" i="1"/>
  <c r="J70" i="1"/>
  <c r="N36" i="1"/>
  <c r="I74" i="1"/>
  <c r="M75" i="1"/>
  <c r="M78" i="1" s="1"/>
  <c r="O42" i="1"/>
  <c r="O47" i="1" s="1"/>
  <c r="O9" i="1"/>
  <c r="M36" i="1"/>
  <c r="O62" i="1"/>
  <c r="O22" i="1"/>
  <c r="E70" i="1"/>
  <c r="O8" i="1"/>
  <c r="O75" i="1" s="1"/>
  <c r="M47" i="1"/>
  <c r="O32" i="1"/>
  <c r="O36" i="1" s="1"/>
  <c r="F73" i="1"/>
  <c r="J76" i="1"/>
  <c r="J79" i="1"/>
  <c r="I19" i="1"/>
  <c r="O7" i="1"/>
  <c r="O73" i="1" s="1"/>
  <c r="M74" i="1"/>
  <c r="M76" i="1" s="1"/>
  <c r="L76" i="1"/>
  <c r="L79" i="1"/>
  <c r="F19" i="1"/>
  <c r="N12" i="1"/>
  <c r="N70" i="1" s="1"/>
  <c r="N73" i="1"/>
  <c r="N30" i="1"/>
  <c r="I47" i="1"/>
  <c r="M62" i="1"/>
  <c r="D70" i="1"/>
  <c r="H76" i="1"/>
  <c r="H79" i="1"/>
  <c r="M24" i="1"/>
  <c r="O21" i="1"/>
  <c r="O24" i="1" s="1"/>
  <c r="M19" i="1"/>
  <c r="M70" i="1" s="1"/>
  <c r="O74" i="1"/>
  <c r="I12" i="1"/>
  <c r="I70" i="1" s="1"/>
  <c r="I73" i="1"/>
  <c r="O14" i="1"/>
  <c r="O19" i="1" s="1"/>
  <c r="O49" i="1"/>
  <c r="O56" i="1" s="1"/>
  <c r="M56" i="1"/>
  <c r="N74" i="1"/>
  <c r="G76" i="1"/>
  <c r="G79" i="1"/>
  <c r="F70" i="1"/>
  <c r="F75" i="1"/>
  <c r="O26" i="1"/>
  <c r="O30" i="1" s="1"/>
  <c r="O76" i="1" l="1"/>
  <c r="N76" i="1"/>
  <c r="N79" i="1"/>
  <c r="M79" i="1"/>
  <c r="I76" i="1"/>
  <c r="I79" i="1"/>
  <c r="F76" i="1"/>
  <c r="F79" i="1"/>
  <c r="O78" i="1"/>
  <c r="O79" i="1" s="1"/>
  <c r="O12" i="1"/>
  <c r="O70" i="1" s="1"/>
</calcChain>
</file>

<file path=xl/sharedStrings.xml><?xml version="1.0" encoding="utf-8"?>
<sst xmlns="http://schemas.openxmlformats.org/spreadsheetml/2006/main" count="147" uniqueCount="37">
  <si>
    <t>Counterparty</t>
  </si>
  <si>
    <t>Region</t>
  </si>
  <si>
    <t>Purchases</t>
  </si>
  <si>
    <t>Sales</t>
  </si>
  <si>
    <t>Net Cash</t>
  </si>
  <si>
    <t>Total</t>
  </si>
  <si>
    <t>VEPCO</t>
  </si>
  <si>
    <t>PJM</t>
  </si>
  <si>
    <t>Peak</t>
  </si>
  <si>
    <t>Off Peak</t>
  </si>
  <si>
    <t>NEPOOL</t>
  </si>
  <si>
    <t>SELECT</t>
  </si>
  <si>
    <t>ENTERGY</t>
  </si>
  <si>
    <t>CINERGY</t>
  </si>
  <si>
    <t>GPU</t>
  </si>
  <si>
    <t>HQ</t>
  </si>
  <si>
    <t>LEM</t>
  </si>
  <si>
    <t>SOCO</t>
  </si>
  <si>
    <t>BECO</t>
  </si>
  <si>
    <t>CMPC</t>
  </si>
  <si>
    <t>AMEREN</t>
  </si>
  <si>
    <t>COMED</t>
  </si>
  <si>
    <t>TVA</t>
  </si>
  <si>
    <t>CARGILL</t>
  </si>
  <si>
    <t>CP&amp;L</t>
  </si>
  <si>
    <t>FE</t>
  </si>
  <si>
    <t>WABASH</t>
  </si>
  <si>
    <t>IP&amp;L</t>
  </si>
  <si>
    <t>Peak /</t>
  </si>
  <si>
    <t>East Power Summary</t>
  </si>
  <si>
    <t>Positions by Counterparty</t>
  </si>
  <si>
    <t>Total PJM</t>
  </si>
  <si>
    <t>Total NEPOOL</t>
  </si>
  <si>
    <t>Total Other w/out Ameren and Wabash</t>
  </si>
  <si>
    <t>Total Value</t>
  </si>
  <si>
    <t>Total PJM, NEPOOL and Other w/out Ameren and Wabash</t>
  </si>
  <si>
    <t>Total Other w/ Ameren and Wabash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</si>
</sst>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sz val="10"/>
      <color indexed="8"/>
      <name val="Arial"/>
      <family val="2"/>
    </font>
    <font>
      <b/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6" fontId="0" fillId="0" borderId="1" xfId="1" applyNumberFormat="1" applyFont="1" applyBorder="1"/>
    <xf numFmtId="6" fontId="0" fillId="0" borderId="0" xfId="1" applyNumberFormat="1" applyFont="1" applyBorder="1"/>
    <xf numFmtId="0" fontId="2" fillId="0" borderId="2" xfId="0" applyFont="1" applyBorder="1" applyAlignment="1">
      <alignment horizontal="centerContinuous"/>
    </xf>
    <xf numFmtId="0" fontId="2" fillId="0" borderId="2" xfId="0" applyFont="1" applyBorder="1" applyAlignment="1">
      <alignment horizontal="center"/>
    </xf>
    <xf numFmtId="6" fontId="0" fillId="0" borderId="2" xfId="1" applyNumberFormat="1" applyFont="1" applyBorder="1"/>
    <xf numFmtId="0" fontId="2" fillId="0" borderId="0" xfId="0" applyFont="1" applyAlignment="1">
      <alignment horizontal="left" indent="1"/>
    </xf>
    <xf numFmtId="6" fontId="0" fillId="0" borderId="3" xfId="1" applyNumberFormat="1" applyFont="1" applyBorder="1"/>
    <xf numFmtId="6" fontId="0" fillId="0" borderId="4" xfId="1" applyNumberFormat="1" applyFont="1" applyBorder="1"/>
    <xf numFmtId="6" fontId="0" fillId="0" borderId="5" xfId="1" applyNumberFormat="1" applyFont="1" applyBorder="1"/>
    <xf numFmtId="6" fontId="0" fillId="0" borderId="6" xfId="1" applyNumberFormat="1" applyFont="1" applyBorder="1"/>
    <xf numFmtId="6" fontId="0" fillId="0" borderId="7" xfId="1" applyNumberFormat="1" applyFont="1" applyBorder="1"/>
    <xf numFmtId="6" fontId="0" fillId="0" borderId="8" xfId="1" applyNumberFormat="1" applyFont="1" applyBorder="1"/>
    <xf numFmtId="0" fontId="3" fillId="0" borderId="0" xfId="0" applyFont="1"/>
    <xf numFmtId="0" fontId="4" fillId="0" borderId="0" xfId="0" applyFont="1"/>
    <xf numFmtId="6" fontId="0" fillId="0" borderId="0" xfId="0" applyNumberFormat="1"/>
    <xf numFmtId="6" fontId="5" fillId="0" borderId="0" xfId="0" applyNumberFormat="1" applyFont="1"/>
    <xf numFmtId="0" fontId="0" fillId="0" borderId="9" xfId="0" applyBorder="1"/>
    <xf numFmtId="0" fontId="0" fillId="0" borderId="2" xfId="0" applyBorder="1"/>
    <xf numFmtId="6" fontId="0" fillId="0" borderId="2" xfId="0" applyNumberFormat="1" applyBorder="1"/>
    <xf numFmtId="6" fontId="5" fillId="0" borderId="2" xfId="0" applyNumberFormat="1" applyFont="1" applyBorder="1"/>
    <xf numFmtId="6" fontId="2" fillId="0" borderId="10" xfId="0" applyNumberFormat="1" applyFont="1" applyBorder="1"/>
    <xf numFmtId="6" fontId="2" fillId="0" borderId="11" xfId="0" applyNumberFormat="1" applyFont="1" applyBorder="1"/>
    <xf numFmtId="0" fontId="0" fillId="0" borderId="12" xfId="0" applyBorder="1"/>
    <xf numFmtId="0" fontId="0" fillId="0" borderId="1" xfId="0" applyBorder="1"/>
    <xf numFmtId="6" fontId="0" fillId="0" borderId="1" xfId="0" applyNumberFormat="1" applyBorder="1"/>
    <xf numFmtId="6" fontId="5" fillId="0" borderId="1" xfId="0" applyNumberFormat="1" applyFont="1" applyBorder="1"/>
    <xf numFmtId="6" fontId="2" fillId="0" borderId="13" xfId="0" applyNumberFormat="1" applyFont="1" applyBorder="1"/>
    <xf numFmtId="6" fontId="0" fillId="0" borderId="8" xfId="0" applyNumberFormat="1" applyBorder="1"/>
    <xf numFmtId="6" fontId="2" fillId="0" borderId="3" xfId="0" applyNumberFormat="1" applyFont="1" applyBorder="1"/>
    <xf numFmtId="6" fontId="2" fillId="0" borderId="4" xfId="0" applyNumberFormat="1" applyFont="1" applyBorder="1"/>
    <xf numFmtId="6" fontId="2" fillId="0" borderId="5" xfId="0" applyNumberFormat="1" applyFont="1" applyBorder="1"/>
    <xf numFmtId="6" fontId="6" fillId="2" borderId="3" xfId="0" applyNumberFormat="1" applyFont="1" applyFill="1" applyBorder="1"/>
    <xf numFmtId="6" fontId="6" fillId="2" borderId="4" xfId="0" applyNumberFormat="1" applyFont="1" applyFill="1" applyBorder="1"/>
    <xf numFmtId="6" fontId="6" fillId="2" borderId="5" xfId="0" applyNumberFormat="1" applyFont="1" applyFill="1" applyBorder="1"/>
    <xf numFmtId="6" fontId="0" fillId="2" borderId="0" xfId="0" applyNumberFormat="1" applyFill="1"/>
    <xf numFmtId="6" fontId="0" fillId="2" borderId="2" xfId="0" applyNumberFormat="1" applyFill="1" applyBorder="1"/>
    <xf numFmtId="6" fontId="2" fillId="3" borderId="3" xfId="0" applyNumberFormat="1" applyFont="1" applyFill="1" applyBorder="1"/>
    <xf numFmtId="6" fontId="2" fillId="3" borderId="4" xfId="0" applyNumberFormat="1" applyFont="1" applyFill="1" applyBorder="1"/>
    <xf numFmtId="6" fontId="2" fillId="3" borderId="5" xfId="0" applyNumberFormat="1" applyFont="1" applyFill="1" applyBorder="1"/>
    <xf numFmtId="0" fontId="2" fillId="3" borderId="0" xfId="0" applyFont="1" applyFill="1"/>
    <xf numFmtId="0" fontId="7" fillId="3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9"/>
  <sheetViews>
    <sheetView tabSelected="1" workbookViewId="0">
      <pane xSplit="3" ySplit="5" topLeftCell="I8" activePane="bottomRight" state="frozen"/>
      <selection pane="topRight" activeCell="D1" sqref="D1"/>
      <selection pane="bottomLeft" activeCell="A3" sqref="A3"/>
      <selection pane="bottomRight" activeCell="Q69" sqref="Q69"/>
    </sheetView>
  </sheetViews>
  <sheetFormatPr defaultRowHeight="12.75" x14ac:dyDescent="0.2"/>
  <cols>
    <col min="1" max="1" width="20.5703125" customWidth="1"/>
    <col min="2" max="2" width="9.85546875" bestFit="1" customWidth="1"/>
    <col min="3" max="3" width="8.7109375" bestFit="1" customWidth="1"/>
    <col min="4" max="5" width="10.7109375" bestFit="1" customWidth="1"/>
    <col min="7" max="8" width="10.7109375" bestFit="1" customWidth="1"/>
    <col min="10" max="11" width="10.7109375" bestFit="1" customWidth="1"/>
    <col min="13" max="14" width="11.7109375" bestFit="1" customWidth="1"/>
    <col min="15" max="15" width="10.7109375" bestFit="1" customWidth="1"/>
  </cols>
  <sheetData>
    <row r="1" spans="1:15" ht="23.25" x14ac:dyDescent="0.35">
      <c r="A1" s="19" t="s">
        <v>29</v>
      </c>
    </row>
    <row r="2" spans="1:15" ht="15.75" x14ac:dyDescent="0.25">
      <c r="A2" s="20" t="s">
        <v>30</v>
      </c>
    </row>
    <row r="3" spans="1:15" x14ac:dyDescent="0.2">
      <c r="A3" s="1"/>
    </row>
    <row r="4" spans="1:15" x14ac:dyDescent="0.2">
      <c r="A4" s="1"/>
      <c r="B4" s="1"/>
      <c r="C4" s="2" t="s">
        <v>28</v>
      </c>
      <c r="D4" s="3">
        <v>37252</v>
      </c>
      <c r="E4" s="4"/>
      <c r="F4" s="9"/>
      <c r="G4" s="3">
        <v>37253</v>
      </c>
      <c r="H4" s="4"/>
      <c r="I4" s="9"/>
      <c r="J4" s="3">
        <v>37256</v>
      </c>
      <c r="K4" s="4"/>
      <c r="L4" s="9"/>
      <c r="M4" s="3" t="s">
        <v>5</v>
      </c>
      <c r="N4" s="4"/>
      <c r="O4" s="9"/>
    </row>
    <row r="5" spans="1:15" x14ac:dyDescent="0.2">
      <c r="A5" s="2" t="s">
        <v>0</v>
      </c>
      <c r="B5" s="2" t="s">
        <v>1</v>
      </c>
      <c r="C5" s="2" t="s">
        <v>9</v>
      </c>
      <c r="D5" s="5" t="s">
        <v>3</v>
      </c>
      <c r="E5" s="6" t="s">
        <v>2</v>
      </c>
      <c r="F5" s="10" t="s">
        <v>4</v>
      </c>
      <c r="G5" s="5" t="s">
        <v>3</v>
      </c>
      <c r="H5" s="6" t="s">
        <v>2</v>
      </c>
      <c r="I5" s="10" t="s">
        <v>4</v>
      </c>
      <c r="J5" s="5" t="s">
        <v>3</v>
      </c>
      <c r="K5" s="6" t="s">
        <v>2</v>
      </c>
      <c r="L5" s="10" t="s">
        <v>4</v>
      </c>
      <c r="M5" s="5" t="s">
        <v>3</v>
      </c>
      <c r="N5" s="6" t="s">
        <v>2</v>
      </c>
      <c r="O5" s="10" t="s">
        <v>4</v>
      </c>
    </row>
    <row r="6" spans="1:15" x14ac:dyDescent="0.2">
      <c r="A6" t="s">
        <v>6</v>
      </c>
      <c r="B6" t="s">
        <v>7</v>
      </c>
      <c r="C6" t="s">
        <v>8</v>
      </c>
      <c r="D6" s="7">
        <f>76005*16</f>
        <v>1216080</v>
      </c>
      <c r="E6" s="8">
        <f>69172.5*16</f>
        <v>1106760</v>
      </c>
      <c r="F6" s="11">
        <f>D6-E6</f>
        <v>109320</v>
      </c>
      <c r="G6" s="7">
        <f>76005*16</f>
        <v>1216080</v>
      </c>
      <c r="H6" s="8">
        <f>69172.5*16</f>
        <v>1106760</v>
      </c>
      <c r="I6" s="11">
        <f>G6-H6</f>
        <v>109320</v>
      </c>
      <c r="J6" s="7">
        <f>76005*16</f>
        <v>1216080</v>
      </c>
      <c r="K6" s="8">
        <f>69172.5*16</f>
        <v>1106760</v>
      </c>
      <c r="L6" s="11">
        <f>J6-K6</f>
        <v>109320</v>
      </c>
      <c r="M6" s="7">
        <f>D6+G6+J6</f>
        <v>3648240</v>
      </c>
      <c r="N6" s="8">
        <f>E6+H6+K6</f>
        <v>3320280</v>
      </c>
      <c r="O6" s="11">
        <f>M6-N6</f>
        <v>327960</v>
      </c>
    </row>
    <row r="7" spans="1:15" x14ac:dyDescent="0.2">
      <c r="A7" t="s">
        <v>6</v>
      </c>
      <c r="B7" t="s">
        <v>7</v>
      </c>
      <c r="C7" t="s">
        <v>9</v>
      </c>
      <c r="D7" s="7">
        <f>3187.5*8</f>
        <v>25500</v>
      </c>
      <c r="E7" s="8">
        <f>3100*8</f>
        <v>24800</v>
      </c>
      <c r="F7" s="11">
        <f t="shared" ref="F7:F68" si="0">D7-E7</f>
        <v>700</v>
      </c>
      <c r="G7" s="7">
        <f>3187.5*8</f>
        <v>25500</v>
      </c>
      <c r="H7" s="8">
        <f>3100*8</f>
        <v>24800</v>
      </c>
      <c r="I7" s="11">
        <f t="shared" ref="I7:I68" si="1">G7-H7</f>
        <v>700</v>
      </c>
      <c r="J7" s="7">
        <f>3187.5*8</f>
        <v>25500</v>
      </c>
      <c r="K7" s="8">
        <f>3100*8</f>
        <v>24800</v>
      </c>
      <c r="L7" s="11">
        <f t="shared" ref="L7:L68" si="2">J7-K7</f>
        <v>700</v>
      </c>
      <c r="M7" s="7">
        <f t="shared" ref="M7:M68" si="3">D7+G7+J7</f>
        <v>76500</v>
      </c>
      <c r="N7" s="8">
        <f t="shared" ref="N7:N68" si="4">E7+H7+K7</f>
        <v>74400</v>
      </c>
      <c r="O7" s="11">
        <f t="shared" ref="O7:O68" si="5">M7-N7</f>
        <v>2100</v>
      </c>
    </row>
    <row r="8" spans="1:15" x14ac:dyDescent="0.2">
      <c r="A8" t="s">
        <v>6</v>
      </c>
      <c r="B8" t="s">
        <v>12</v>
      </c>
      <c r="C8" t="s">
        <v>8</v>
      </c>
      <c r="D8" s="7">
        <f>(2018+1050)*16</f>
        <v>49088</v>
      </c>
      <c r="E8" s="8">
        <f>3510*16</f>
        <v>56160</v>
      </c>
      <c r="F8" s="11">
        <f t="shared" si="0"/>
        <v>-7072</v>
      </c>
      <c r="G8" s="7">
        <f>(2018+1050)*16</f>
        <v>49088</v>
      </c>
      <c r="H8" s="8">
        <f>3510*16</f>
        <v>56160</v>
      </c>
      <c r="I8" s="11">
        <f t="shared" si="1"/>
        <v>-7072</v>
      </c>
      <c r="J8" s="7">
        <f>(2018+1050)*16</f>
        <v>49088</v>
      </c>
      <c r="K8" s="8">
        <f>3510*16</f>
        <v>56160</v>
      </c>
      <c r="L8" s="11">
        <f t="shared" si="2"/>
        <v>-7072</v>
      </c>
      <c r="M8" s="7">
        <f t="shared" si="3"/>
        <v>147264</v>
      </c>
      <c r="N8" s="8">
        <f t="shared" si="4"/>
        <v>168480</v>
      </c>
      <c r="O8" s="11">
        <f t="shared" si="5"/>
        <v>-21216</v>
      </c>
    </row>
    <row r="9" spans="1:15" x14ac:dyDescent="0.2">
      <c r="A9" t="s">
        <v>6</v>
      </c>
      <c r="B9" t="s">
        <v>13</v>
      </c>
      <c r="C9" t="s">
        <v>8</v>
      </c>
      <c r="D9" s="7">
        <f>45840*16</f>
        <v>733440</v>
      </c>
      <c r="E9" s="8">
        <f>(22800+16100)*16</f>
        <v>622400</v>
      </c>
      <c r="F9" s="11">
        <f t="shared" si="0"/>
        <v>111040</v>
      </c>
      <c r="G9" s="7">
        <f>45840*16</f>
        <v>733440</v>
      </c>
      <c r="H9" s="8">
        <f>(22800+16100)*16</f>
        <v>622400</v>
      </c>
      <c r="I9" s="11">
        <f t="shared" si="1"/>
        <v>111040</v>
      </c>
      <c r="J9" s="7">
        <f>45840*16</f>
        <v>733440</v>
      </c>
      <c r="K9" s="8">
        <f>(22800+16100)*16</f>
        <v>622400</v>
      </c>
      <c r="L9" s="11">
        <f t="shared" si="2"/>
        <v>111040</v>
      </c>
      <c r="M9" s="7">
        <f t="shared" si="3"/>
        <v>2200320</v>
      </c>
      <c r="N9" s="8">
        <f t="shared" si="4"/>
        <v>1867200</v>
      </c>
      <c r="O9" s="11">
        <f t="shared" si="5"/>
        <v>333120</v>
      </c>
    </row>
    <row r="10" spans="1:15" x14ac:dyDescent="0.2">
      <c r="A10" t="s">
        <v>6</v>
      </c>
      <c r="B10" t="s">
        <v>10</v>
      </c>
      <c r="C10" t="s">
        <v>8</v>
      </c>
      <c r="D10" s="7">
        <f>35325*16</f>
        <v>565200</v>
      </c>
      <c r="E10" s="8">
        <f>(25811.5+6500)*16</f>
        <v>516984</v>
      </c>
      <c r="F10" s="11">
        <f t="shared" si="0"/>
        <v>48216</v>
      </c>
      <c r="G10" s="7">
        <f>35325*16</f>
        <v>565200</v>
      </c>
      <c r="H10" s="8">
        <f>(25811.5+6500)*16</f>
        <v>516984</v>
      </c>
      <c r="I10" s="11">
        <f t="shared" si="1"/>
        <v>48216</v>
      </c>
      <c r="J10" s="7">
        <f>35325*16</f>
        <v>565200</v>
      </c>
      <c r="K10" s="8">
        <f>(25811.5+6500)*16</f>
        <v>516984</v>
      </c>
      <c r="L10" s="11">
        <f t="shared" si="2"/>
        <v>48216</v>
      </c>
      <c r="M10" s="7">
        <f t="shared" si="3"/>
        <v>1695600</v>
      </c>
      <c r="N10" s="8">
        <f t="shared" si="4"/>
        <v>1550952</v>
      </c>
      <c r="O10" s="11">
        <f t="shared" si="5"/>
        <v>144648</v>
      </c>
    </row>
    <row r="11" spans="1:15" ht="6" customHeight="1" x14ac:dyDescent="0.2">
      <c r="D11" s="7"/>
      <c r="E11" s="8"/>
      <c r="F11" s="11"/>
      <c r="G11" s="7"/>
      <c r="H11" s="8"/>
      <c r="I11" s="11"/>
      <c r="J11" s="7"/>
      <c r="K11" s="8"/>
      <c r="L11" s="11"/>
      <c r="M11" s="7"/>
      <c r="N11" s="8"/>
      <c r="O11" s="11"/>
    </row>
    <row r="12" spans="1:15" x14ac:dyDescent="0.2">
      <c r="A12" s="12" t="s">
        <v>6</v>
      </c>
      <c r="B12" s="1" t="s">
        <v>5</v>
      </c>
      <c r="D12" s="13">
        <f>SUM(D6:D10)</f>
        <v>2589308</v>
      </c>
      <c r="E12" s="14">
        <f t="shared" ref="E12:O12" si="6">SUM(E6:E10)</f>
        <v>2327104</v>
      </c>
      <c r="F12" s="15">
        <f t="shared" si="6"/>
        <v>262204</v>
      </c>
      <c r="G12" s="13">
        <f t="shared" si="6"/>
        <v>2589308</v>
      </c>
      <c r="H12" s="14">
        <f t="shared" si="6"/>
        <v>2327104</v>
      </c>
      <c r="I12" s="15">
        <f t="shared" si="6"/>
        <v>262204</v>
      </c>
      <c r="J12" s="13">
        <f t="shared" si="6"/>
        <v>2589308</v>
      </c>
      <c r="K12" s="14">
        <f t="shared" si="6"/>
        <v>2327104</v>
      </c>
      <c r="L12" s="15">
        <f t="shared" si="6"/>
        <v>262204</v>
      </c>
      <c r="M12" s="13">
        <f t="shared" si="6"/>
        <v>7767924</v>
      </c>
      <c r="N12" s="14">
        <f t="shared" si="6"/>
        <v>6981312</v>
      </c>
      <c r="O12" s="15">
        <f t="shared" si="6"/>
        <v>786612</v>
      </c>
    </row>
    <row r="13" spans="1:15" x14ac:dyDescent="0.2">
      <c r="D13" s="7"/>
      <c r="E13" s="8"/>
      <c r="F13" s="11"/>
      <c r="G13" s="7"/>
      <c r="H13" s="8"/>
      <c r="I13" s="11"/>
      <c r="J13" s="7"/>
      <c r="K13" s="8"/>
      <c r="L13" s="11"/>
      <c r="M13" s="7"/>
      <c r="N13" s="8"/>
      <c r="O13" s="11"/>
    </row>
    <row r="14" spans="1:15" x14ac:dyDescent="0.2">
      <c r="A14" t="s">
        <v>11</v>
      </c>
      <c r="B14" t="s">
        <v>7</v>
      </c>
      <c r="C14" t="s">
        <v>8</v>
      </c>
      <c r="D14" s="7">
        <f>20289.5*16</f>
        <v>324632</v>
      </c>
      <c r="E14" s="8">
        <f>(14211+2575)*16</f>
        <v>268576</v>
      </c>
      <c r="F14" s="11">
        <f t="shared" si="0"/>
        <v>56056</v>
      </c>
      <c r="G14" s="7">
        <f>20289.5*16</f>
        <v>324632</v>
      </c>
      <c r="H14" s="8">
        <f>(14211+2575)*16</f>
        <v>268576</v>
      </c>
      <c r="I14" s="11">
        <f t="shared" si="1"/>
        <v>56056</v>
      </c>
      <c r="J14" s="7">
        <f>20289.5*16</f>
        <v>324632</v>
      </c>
      <c r="K14" s="8">
        <f>(14211+2575)*16</f>
        <v>268576</v>
      </c>
      <c r="L14" s="11">
        <f t="shared" si="2"/>
        <v>56056</v>
      </c>
      <c r="M14" s="7">
        <f t="shared" si="3"/>
        <v>973896</v>
      </c>
      <c r="N14" s="8">
        <f t="shared" si="4"/>
        <v>805728</v>
      </c>
      <c r="O14" s="11">
        <f t="shared" si="5"/>
        <v>168168</v>
      </c>
    </row>
    <row r="15" spans="1:15" x14ac:dyDescent="0.2">
      <c r="A15" t="s">
        <v>11</v>
      </c>
      <c r="B15" t="s">
        <v>13</v>
      </c>
      <c r="C15" t="s">
        <v>8</v>
      </c>
      <c r="D15" s="7">
        <f>6400*16</f>
        <v>102400</v>
      </c>
      <c r="E15" s="8">
        <f>(4002+2300)*16</f>
        <v>100832</v>
      </c>
      <c r="F15" s="11">
        <f t="shared" si="0"/>
        <v>1568</v>
      </c>
      <c r="G15" s="7">
        <f>6400*16</f>
        <v>102400</v>
      </c>
      <c r="H15" s="8">
        <f>(4002+2300)*16</f>
        <v>100832</v>
      </c>
      <c r="I15" s="11">
        <f t="shared" si="1"/>
        <v>1568</v>
      </c>
      <c r="J15" s="7">
        <f>6400*16</f>
        <v>102400</v>
      </c>
      <c r="K15" s="8">
        <f>(4002+2300)*16</f>
        <v>100832</v>
      </c>
      <c r="L15" s="11">
        <f t="shared" si="2"/>
        <v>1568</v>
      </c>
      <c r="M15" s="7">
        <f t="shared" si="3"/>
        <v>307200</v>
      </c>
      <c r="N15" s="8">
        <f t="shared" si="4"/>
        <v>302496</v>
      </c>
      <c r="O15" s="11">
        <f t="shared" si="5"/>
        <v>4704</v>
      </c>
    </row>
    <row r="16" spans="1:15" x14ac:dyDescent="0.2">
      <c r="A16" t="s">
        <v>11</v>
      </c>
      <c r="B16" t="s">
        <v>10</v>
      </c>
      <c r="C16" t="s">
        <v>8</v>
      </c>
      <c r="D16" s="7">
        <f>29733*16</f>
        <v>475728</v>
      </c>
      <c r="E16" s="8">
        <f>(18348.75+5687.5)*16</f>
        <v>384580</v>
      </c>
      <c r="F16" s="11">
        <f t="shared" si="0"/>
        <v>91148</v>
      </c>
      <c r="G16" s="7">
        <f>29733*16</f>
        <v>475728</v>
      </c>
      <c r="H16" s="8">
        <f>(18348.75+5687.5)*16</f>
        <v>384580</v>
      </c>
      <c r="I16" s="11">
        <f t="shared" si="1"/>
        <v>91148</v>
      </c>
      <c r="J16" s="7">
        <f>29733*16</f>
        <v>475728</v>
      </c>
      <c r="K16" s="8">
        <f>(18348.75+5687.5)*16</f>
        <v>384580</v>
      </c>
      <c r="L16" s="11">
        <f t="shared" si="2"/>
        <v>91148</v>
      </c>
      <c r="M16" s="7">
        <f t="shared" si="3"/>
        <v>1427184</v>
      </c>
      <c r="N16" s="8">
        <f t="shared" si="4"/>
        <v>1153740</v>
      </c>
      <c r="O16" s="11">
        <f t="shared" si="5"/>
        <v>273444</v>
      </c>
    </row>
    <row r="17" spans="1:15" x14ac:dyDescent="0.2">
      <c r="A17" t="s">
        <v>11</v>
      </c>
      <c r="B17" t="s">
        <v>10</v>
      </c>
      <c r="C17" t="s">
        <v>9</v>
      </c>
      <c r="D17" s="7">
        <f>4400*8</f>
        <v>35200</v>
      </c>
      <c r="E17" s="8">
        <f>(1000+1912.5)*8</f>
        <v>23300</v>
      </c>
      <c r="F17" s="11">
        <f t="shared" si="0"/>
        <v>11900</v>
      </c>
      <c r="G17" s="7">
        <f>4400*8</f>
        <v>35200</v>
      </c>
      <c r="H17" s="8">
        <f>(1000+1912.5)*8</f>
        <v>23300</v>
      </c>
      <c r="I17" s="11">
        <f t="shared" si="1"/>
        <v>11900</v>
      </c>
      <c r="J17" s="7">
        <f>4400*8</f>
        <v>35200</v>
      </c>
      <c r="K17" s="8">
        <f>(1000+1912.5)*8</f>
        <v>23300</v>
      </c>
      <c r="L17" s="11">
        <f t="shared" si="2"/>
        <v>11900</v>
      </c>
      <c r="M17" s="7">
        <f t="shared" si="3"/>
        <v>105600</v>
      </c>
      <c r="N17" s="8">
        <f t="shared" si="4"/>
        <v>69900</v>
      </c>
      <c r="O17" s="11">
        <f t="shared" si="5"/>
        <v>35700</v>
      </c>
    </row>
    <row r="18" spans="1:15" ht="6" customHeight="1" x14ac:dyDescent="0.2">
      <c r="D18" s="7"/>
      <c r="E18" s="8"/>
      <c r="F18" s="11"/>
      <c r="G18" s="7"/>
      <c r="H18" s="8"/>
      <c r="I18" s="11"/>
      <c r="J18" s="7"/>
      <c r="K18" s="8"/>
      <c r="L18" s="11"/>
      <c r="M18" s="7"/>
      <c r="N18" s="8"/>
      <c r="O18" s="11"/>
    </row>
    <row r="19" spans="1:15" x14ac:dyDescent="0.2">
      <c r="A19" s="12" t="s">
        <v>11</v>
      </c>
      <c r="B19" s="1" t="s">
        <v>5</v>
      </c>
      <c r="D19" s="13">
        <f>SUM(D14:D17)</f>
        <v>937960</v>
      </c>
      <c r="E19" s="14">
        <f t="shared" ref="E19:O19" si="7">SUM(E14:E17)</f>
        <v>777288</v>
      </c>
      <c r="F19" s="15">
        <f t="shared" si="7"/>
        <v>160672</v>
      </c>
      <c r="G19" s="13">
        <f t="shared" si="7"/>
        <v>937960</v>
      </c>
      <c r="H19" s="14">
        <f t="shared" si="7"/>
        <v>777288</v>
      </c>
      <c r="I19" s="15">
        <f t="shared" si="7"/>
        <v>160672</v>
      </c>
      <c r="J19" s="13">
        <f t="shared" si="7"/>
        <v>937960</v>
      </c>
      <c r="K19" s="14">
        <f t="shared" si="7"/>
        <v>777288</v>
      </c>
      <c r="L19" s="15">
        <f t="shared" si="7"/>
        <v>160672</v>
      </c>
      <c r="M19" s="13">
        <f t="shared" si="7"/>
        <v>2813880</v>
      </c>
      <c r="N19" s="14">
        <f t="shared" si="7"/>
        <v>2331864</v>
      </c>
      <c r="O19" s="15">
        <f t="shared" si="7"/>
        <v>482016</v>
      </c>
    </row>
    <row r="20" spans="1:15" x14ac:dyDescent="0.2">
      <c r="D20" s="7"/>
      <c r="E20" s="8"/>
      <c r="F20" s="11"/>
      <c r="G20" s="7"/>
      <c r="H20" s="8"/>
      <c r="I20" s="11"/>
      <c r="J20" s="7"/>
      <c r="K20" s="8"/>
      <c r="L20" s="11"/>
      <c r="M20" s="7"/>
      <c r="N20" s="8"/>
      <c r="O20" s="11"/>
    </row>
    <row r="21" spans="1:15" x14ac:dyDescent="0.2">
      <c r="A21" t="s">
        <v>14</v>
      </c>
      <c r="B21" t="s">
        <v>7</v>
      </c>
      <c r="C21" t="s">
        <v>8</v>
      </c>
      <c r="D21" s="7">
        <f>2037.5*16</f>
        <v>32600</v>
      </c>
      <c r="E21" s="8">
        <f>1287.5*16</f>
        <v>20600</v>
      </c>
      <c r="F21" s="11">
        <f t="shared" si="0"/>
        <v>12000</v>
      </c>
      <c r="G21" s="7">
        <f>2037.5*16</f>
        <v>32600</v>
      </c>
      <c r="H21" s="8">
        <f>1287.5*16</f>
        <v>20600</v>
      </c>
      <c r="I21" s="11">
        <f t="shared" si="1"/>
        <v>12000</v>
      </c>
      <c r="J21" s="7">
        <f>2037.5*16</f>
        <v>32600</v>
      </c>
      <c r="K21" s="8">
        <f>1287.5*16</f>
        <v>20600</v>
      </c>
      <c r="L21" s="11">
        <f t="shared" si="2"/>
        <v>12000</v>
      </c>
      <c r="M21" s="7">
        <f t="shared" si="3"/>
        <v>97800</v>
      </c>
      <c r="N21" s="8">
        <f t="shared" si="4"/>
        <v>61800</v>
      </c>
      <c r="O21" s="11">
        <f t="shared" si="5"/>
        <v>36000</v>
      </c>
    </row>
    <row r="22" spans="1:15" x14ac:dyDescent="0.2">
      <c r="A22" t="s">
        <v>14</v>
      </c>
      <c r="B22" t="s">
        <v>7</v>
      </c>
      <c r="C22" t="s">
        <v>9</v>
      </c>
      <c r="D22" s="7">
        <f>4160*8</f>
        <v>33280</v>
      </c>
      <c r="E22" s="8">
        <f>4000*8</f>
        <v>32000</v>
      </c>
      <c r="F22" s="11">
        <f t="shared" si="0"/>
        <v>1280</v>
      </c>
      <c r="G22" s="7">
        <f>4160*8</f>
        <v>33280</v>
      </c>
      <c r="H22" s="8">
        <f>4000*8</f>
        <v>32000</v>
      </c>
      <c r="I22" s="11">
        <f t="shared" si="1"/>
        <v>1280</v>
      </c>
      <c r="J22" s="7">
        <f>4160*8</f>
        <v>33280</v>
      </c>
      <c r="K22" s="8">
        <f>4000*8</f>
        <v>32000</v>
      </c>
      <c r="L22" s="11">
        <f t="shared" si="2"/>
        <v>1280</v>
      </c>
      <c r="M22" s="7">
        <f t="shared" si="3"/>
        <v>99840</v>
      </c>
      <c r="N22" s="8">
        <f t="shared" si="4"/>
        <v>96000</v>
      </c>
      <c r="O22" s="11">
        <f t="shared" si="5"/>
        <v>3840</v>
      </c>
    </row>
    <row r="23" spans="1:15" ht="5.25" customHeight="1" x14ac:dyDescent="0.2">
      <c r="D23" s="7"/>
      <c r="E23" s="8"/>
      <c r="F23" s="11"/>
      <c r="G23" s="7"/>
      <c r="H23" s="8"/>
      <c r="I23" s="11"/>
      <c r="J23" s="7"/>
      <c r="K23" s="8"/>
      <c r="L23" s="11"/>
      <c r="M23" s="7"/>
      <c r="N23" s="8"/>
      <c r="O23" s="11"/>
    </row>
    <row r="24" spans="1:15" x14ac:dyDescent="0.2">
      <c r="A24" s="12" t="s">
        <v>14</v>
      </c>
      <c r="B24" s="1" t="s">
        <v>5</v>
      </c>
      <c r="D24" s="13">
        <f>SUM(D21:D22)</f>
        <v>65880</v>
      </c>
      <c r="E24" s="14">
        <f t="shared" ref="E24:O24" si="8">SUM(E21:E22)</f>
        <v>52600</v>
      </c>
      <c r="F24" s="15">
        <f t="shared" si="8"/>
        <v>13280</v>
      </c>
      <c r="G24" s="13">
        <f t="shared" si="8"/>
        <v>65880</v>
      </c>
      <c r="H24" s="14">
        <f t="shared" si="8"/>
        <v>52600</v>
      </c>
      <c r="I24" s="15">
        <f t="shared" si="8"/>
        <v>13280</v>
      </c>
      <c r="J24" s="13">
        <f t="shared" si="8"/>
        <v>65880</v>
      </c>
      <c r="K24" s="14">
        <f t="shared" si="8"/>
        <v>52600</v>
      </c>
      <c r="L24" s="15">
        <f t="shared" si="8"/>
        <v>13280</v>
      </c>
      <c r="M24" s="13">
        <f t="shared" si="8"/>
        <v>197640</v>
      </c>
      <c r="N24" s="14">
        <f t="shared" si="8"/>
        <v>157800</v>
      </c>
      <c r="O24" s="15">
        <f t="shared" si="8"/>
        <v>39840</v>
      </c>
    </row>
    <row r="25" spans="1:15" x14ac:dyDescent="0.2">
      <c r="D25" s="7"/>
      <c r="E25" s="8"/>
      <c r="F25" s="11"/>
      <c r="G25" s="7"/>
      <c r="H25" s="8"/>
      <c r="I25" s="11"/>
      <c r="J25" s="7"/>
      <c r="K25" s="8"/>
      <c r="L25" s="11"/>
      <c r="M25" s="7"/>
      <c r="N25" s="8"/>
      <c r="O25" s="11"/>
    </row>
    <row r="26" spans="1:15" x14ac:dyDescent="0.2">
      <c r="A26" t="s">
        <v>15</v>
      </c>
      <c r="B26" t="s">
        <v>7</v>
      </c>
      <c r="C26" t="s">
        <v>8</v>
      </c>
      <c r="D26" s="7">
        <f>4323*16</f>
        <v>69168</v>
      </c>
      <c r="E26" s="8">
        <f>3068*16</f>
        <v>49088</v>
      </c>
      <c r="F26" s="11">
        <f t="shared" si="0"/>
        <v>20080</v>
      </c>
      <c r="G26" s="7">
        <f>4323*16</f>
        <v>69168</v>
      </c>
      <c r="H26" s="8">
        <f>3068*16</f>
        <v>49088</v>
      </c>
      <c r="I26" s="11">
        <f t="shared" si="1"/>
        <v>20080</v>
      </c>
      <c r="J26" s="7">
        <f>4323*16</f>
        <v>69168</v>
      </c>
      <c r="K26" s="8">
        <f>3068*16</f>
        <v>49088</v>
      </c>
      <c r="L26" s="11">
        <f t="shared" si="2"/>
        <v>20080</v>
      </c>
      <c r="M26" s="7">
        <f t="shared" si="3"/>
        <v>207504</v>
      </c>
      <c r="N26" s="8">
        <f t="shared" si="4"/>
        <v>147264</v>
      </c>
      <c r="O26" s="11">
        <f t="shared" si="5"/>
        <v>60240</v>
      </c>
    </row>
    <row r="27" spans="1:15" x14ac:dyDescent="0.2">
      <c r="A27" t="s">
        <v>15</v>
      </c>
      <c r="B27" t="s">
        <v>10</v>
      </c>
      <c r="C27" t="s">
        <v>8</v>
      </c>
      <c r="D27" s="7">
        <f>62730*16</f>
        <v>1003680</v>
      </c>
      <c r="E27" s="8">
        <f>(24153.75+21125)*16</f>
        <v>724460</v>
      </c>
      <c r="F27" s="11">
        <f t="shared" si="0"/>
        <v>279220</v>
      </c>
      <c r="G27" s="7">
        <f>62730*16</f>
        <v>1003680</v>
      </c>
      <c r="H27" s="8">
        <f>(24153.75+21125)*16</f>
        <v>724460</v>
      </c>
      <c r="I27" s="11">
        <f t="shared" si="1"/>
        <v>279220</v>
      </c>
      <c r="J27" s="7">
        <f>62730*16</f>
        <v>1003680</v>
      </c>
      <c r="K27" s="8">
        <f>(24153.75+21125)*16</f>
        <v>724460</v>
      </c>
      <c r="L27" s="11">
        <f t="shared" si="2"/>
        <v>279220</v>
      </c>
      <c r="M27" s="7">
        <f t="shared" si="3"/>
        <v>3011040</v>
      </c>
      <c r="N27" s="8">
        <f t="shared" si="4"/>
        <v>2173380</v>
      </c>
      <c r="O27" s="11">
        <f t="shared" si="5"/>
        <v>837660</v>
      </c>
    </row>
    <row r="28" spans="1:15" x14ac:dyDescent="0.2">
      <c r="A28" t="s">
        <v>15</v>
      </c>
      <c r="B28" t="s">
        <v>10</v>
      </c>
      <c r="C28" t="s">
        <v>9</v>
      </c>
      <c r="D28" s="7">
        <f>(13367.25+2550)*8</f>
        <v>127338</v>
      </c>
      <c r="E28" s="8">
        <f>16949*8</f>
        <v>135592</v>
      </c>
      <c r="F28" s="11">
        <f t="shared" si="0"/>
        <v>-8254</v>
      </c>
      <c r="G28" s="7">
        <f>(13367.25+2550)*8</f>
        <v>127338</v>
      </c>
      <c r="H28" s="8">
        <f>16949*8</f>
        <v>135592</v>
      </c>
      <c r="I28" s="11">
        <f t="shared" si="1"/>
        <v>-8254</v>
      </c>
      <c r="J28" s="7">
        <f>(13367.25+2550)*8</f>
        <v>127338</v>
      </c>
      <c r="K28" s="8">
        <f>16949*8</f>
        <v>135592</v>
      </c>
      <c r="L28" s="11">
        <f t="shared" si="2"/>
        <v>-8254</v>
      </c>
      <c r="M28" s="7">
        <f t="shared" si="3"/>
        <v>382014</v>
      </c>
      <c r="N28" s="8">
        <f t="shared" si="4"/>
        <v>406776</v>
      </c>
      <c r="O28" s="11">
        <f t="shared" si="5"/>
        <v>-24762</v>
      </c>
    </row>
    <row r="29" spans="1:15" ht="6" customHeight="1" x14ac:dyDescent="0.2">
      <c r="D29" s="7"/>
      <c r="E29" s="8"/>
      <c r="F29" s="11"/>
      <c r="G29" s="7"/>
      <c r="H29" s="8"/>
      <c r="I29" s="11"/>
      <c r="J29" s="7"/>
      <c r="K29" s="8"/>
      <c r="L29" s="11"/>
      <c r="M29" s="7"/>
      <c r="N29" s="8"/>
      <c r="O29" s="11"/>
    </row>
    <row r="30" spans="1:15" x14ac:dyDescent="0.2">
      <c r="A30" s="12" t="s">
        <v>15</v>
      </c>
      <c r="B30" s="1" t="s">
        <v>5</v>
      </c>
      <c r="D30" s="13">
        <f>SUM(D26:D28)</f>
        <v>1200186</v>
      </c>
      <c r="E30" s="14">
        <f t="shared" ref="E30:O30" si="9">SUM(E26:E28)</f>
        <v>909140</v>
      </c>
      <c r="F30" s="15">
        <f t="shared" si="9"/>
        <v>291046</v>
      </c>
      <c r="G30" s="13">
        <f t="shared" si="9"/>
        <v>1200186</v>
      </c>
      <c r="H30" s="14">
        <f t="shared" si="9"/>
        <v>909140</v>
      </c>
      <c r="I30" s="15">
        <f t="shared" si="9"/>
        <v>291046</v>
      </c>
      <c r="J30" s="13">
        <f t="shared" si="9"/>
        <v>1200186</v>
      </c>
      <c r="K30" s="14">
        <f t="shared" si="9"/>
        <v>909140</v>
      </c>
      <c r="L30" s="15">
        <f t="shared" si="9"/>
        <v>291046</v>
      </c>
      <c r="M30" s="13">
        <f t="shared" si="9"/>
        <v>3600558</v>
      </c>
      <c r="N30" s="14">
        <f t="shared" si="9"/>
        <v>2727420</v>
      </c>
      <c r="O30" s="15">
        <f t="shared" si="9"/>
        <v>873138</v>
      </c>
    </row>
    <row r="31" spans="1:15" x14ac:dyDescent="0.2">
      <c r="D31" s="7"/>
      <c r="E31" s="8"/>
      <c r="F31" s="11"/>
      <c r="G31" s="7"/>
      <c r="H31" s="8"/>
      <c r="I31" s="11"/>
      <c r="J31" s="7"/>
      <c r="K31" s="8"/>
      <c r="L31" s="11"/>
      <c r="M31" s="7"/>
      <c r="N31" s="8"/>
      <c r="O31" s="11"/>
    </row>
    <row r="32" spans="1:15" x14ac:dyDescent="0.2">
      <c r="A32" t="s">
        <v>16</v>
      </c>
      <c r="B32" t="s">
        <v>17</v>
      </c>
      <c r="C32" t="s">
        <v>8</v>
      </c>
      <c r="D32" s="7">
        <f>1540*16</f>
        <v>24640</v>
      </c>
      <c r="E32" s="8">
        <f>1150*16</f>
        <v>18400</v>
      </c>
      <c r="F32" s="11">
        <f t="shared" si="0"/>
        <v>6240</v>
      </c>
      <c r="G32" s="7">
        <f>1540*16</f>
        <v>24640</v>
      </c>
      <c r="H32" s="8">
        <f>1150*16</f>
        <v>18400</v>
      </c>
      <c r="I32" s="11">
        <f t="shared" si="1"/>
        <v>6240</v>
      </c>
      <c r="J32" s="7">
        <f>1540*16</f>
        <v>24640</v>
      </c>
      <c r="K32" s="8">
        <f>1150*16</f>
        <v>18400</v>
      </c>
      <c r="L32" s="11">
        <f t="shared" si="2"/>
        <v>6240</v>
      </c>
      <c r="M32" s="7">
        <f t="shared" si="3"/>
        <v>73920</v>
      </c>
      <c r="N32" s="8">
        <f t="shared" si="4"/>
        <v>55200</v>
      </c>
      <c r="O32" s="11">
        <f t="shared" si="5"/>
        <v>18720</v>
      </c>
    </row>
    <row r="33" spans="1:15" x14ac:dyDescent="0.2">
      <c r="A33" t="s">
        <v>16</v>
      </c>
      <c r="B33" t="s">
        <v>17</v>
      </c>
      <c r="C33" t="s">
        <v>9</v>
      </c>
      <c r="D33" s="7">
        <f>1112.5*8</f>
        <v>8900</v>
      </c>
      <c r="E33" s="8">
        <f>900*8</f>
        <v>7200</v>
      </c>
      <c r="F33" s="11">
        <f t="shared" si="0"/>
        <v>1700</v>
      </c>
      <c r="G33" s="7">
        <f>1112.5*8</f>
        <v>8900</v>
      </c>
      <c r="H33" s="8">
        <f>900*8</f>
        <v>7200</v>
      </c>
      <c r="I33" s="11">
        <f t="shared" si="1"/>
        <v>1700</v>
      </c>
      <c r="J33" s="7">
        <f>1112.5*8</f>
        <v>8900</v>
      </c>
      <c r="K33" s="8">
        <f>900*8</f>
        <v>7200</v>
      </c>
      <c r="L33" s="11">
        <f t="shared" si="2"/>
        <v>1700</v>
      </c>
      <c r="M33" s="7">
        <f t="shared" si="3"/>
        <v>26700</v>
      </c>
      <c r="N33" s="8">
        <f t="shared" si="4"/>
        <v>21600</v>
      </c>
      <c r="O33" s="11">
        <f t="shared" si="5"/>
        <v>5100</v>
      </c>
    </row>
    <row r="34" spans="1:15" x14ac:dyDescent="0.2">
      <c r="A34" t="s">
        <v>16</v>
      </c>
      <c r="B34" t="s">
        <v>13</v>
      </c>
      <c r="C34" t="s">
        <v>8</v>
      </c>
      <c r="D34" s="7">
        <f>5314.5*16</f>
        <v>85032</v>
      </c>
      <c r="E34" s="8">
        <f>(1110+2300)*16</f>
        <v>54560</v>
      </c>
      <c r="F34" s="11">
        <f t="shared" si="0"/>
        <v>30472</v>
      </c>
      <c r="G34" s="7">
        <f>5314.5*16</f>
        <v>85032</v>
      </c>
      <c r="H34" s="8">
        <f>(1110+2300)*16</f>
        <v>54560</v>
      </c>
      <c r="I34" s="11">
        <f t="shared" si="1"/>
        <v>30472</v>
      </c>
      <c r="J34" s="7">
        <f>5314.5*16</f>
        <v>85032</v>
      </c>
      <c r="K34" s="8">
        <f>(1110+2300)*16</f>
        <v>54560</v>
      </c>
      <c r="L34" s="11">
        <f t="shared" si="2"/>
        <v>30472</v>
      </c>
      <c r="M34" s="7">
        <f t="shared" si="3"/>
        <v>255096</v>
      </c>
      <c r="N34" s="8">
        <f t="shared" si="4"/>
        <v>163680</v>
      </c>
      <c r="O34" s="11">
        <f t="shared" si="5"/>
        <v>91416</v>
      </c>
    </row>
    <row r="35" spans="1:15" ht="6" customHeight="1" x14ac:dyDescent="0.2">
      <c r="D35" s="7"/>
      <c r="E35" s="8"/>
      <c r="F35" s="11"/>
      <c r="G35" s="7"/>
      <c r="H35" s="8"/>
      <c r="I35" s="11"/>
      <c r="J35" s="7"/>
      <c r="K35" s="8"/>
      <c r="L35" s="11"/>
      <c r="M35" s="7"/>
      <c r="N35" s="8"/>
      <c r="O35" s="11"/>
    </row>
    <row r="36" spans="1:15" x14ac:dyDescent="0.2">
      <c r="A36" s="12" t="s">
        <v>16</v>
      </c>
      <c r="B36" s="1" t="s">
        <v>5</v>
      </c>
      <c r="D36" s="13">
        <f>SUM(D32:D34)</f>
        <v>118572</v>
      </c>
      <c r="E36" s="14">
        <f t="shared" ref="E36:O36" si="10">SUM(E32:E34)</f>
        <v>80160</v>
      </c>
      <c r="F36" s="15">
        <f t="shared" si="10"/>
        <v>38412</v>
      </c>
      <c r="G36" s="13">
        <f t="shared" si="10"/>
        <v>118572</v>
      </c>
      <c r="H36" s="14">
        <f t="shared" si="10"/>
        <v>80160</v>
      </c>
      <c r="I36" s="15">
        <f t="shared" si="10"/>
        <v>38412</v>
      </c>
      <c r="J36" s="13">
        <f t="shared" si="10"/>
        <v>118572</v>
      </c>
      <c r="K36" s="14">
        <f t="shared" si="10"/>
        <v>80160</v>
      </c>
      <c r="L36" s="15">
        <f t="shared" si="10"/>
        <v>38412</v>
      </c>
      <c r="M36" s="13">
        <f t="shared" si="10"/>
        <v>355716</v>
      </c>
      <c r="N36" s="14">
        <f t="shared" si="10"/>
        <v>240480</v>
      </c>
      <c r="O36" s="15">
        <f t="shared" si="10"/>
        <v>115236</v>
      </c>
    </row>
    <row r="37" spans="1:15" x14ac:dyDescent="0.2">
      <c r="D37" s="7"/>
      <c r="E37" s="8"/>
      <c r="F37" s="11"/>
      <c r="G37" s="7"/>
      <c r="H37" s="8"/>
      <c r="I37" s="11"/>
      <c r="J37" s="7"/>
      <c r="K37" s="8"/>
      <c r="L37" s="11"/>
      <c r="M37" s="7"/>
      <c r="N37" s="8"/>
      <c r="O37" s="11"/>
    </row>
    <row r="38" spans="1:15" x14ac:dyDescent="0.2">
      <c r="A38" t="s">
        <v>18</v>
      </c>
      <c r="B38" t="s">
        <v>10</v>
      </c>
      <c r="C38" t="s">
        <v>8</v>
      </c>
      <c r="D38" s="7">
        <f>3400*16</f>
        <v>54400</v>
      </c>
      <c r="E38" s="8">
        <f>1625*16</f>
        <v>26000</v>
      </c>
      <c r="F38" s="11">
        <f t="shared" si="0"/>
        <v>28400</v>
      </c>
      <c r="G38" s="7">
        <f>3400*16</f>
        <v>54400</v>
      </c>
      <c r="H38" s="8">
        <f>1625*16</f>
        <v>26000</v>
      </c>
      <c r="I38" s="11">
        <f t="shared" si="1"/>
        <v>28400</v>
      </c>
      <c r="J38" s="7">
        <f>3400*16</f>
        <v>54400</v>
      </c>
      <c r="K38" s="8">
        <f>1625*16</f>
        <v>26000</v>
      </c>
      <c r="L38" s="11">
        <f t="shared" si="2"/>
        <v>28400</v>
      </c>
      <c r="M38" s="7">
        <f t="shared" si="3"/>
        <v>163200</v>
      </c>
      <c r="N38" s="8">
        <f t="shared" si="4"/>
        <v>78000</v>
      </c>
      <c r="O38" s="11">
        <f t="shared" si="5"/>
        <v>85200</v>
      </c>
    </row>
    <row r="39" spans="1:15" x14ac:dyDescent="0.2">
      <c r="D39" s="7"/>
      <c r="E39" s="8"/>
      <c r="F39" s="11"/>
      <c r="G39" s="7"/>
      <c r="H39" s="8"/>
      <c r="I39" s="11"/>
      <c r="J39" s="7"/>
      <c r="K39" s="8"/>
      <c r="L39" s="11"/>
      <c r="M39" s="7"/>
      <c r="N39" s="8"/>
      <c r="O39" s="11"/>
    </row>
    <row r="40" spans="1:15" x14ac:dyDescent="0.2">
      <c r="A40" t="s">
        <v>19</v>
      </c>
      <c r="B40" t="s">
        <v>10</v>
      </c>
      <c r="C40" t="s">
        <v>8</v>
      </c>
      <c r="D40" s="7">
        <f>1525.7*16</f>
        <v>24411.200000000001</v>
      </c>
      <c r="E40" s="8">
        <f>1186.25*16</f>
        <v>18980</v>
      </c>
      <c r="F40" s="11">
        <f t="shared" si="0"/>
        <v>5431.2000000000007</v>
      </c>
      <c r="G40" s="7">
        <f>1525.7*16</f>
        <v>24411.200000000001</v>
      </c>
      <c r="H40" s="8">
        <f>1186.25*16</f>
        <v>18980</v>
      </c>
      <c r="I40" s="11">
        <f t="shared" si="1"/>
        <v>5431.2000000000007</v>
      </c>
      <c r="J40" s="7">
        <f>1525.7*16</f>
        <v>24411.200000000001</v>
      </c>
      <c r="K40" s="8">
        <f>1186.25*16</f>
        <v>18980</v>
      </c>
      <c r="L40" s="11">
        <f t="shared" si="2"/>
        <v>5431.2000000000007</v>
      </c>
      <c r="M40" s="7">
        <f t="shared" si="3"/>
        <v>73233.600000000006</v>
      </c>
      <c r="N40" s="8">
        <f t="shared" si="4"/>
        <v>56940</v>
      </c>
      <c r="O40" s="11">
        <f t="shared" si="5"/>
        <v>16293.600000000006</v>
      </c>
    </row>
    <row r="41" spans="1:15" x14ac:dyDescent="0.2">
      <c r="D41" s="7"/>
      <c r="E41" s="8"/>
      <c r="F41" s="11"/>
      <c r="G41" s="7"/>
      <c r="H41" s="8"/>
      <c r="I41" s="11"/>
      <c r="J41" s="7"/>
      <c r="K41" s="8"/>
      <c r="L41" s="11"/>
      <c r="M41" s="7"/>
      <c r="N41" s="8"/>
      <c r="O41" s="11"/>
    </row>
    <row r="42" spans="1:15" x14ac:dyDescent="0.2">
      <c r="A42" t="s">
        <v>20</v>
      </c>
      <c r="B42" t="s">
        <v>21</v>
      </c>
      <c r="C42" t="s">
        <v>8</v>
      </c>
      <c r="D42" s="7">
        <f>1502.5*16</f>
        <v>24040</v>
      </c>
      <c r="E42" s="8">
        <f>1050*16</f>
        <v>16800</v>
      </c>
      <c r="F42" s="11">
        <f t="shared" si="0"/>
        <v>7240</v>
      </c>
      <c r="G42" s="7">
        <f>1502.5*16</f>
        <v>24040</v>
      </c>
      <c r="H42" s="8">
        <f>1050*16</f>
        <v>16800</v>
      </c>
      <c r="I42" s="11">
        <f t="shared" si="1"/>
        <v>7240</v>
      </c>
      <c r="J42" s="7">
        <f>1502.5*16</f>
        <v>24040</v>
      </c>
      <c r="K42" s="8">
        <f>1050*16</f>
        <v>16800</v>
      </c>
      <c r="L42" s="11">
        <f t="shared" si="2"/>
        <v>7240</v>
      </c>
      <c r="M42" s="7">
        <f t="shared" si="3"/>
        <v>72120</v>
      </c>
      <c r="N42" s="8">
        <f t="shared" si="4"/>
        <v>50400</v>
      </c>
      <c r="O42" s="11">
        <f t="shared" si="5"/>
        <v>21720</v>
      </c>
    </row>
    <row r="43" spans="1:15" x14ac:dyDescent="0.2">
      <c r="A43" t="s">
        <v>20</v>
      </c>
      <c r="B43" t="s">
        <v>22</v>
      </c>
      <c r="C43" t="s">
        <v>8</v>
      </c>
      <c r="D43" s="7">
        <f>1050*16</f>
        <v>16800</v>
      </c>
      <c r="E43" s="8">
        <f>1407.5*16</f>
        <v>22520</v>
      </c>
      <c r="F43" s="11">
        <f t="shared" si="0"/>
        <v>-5720</v>
      </c>
      <c r="G43" s="7">
        <f>1050*16</f>
        <v>16800</v>
      </c>
      <c r="H43" s="8">
        <f>1407.5*16</f>
        <v>22520</v>
      </c>
      <c r="I43" s="11">
        <f t="shared" si="1"/>
        <v>-5720</v>
      </c>
      <c r="J43" s="7">
        <f>1050*16</f>
        <v>16800</v>
      </c>
      <c r="K43" s="8">
        <f>1407.5*16</f>
        <v>22520</v>
      </c>
      <c r="L43" s="11">
        <f t="shared" si="2"/>
        <v>-5720</v>
      </c>
      <c r="M43" s="7">
        <f t="shared" si="3"/>
        <v>50400</v>
      </c>
      <c r="N43" s="8">
        <f t="shared" si="4"/>
        <v>67560</v>
      </c>
      <c r="O43" s="11">
        <f t="shared" si="5"/>
        <v>-17160</v>
      </c>
    </row>
    <row r="44" spans="1:15" x14ac:dyDescent="0.2">
      <c r="A44" t="s">
        <v>20</v>
      </c>
      <c r="B44" t="s">
        <v>12</v>
      </c>
      <c r="C44" t="s">
        <v>8</v>
      </c>
      <c r="D44" s="7">
        <f>7347*16</f>
        <v>117552</v>
      </c>
      <c r="E44" s="8">
        <f>8859*16</f>
        <v>141744</v>
      </c>
      <c r="F44" s="11">
        <f t="shared" si="0"/>
        <v>-24192</v>
      </c>
      <c r="G44" s="7">
        <f>7347*16</f>
        <v>117552</v>
      </c>
      <c r="H44" s="8">
        <f>8859*16</f>
        <v>141744</v>
      </c>
      <c r="I44" s="11">
        <f t="shared" si="1"/>
        <v>-24192</v>
      </c>
      <c r="J44" s="7">
        <f>7347*16</f>
        <v>117552</v>
      </c>
      <c r="K44" s="8">
        <f>8859*16</f>
        <v>141744</v>
      </c>
      <c r="L44" s="11">
        <f t="shared" si="2"/>
        <v>-24192</v>
      </c>
      <c r="M44" s="7">
        <f t="shared" si="3"/>
        <v>352656</v>
      </c>
      <c r="N44" s="8">
        <f t="shared" si="4"/>
        <v>425232</v>
      </c>
      <c r="O44" s="11">
        <f t="shared" si="5"/>
        <v>-72576</v>
      </c>
    </row>
    <row r="45" spans="1:15" x14ac:dyDescent="0.2">
      <c r="A45" t="s">
        <v>20</v>
      </c>
      <c r="B45" t="s">
        <v>13</v>
      </c>
      <c r="C45" t="s">
        <v>8</v>
      </c>
      <c r="D45" s="7">
        <f>34749*16</f>
        <v>555984</v>
      </c>
      <c r="E45" s="8">
        <f>37375*16</f>
        <v>598000</v>
      </c>
      <c r="F45" s="11">
        <f t="shared" si="0"/>
        <v>-42016</v>
      </c>
      <c r="G45" s="7">
        <f>34749*16</f>
        <v>555984</v>
      </c>
      <c r="H45" s="8">
        <f>37375*16</f>
        <v>598000</v>
      </c>
      <c r="I45" s="11">
        <f t="shared" si="1"/>
        <v>-42016</v>
      </c>
      <c r="J45" s="7">
        <f>34749*16</f>
        <v>555984</v>
      </c>
      <c r="K45" s="8">
        <f>37375*16</f>
        <v>598000</v>
      </c>
      <c r="L45" s="11">
        <f t="shared" si="2"/>
        <v>-42016</v>
      </c>
      <c r="M45" s="7">
        <f t="shared" si="3"/>
        <v>1667952</v>
      </c>
      <c r="N45" s="8">
        <f t="shared" si="4"/>
        <v>1794000</v>
      </c>
      <c r="O45" s="11">
        <f>M45-N45</f>
        <v>-126048</v>
      </c>
    </row>
    <row r="46" spans="1:15" ht="6" customHeight="1" x14ac:dyDescent="0.2">
      <c r="D46" s="7"/>
      <c r="E46" s="8"/>
      <c r="F46" s="11"/>
      <c r="G46" s="7"/>
      <c r="H46" s="8"/>
      <c r="I46" s="11"/>
      <c r="J46" s="7"/>
      <c r="K46" s="8"/>
      <c r="L46" s="11"/>
      <c r="M46" s="7"/>
      <c r="N46" s="8"/>
      <c r="O46" s="11"/>
    </row>
    <row r="47" spans="1:15" x14ac:dyDescent="0.2">
      <c r="A47" s="12" t="s">
        <v>20</v>
      </c>
      <c r="B47" s="1" t="s">
        <v>5</v>
      </c>
      <c r="D47" s="13">
        <f>SUM(D42:D45)</f>
        <v>714376</v>
      </c>
      <c r="E47" s="14">
        <f t="shared" ref="E47:O47" si="11">SUM(E42:E45)</f>
        <v>779064</v>
      </c>
      <c r="F47" s="15">
        <f t="shared" si="11"/>
        <v>-64688</v>
      </c>
      <c r="G47" s="13">
        <f t="shared" si="11"/>
        <v>714376</v>
      </c>
      <c r="H47" s="14">
        <f t="shared" si="11"/>
        <v>779064</v>
      </c>
      <c r="I47" s="15">
        <f t="shared" si="11"/>
        <v>-64688</v>
      </c>
      <c r="J47" s="13">
        <f t="shared" si="11"/>
        <v>714376</v>
      </c>
      <c r="K47" s="14">
        <f t="shared" si="11"/>
        <v>779064</v>
      </c>
      <c r="L47" s="15">
        <f t="shared" si="11"/>
        <v>-64688</v>
      </c>
      <c r="M47" s="13">
        <f t="shared" si="11"/>
        <v>2143128</v>
      </c>
      <c r="N47" s="14">
        <f t="shared" si="11"/>
        <v>2337192</v>
      </c>
      <c r="O47" s="15">
        <f t="shared" si="11"/>
        <v>-194064</v>
      </c>
    </row>
    <row r="48" spans="1:15" x14ac:dyDescent="0.2">
      <c r="D48" s="7"/>
      <c r="E48" s="8"/>
      <c r="F48" s="11"/>
      <c r="G48" s="7"/>
      <c r="H48" s="8"/>
      <c r="I48" s="11"/>
      <c r="J48" s="7"/>
      <c r="K48" s="8"/>
      <c r="L48" s="11"/>
      <c r="M48" s="7"/>
      <c r="N48" s="8"/>
      <c r="O48" s="11"/>
    </row>
    <row r="49" spans="1:15" x14ac:dyDescent="0.2">
      <c r="A49" t="s">
        <v>23</v>
      </c>
      <c r="B49" t="s">
        <v>21</v>
      </c>
      <c r="C49" t="s">
        <v>8</v>
      </c>
      <c r="D49" s="7">
        <f>(2970+1050)*16</f>
        <v>64320</v>
      </c>
      <c r="E49" s="8">
        <f>4717.5*16</f>
        <v>75480</v>
      </c>
      <c r="F49" s="11">
        <f t="shared" si="0"/>
        <v>-11160</v>
      </c>
      <c r="G49" s="7">
        <f>(2970+1050)*16</f>
        <v>64320</v>
      </c>
      <c r="H49" s="8">
        <f>4717.5*16</f>
        <v>75480</v>
      </c>
      <c r="I49" s="11">
        <f t="shared" si="1"/>
        <v>-11160</v>
      </c>
      <c r="J49" s="7">
        <f>(2970+1050)*16</f>
        <v>64320</v>
      </c>
      <c r="K49" s="8">
        <f>4717.5*16</f>
        <v>75480</v>
      </c>
      <c r="L49" s="11">
        <f t="shared" si="2"/>
        <v>-11160</v>
      </c>
      <c r="M49" s="7">
        <f t="shared" si="3"/>
        <v>192960</v>
      </c>
      <c r="N49" s="8">
        <f t="shared" si="4"/>
        <v>226440</v>
      </c>
      <c r="O49" s="11">
        <f t="shared" si="5"/>
        <v>-33480</v>
      </c>
    </row>
    <row r="50" spans="1:15" x14ac:dyDescent="0.2">
      <c r="A50" t="s">
        <v>23</v>
      </c>
      <c r="B50" t="s">
        <v>17</v>
      </c>
      <c r="C50" t="s">
        <v>8</v>
      </c>
      <c r="D50" s="7">
        <v>0</v>
      </c>
      <c r="E50" s="8">
        <v>0</v>
      </c>
      <c r="F50" s="11">
        <f t="shared" si="0"/>
        <v>0</v>
      </c>
      <c r="G50" s="7">
        <v>0</v>
      </c>
      <c r="H50" s="8">
        <v>0</v>
      </c>
      <c r="I50" s="11">
        <f t="shared" si="1"/>
        <v>0</v>
      </c>
      <c r="J50" s="7">
        <v>0</v>
      </c>
      <c r="K50" s="8">
        <v>0</v>
      </c>
      <c r="L50" s="11">
        <f t="shared" si="2"/>
        <v>0</v>
      </c>
      <c r="M50" s="7">
        <f t="shared" si="3"/>
        <v>0</v>
      </c>
      <c r="N50" s="8">
        <f t="shared" si="4"/>
        <v>0</v>
      </c>
      <c r="O50" s="11">
        <f t="shared" si="5"/>
        <v>0</v>
      </c>
    </row>
    <row r="51" spans="1:15" x14ac:dyDescent="0.2">
      <c r="A51" t="s">
        <v>23</v>
      </c>
      <c r="B51" t="s">
        <v>17</v>
      </c>
      <c r="C51" t="s">
        <v>9</v>
      </c>
      <c r="D51" s="7">
        <f>900*8</f>
        <v>7200</v>
      </c>
      <c r="E51" s="8">
        <f>1105*8</f>
        <v>8840</v>
      </c>
      <c r="F51" s="11">
        <f t="shared" si="0"/>
        <v>-1640</v>
      </c>
      <c r="G51" s="7">
        <f>900*8</f>
        <v>7200</v>
      </c>
      <c r="H51" s="8">
        <f>1105*8</f>
        <v>8840</v>
      </c>
      <c r="I51" s="11">
        <f t="shared" si="1"/>
        <v>-1640</v>
      </c>
      <c r="J51" s="7">
        <f>900*8</f>
        <v>7200</v>
      </c>
      <c r="K51" s="8">
        <f>1105*8</f>
        <v>8840</v>
      </c>
      <c r="L51" s="11">
        <f t="shared" si="2"/>
        <v>-1640</v>
      </c>
      <c r="M51" s="7">
        <f t="shared" si="3"/>
        <v>21600</v>
      </c>
      <c r="N51" s="8">
        <f t="shared" si="4"/>
        <v>26520</v>
      </c>
      <c r="O51" s="11">
        <f t="shared" si="5"/>
        <v>-4920</v>
      </c>
    </row>
    <row r="52" spans="1:15" x14ac:dyDescent="0.2">
      <c r="A52" t="s">
        <v>23</v>
      </c>
      <c r="B52" t="s">
        <v>13</v>
      </c>
      <c r="C52" t="s">
        <v>8</v>
      </c>
      <c r="D52" s="7">
        <f>26153.5*16</f>
        <v>418456</v>
      </c>
      <c r="E52" s="8">
        <f>(13455+10350)*16</f>
        <v>380880</v>
      </c>
      <c r="F52" s="11">
        <f t="shared" si="0"/>
        <v>37576</v>
      </c>
      <c r="G52" s="7">
        <f>26153.5*16</f>
        <v>418456</v>
      </c>
      <c r="H52" s="8">
        <f>(13455+10350)*16</f>
        <v>380880</v>
      </c>
      <c r="I52" s="11">
        <f t="shared" si="1"/>
        <v>37576</v>
      </c>
      <c r="J52" s="7">
        <f>26153.5*16</f>
        <v>418456</v>
      </c>
      <c r="K52" s="8">
        <f>(13455+10350)*16</f>
        <v>380880</v>
      </c>
      <c r="L52" s="11">
        <f t="shared" si="2"/>
        <v>37576</v>
      </c>
      <c r="M52" s="7">
        <f t="shared" si="3"/>
        <v>1255368</v>
      </c>
      <c r="N52" s="8">
        <f t="shared" si="4"/>
        <v>1142640</v>
      </c>
      <c r="O52" s="11">
        <f t="shared" si="5"/>
        <v>112728</v>
      </c>
    </row>
    <row r="53" spans="1:15" x14ac:dyDescent="0.2">
      <c r="A53" t="s">
        <v>23</v>
      </c>
      <c r="B53" t="s">
        <v>12</v>
      </c>
      <c r="C53" t="s">
        <v>8</v>
      </c>
      <c r="D53" s="7">
        <f>11672.5*16</f>
        <v>186760</v>
      </c>
      <c r="E53" s="8">
        <f>(7845+2100)*16</f>
        <v>159120</v>
      </c>
      <c r="F53" s="11">
        <f t="shared" si="0"/>
        <v>27640</v>
      </c>
      <c r="G53" s="7">
        <f>11672.5*16</f>
        <v>186760</v>
      </c>
      <c r="H53" s="8">
        <f>(7845+2100)*16</f>
        <v>159120</v>
      </c>
      <c r="I53" s="11">
        <f t="shared" si="1"/>
        <v>27640</v>
      </c>
      <c r="J53" s="7">
        <f>11672.5*16</f>
        <v>186760</v>
      </c>
      <c r="K53" s="8">
        <f>(7845+2100)*16</f>
        <v>159120</v>
      </c>
      <c r="L53" s="11">
        <f t="shared" si="2"/>
        <v>27640</v>
      </c>
      <c r="M53" s="7">
        <f t="shared" si="3"/>
        <v>560280</v>
      </c>
      <c r="N53" s="8">
        <f t="shared" si="4"/>
        <v>477360</v>
      </c>
      <c r="O53" s="11">
        <f t="shared" si="5"/>
        <v>82920</v>
      </c>
    </row>
    <row r="54" spans="1:15" x14ac:dyDescent="0.2">
      <c r="A54" t="s">
        <v>23</v>
      </c>
      <c r="B54" t="s">
        <v>12</v>
      </c>
      <c r="C54" t="s">
        <v>9</v>
      </c>
      <c r="D54" s="7">
        <f>850*8</f>
        <v>6800</v>
      </c>
      <c r="E54" s="8">
        <f>900*8</f>
        <v>7200</v>
      </c>
      <c r="F54" s="11">
        <f t="shared" si="0"/>
        <v>-400</v>
      </c>
      <c r="G54" s="7">
        <f>850*8</f>
        <v>6800</v>
      </c>
      <c r="H54" s="8">
        <f>900*8</f>
        <v>7200</v>
      </c>
      <c r="I54" s="11">
        <f t="shared" si="1"/>
        <v>-400</v>
      </c>
      <c r="J54" s="7">
        <f>850*8</f>
        <v>6800</v>
      </c>
      <c r="K54" s="8">
        <f>900*8</f>
        <v>7200</v>
      </c>
      <c r="L54" s="11">
        <f t="shared" si="2"/>
        <v>-400</v>
      </c>
      <c r="M54" s="7">
        <f t="shared" si="3"/>
        <v>20400</v>
      </c>
      <c r="N54" s="8">
        <f t="shared" si="4"/>
        <v>21600</v>
      </c>
      <c r="O54" s="11">
        <f t="shared" si="5"/>
        <v>-1200</v>
      </c>
    </row>
    <row r="55" spans="1:15" ht="6" customHeight="1" x14ac:dyDescent="0.2">
      <c r="D55" s="7"/>
      <c r="E55" s="8"/>
      <c r="F55" s="11"/>
      <c r="G55" s="7"/>
      <c r="H55" s="8"/>
      <c r="I55" s="11"/>
      <c r="J55" s="7"/>
      <c r="K55" s="8"/>
      <c r="L55" s="11"/>
      <c r="M55" s="7"/>
      <c r="N55" s="8"/>
      <c r="O55" s="11"/>
    </row>
    <row r="56" spans="1:15" x14ac:dyDescent="0.2">
      <c r="A56" s="12" t="s">
        <v>23</v>
      </c>
      <c r="B56" s="1" t="s">
        <v>5</v>
      </c>
      <c r="D56" s="13">
        <f>SUM(D49:D54)</f>
        <v>683536</v>
      </c>
      <c r="E56" s="14">
        <f t="shared" ref="E56:O56" si="12">SUM(E49:E54)</f>
        <v>631520</v>
      </c>
      <c r="F56" s="15">
        <f t="shared" si="12"/>
        <v>52016</v>
      </c>
      <c r="G56" s="13">
        <f t="shared" si="12"/>
        <v>683536</v>
      </c>
      <c r="H56" s="14">
        <f t="shared" si="12"/>
        <v>631520</v>
      </c>
      <c r="I56" s="15">
        <f t="shared" si="12"/>
        <v>52016</v>
      </c>
      <c r="J56" s="13">
        <f t="shared" si="12"/>
        <v>683536</v>
      </c>
      <c r="K56" s="14">
        <f t="shared" si="12"/>
        <v>631520</v>
      </c>
      <c r="L56" s="15">
        <f t="shared" si="12"/>
        <v>52016</v>
      </c>
      <c r="M56" s="13">
        <f t="shared" si="12"/>
        <v>2050608</v>
      </c>
      <c r="N56" s="14">
        <f t="shared" si="12"/>
        <v>1894560</v>
      </c>
      <c r="O56" s="15">
        <f t="shared" si="12"/>
        <v>156048</v>
      </c>
    </row>
    <row r="57" spans="1:15" x14ac:dyDescent="0.2">
      <c r="D57" s="7"/>
      <c r="E57" s="8"/>
      <c r="F57" s="11"/>
      <c r="G57" s="7"/>
      <c r="H57" s="8"/>
      <c r="I57" s="11"/>
      <c r="J57" s="7"/>
      <c r="K57" s="8"/>
      <c r="L57" s="11"/>
      <c r="M57" s="7"/>
      <c r="N57" s="8"/>
      <c r="O57" s="11"/>
    </row>
    <row r="58" spans="1:15" x14ac:dyDescent="0.2">
      <c r="A58" t="s">
        <v>24</v>
      </c>
      <c r="B58" t="s">
        <v>22</v>
      </c>
      <c r="C58" t="s">
        <v>8</v>
      </c>
      <c r="D58" s="7">
        <f>(1307.5+2100)*16</f>
        <v>54520</v>
      </c>
      <c r="E58" s="8">
        <f>4002*16</f>
        <v>64032</v>
      </c>
      <c r="F58" s="11">
        <f t="shared" si="0"/>
        <v>-9512</v>
      </c>
      <c r="G58" s="7">
        <f>(1307.5+2100)*16</f>
        <v>54520</v>
      </c>
      <c r="H58" s="8">
        <f>4002*16</f>
        <v>64032</v>
      </c>
      <c r="I58" s="11">
        <f t="shared" si="1"/>
        <v>-9512</v>
      </c>
      <c r="J58" s="7">
        <f>(1307.5+2100)*16</f>
        <v>54520</v>
      </c>
      <c r="K58" s="8">
        <f>4002*16</f>
        <v>64032</v>
      </c>
      <c r="L58" s="11">
        <f t="shared" si="2"/>
        <v>-9512</v>
      </c>
      <c r="M58" s="7">
        <f t="shared" si="3"/>
        <v>163560</v>
      </c>
      <c r="N58" s="8">
        <f t="shared" si="4"/>
        <v>192096</v>
      </c>
      <c r="O58" s="11">
        <f t="shared" si="5"/>
        <v>-28536</v>
      </c>
    </row>
    <row r="59" spans="1:15" x14ac:dyDescent="0.2">
      <c r="A59" t="s">
        <v>24</v>
      </c>
      <c r="B59" t="s">
        <v>12</v>
      </c>
      <c r="C59" t="s">
        <v>8</v>
      </c>
      <c r="D59" s="7">
        <f>3964.5*16</f>
        <v>63432</v>
      </c>
      <c r="E59" s="8">
        <f>3150*16</f>
        <v>50400</v>
      </c>
      <c r="F59" s="11">
        <f t="shared" si="0"/>
        <v>13032</v>
      </c>
      <c r="G59" s="7">
        <f>3964.5*16</f>
        <v>63432</v>
      </c>
      <c r="H59" s="8">
        <f>3150*16</f>
        <v>50400</v>
      </c>
      <c r="I59" s="11">
        <f t="shared" si="1"/>
        <v>13032</v>
      </c>
      <c r="J59" s="7">
        <f>3964.5*16</f>
        <v>63432</v>
      </c>
      <c r="K59" s="8">
        <f>3150*16</f>
        <v>50400</v>
      </c>
      <c r="L59" s="11">
        <f t="shared" si="2"/>
        <v>13032</v>
      </c>
      <c r="M59" s="7">
        <f t="shared" si="3"/>
        <v>190296</v>
      </c>
      <c r="N59" s="8">
        <f t="shared" si="4"/>
        <v>151200</v>
      </c>
      <c r="O59" s="11">
        <f t="shared" si="5"/>
        <v>39096</v>
      </c>
    </row>
    <row r="60" spans="1:15" x14ac:dyDescent="0.2">
      <c r="A60" t="s">
        <v>24</v>
      </c>
      <c r="B60" t="s">
        <v>13</v>
      </c>
      <c r="C60" t="s">
        <v>8</v>
      </c>
      <c r="D60" s="7">
        <f>7660*16</f>
        <v>122560</v>
      </c>
      <c r="E60" s="8">
        <f>(2691+3450)*16</f>
        <v>98256</v>
      </c>
      <c r="F60" s="11">
        <f t="shared" si="0"/>
        <v>24304</v>
      </c>
      <c r="G60" s="7">
        <f>7660*16</f>
        <v>122560</v>
      </c>
      <c r="H60" s="8">
        <f>(2691+3450)*16</f>
        <v>98256</v>
      </c>
      <c r="I60" s="11">
        <f t="shared" si="1"/>
        <v>24304</v>
      </c>
      <c r="J60" s="7">
        <f>7660*16</f>
        <v>122560</v>
      </c>
      <c r="K60" s="8">
        <f>(2691+3450)*16</f>
        <v>98256</v>
      </c>
      <c r="L60" s="11">
        <f t="shared" si="2"/>
        <v>24304</v>
      </c>
      <c r="M60" s="7">
        <f t="shared" si="3"/>
        <v>367680</v>
      </c>
      <c r="N60" s="8">
        <f t="shared" si="4"/>
        <v>294768</v>
      </c>
      <c r="O60" s="11">
        <f t="shared" si="5"/>
        <v>72912</v>
      </c>
    </row>
    <row r="61" spans="1:15" ht="5.25" customHeight="1" x14ac:dyDescent="0.2">
      <c r="D61" s="7"/>
      <c r="E61" s="8"/>
      <c r="F61" s="11"/>
      <c r="G61" s="7"/>
      <c r="H61" s="8"/>
      <c r="I61" s="11"/>
      <c r="J61" s="7"/>
      <c r="K61" s="8"/>
      <c r="L61" s="11"/>
      <c r="M61" s="7"/>
      <c r="N61" s="8"/>
      <c r="O61" s="11"/>
    </row>
    <row r="62" spans="1:15" x14ac:dyDescent="0.2">
      <c r="A62" s="12" t="s">
        <v>24</v>
      </c>
      <c r="B62" s="1" t="s">
        <v>5</v>
      </c>
      <c r="D62" s="13">
        <f>SUM(D58:D60)</f>
        <v>240512</v>
      </c>
      <c r="E62" s="14">
        <f t="shared" ref="E62:O62" si="13">SUM(E58:E60)</f>
        <v>212688</v>
      </c>
      <c r="F62" s="15">
        <f t="shared" si="13"/>
        <v>27824</v>
      </c>
      <c r="G62" s="13">
        <f t="shared" si="13"/>
        <v>240512</v>
      </c>
      <c r="H62" s="14">
        <f t="shared" si="13"/>
        <v>212688</v>
      </c>
      <c r="I62" s="15">
        <f t="shared" si="13"/>
        <v>27824</v>
      </c>
      <c r="J62" s="13">
        <f t="shared" si="13"/>
        <v>240512</v>
      </c>
      <c r="K62" s="14">
        <f t="shared" si="13"/>
        <v>212688</v>
      </c>
      <c r="L62" s="15">
        <f t="shared" si="13"/>
        <v>27824</v>
      </c>
      <c r="M62" s="13">
        <f t="shared" si="13"/>
        <v>721536</v>
      </c>
      <c r="N62" s="14">
        <f t="shared" si="13"/>
        <v>638064</v>
      </c>
      <c r="O62" s="15">
        <f t="shared" si="13"/>
        <v>83472</v>
      </c>
    </row>
    <row r="63" spans="1:15" x14ac:dyDescent="0.2">
      <c r="D63" s="7"/>
      <c r="E63" s="8"/>
      <c r="F63" s="11"/>
      <c r="G63" s="7"/>
      <c r="H63" s="8"/>
      <c r="I63" s="11"/>
      <c r="J63" s="7"/>
      <c r="K63" s="8"/>
      <c r="L63" s="11"/>
      <c r="M63" s="7"/>
      <c r="N63" s="8"/>
      <c r="O63" s="11"/>
    </row>
    <row r="64" spans="1:15" x14ac:dyDescent="0.2">
      <c r="A64" t="s">
        <v>25</v>
      </c>
      <c r="B64" t="s">
        <v>13</v>
      </c>
      <c r="C64" t="s">
        <v>8</v>
      </c>
      <c r="D64" s="7">
        <f>4225*16</f>
        <v>67600</v>
      </c>
      <c r="E64" s="8">
        <f>(2087.5+1150)*16</f>
        <v>51800</v>
      </c>
      <c r="F64" s="11">
        <f t="shared" si="0"/>
        <v>15800</v>
      </c>
      <c r="G64" s="7">
        <f>4225*16</f>
        <v>67600</v>
      </c>
      <c r="H64" s="8">
        <f>(2087.5+1150)*16</f>
        <v>51800</v>
      </c>
      <c r="I64" s="11">
        <f t="shared" si="1"/>
        <v>15800</v>
      </c>
      <c r="J64" s="7">
        <f>4225*16</f>
        <v>67600</v>
      </c>
      <c r="K64" s="8">
        <f>(2087.5+1150)*16</f>
        <v>51800</v>
      </c>
      <c r="L64" s="11">
        <f t="shared" si="2"/>
        <v>15800</v>
      </c>
      <c r="M64" s="7">
        <f t="shared" si="3"/>
        <v>202800</v>
      </c>
      <c r="N64" s="8">
        <f t="shared" si="4"/>
        <v>155400</v>
      </c>
      <c r="O64" s="11">
        <f t="shared" si="5"/>
        <v>47400</v>
      </c>
    </row>
    <row r="65" spans="1:15" x14ac:dyDescent="0.2">
      <c r="D65" s="7"/>
      <c r="E65" s="8"/>
      <c r="F65" s="11"/>
      <c r="G65" s="7"/>
      <c r="H65" s="8"/>
      <c r="I65" s="11"/>
      <c r="J65" s="7"/>
      <c r="K65" s="8"/>
      <c r="L65" s="11"/>
      <c r="M65" s="7"/>
      <c r="N65" s="8"/>
      <c r="O65" s="11"/>
    </row>
    <row r="66" spans="1:15" x14ac:dyDescent="0.2">
      <c r="A66" t="s">
        <v>26</v>
      </c>
      <c r="B66" t="s">
        <v>13</v>
      </c>
      <c r="C66" t="s">
        <v>8</v>
      </c>
      <c r="D66" s="7">
        <f>(2125+5750)*16</f>
        <v>126000</v>
      </c>
      <c r="E66" s="8">
        <f>8178*16</f>
        <v>130848</v>
      </c>
      <c r="F66" s="11">
        <f t="shared" si="0"/>
        <v>-4848</v>
      </c>
      <c r="G66" s="7">
        <f>(2125+5750)*16</f>
        <v>126000</v>
      </c>
      <c r="H66" s="8">
        <f>8178*16</f>
        <v>130848</v>
      </c>
      <c r="I66" s="11">
        <f t="shared" si="1"/>
        <v>-4848</v>
      </c>
      <c r="J66" s="7">
        <f>(2125+5750)*16</f>
        <v>126000</v>
      </c>
      <c r="K66" s="8">
        <f>8178*16</f>
        <v>130848</v>
      </c>
      <c r="L66" s="11">
        <f t="shared" si="2"/>
        <v>-4848</v>
      </c>
      <c r="M66" s="7">
        <f t="shared" si="3"/>
        <v>378000</v>
      </c>
      <c r="N66" s="8">
        <f t="shared" si="4"/>
        <v>392544</v>
      </c>
      <c r="O66" s="11">
        <f t="shared" si="5"/>
        <v>-14544</v>
      </c>
    </row>
    <row r="67" spans="1:15" x14ac:dyDescent="0.2">
      <c r="D67" s="7"/>
      <c r="E67" s="8"/>
      <c r="F67" s="11"/>
      <c r="G67" s="7"/>
      <c r="H67" s="8"/>
      <c r="I67" s="11"/>
      <c r="J67" s="7"/>
      <c r="K67" s="8"/>
      <c r="L67" s="11"/>
      <c r="M67" s="7"/>
      <c r="N67" s="8"/>
      <c r="O67" s="11"/>
    </row>
    <row r="68" spans="1:15" x14ac:dyDescent="0.2">
      <c r="A68" t="s">
        <v>27</v>
      </c>
      <c r="B68" t="s">
        <v>13</v>
      </c>
      <c r="C68" t="s">
        <v>9</v>
      </c>
      <c r="D68" s="7">
        <f>900*8</f>
        <v>7200</v>
      </c>
      <c r="E68" s="8">
        <f>762.5*8</f>
        <v>6100</v>
      </c>
      <c r="F68" s="11">
        <f t="shared" si="0"/>
        <v>1100</v>
      </c>
      <c r="G68" s="7">
        <f>900*8</f>
        <v>7200</v>
      </c>
      <c r="H68" s="8">
        <f>762.5*8</f>
        <v>6100</v>
      </c>
      <c r="I68" s="11">
        <f t="shared" si="1"/>
        <v>1100</v>
      </c>
      <c r="J68" s="7">
        <f>900*8</f>
        <v>7200</v>
      </c>
      <c r="K68" s="8">
        <f>762.5*8</f>
        <v>6100</v>
      </c>
      <c r="L68" s="11">
        <f t="shared" si="2"/>
        <v>1100</v>
      </c>
      <c r="M68" s="7">
        <f t="shared" si="3"/>
        <v>21600</v>
      </c>
      <c r="N68" s="8">
        <f t="shared" si="4"/>
        <v>18300</v>
      </c>
      <c r="O68" s="11">
        <f t="shared" si="5"/>
        <v>3300</v>
      </c>
    </row>
    <row r="69" spans="1:15" x14ac:dyDescent="0.2">
      <c r="D69" s="7"/>
      <c r="E69" s="8"/>
      <c r="F69" s="11"/>
      <c r="G69" s="7"/>
      <c r="H69" s="8"/>
      <c r="I69" s="11"/>
      <c r="J69" s="7"/>
      <c r="K69" s="8"/>
      <c r="L69" s="11"/>
      <c r="M69" s="7"/>
      <c r="N69" s="8"/>
      <c r="O69" s="11"/>
    </row>
    <row r="70" spans="1:15" ht="13.5" thickBot="1" x14ac:dyDescent="0.25">
      <c r="A70" s="1" t="s">
        <v>5</v>
      </c>
      <c r="D70" s="34">
        <f>D12+D19+D24+D30+D36+D38+D40+D47+D56+D62+D64+D66+D68</f>
        <v>6829941.2000000002</v>
      </c>
      <c r="E70" s="16">
        <f t="shared" ref="E70:L70" si="14">E12+E19+E24+E30+E36+E38+E40+E47+E56+E62+E64+E66+E68</f>
        <v>6003292</v>
      </c>
      <c r="F70" s="17">
        <f t="shared" si="14"/>
        <v>826649.2</v>
      </c>
      <c r="G70" s="18">
        <f t="shared" si="14"/>
        <v>6829941.2000000002</v>
      </c>
      <c r="H70" s="16">
        <f t="shared" si="14"/>
        <v>6003292</v>
      </c>
      <c r="I70" s="17">
        <f t="shared" si="14"/>
        <v>826649.2</v>
      </c>
      <c r="J70" s="18">
        <f t="shared" si="14"/>
        <v>6829941.2000000002</v>
      </c>
      <c r="K70" s="16">
        <f t="shared" si="14"/>
        <v>6003292</v>
      </c>
      <c r="L70" s="17">
        <f t="shared" si="14"/>
        <v>826649.2</v>
      </c>
      <c r="M70" s="18">
        <f>M12+M19+M24+M30+M36+M38+M40+M47+M56+M62+M64+M66+M68</f>
        <v>20489823.600000001</v>
      </c>
      <c r="N70" s="16">
        <f>N12+N19+N24+N30+N36+N38+N40+N47+N56+N62+N64+N66+N68</f>
        <v>18009876</v>
      </c>
      <c r="O70" s="17">
        <f>O12+O19+O24+O30+O36+O38+O40+O47+O56+O62+O64+O66+O68</f>
        <v>2479947.6</v>
      </c>
    </row>
    <row r="71" spans="1:15" x14ac:dyDescent="0.2">
      <c r="D71" s="29"/>
      <c r="F71" s="23"/>
      <c r="I71" s="23"/>
      <c r="L71" s="23"/>
      <c r="O71" s="23"/>
    </row>
    <row r="72" spans="1:15" x14ac:dyDescent="0.2">
      <c r="D72" s="30"/>
      <c r="F72" s="24"/>
      <c r="I72" s="24"/>
      <c r="L72" s="24"/>
      <c r="O72" s="24"/>
    </row>
    <row r="73" spans="1:15" x14ac:dyDescent="0.2">
      <c r="A73" s="1" t="s">
        <v>31</v>
      </c>
      <c r="D73" s="31">
        <f>SUM(D6,D7,D14,D21,D22,D26)</f>
        <v>1701260</v>
      </c>
      <c r="E73" s="21">
        <f>SUM(E6,E7,E14,E21,E22,E26)</f>
        <v>1501824</v>
      </c>
      <c r="F73" s="25">
        <f>SUM(F6,F7,F14,F21,F22,F26)</f>
        <v>199436</v>
      </c>
      <c r="G73" s="21">
        <f t="shared" ref="G73:O73" si="15">SUM(G6,G7,G14,G21,G22,G26)</f>
        <v>1701260</v>
      </c>
      <c r="H73" s="21">
        <f t="shared" si="15"/>
        <v>1501824</v>
      </c>
      <c r="I73" s="25">
        <f t="shared" si="15"/>
        <v>199436</v>
      </c>
      <c r="J73" s="21">
        <f t="shared" si="15"/>
        <v>1701260</v>
      </c>
      <c r="K73" s="21">
        <f t="shared" si="15"/>
        <v>1501824</v>
      </c>
      <c r="L73" s="25">
        <f t="shared" si="15"/>
        <v>199436</v>
      </c>
      <c r="M73" s="41">
        <f t="shared" si="15"/>
        <v>5103780</v>
      </c>
      <c r="N73" s="41">
        <f t="shared" si="15"/>
        <v>4505472</v>
      </c>
      <c r="O73" s="42">
        <f t="shared" si="15"/>
        <v>598308</v>
      </c>
    </row>
    <row r="74" spans="1:15" x14ac:dyDescent="0.2">
      <c r="A74" s="1" t="s">
        <v>32</v>
      </c>
      <c r="D74" s="31">
        <f>SUM(D10,D16,D17,D27,D28,D38,D40)</f>
        <v>2285957.2000000002</v>
      </c>
      <c r="E74" s="21">
        <f>SUM(E10,E16,E17,E27,E28,E38,E40)</f>
        <v>1829896</v>
      </c>
      <c r="F74" s="25">
        <f>SUM(F10,F16,F17,F27,F28,F38,F40)</f>
        <v>456061.2</v>
      </c>
      <c r="G74" s="21">
        <f t="shared" ref="G74:O74" si="16">SUM(G10,G16,G17,G27,G28,G38,G40)</f>
        <v>2285957.2000000002</v>
      </c>
      <c r="H74" s="21">
        <f t="shared" si="16"/>
        <v>1829896</v>
      </c>
      <c r="I74" s="25">
        <f t="shared" si="16"/>
        <v>456061.2</v>
      </c>
      <c r="J74" s="21">
        <f t="shared" si="16"/>
        <v>2285957.2000000002</v>
      </c>
      <c r="K74" s="21">
        <f t="shared" si="16"/>
        <v>1829896</v>
      </c>
      <c r="L74" s="25">
        <f t="shared" si="16"/>
        <v>456061.2</v>
      </c>
      <c r="M74" s="41">
        <f t="shared" si="16"/>
        <v>6857871.5999999996</v>
      </c>
      <c r="N74" s="41">
        <f t="shared" si="16"/>
        <v>5489688</v>
      </c>
      <c r="O74" s="42">
        <f t="shared" si="16"/>
        <v>1368183.6</v>
      </c>
    </row>
    <row r="75" spans="1:15" x14ac:dyDescent="0.2">
      <c r="A75" s="1" t="s">
        <v>36</v>
      </c>
      <c r="D75" s="32">
        <f>SUM(D8,D9,D15,D32,D33,D34,D42,D43,D44,D45,D49,D51,D52,D53,D54,D58,D59,D60,D64,D66,D68)</f>
        <v>2842724</v>
      </c>
      <c r="E75" s="22">
        <f>SUM(E8,E9,E15,E32,E33,E34,E42,E43,E44,E45,E49,E51,E52,E53,E54,E58,E59,E60,E64,E66,E68)</f>
        <v>2671572</v>
      </c>
      <c r="F75" s="26">
        <f>SUM(F8,F9,F15,F32,F33,F34,F42,F43,F44,F45,F49,F51,F52,F53,F54,F58,F59,F60,F64,F66,F68)</f>
        <v>171152</v>
      </c>
      <c r="G75" s="22">
        <f>SUM(G8,G9,G15,G32,G33,G34,G42,G43,G44,G45,G49,G51,G52,G53,G54,G58,G59,G60,G64,G66,G68)</f>
        <v>2842724</v>
      </c>
      <c r="H75" s="22">
        <f t="shared" ref="H75:O75" si="17">SUM(H8,H9,H15,H32,H33,H34,H42,H43,H44,H45,H49,H51,H52,H53,H54,H58,H59,H60,H64,H66,H68)</f>
        <v>2671572</v>
      </c>
      <c r="I75" s="26">
        <f t="shared" si="17"/>
        <v>171152</v>
      </c>
      <c r="J75" s="22">
        <f t="shared" si="17"/>
        <v>2842724</v>
      </c>
      <c r="K75" s="22">
        <f t="shared" si="17"/>
        <v>2671572</v>
      </c>
      <c r="L75" s="26">
        <f t="shared" si="17"/>
        <v>171152</v>
      </c>
      <c r="M75" s="22">
        <f t="shared" si="17"/>
        <v>8528172</v>
      </c>
      <c r="N75" s="22">
        <f t="shared" si="17"/>
        <v>8014716</v>
      </c>
      <c r="O75" s="26">
        <f t="shared" si="17"/>
        <v>513456</v>
      </c>
    </row>
    <row r="76" spans="1:15" ht="13.5" thickBot="1" x14ac:dyDescent="0.25">
      <c r="A76" s="1" t="s">
        <v>34</v>
      </c>
      <c r="D76" s="33">
        <f t="shared" ref="D76:O76" si="18">SUM(D73:D75)</f>
        <v>6829941.2000000002</v>
      </c>
      <c r="E76" s="27">
        <f t="shared" si="18"/>
        <v>6003292</v>
      </c>
      <c r="F76" s="28">
        <f t="shared" si="18"/>
        <v>826649.2</v>
      </c>
      <c r="G76" s="27">
        <f t="shared" si="18"/>
        <v>6829941.2000000002</v>
      </c>
      <c r="H76" s="27">
        <f t="shared" si="18"/>
        <v>6003292</v>
      </c>
      <c r="I76" s="28">
        <f t="shared" si="18"/>
        <v>826649.2</v>
      </c>
      <c r="J76" s="27">
        <f t="shared" si="18"/>
        <v>6829941.2000000002</v>
      </c>
      <c r="K76" s="27">
        <f t="shared" si="18"/>
        <v>6003292</v>
      </c>
      <c r="L76" s="28">
        <f t="shared" si="18"/>
        <v>826649.2</v>
      </c>
      <c r="M76" s="27">
        <f t="shared" si="18"/>
        <v>20489823.600000001</v>
      </c>
      <c r="N76" s="27">
        <f t="shared" si="18"/>
        <v>18009876</v>
      </c>
      <c r="O76" s="28">
        <f t="shared" si="18"/>
        <v>2479947.6</v>
      </c>
    </row>
    <row r="78" spans="1:15" s="1" customFormat="1" x14ac:dyDescent="0.2">
      <c r="A78" s="1" t="s">
        <v>33</v>
      </c>
      <c r="D78" s="35">
        <f>D75-D66-D45-D44-D43-D42</f>
        <v>2002348</v>
      </c>
      <c r="E78" s="36">
        <f>E75-E66-E45-E44-E43-E42</f>
        <v>1761660</v>
      </c>
      <c r="F78" s="37">
        <f>D78-E78</f>
        <v>240688</v>
      </c>
      <c r="G78" s="35">
        <f>G75-G66-G45-G44-G43-G42</f>
        <v>2002348</v>
      </c>
      <c r="H78" s="36">
        <f>H75-H66-H45-H44-H43-H42</f>
        <v>1761660</v>
      </c>
      <c r="I78" s="37">
        <f>G78-H78</f>
        <v>240688</v>
      </c>
      <c r="J78" s="35">
        <f>J75-J66-J45-J44-J43-J42</f>
        <v>2002348</v>
      </c>
      <c r="K78" s="36">
        <f>K75-K66-K45-K44-K43-K42</f>
        <v>1761660</v>
      </c>
      <c r="L78" s="37">
        <f>J78-K78</f>
        <v>240688</v>
      </c>
      <c r="M78" s="38">
        <f>M75-M66-M45-M44-M43-M42</f>
        <v>6007044</v>
      </c>
      <c r="N78" s="39">
        <f>N75-N66-N45-N44-N43-N42</f>
        <v>5284980</v>
      </c>
      <c r="O78" s="40">
        <f>M78-N78</f>
        <v>722064</v>
      </c>
    </row>
    <row r="79" spans="1:15" s="1" customFormat="1" x14ac:dyDescent="0.2">
      <c r="A79" s="47" t="s">
        <v>35</v>
      </c>
      <c r="B79" s="46"/>
      <c r="C79" s="46"/>
      <c r="D79" s="35">
        <f>D73+D74+D78</f>
        <v>5989565.2000000002</v>
      </c>
      <c r="E79" s="36">
        <f t="shared" ref="E79:O79" si="19">E73+E74+E78</f>
        <v>5093380</v>
      </c>
      <c r="F79" s="37">
        <f t="shared" si="19"/>
        <v>896185.2</v>
      </c>
      <c r="G79" s="35">
        <f t="shared" si="19"/>
        <v>5989565.2000000002</v>
      </c>
      <c r="H79" s="36">
        <f t="shared" si="19"/>
        <v>5093380</v>
      </c>
      <c r="I79" s="37">
        <f t="shared" si="19"/>
        <v>896185.2</v>
      </c>
      <c r="J79" s="35">
        <f t="shared" si="19"/>
        <v>5989565.2000000002</v>
      </c>
      <c r="K79" s="36">
        <f t="shared" si="19"/>
        <v>5093380</v>
      </c>
      <c r="L79" s="37">
        <f t="shared" si="19"/>
        <v>896185.2</v>
      </c>
      <c r="M79" s="43">
        <f t="shared" si="19"/>
        <v>17968695.600000001</v>
      </c>
      <c r="N79" s="44">
        <f t="shared" si="19"/>
        <v>15280140</v>
      </c>
      <c r="O79" s="45">
        <f t="shared" si="19"/>
        <v>2688555.6</v>
      </c>
    </row>
  </sheetData>
  <phoneticPr fontId="0" type="noConversion"/>
  <pageMargins left="0.5" right="0.5" top="1" bottom="1" header="0.5" footer="0.5"/>
  <pageSetup scale="5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East Power - December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Felienne</cp:lastModifiedBy>
  <cp:lastPrinted>2001-12-24T17:08:05Z</cp:lastPrinted>
  <dcterms:created xsi:type="dcterms:W3CDTF">2001-12-22T14:40:23Z</dcterms:created>
  <dcterms:modified xsi:type="dcterms:W3CDTF">2014-09-03T15:31:28Z</dcterms:modified>
</cp:coreProperties>
</file>