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269"/>
  </bookViews>
  <sheets>
    <sheet name="SOCO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F35" i="1"/>
  <c r="G35" i="1" s="1"/>
  <c r="I35" i="1"/>
  <c r="I42" i="1" s="1"/>
  <c r="J35" i="1"/>
  <c r="O35" i="1" s="1"/>
  <c r="O36" i="1" s="1"/>
  <c r="O37" i="1" s="1"/>
  <c r="O38" i="1" s="1"/>
  <c r="O39" i="1" s="1"/>
  <c r="O40" i="1" s="1"/>
  <c r="O41" i="1" s="1"/>
  <c r="M35" i="1"/>
  <c r="N35" i="1"/>
  <c r="P35" i="1"/>
  <c r="F36" i="1"/>
  <c r="I36" i="1"/>
  <c r="J36" i="1" s="1"/>
  <c r="M36" i="1"/>
  <c r="N36" i="1"/>
  <c r="P36" i="1"/>
  <c r="F37" i="1"/>
  <c r="G37" i="1"/>
  <c r="I37" i="1"/>
  <c r="J37" i="1"/>
  <c r="L37" i="1"/>
  <c r="M37" i="1" s="1"/>
  <c r="P37" i="1"/>
  <c r="P38" i="1" s="1"/>
  <c r="P39" i="1" s="1"/>
  <c r="P40" i="1" s="1"/>
  <c r="P41" i="1" s="1"/>
  <c r="F38" i="1"/>
  <c r="I38" i="1"/>
  <c r="J38" i="1"/>
  <c r="M38" i="1"/>
  <c r="N38" i="1"/>
  <c r="F39" i="1"/>
  <c r="G39" i="1" s="1"/>
  <c r="I39" i="1"/>
  <c r="J39" i="1" s="1"/>
  <c r="M39" i="1"/>
  <c r="N39" i="1"/>
  <c r="F40" i="1"/>
  <c r="I40" i="1"/>
  <c r="J40" i="1"/>
  <c r="M40" i="1"/>
  <c r="N40" i="1"/>
  <c r="F41" i="1"/>
  <c r="G41" i="1" s="1"/>
  <c r="I41" i="1"/>
  <c r="J41" i="1"/>
  <c r="M41" i="1"/>
  <c r="N41" i="1"/>
  <c r="D42" i="1"/>
  <c r="E42" i="1"/>
  <c r="F42" i="1"/>
  <c r="G38" i="1" s="1"/>
  <c r="H42" i="1"/>
  <c r="G47" i="1"/>
  <c r="D48" i="1"/>
  <c r="D51" i="1" s="1"/>
  <c r="E48" i="1"/>
  <c r="E51" i="1" s="1"/>
  <c r="G48" i="1"/>
  <c r="G49" i="1"/>
  <c r="G50" i="1"/>
  <c r="F51" i="1"/>
  <c r="D52" i="1"/>
  <c r="G52" i="1"/>
  <c r="D53" i="1"/>
  <c r="E53" i="1"/>
  <c r="F53" i="1"/>
  <c r="F56" i="1" s="1"/>
  <c r="F62" i="1" s="1"/>
  <c r="G53" i="1"/>
  <c r="G54" i="1"/>
  <c r="G55" i="1"/>
  <c r="D56" i="1"/>
  <c r="E56" i="1"/>
  <c r="G57" i="1"/>
  <c r="D58" i="1"/>
  <c r="G58" i="1" s="1"/>
  <c r="G59" i="1"/>
  <c r="D61" i="1"/>
  <c r="G61" i="1" s="1"/>
  <c r="E61" i="1"/>
  <c r="F61" i="1"/>
  <c r="J65" i="1"/>
  <c r="J66" i="1"/>
  <c r="J67" i="1"/>
  <c r="J68" i="1"/>
  <c r="J69" i="1"/>
  <c r="E73" i="1"/>
  <c r="E74" i="1"/>
  <c r="E75" i="1"/>
  <c r="E76" i="1"/>
  <c r="E77" i="1"/>
  <c r="K38" i="1" l="1"/>
  <c r="G51" i="1"/>
  <c r="G56" i="1"/>
  <c r="K37" i="1"/>
  <c r="E62" i="1"/>
  <c r="K35" i="1"/>
  <c r="G36" i="1"/>
  <c r="G42" i="1" s="1"/>
  <c r="N37" i="1"/>
  <c r="D62" i="1"/>
  <c r="J42" i="1"/>
  <c r="G40" i="1"/>
  <c r="K40" i="1" l="1"/>
  <c r="K41" i="1"/>
  <c r="K36" i="1"/>
  <c r="G62" i="1"/>
  <c r="K39" i="1"/>
  <c r="K42" i="1" s="1"/>
</calcChain>
</file>

<file path=xl/comments1.xml><?xml version="1.0" encoding="utf-8"?>
<comments xmlns="http://schemas.openxmlformats.org/spreadsheetml/2006/main">
  <authors>
    <author>mcarson2</author>
  </authors>
  <commentList>
    <comment ref="L37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$/ton
12,000 btu content big sandy NYMEX Coal + T&amp;H
Conversion factor:
$ coal/24= $mmbtu</t>
        </r>
      </text>
    </comment>
    <comment ref="L38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39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40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Gulf Coast Resid
Quoted in $/Bl.  Conversion is
$FO6*6.306=$/mmbtu
</t>
        </r>
      </text>
    </comment>
    <comment ref="L41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quoted in Cents/Gal, 42 Gal per Bl.  Coversion is $FO2*7.17 = $/mmbtu</t>
        </r>
      </text>
    </comment>
  </commentList>
</comments>
</file>

<file path=xl/sharedStrings.xml><?xml version="1.0" encoding="utf-8"?>
<sst xmlns="http://schemas.openxmlformats.org/spreadsheetml/2006/main" count="133" uniqueCount="106">
  <si>
    <t>SOCO</t>
  </si>
  <si>
    <t>Fuel Type</t>
  </si>
  <si>
    <t>Hydro</t>
  </si>
  <si>
    <t>Nuke</t>
  </si>
  <si>
    <t>Coal</t>
  </si>
  <si>
    <t>NG-CC</t>
  </si>
  <si>
    <t>NG-CT</t>
  </si>
  <si>
    <t>HeatRate</t>
  </si>
  <si>
    <t>Winter</t>
  </si>
  <si>
    <t>Cap</t>
  </si>
  <si>
    <t>Summer</t>
  </si>
  <si>
    <t>New</t>
  </si>
  <si>
    <t>Total</t>
  </si>
  <si>
    <t>%</t>
  </si>
  <si>
    <t>Fuel</t>
  </si>
  <si>
    <t>Cost</t>
  </si>
  <si>
    <t>MW(h)</t>
  </si>
  <si>
    <t>MW</t>
  </si>
  <si>
    <t>Increm</t>
  </si>
  <si>
    <t>FO2-HO</t>
  </si>
  <si>
    <t>FO6-Resid</t>
  </si>
  <si>
    <t>$</t>
  </si>
  <si>
    <t>mmbtu</t>
  </si>
  <si>
    <t>Capacity Additions</t>
  </si>
  <si>
    <t>Gas-CC</t>
  </si>
  <si>
    <t>Gas-CT</t>
  </si>
  <si>
    <t>Totals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</si>
  <si>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</si>
  <si>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</si>
  <si>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</si>
  <si>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</si>
  <si>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</si>
  <si>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</si>
  <si>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</si>
  <si>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</si>
  <si>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</si>
  <si>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</si>
  <si>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</si>
  <si>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</si>
  <si>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</si>
  <si>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</si>
  <si>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</si>
  <si>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</si>
  <si>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</si>
  <si>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</si>
  <si>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</si>
  <si>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</si>
  <si>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</si>
  <si>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</si>
  <si>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</si>
  <si>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</si>
  <si>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</si>
  <si>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</si>
  <si>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Cogen</t>
  </si>
  <si>
    <t>*** SOCO has 1500MW of COGEN which could switch to the GRID if prices permit</t>
  </si>
  <si>
    <t>16 hr Peak</t>
  </si>
  <si>
    <t>Avg.</t>
  </si>
  <si>
    <t>Peak Range</t>
  </si>
  <si>
    <t>Max</t>
  </si>
  <si>
    <t>Min</t>
  </si>
  <si>
    <t>Outages</t>
  </si>
  <si>
    <t>Geograhic Boundary:</t>
  </si>
  <si>
    <t>Fuel Sources:</t>
  </si>
  <si>
    <t>Appalachia</t>
  </si>
  <si>
    <t>Ill Basin</t>
  </si>
  <si>
    <t>Other</t>
  </si>
  <si>
    <t>Imports</t>
  </si>
  <si>
    <t>MS T&amp;H</t>
  </si>
  <si>
    <t>GA T&amp;H</t>
  </si>
  <si>
    <t>AL/FL T&amp;H</t>
  </si>
  <si>
    <t>COAL</t>
  </si>
  <si>
    <t>BTU Content</t>
  </si>
  <si>
    <t>Conversion</t>
  </si>
  <si>
    <t>Natural Gas</t>
  </si>
  <si>
    <t>FO2/FO6</t>
  </si>
  <si>
    <t>FO2(HO) is quoted in Cents/Gallon, conversion is 7.17</t>
  </si>
  <si>
    <t>S. PRB</t>
  </si>
  <si>
    <t>Load Mix:</t>
  </si>
  <si>
    <t>Marginal</t>
  </si>
  <si>
    <t>Stack/Outages:</t>
  </si>
  <si>
    <t>Seasonal</t>
  </si>
  <si>
    <t>Interch</t>
  </si>
  <si>
    <t>Src/Snk</t>
  </si>
  <si>
    <t>Top 5 Utes:</t>
  </si>
  <si>
    <t>Ala Pwr Co.</t>
  </si>
  <si>
    <t>FO6</t>
  </si>
  <si>
    <t>FO2</t>
  </si>
  <si>
    <t>Georgia Pwr</t>
  </si>
  <si>
    <t>Southern Nuclear</t>
  </si>
  <si>
    <t>Miss Pwr Co.</t>
  </si>
  <si>
    <t>Gulf Pwr Co.</t>
  </si>
  <si>
    <t>Top 5 Merchant(EOY '02):</t>
  </si>
  <si>
    <t>Tenaska</t>
  </si>
  <si>
    <t>Duke</t>
  </si>
  <si>
    <t>El Paso</t>
  </si>
  <si>
    <t>Dynegy</t>
  </si>
  <si>
    <t>Morgan Stanley</t>
  </si>
  <si>
    <t>FO6(resid) is qouted in $/Bl, conversion is .1586</t>
  </si>
  <si>
    <t>SE Mississippi, Alabama, Georgia, &amp; Florida panhandle</t>
  </si>
  <si>
    <t>Seasonal Demand/Outages</t>
  </si>
  <si>
    <t>Southern Co., the main ute pulls off of SONAT which historically trades -.02 to Henry hub</t>
  </si>
  <si>
    <t>Use Gulf Coast Resid and Heating Oil prices, with minimal variable costs</t>
  </si>
  <si>
    <t>% Delivered</t>
  </si>
  <si>
    <t>TOTAL</t>
  </si>
  <si>
    <t>*Normal</t>
  </si>
  <si>
    <t>*Outages include 5% forced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</si>
</sst>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70" formatCode="0.0000"/>
    <numFmt numFmtId="176" formatCode="0.00000"/>
    <numFmt numFmtId="177" formatCode="m/d/yy"/>
  </numFmts>
  <fonts count="13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  <font>
      <sz val="7"/>
      <name val="Arial"/>
      <family val="2"/>
    </font>
    <font>
      <sz val="7"/>
      <color indexed="12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9" fontId="7" fillId="0" borderId="0" xfId="2" applyFont="1" applyBorder="1" applyAlignment="1">
      <alignment horizontal="center"/>
    </xf>
    <xf numFmtId="9" fontId="4" fillId="0" borderId="0" xfId="2" applyFont="1" applyBorder="1"/>
    <xf numFmtId="170" fontId="7" fillId="0" borderId="0" xfId="0" applyNumberFormat="1" applyFont="1"/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1" fontId="7" fillId="0" borderId="9" xfId="0" applyNumberFormat="1" applyFont="1" applyBorder="1"/>
    <xf numFmtId="1" fontId="7" fillId="0" borderId="10" xfId="0" applyNumberFormat="1" applyFont="1" applyBorder="1"/>
    <xf numFmtId="1" fontId="7" fillId="0" borderId="12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9" fontId="4" fillId="0" borderId="0" xfId="2" applyFont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14" fontId="4" fillId="0" borderId="0" xfId="0" applyNumberFormat="1" applyFont="1"/>
    <xf numFmtId="177" fontId="7" fillId="0" borderId="0" xfId="0" applyNumberFormat="1" applyFont="1"/>
    <xf numFmtId="0" fontId="4" fillId="0" borderId="0" xfId="0" applyNumberFormat="1" applyFont="1"/>
    <xf numFmtId="0" fontId="5" fillId="0" borderId="1" xfId="0" applyFont="1" applyBorder="1"/>
    <xf numFmtId="0" fontId="6" fillId="0" borderId="2" xfId="0" applyFont="1" applyBorder="1"/>
    <xf numFmtId="0" fontId="5" fillId="0" borderId="13" xfId="0" applyFont="1" applyBorder="1"/>
    <xf numFmtId="0" fontId="5" fillId="0" borderId="3" xfId="0" applyFont="1" applyBorder="1"/>
    <xf numFmtId="0" fontId="6" fillId="0" borderId="0" xfId="0" applyFont="1" applyBorder="1"/>
    <xf numFmtId="0" fontId="5" fillId="0" borderId="14" xfId="0" applyFont="1" applyBorder="1"/>
    <xf numFmtId="0" fontId="5" fillId="0" borderId="4" xfId="0" applyFont="1" applyBorder="1"/>
    <xf numFmtId="0" fontId="6" fillId="0" borderId="5" xfId="0" applyFont="1" applyBorder="1"/>
    <xf numFmtId="0" fontId="5" fillId="0" borderId="15" xfId="0" applyFont="1" applyBorder="1"/>
    <xf numFmtId="0" fontId="5" fillId="0" borderId="0" xfId="0" applyFont="1" applyBorder="1"/>
    <xf numFmtId="0" fontId="5" fillId="0" borderId="2" xfId="0" applyFont="1" applyBorder="1"/>
    <xf numFmtId="9" fontId="5" fillId="0" borderId="13" xfId="2" applyFont="1" applyBorder="1"/>
    <xf numFmtId="9" fontId="5" fillId="0" borderId="14" xfId="2" applyFont="1" applyBorder="1"/>
    <xf numFmtId="0" fontId="5" fillId="0" borderId="5" xfId="0" applyFont="1" applyBorder="1"/>
    <xf numFmtId="9" fontId="5" fillId="0" borderId="15" xfId="2" applyFont="1" applyBorder="1"/>
    <xf numFmtId="166" fontId="6" fillId="0" borderId="1" xfId="1" applyNumberFormat="1" applyFont="1" applyBorder="1"/>
    <xf numFmtId="166" fontId="5" fillId="0" borderId="2" xfId="1" applyNumberFormat="1" applyFont="1" applyBorder="1"/>
    <xf numFmtId="44" fontId="5" fillId="0" borderId="13" xfId="1" applyFont="1" applyBorder="1"/>
    <xf numFmtId="166" fontId="6" fillId="0" borderId="3" xfId="1" applyNumberFormat="1" applyFont="1" applyBorder="1"/>
    <xf numFmtId="166" fontId="5" fillId="0" borderId="0" xfId="1" applyNumberFormat="1" applyFont="1" applyBorder="1"/>
    <xf numFmtId="44" fontId="5" fillId="0" borderId="14" xfId="1" applyFont="1" applyBorder="1"/>
    <xf numFmtId="166" fontId="6" fillId="0" borderId="4" xfId="1" applyNumberFormat="1" applyFont="1" applyBorder="1"/>
    <xf numFmtId="166" fontId="5" fillId="0" borderId="5" xfId="1" applyNumberFormat="1" applyFont="1" applyBorder="1"/>
    <xf numFmtId="44" fontId="5" fillId="0" borderId="15" xfId="1" applyFont="1" applyBorder="1"/>
    <xf numFmtId="0" fontId="12" fillId="0" borderId="0" xfId="0" applyFont="1"/>
    <xf numFmtId="44" fontId="7" fillId="0" borderId="1" xfId="1" applyFont="1" applyBorder="1"/>
    <xf numFmtId="44" fontId="7" fillId="0" borderId="2" xfId="1" applyFont="1" applyBorder="1"/>
    <xf numFmtId="44" fontId="7" fillId="0" borderId="3" xfId="1" applyFont="1" applyBorder="1"/>
    <xf numFmtId="44" fontId="7" fillId="0" borderId="0" xfId="1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76" fontId="7" fillId="0" borderId="7" xfId="0" applyNumberFormat="1" applyFont="1" applyBorder="1"/>
    <xf numFmtId="9" fontId="7" fillId="0" borderId="4" xfId="2" applyFont="1" applyBorder="1"/>
    <xf numFmtId="9" fontId="7" fillId="0" borderId="5" xfId="2" applyFont="1" applyBorder="1"/>
    <xf numFmtId="9" fontId="7" fillId="0" borderId="15" xfId="2" applyFont="1" applyBorder="1"/>
    <xf numFmtId="0" fontId="4" fillId="0" borderId="11" xfId="0" applyFont="1" applyFill="1" applyBorder="1"/>
    <xf numFmtId="176" fontId="7" fillId="0" borderId="6" xfId="0" applyNumberFormat="1" applyFont="1" applyBorder="1"/>
    <xf numFmtId="1" fontId="0" fillId="0" borderId="0" xfId="0" applyNumberFormat="1"/>
    <xf numFmtId="0" fontId="4" fillId="0" borderId="0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31" workbookViewId="0">
      <selection activeCell="K43" sqref="K43"/>
    </sheetView>
  </sheetViews>
  <sheetFormatPr defaultRowHeight="12.75" x14ac:dyDescent="0.2"/>
  <cols>
    <col min="1" max="1" width="8.5703125" bestFit="1" customWidth="1"/>
    <col min="2" max="2" width="13.85546875" customWidth="1"/>
    <col min="3" max="3" width="10.7109375" customWidth="1"/>
    <col min="4" max="4" width="10" customWidth="1"/>
    <col min="5" max="5" width="8.7109375" customWidth="1"/>
    <col min="6" max="6" width="6.85546875" bestFit="1" customWidth="1"/>
    <col min="7" max="7" width="7.85546875" bestFit="1" customWidth="1"/>
    <col min="8" max="8" width="6.28515625" customWidth="1"/>
    <col min="10" max="10" width="8.42578125" customWidth="1"/>
    <col min="11" max="11" width="8.42578125" bestFit="1" customWidth="1"/>
    <col min="12" max="12" width="7" customWidth="1"/>
    <col min="13" max="13" width="8" bestFit="1" customWidth="1"/>
    <col min="14" max="14" width="7.85546875" bestFit="1" customWidth="1"/>
    <col min="15" max="15" width="6.5703125" bestFit="1" customWidth="1"/>
  </cols>
  <sheetData>
    <row r="1" spans="1:16" ht="15.75" x14ac:dyDescent="0.25">
      <c r="A1" s="41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16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6" x14ac:dyDescent="0.2">
      <c r="A4" s="1" t="s">
        <v>61</v>
      </c>
      <c r="B4" s="4"/>
      <c r="C4" s="4"/>
      <c r="D4" s="4" t="s">
        <v>98</v>
      </c>
      <c r="E4" s="4"/>
      <c r="F4" s="4"/>
      <c r="G4" s="4"/>
      <c r="H4" s="4"/>
      <c r="I4" s="4"/>
      <c r="J4" s="4"/>
      <c r="K4" s="4"/>
    </row>
    <row r="5" spans="1:16" x14ac:dyDescent="0.2">
      <c r="A5" s="1"/>
      <c r="B5" s="4"/>
      <c r="C5" s="4"/>
      <c r="D5" s="4"/>
      <c r="E5" s="4"/>
      <c r="F5" s="4"/>
      <c r="G5" s="4"/>
      <c r="H5" s="4"/>
      <c r="I5" s="4"/>
      <c r="J5" s="4"/>
      <c r="K5" s="4"/>
    </row>
    <row r="7" spans="1:16" x14ac:dyDescent="0.2">
      <c r="A7" s="1" t="s">
        <v>62</v>
      </c>
      <c r="B7" s="1"/>
    </row>
    <row r="8" spans="1:16" x14ac:dyDescent="0.2">
      <c r="A8" s="4"/>
      <c r="B8" s="4"/>
    </row>
    <row r="9" spans="1:16" x14ac:dyDescent="0.2">
      <c r="A9" s="4"/>
      <c r="B9" s="39" t="s">
        <v>70</v>
      </c>
      <c r="C9" s="4"/>
      <c r="D9" s="4"/>
      <c r="E9" s="4"/>
      <c r="F9" s="4"/>
      <c r="G9" s="4"/>
    </row>
    <row r="10" spans="1:16" x14ac:dyDescent="0.2">
      <c r="A10" s="4"/>
      <c r="B10" s="4"/>
      <c r="C10" s="14" t="s">
        <v>63</v>
      </c>
      <c r="D10" s="15" t="s">
        <v>64</v>
      </c>
      <c r="E10" s="15" t="s">
        <v>76</v>
      </c>
      <c r="F10" s="15" t="s">
        <v>65</v>
      </c>
      <c r="G10" s="16" t="s">
        <v>66</v>
      </c>
    </row>
    <row r="11" spans="1:16" x14ac:dyDescent="0.2">
      <c r="A11" s="4"/>
      <c r="B11" s="1" t="s">
        <v>102</v>
      </c>
      <c r="C11" s="78">
        <v>0.52</v>
      </c>
      <c r="D11" s="79">
        <v>0.14000000000000001</v>
      </c>
      <c r="E11" s="79">
        <v>0.28999999999999998</v>
      </c>
      <c r="F11" s="79">
        <v>0.04</v>
      </c>
      <c r="G11" s="80">
        <v>0.01</v>
      </c>
    </row>
    <row r="12" spans="1:16" x14ac:dyDescent="0.2">
      <c r="A12" s="4"/>
      <c r="B12" s="1" t="s">
        <v>67</v>
      </c>
      <c r="C12" s="70">
        <v>13.98</v>
      </c>
      <c r="D12" s="71">
        <v>10.7</v>
      </c>
      <c r="E12" s="71">
        <v>19</v>
      </c>
      <c r="F12" s="10"/>
      <c r="G12" s="29"/>
    </row>
    <row r="13" spans="1:16" x14ac:dyDescent="0.2">
      <c r="A13" s="4"/>
      <c r="B13" s="1" t="s">
        <v>69</v>
      </c>
      <c r="C13" s="72">
        <v>11.01</v>
      </c>
      <c r="D13" s="73">
        <v>7.12</v>
      </c>
      <c r="E13" s="73">
        <v>21</v>
      </c>
      <c r="F13" s="6"/>
      <c r="G13" s="30"/>
    </row>
    <row r="14" spans="1:16" x14ac:dyDescent="0.2">
      <c r="A14" s="4"/>
      <c r="B14" s="1" t="s">
        <v>68</v>
      </c>
      <c r="C14" s="72">
        <v>12.11</v>
      </c>
      <c r="D14" s="73">
        <v>11.04</v>
      </c>
      <c r="E14" s="73">
        <v>21</v>
      </c>
      <c r="F14" s="6"/>
      <c r="G14" s="30"/>
    </row>
    <row r="15" spans="1:16" x14ac:dyDescent="0.2">
      <c r="A15" s="4"/>
      <c r="B15" s="1" t="s">
        <v>71</v>
      </c>
      <c r="C15" s="74">
        <v>12000</v>
      </c>
      <c r="D15" s="75">
        <v>11300</v>
      </c>
      <c r="E15" s="75">
        <v>8600</v>
      </c>
      <c r="F15" s="75"/>
      <c r="G15" s="76"/>
      <c r="H15" s="4"/>
    </row>
    <row r="16" spans="1:16" x14ac:dyDescent="0.2">
      <c r="A16" s="4"/>
      <c r="B16" s="1" t="s">
        <v>72</v>
      </c>
      <c r="C16" s="82">
        <f>1/24</f>
        <v>4.1666666666666664E-2</v>
      </c>
      <c r="D16" s="77">
        <f>1/22.6</f>
        <v>4.4247787610619468E-2</v>
      </c>
      <c r="E16" s="77">
        <f>1/17.2</f>
        <v>5.8139534883720929E-2</v>
      </c>
      <c r="F16" s="75"/>
      <c r="G16" s="76"/>
      <c r="H16" s="4"/>
    </row>
    <row r="17" spans="1:16" x14ac:dyDescent="0.2">
      <c r="A17" s="4"/>
      <c r="B17" s="4"/>
      <c r="C17" s="1"/>
      <c r="D17" s="25"/>
      <c r="E17" s="4"/>
      <c r="F17" s="4"/>
      <c r="G17" s="4"/>
      <c r="H17" s="4"/>
    </row>
    <row r="18" spans="1:16" x14ac:dyDescent="0.2">
      <c r="A18" s="4"/>
      <c r="B18" s="39" t="s">
        <v>73</v>
      </c>
      <c r="C18" s="1"/>
      <c r="D18" s="25" t="s">
        <v>100</v>
      </c>
      <c r="E18" s="4"/>
      <c r="F18" s="4"/>
      <c r="G18" s="4"/>
      <c r="H18" s="4"/>
    </row>
    <row r="19" spans="1:16" x14ac:dyDescent="0.2">
      <c r="A19" s="4"/>
      <c r="B19" s="4"/>
      <c r="C19" s="1"/>
      <c r="D19" s="25"/>
      <c r="E19" s="4"/>
      <c r="F19" s="4"/>
      <c r="G19" s="4"/>
      <c r="H19" s="4"/>
    </row>
    <row r="20" spans="1:16" x14ac:dyDescent="0.2">
      <c r="A20" s="4"/>
      <c r="B20" s="39" t="s">
        <v>74</v>
      </c>
      <c r="C20" s="1"/>
      <c r="D20" s="25" t="s">
        <v>101</v>
      </c>
      <c r="E20" s="4"/>
      <c r="F20" s="4"/>
      <c r="G20" s="4"/>
      <c r="H20" s="4"/>
    </row>
    <row r="21" spans="1:16" x14ac:dyDescent="0.2">
      <c r="A21" s="4"/>
      <c r="B21" s="4"/>
      <c r="C21" s="1"/>
      <c r="D21" s="25" t="s">
        <v>97</v>
      </c>
      <c r="E21" s="4"/>
      <c r="F21" s="4"/>
      <c r="G21" s="4"/>
      <c r="H21" s="4"/>
    </row>
    <row r="22" spans="1:16" x14ac:dyDescent="0.2">
      <c r="A22" s="4"/>
      <c r="B22" s="4"/>
      <c r="C22" s="1"/>
      <c r="D22" s="25" t="s">
        <v>75</v>
      </c>
      <c r="E22" s="4"/>
      <c r="F22" s="4"/>
      <c r="G22" s="4"/>
      <c r="H22" s="4"/>
    </row>
    <row r="23" spans="1:16" x14ac:dyDescent="0.2">
      <c r="A23" s="4"/>
      <c r="B23" s="4"/>
      <c r="C23" s="1"/>
      <c r="D23" s="25"/>
      <c r="E23" s="4"/>
      <c r="F23" s="4"/>
      <c r="G23" s="4"/>
      <c r="H23" s="4"/>
    </row>
    <row r="24" spans="1:16" x14ac:dyDescent="0.2">
      <c r="A24" s="1" t="s">
        <v>77</v>
      </c>
      <c r="B24" s="4"/>
      <c r="C24" s="1"/>
      <c r="D24" s="25"/>
      <c r="E24" s="4"/>
      <c r="F24" s="4"/>
      <c r="G24" s="4"/>
      <c r="H24" s="4"/>
    </row>
    <row r="25" spans="1:16" x14ac:dyDescent="0.2">
      <c r="A25" s="4"/>
      <c r="B25" s="4"/>
      <c r="C25" s="1"/>
      <c r="D25" s="25"/>
      <c r="E25" s="4"/>
      <c r="F25" s="4"/>
      <c r="G25" s="4"/>
      <c r="H25" s="4"/>
    </row>
    <row r="26" spans="1:16" x14ac:dyDescent="0.2">
      <c r="A26" s="4"/>
      <c r="B26" s="4"/>
      <c r="C26" s="1"/>
      <c r="D26" s="25"/>
      <c r="E26" s="4"/>
      <c r="F26" s="4"/>
      <c r="G26" s="4"/>
      <c r="H26" s="4"/>
    </row>
    <row r="27" spans="1:16" x14ac:dyDescent="0.2">
      <c r="A27" s="4"/>
      <c r="B27" s="4"/>
      <c r="C27" s="42"/>
      <c r="D27" s="43"/>
      <c r="E27" s="4"/>
      <c r="F27" s="4"/>
      <c r="G27" s="4"/>
      <c r="H27" s="4"/>
    </row>
    <row r="28" spans="1:16" x14ac:dyDescent="0.2">
      <c r="A28" s="4"/>
      <c r="B28" s="4"/>
      <c r="C28" s="44"/>
      <c r="D28" s="25"/>
      <c r="E28" s="4"/>
      <c r="F28" s="4"/>
      <c r="G28" s="4"/>
      <c r="H28" s="4"/>
    </row>
    <row r="29" spans="1:16" x14ac:dyDescent="0.2">
      <c r="A29" s="4"/>
      <c r="B29" s="4"/>
      <c r="C29" s="1"/>
      <c r="D29" s="25"/>
      <c r="E29" s="4"/>
      <c r="F29" s="4"/>
      <c r="G29" s="4"/>
      <c r="H29" s="4"/>
    </row>
    <row r="30" spans="1:16" x14ac:dyDescent="0.2">
      <c r="A30" s="4"/>
      <c r="B30" s="4"/>
      <c r="C30" s="1"/>
      <c r="D30" s="25"/>
      <c r="E30" s="4"/>
      <c r="F30" s="4"/>
      <c r="G30" s="4"/>
      <c r="H30" s="4"/>
    </row>
    <row r="31" spans="1:16" x14ac:dyDescent="0.2">
      <c r="A31" s="1" t="s">
        <v>79</v>
      </c>
    </row>
    <row r="32" spans="1:16" x14ac:dyDescent="0.2">
      <c r="B32" s="1"/>
      <c r="C32" s="1"/>
      <c r="D32" s="1"/>
      <c r="E32" s="1"/>
      <c r="F32" s="1" t="s">
        <v>8</v>
      </c>
      <c r="G32" s="1"/>
      <c r="H32" s="1"/>
      <c r="I32" s="1"/>
      <c r="J32" s="1" t="s">
        <v>10</v>
      </c>
      <c r="K32" s="1"/>
      <c r="L32" s="1"/>
      <c r="M32" s="1"/>
      <c r="N32" s="1" t="s">
        <v>78</v>
      </c>
      <c r="O32" s="1" t="s">
        <v>10</v>
      </c>
      <c r="P32" s="1" t="s">
        <v>8</v>
      </c>
    </row>
    <row r="33" spans="2:18" x14ac:dyDescent="0.2">
      <c r="B33" s="1"/>
      <c r="C33" s="1"/>
      <c r="D33" s="8" t="s">
        <v>8</v>
      </c>
      <c r="E33" s="8" t="s">
        <v>11</v>
      </c>
      <c r="F33" s="1" t="s">
        <v>12</v>
      </c>
      <c r="G33" s="1" t="s">
        <v>13</v>
      </c>
      <c r="H33" s="1" t="s">
        <v>10</v>
      </c>
      <c r="I33" s="8" t="s">
        <v>11</v>
      </c>
      <c r="J33" s="1" t="s">
        <v>12</v>
      </c>
      <c r="K33" s="1" t="s">
        <v>13</v>
      </c>
      <c r="L33" s="1" t="s">
        <v>14</v>
      </c>
      <c r="M33" s="5" t="s">
        <v>21</v>
      </c>
      <c r="N33" s="1" t="s">
        <v>16</v>
      </c>
      <c r="O33" s="1" t="s">
        <v>18</v>
      </c>
      <c r="P33" s="1" t="s">
        <v>18</v>
      </c>
    </row>
    <row r="34" spans="2:18" x14ac:dyDescent="0.2">
      <c r="B34" s="1" t="s">
        <v>1</v>
      </c>
      <c r="C34" s="8" t="s">
        <v>7</v>
      </c>
      <c r="D34" s="8" t="s">
        <v>9</v>
      </c>
      <c r="E34" s="8" t="s">
        <v>9</v>
      </c>
      <c r="F34" s="1" t="s">
        <v>9</v>
      </c>
      <c r="G34" s="1" t="s">
        <v>9</v>
      </c>
      <c r="H34" s="1" t="s">
        <v>9</v>
      </c>
      <c r="I34" s="8" t="s">
        <v>9</v>
      </c>
      <c r="J34" s="1" t="s">
        <v>9</v>
      </c>
      <c r="K34" s="1" t="s">
        <v>9</v>
      </c>
      <c r="L34" s="1" t="s">
        <v>15</v>
      </c>
      <c r="M34" s="1" t="s">
        <v>22</v>
      </c>
      <c r="N34" s="1" t="s">
        <v>15</v>
      </c>
      <c r="O34" s="1" t="s">
        <v>17</v>
      </c>
      <c r="P34" s="1" t="s">
        <v>17</v>
      </c>
    </row>
    <row r="35" spans="2:18" x14ac:dyDescent="0.2">
      <c r="B35" s="7" t="s">
        <v>2</v>
      </c>
      <c r="C35" s="45">
        <v>0.01</v>
      </c>
      <c r="D35" s="45">
        <v>5249</v>
      </c>
      <c r="E35" s="46">
        <v>0</v>
      </c>
      <c r="F35" s="55">
        <f t="shared" ref="F35:F41" si="0">SUM(D35:E35)</f>
        <v>5249</v>
      </c>
      <c r="G35" s="56">
        <f t="shared" ref="G35:G41" si="1">F35/$F$42</f>
        <v>0.10038440207309376</v>
      </c>
      <c r="H35" s="45">
        <v>5276</v>
      </c>
      <c r="I35" s="46">
        <f t="shared" ref="I35:I41" si="2">E35</f>
        <v>0</v>
      </c>
      <c r="J35" s="55">
        <f>SUM(H35:I35)</f>
        <v>5276</v>
      </c>
      <c r="K35" s="56">
        <f t="shared" ref="K35:K41" si="3">J35/$J$42</f>
        <v>0.10246649834919402</v>
      </c>
      <c r="L35" s="60">
        <v>0.25</v>
      </c>
      <c r="M35" s="61">
        <f>L35</f>
        <v>0.25</v>
      </c>
      <c r="N35" s="62">
        <f>L35*C35</f>
        <v>2.5000000000000001E-3</v>
      </c>
      <c r="O35" s="45">
        <f>J35</f>
        <v>5276</v>
      </c>
      <c r="P35" s="47">
        <f>F35</f>
        <v>5249</v>
      </c>
    </row>
    <row r="36" spans="2:18" x14ac:dyDescent="0.2">
      <c r="B36" s="7" t="s">
        <v>3</v>
      </c>
      <c r="C36" s="48">
        <v>10930</v>
      </c>
      <c r="D36" s="48">
        <v>5774</v>
      </c>
      <c r="E36" s="49">
        <v>0</v>
      </c>
      <c r="F36" s="54">
        <f t="shared" si="0"/>
        <v>5774</v>
      </c>
      <c r="G36" s="57">
        <f t="shared" si="1"/>
        <v>0.11042475472852799</v>
      </c>
      <c r="H36" s="48">
        <v>5774</v>
      </c>
      <c r="I36" s="49">
        <f t="shared" si="2"/>
        <v>0</v>
      </c>
      <c r="J36" s="54">
        <f t="shared" ref="J36:J41" si="4">SUM(H36:I36)</f>
        <v>5774</v>
      </c>
      <c r="K36" s="57">
        <f t="shared" si="3"/>
        <v>0.11213827927752962</v>
      </c>
      <c r="L36" s="63">
        <v>0.5</v>
      </c>
      <c r="M36" s="64">
        <f>L36</f>
        <v>0.5</v>
      </c>
      <c r="N36" s="65">
        <f>L36*C36/1000</f>
        <v>5.4649999999999999</v>
      </c>
      <c r="O36" s="48">
        <f t="shared" ref="O36:O41" si="5">O35+J36</f>
        <v>11050</v>
      </c>
      <c r="P36" s="50">
        <f t="shared" ref="P36:P41" si="6">P35+F36</f>
        <v>11023</v>
      </c>
    </row>
    <row r="37" spans="2:18" x14ac:dyDescent="0.2">
      <c r="B37" s="7" t="s">
        <v>4</v>
      </c>
      <c r="C37" s="48">
        <v>9791</v>
      </c>
      <c r="D37" s="48">
        <v>26017</v>
      </c>
      <c r="E37" s="49">
        <v>0</v>
      </c>
      <c r="F37" s="54">
        <f t="shared" si="0"/>
        <v>26017</v>
      </c>
      <c r="G37" s="57">
        <f t="shared" si="1"/>
        <v>0.49756162864082309</v>
      </c>
      <c r="H37" s="48">
        <v>25984</v>
      </c>
      <c r="I37" s="49">
        <f t="shared" si="2"/>
        <v>0</v>
      </c>
      <c r="J37" s="54">
        <f t="shared" si="4"/>
        <v>25984</v>
      </c>
      <c r="K37" s="57">
        <f t="shared" si="3"/>
        <v>0.50464167799572734</v>
      </c>
      <c r="L37" s="63">
        <f>27+11</f>
        <v>38</v>
      </c>
      <c r="M37" s="64">
        <f>L37/24</f>
        <v>1.5833333333333333</v>
      </c>
      <c r="N37" s="65">
        <f>(L37/24)*C37/1000</f>
        <v>15.502416666666665</v>
      </c>
      <c r="O37" s="48">
        <f t="shared" si="5"/>
        <v>37034</v>
      </c>
      <c r="P37" s="50">
        <f t="shared" si="6"/>
        <v>37040</v>
      </c>
    </row>
    <row r="38" spans="2:18" x14ac:dyDescent="0.2">
      <c r="B38" s="7" t="s">
        <v>5</v>
      </c>
      <c r="C38" s="48">
        <v>8138</v>
      </c>
      <c r="D38" s="48">
        <v>5225</v>
      </c>
      <c r="E38" s="49">
        <v>0</v>
      </c>
      <c r="F38" s="54">
        <f t="shared" si="0"/>
        <v>5225</v>
      </c>
      <c r="G38" s="57">
        <f t="shared" si="1"/>
        <v>9.9925414523131056E-2</v>
      </c>
      <c r="H38" s="48">
        <v>5161</v>
      </c>
      <c r="I38" s="49">
        <f t="shared" si="2"/>
        <v>0</v>
      </c>
      <c r="J38" s="54">
        <f t="shared" si="4"/>
        <v>5161</v>
      </c>
      <c r="K38" s="57">
        <f t="shared" si="3"/>
        <v>0.10023305496212857</v>
      </c>
      <c r="L38" s="63">
        <v>2</v>
      </c>
      <c r="M38" s="64">
        <f>L38</f>
        <v>2</v>
      </c>
      <c r="N38" s="65">
        <f>L38*C38/1000</f>
        <v>16.276</v>
      </c>
      <c r="O38" s="48">
        <f t="shared" si="5"/>
        <v>42195</v>
      </c>
      <c r="P38" s="50">
        <f t="shared" si="6"/>
        <v>42265</v>
      </c>
    </row>
    <row r="39" spans="2:18" x14ac:dyDescent="0.2">
      <c r="B39" s="7" t="s">
        <v>6</v>
      </c>
      <c r="C39" s="48">
        <v>12142</v>
      </c>
      <c r="D39" s="48">
        <v>8199</v>
      </c>
      <c r="E39" s="49">
        <v>0</v>
      </c>
      <c r="F39" s="54">
        <f t="shared" si="0"/>
        <v>8199</v>
      </c>
      <c r="G39" s="57">
        <f t="shared" si="1"/>
        <v>0.15680162175600987</v>
      </c>
      <c r="H39" s="48">
        <v>7782</v>
      </c>
      <c r="I39" s="49">
        <f t="shared" si="2"/>
        <v>0</v>
      </c>
      <c r="J39" s="54">
        <f t="shared" si="4"/>
        <v>7782</v>
      </c>
      <c r="K39" s="57">
        <f t="shared" si="3"/>
        <v>0.15113614294037678</v>
      </c>
      <c r="L39" s="63">
        <v>2</v>
      </c>
      <c r="M39" s="64">
        <f>L39</f>
        <v>2</v>
      </c>
      <c r="N39" s="65">
        <f>L39*C39/1000</f>
        <v>24.283999999999999</v>
      </c>
      <c r="O39" s="48">
        <f t="shared" si="5"/>
        <v>49977</v>
      </c>
      <c r="P39" s="50">
        <f t="shared" si="6"/>
        <v>50464</v>
      </c>
    </row>
    <row r="40" spans="2:18" x14ac:dyDescent="0.2">
      <c r="B40" s="7" t="s">
        <v>20</v>
      </c>
      <c r="C40" s="48">
        <v>10746</v>
      </c>
      <c r="D40" s="48">
        <v>122</v>
      </c>
      <c r="E40" s="49">
        <v>0</v>
      </c>
      <c r="F40" s="54">
        <f t="shared" si="0"/>
        <v>122</v>
      </c>
      <c r="G40" s="57">
        <f t="shared" si="1"/>
        <v>2.3331867123104286E-3</v>
      </c>
      <c r="H40" s="48">
        <v>122</v>
      </c>
      <c r="I40" s="49">
        <f t="shared" si="2"/>
        <v>0</v>
      </c>
      <c r="J40" s="54">
        <f>SUM(H40:I40)</f>
        <v>122</v>
      </c>
      <c r="K40" s="57">
        <f t="shared" si="3"/>
        <v>2.3693921149737815E-3</v>
      </c>
      <c r="L40" s="63">
        <v>14.63</v>
      </c>
      <c r="M40" s="64">
        <f>L40/6.306</f>
        <v>2.3200126863304789</v>
      </c>
      <c r="N40" s="65">
        <f>(L40/6.306)*C40/1000</f>
        <v>24.930856327307328</v>
      </c>
      <c r="O40" s="48">
        <f t="shared" si="5"/>
        <v>50099</v>
      </c>
      <c r="P40" s="50">
        <f t="shared" si="6"/>
        <v>50586</v>
      </c>
    </row>
    <row r="41" spans="2:18" x14ac:dyDescent="0.2">
      <c r="B41" s="7" t="s">
        <v>19</v>
      </c>
      <c r="C41" s="51">
        <v>13828</v>
      </c>
      <c r="D41" s="51">
        <v>1703</v>
      </c>
      <c r="E41" s="52">
        <v>0</v>
      </c>
      <c r="F41" s="58">
        <f t="shared" si="0"/>
        <v>1703</v>
      </c>
      <c r="G41" s="59">
        <f t="shared" si="1"/>
        <v>3.2568991566103767E-2</v>
      </c>
      <c r="H41" s="51">
        <v>1391</v>
      </c>
      <c r="I41" s="52">
        <f t="shared" si="2"/>
        <v>0</v>
      </c>
      <c r="J41" s="58">
        <f t="shared" si="4"/>
        <v>1391</v>
      </c>
      <c r="K41" s="59">
        <f t="shared" si="3"/>
        <v>2.7014954360069916E-2</v>
      </c>
      <c r="L41" s="66">
        <v>0.52049999999999996</v>
      </c>
      <c r="M41" s="67">
        <f>L41*7.17</f>
        <v>3.7319849999999999</v>
      </c>
      <c r="N41" s="68">
        <f>((L41*7.17)*C41)/1000</f>
        <v>51.605888579999998</v>
      </c>
      <c r="O41" s="51">
        <f t="shared" si="5"/>
        <v>51490</v>
      </c>
      <c r="P41" s="53">
        <f t="shared" si="6"/>
        <v>52289</v>
      </c>
    </row>
    <row r="42" spans="2:18" x14ac:dyDescent="0.2">
      <c r="B42" s="2"/>
      <c r="C42" s="2"/>
      <c r="D42" s="2">
        <f t="shared" ref="D42:K42" si="7">SUM(D35:D41)</f>
        <v>52289</v>
      </c>
      <c r="E42" s="2">
        <f t="shared" si="7"/>
        <v>0</v>
      </c>
      <c r="F42" s="2">
        <f t="shared" si="7"/>
        <v>52289</v>
      </c>
      <c r="G42" s="3">
        <f t="shared" si="7"/>
        <v>1</v>
      </c>
      <c r="H42" s="2">
        <f t="shared" si="7"/>
        <v>51490</v>
      </c>
      <c r="I42" s="2">
        <f t="shared" si="7"/>
        <v>0</v>
      </c>
      <c r="J42" s="2">
        <f t="shared" si="7"/>
        <v>51490</v>
      </c>
      <c r="K42" s="3">
        <f t="shared" si="7"/>
        <v>1</v>
      </c>
      <c r="L42" s="2"/>
      <c r="M42" s="2"/>
      <c r="N42" s="2"/>
      <c r="O42" s="2"/>
      <c r="P42" s="2"/>
    </row>
    <row r="43" spans="2:18" x14ac:dyDescent="0.2">
      <c r="B43" s="2" t="s">
        <v>54</v>
      </c>
      <c r="C43" s="2"/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2"/>
      <c r="P43" s="2"/>
    </row>
    <row r="44" spans="2:18" x14ac:dyDescent="0.2">
      <c r="I44" s="1"/>
      <c r="J44" s="1"/>
      <c r="K44" s="1"/>
      <c r="L44" s="1"/>
      <c r="M44" s="4"/>
    </row>
    <row r="45" spans="2:18" x14ac:dyDescent="0.2">
      <c r="C45" s="69" t="s">
        <v>23</v>
      </c>
      <c r="I45" s="39" t="s">
        <v>99</v>
      </c>
      <c r="J45" s="5"/>
      <c r="L45" s="5"/>
      <c r="M45" s="5"/>
    </row>
    <row r="46" spans="2:18" x14ac:dyDescent="0.2">
      <c r="C46" s="8" t="s">
        <v>27</v>
      </c>
      <c r="D46" s="8" t="s">
        <v>24</v>
      </c>
      <c r="E46" s="8" t="s">
        <v>25</v>
      </c>
      <c r="F46" s="8" t="s">
        <v>53</v>
      </c>
      <c r="G46" s="8" t="s">
        <v>26</v>
      </c>
      <c r="H46" s="4"/>
      <c r="I46" s="1"/>
      <c r="J46" s="1" t="s">
        <v>55</v>
      </c>
      <c r="K46" s="21" t="s">
        <v>57</v>
      </c>
      <c r="L46" s="21"/>
      <c r="M46" s="1" t="s">
        <v>80</v>
      </c>
      <c r="N46" s="5" t="s">
        <v>82</v>
      </c>
      <c r="O46" s="1" t="s">
        <v>104</v>
      </c>
    </row>
    <row r="47" spans="2:18" x14ac:dyDescent="0.2">
      <c r="C47" s="1" t="s">
        <v>41</v>
      </c>
      <c r="D47" s="9">
        <v>570</v>
      </c>
      <c r="E47" s="10">
        <v>0</v>
      </c>
      <c r="F47" s="10">
        <v>0</v>
      </c>
      <c r="G47" s="17">
        <f t="shared" ref="G47:G61" si="8">SUM(D47:F47)</f>
        <v>570</v>
      </c>
      <c r="H47" s="4"/>
      <c r="I47" s="8" t="s">
        <v>28</v>
      </c>
      <c r="J47" s="20" t="s">
        <v>56</v>
      </c>
      <c r="K47" s="22" t="s">
        <v>58</v>
      </c>
      <c r="L47" s="23" t="s">
        <v>59</v>
      </c>
      <c r="M47" s="5" t="s">
        <v>81</v>
      </c>
      <c r="N47" s="38" t="s">
        <v>81</v>
      </c>
      <c r="O47" s="24" t="s">
        <v>60</v>
      </c>
    </row>
    <row r="48" spans="2:18" x14ac:dyDescent="0.2">
      <c r="C48" s="1" t="s">
        <v>42</v>
      </c>
      <c r="D48" s="11">
        <f>1240+1132+500+846</f>
        <v>3718</v>
      </c>
      <c r="E48" s="6">
        <f>640+1020+314+440+680+468</f>
        <v>3562</v>
      </c>
      <c r="F48" s="6">
        <v>0</v>
      </c>
      <c r="G48" s="18">
        <f t="shared" si="8"/>
        <v>7280</v>
      </c>
      <c r="H48" s="4"/>
      <c r="I48" s="84" t="s">
        <v>29</v>
      </c>
      <c r="J48" s="26">
        <v>30340</v>
      </c>
      <c r="K48" s="9">
        <v>34184</v>
      </c>
      <c r="L48" s="29">
        <v>15912</v>
      </c>
      <c r="M48" s="35"/>
      <c r="N48" s="32"/>
      <c r="O48" s="32">
        <v>5198.45</v>
      </c>
      <c r="R48" s="83"/>
    </row>
    <row r="49" spans="1:18" x14ac:dyDescent="0.2">
      <c r="C49" s="1" t="s">
        <v>43</v>
      </c>
      <c r="D49" s="11">
        <v>0</v>
      </c>
      <c r="E49" s="6">
        <v>0</v>
      </c>
      <c r="F49" s="6">
        <v>240</v>
      </c>
      <c r="G49" s="18">
        <f t="shared" si="8"/>
        <v>240</v>
      </c>
      <c r="H49" s="4"/>
      <c r="I49" s="84" t="s">
        <v>30</v>
      </c>
      <c r="J49" s="27">
        <v>26185</v>
      </c>
      <c r="K49" s="11">
        <v>29614</v>
      </c>
      <c r="L49" s="30">
        <v>19179</v>
      </c>
      <c r="M49" s="36"/>
      <c r="N49" s="33"/>
      <c r="O49" s="33">
        <v>8245.4500000000007</v>
      </c>
      <c r="R49" s="83"/>
    </row>
    <row r="50" spans="1:18" x14ac:dyDescent="0.2">
      <c r="C50" s="1" t="s">
        <v>44</v>
      </c>
      <c r="D50" s="11">
        <v>0</v>
      </c>
      <c r="E50" s="6">
        <v>0</v>
      </c>
      <c r="F50" s="6">
        <v>0</v>
      </c>
      <c r="G50" s="18">
        <f t="shared" si="8"/>
        <v>0</v>
      </c>
      <c r="H50" s="4"/>
      <c r="I50" s="84" t="s">
        <v>31</v>
      </c>
      <c r="J50" s="27">
        <v>25560</v>
      </c>
      <c r="K50" s="11">
        <v>29106</v>
      </c>
      <c r="L50" s="30">
        <v>19589</v>
      </c>
      <c r="M50" s="36"/>
      <c r="N50" s="33"/>
      <c r="O50" s="33">
        <v>9998.4500000000007</v>
      </c>
      <c r="R50" s="83"/>
    </row>
    <row r="51" spans="1:18" x14ac:dyDescent="0.2">
      <c r="C51" s="1">
        <v>2002</v>
      </c>
      <c r="D51" s="14">
        <f>SUM(D47:D50)</f>
        <v>4288</v>
      </c>
      <c r="E51" s="15">
        <f>SUM(E47:E50)</f>
        <v>3562</v>
      </c>
      <c r="F51" s="15">
        <f>SUM(F47:F50)</f>
        <v>240</v>
      </c>
      <c r="G51" s="19">
        <f t="shared" si="8"/>
        <v>8090</v>
      </c>
      <c r="H51" s="4"/>
      <c r="I51" s="84" t="s">
        <v>32</v>
      </c>
      <c r="J51" s="27">
        <v>28025</v>
      </c>
      <c r="K51" s="11">
        <v>30306</v>
      </c>
      <c r="L51" s="30">
        <v>18742</v>
      </c>
      <c r="M51" s="36"/>
      <c r="N51" s="33"/>
      <c r="O51" s="33">
        <v>10551.45</v>
      </c>
      <c r="R51" s="83"/>
    </row>
    <row r="52" spans="1:18" x14ac:dyDescent="0.2">
      <c r="C52" s="1" t="s">
        <v>45</v>
      </c>
      <c r="D52" s="9">
        <f>161+520+1086+640</f>
        <v>2407</v>
      </c>
      <c r="E52" s="10">
        <v>0</v>
      </c>
      <c r="F52" s="10">
        <v>0</v>
      </c>
      <c r="G52" s="17">
        <f t="shared" si="8"/>
        <v>2407</v>
      </c>
      <c r="H52" s="4"/>
      <c r="I52" s="84" t="s">
        <v>33</v>
      </c>
      <c r="J52" s="27">
        <v>31932</v>
      </c>
      <c r="K52" s="11">
        <v>35125</v>
      </c>
      <c r="L52" s="30">
        <v>19584</v>
      </c>
      <c r="M52" s="36"/>
      <c r="N52" s="33"/>
      <c r="O52" s="33">
        <v>6031.45</v>
      </c>
      <c r="R52" s="83"/>
    </row>
    <row r="53" spans="1:18" x14ac:dyDescent="0.2">
      <c r="C53" s="1" t="s">
        <v>46</v>
      </c>
      <c r="D53" s="11">
        <f>630+850+630+480</f>
        <v>2590</v>
      </c>
      <c r="E53" s="6">
        <f>628+510+220+850</f>
        <v>2208</v>
      </c>
      <c r="F53" s="6">
        <f>700+800</f>
        <v>1500</v>
      </c>
      <c r="G53" s="18">
        <f t="shared" si="8"/>
        <v>6298</v>
      </c>
      <c r="H53" s="4"/>
      <c r="I53" s="84" t="s">
        <v>34</v>
      </c>
      <c r="J53" s="27">
        <v>34392</v>
      </c>
      <c r="K53" s="11">
        <v>38036</v>
      </c>
      <c r="L53" s="30">
        <v>20728</v>
      </c>
      <c r="M53" s="36"/>
      <c r="N53" s="33"/>
      <c r="O53" s="33">
        <v>2952.45</v>
      </c>
      <c r="R53" s="83"/>
    </row>
    <row r="54" spans="1:18" x14ac:dyDescent="0.2">
      <c r="C54" s="1" t="s">
        <v>47</v>
      </c>
      <c r="D54" s="11">
        <v>0</v>
      </c>
      <c r="E54" s="6">
        <v>0</v>
      </c>
      <c r="F54" s="6">
        <v>0</v>
      </c>
      <c r="G54" s="18">
        <f t="shared" si="8"/>
        <v>0</v>
      </c>
      <c r="H54" s="4"/>
      <c r="I54" s="84" t="s">
        <v>35</v>
      </c>
      <c r="J54" s="27">
        <v>36597</v>
      </c>
      <c r="K54" s="11">
        <v>41050</v>
      </c>
      <c r="L54" s="30">
        <v>26423</v>
      </c>
      <c r="M54" s="36"/>
      <c r="N54" s="33"/>
      <c r="O54" s="33">
        <v>2811.45</v>
      </c>
      <c r="R54" s="83"/>
    </row>
    <row r="55" spans="1:18" x14ac:dyDescent="0.2">
      <c r="C55" s="1" t="s">
        <v>48</v>
      </c>
      <c r="D55" s="12">
        <v>0</v>
      </c>
      <c r="E55" s="13">
        <v>0</v>
      </c>
      <c r="F55" s="13">
        <v>0</v>
      </c>
      <c r="G55" s="18">
        <f t="shared" si="8"/>
        <v>0</v>
      </c>
      <c r="H55" s="4"/>
      <c r="I55" s="84" t="s">
        <v>36</v>
      </c>
      <c r="J55" s="27">
        <v>36582</v>
      </c>
      <c r="K55" s="11">
        <v>41489</v>
      </c>
      <c r="L55" s="30">
        <v>24832</v>
      </c>
      <c r="M55" s="36"/>
      <c r="N55" s="33"/>
      <c r="O55" s="33">
        <v>2762.45</v>
      </c>
      <c r="R55" s="83"/>
    </row>
    <row r="56" spans="1:18" x14ac:dyDescent="0.2">
      <c r="C56" s="1">
        <v>2003</v>
      </c>
      <c r="D56" s="14">
        <f>SUM(D52:D55)</f>
        <v>4997</v>
      </c>
      <c r="E56" s="15">
        <f>SUM(E52:E55)</f>
        <v>2208</v>
      </c>
      <c r="F56" s="16">
        <f>SUM(F52:F55)</f>
        <v>1500</v>
      </c>
      <c r="G56" s="19">
        <f t="shared" si="8"/>
        <v>8705</v>
      </c>
      <c r="H56" s="4"/>
      <c r="I56" s="84" t="s">
        <v>37</v>
      </c>
      <c r="J56" s="27">
        <v>33599</v>
      </c>
      <c r="K56" s="11">
        <v>37382</v>
      </c>
      <c r="L56" s="30">
        <v>21574</v>
      </c>
      <c r="M56" s="36"/>
      <c r="N56" s="33"/>
      <c r="O56" s="33">
        <v>4171.45</v>
      </c>
      <c r="R56" s="83"/>
    </row>
    <row r="57" spans="1:18" x14ac:dyDescent="0.2">
      <c r="C57" s="1" t="s">
        <v>49</v>
      </c>
      <c r="D57" s="9">
        <v>529</v>
      </c>
      <c r="E57" s="10">
        <v>0</v>
      </c>
      <c r="F57" s="10">
        <v>1230</v>
      </c>
      <c r="G57" s="17">
        <f t="shared" si="8"/>
        <v>1759</v>
      </c>
      <c r="H57" s="4"/>
      <c r="I57" s="84" t="s">
        <v>38</v>
      </c>
      <c r="J57" s="27">
        <v>37934</v>
      </c>
      <c r="K57" s="11">
        <v>31984</v>
      </c>
      <c r="L57" s="30">
        <v>20248</v>
      </c>
      <c r="M57" s="36"/>
      <c r="N57" s="33"/>
      <c r="O57" s="33">
        <v>7794.45</v>
      </c>
      <c r="R57" s="83"/>
    </row>
    <row r="58" spans="1:18" x14ac:dyDescent="0.2">
      <c r="C58" s="1" t="s">
        <v>50</v>
      </c>
      <c r="D58" s="11">
        <f>503+800</f>
        <v>1303</v>
      </c>
      <c r="E58" s="6">
        <v>750</v>
      </c>
      <c r="F58" s="6">
        <v>0</v>
      </c>
      <c r="G58" s="18">
        <f t="shared" si="8"/>
        <v>2053</v>
      </c>
      <c r="H58" s="4"/>
      <c r="I58" s="84" t="s">
        <v>39</v>
      </c>
      <c r="J58" s="27">
        <v>27073</v>
      </c>
      <c r="K58" s="11">
        <v>29400</v>
      </c>
      <c r="L58" s="30">
        <v>18841</v>
      </c>
      <c r="M58" s="36"/>
      <c r="N58" s="33"/>
      <c r="O58" s="33">
        <v>8662.4500000000007</v>
      </c>
      <c r="R58" s="83"/>
    </row>
    <row r="59" spans="1:18" x14ac:dyDescent="0.2">
      <c r="C59" s="1" t="s">
        <v>51</v>
      </c>
      <c r="D59" s="11">
        <v>0</v>
      </c>
      <c r="E59" s="6">
        <v>0</v>
      </c>
      <c r="F59" s="6">
        <v>0</v>
      </c>
      <c r="G59" s="18">
        <f t="shared" si="8"/>
        <v>0</v>
      </c>
      <c r="H59" s="4"/>
      <c r="I59" s="84" t="s">
        <v>40</v>
      </c>
      <c r="J59" s="28">
        <v>30683</v>
      </c>
      <c r="K59" s="12">
        <v>34608</v>
      </c>
      <c r="L59" s="31">
        <v>18352</v>
      </c>
      <c r="M59" s="37"/>
      <c r="N59" s="34"/>
      <c r="O59" s="34">
        <v>5766.45</v>
      </c>
      <c r="R59" s="83"/>
    </row>
    <row r="60" spans="1:18" x14ac:dyDescent="0.2">
      <c r="C60" s="1" t="s">
        <v>52</v>
      </c>
      <c r="D60" s="11">
        <v>0</v>
      </c>
      <c r="E60" s="6">
        <v>0</v>
      </c>
      <c r="F60" s="6">
        <v>0</v>
      </c>
      <c r="G60" s="18">
        <v>0</v>
      </c>
      <c r="H60" s="4"/>
      <c r="I60" s="4"/>
      <c r="J60" s="4" t="s">
        <v>105</v>
      </c>
      <c r="K60" s="4"/>
    </row>
    <row r="61" spans="1:18" x14ac:dyDescent="0.2">
      <c r="C61" s="1">
        <v>2004</v>
      </c>
      <c r="D61" s="14">
        <f>SUM(D57:D60)</f>
        <v>1832</v>
      </c>
      <c r="E61" s="15">
        <f>SUM(E57:E60)</f>
        <v>750</v>
      </c>
      <c r="F61" s="15">
        <f>SUM(F57:F60)</f>
        <v>1230</v>
      </c>
      <c r="G61" s="19">
        <f t="shared" si="8"/>
        <v>3812</v>
      </c>
      <c r="H61" s="4"/>
      <c r="I61" s="4"/>
      <c r="J61" s="4"/>
      <c r="K61" s="4"/>
    </row>
    <row r="62" spans="1:18" x14ac:dyDescent="0.2">
      <c r="C62" s="1" t="s">
        <v>103</v>
      </c>
      <c r="D62" s="14">
        <f>D61+D56+D51</f>
        <v>11117</v>
      </c>
      <c r="E62" s="15">
        <f>E61+E56+E51</f>
        <v>6520</v>
      </c>
      <c r="F62" s="15">
        <f>F61+F56+F51</f>
        <v>2970</v>
      </c>
      <c r="G62" s="81">
        <f>SUM(D62:F62)</f>
        <v>20607</v>
      </c>
    </row>
    <row r="63" spans="1:18" x14ac:dyDescent="0.2">
      <c r="A63" s="1" t="s">
        <v>83</v>
      </c>
    </row>
    <row r="64" spans="1:18" x14ac:dyDescent="0.2">
      <c r="B64" s="4"/>
      <c r="C64" s="8" t="s">
        <v>2</v>
      </c>
      <c r="D64" s="8" t="s">
        <v>3</v>
      </c>
      <c r="E64" s="8" t="s">
        <v>4</v>
      </c>
      <c r="F64" s="8" t="s">
        <v>5</v>
      </c>
      <c r="G64" s="8" t="s">
        <v>6</v>
      </c>
      <c r="H64" s="8" t="s">
        <v>85</v>
      </c>
      <c r="I64" s="8" t="s">
        <v>86</v>
      </c>
      <c r="J64" s="8" t="s">
        <v>26</v>
      </c>
    </row>
    <row r="65" spans="1:10" x14ac:dyDescent="0.2">
      <c r="B65" s="1" t="s">
        <v>87</v>
      </c>
      <c r="C65" s="9">
        <v>900</v>
      </c>
      <c r="D65" s="10">
        <v>0</v>
      </c>
      <c r="E65" s="10">
        <v>12845</v>
      </c>
      <c r="F65" s="10">
        <v>187</v>
      </c>
      <c r="G65" s="10">
        <v>1445</v>
      </c>
      <c r="H65" s="10">
        <v>122</v>
      </c>
      <c r="I65" s="29">
        <v>1106</v>
      </c>
      <c r="J65" s="26">
        <f>SUM(C65:I65)</f>
        <v>16605</v>
      </c>
    </row>
    <row r="66" spans="1:10" x14ac:dyDescent="0.2">
      <c r="B66" s="1" t="s">
        <v>84</v>
      </c>
      <c r="C66" s="11">
        <v>1682</v>
      </c>
      <c r="D66" s="6">
        <v>940</v>
      </c>
      <c r="E66" s="6">
        <v>8274</v>
      </c>
      <c r="F66" s="6">
        <v>1314</v>
      </c>
      <c r="G66" s="6">
        <v>940</v>
      </c>
      <c r="H66" s="6">
        <v>0</v>
      </c>
      <c r="I66" s="30">
        <v>16</v>
      </c>
      <c r="J66" s="27">
        <f>SUM(C66:I66)</f>
        <v>13166</v>
      </c>
    </row>
    <row r="67" spans="1:10" x14ac:dyDescent="0.2">
      <c r="B67" s="1" t="s">
        <v>88</v>
      </c>
      <c r="C67" s="11">
        <v>0</v>
      </c>
      <c r="D67" s="6">
        <v>5773</v>
      </c>
      <c r="E67" s="6">
        <v>0</v>
      </c>
      <c r="F67" s="6">
        <v>0</v>
      </c>
      <c r="G67" s="6">
        <v>0</v>
      </c>
      <c r="H67" s="6">
        <v>0</v>
      </c>
      <c r="I67" s="30">
        <v>0</v>
      </c>
      <c r="J67" s="27">
        <f>SUM(C67:I67)</f>
        <v>5773</v>
      </c>
    </row>
    <row r="68" spans="1:10" x14ac:dyDescent="0.2">
      <c r="B68" s="1" t="s">
        <v>89</v>
      </c>
      <c r="C68" s="11">
        <v>0</v>
      </c>
      <c r="D68" s="6">
        <v>0</v>
      </c>
      <c r="E68" s="6">
        <v>1730</v>
      </c>
      <c r="F68" s="6">
        <v>1437</v>
      </c>
      <c r="G68" s="6">
        <v>0</v>
      </c>
      <c r="H68" s="6">
        <v>0</v>
      </c>
      <c r="I68" s="30">
        <v>0</v>
      </c>
      <c r="J68" s="27">
        <f>SUM(C68:I68)</f>
        <v>3167</v>
      </c>
    </row>
    <row r="69" spans="1:10" x14ac:dyDescent="0.2">
      <c r="B69" s="1" t="s">
        <v>90</v>
      </c>
      <c r="C69" s="12">
        <v>0</v>
      </c>
      <c r="D69" s="13">
        <v>0</v>
      </c>
      <c r="E69" s="13">
        <v>1468</v>
      </c>
      <c r="F69" s="13">
        <v>88</v>
      </c>
      <c r="G69" s="13">
        <v>13</v>
      </c>
      <c r="H69" s="13">
        <v>0</v>
      </c>
      <c r="I69" s="31">
        <v>32</v>
      </c>
      <c r="J69" s="28">
        <f>SUM(C69:I69)</f>
        <v>1601</v>
      </c>
    </row>
    <row r="71" spans="1:10" x14ac:dyDescent="0.2">
      <c r="A71" s="1" t="s">
        <v>91</v>
      </c>
      <c r="B71" s="4"/>
      <c r="C71" s="4"/>
      <c r="D71" s="4"/>
      <c r="E71" s="4"/>
    </row>
    <row r="72" spans="1:10" x14ac:dyDescent="0.2">
      <c r="A72" s="4"/>
      <c r="B72" s="4"/>
      <c r="C72" s="8" t="s">
        <v>5</v>
      </c>
      <c r="D72" s="8" t="s">
        <v>6</v>
      </c>
      <c r="E72" s="8" t="s">
        <v>26</v>
      </c>
    </row>
    <row r="73" spans="1:10" x14ac:dyDescent="0.2">
      <c r="A73" s="4"/>
      <c r="B73" s="1" t="s">
        <v>93</v>
      </c>
      <c r="C73" s="9">
        <v>1240</v>
      </c>
      <c r="D73" s="29">
        <v>640</v>
      </c>
      <c r="E73" s="26">
        <f>SUM(C73:D73)</f>
        <v>1880</v>
      </c>
    </row>
    <row r="74" spans="1:10" x14ac:dyDescent="0.2">
      <c r="A74" s="4"/>
      <c r="B74" s="1" t="s">
        <v>92</v>
      </c>
      <c r="C74" s="11">
        <v>846</v>
      </c>
      <c r="D74" s="30">
        <v>468</v>
      </c>
      <c r="E74" s="27">
        <f>SUM(C74:D74)</f>
        <v>1314</v>
      </c>
    </row>
    <row r="75" spans="1:10" x14ac:dyDescent="0.2">
      <c r="A75" s="4"/>
      <c r="B75" s="1" t="s">
        <v>96</v>
      </c>
      <c r="C75" s="11">
        <v>0</v>
      </c>
      <c r="D75" s="30">
        <v>1120</v>
      </c>
      <c r="E75" s="27">
        <f>SUM(C75:D75)</f>
        <v>1120</v>
      </c>
    </row>
    <row r="76" spans="1:10" x14ac:dyDescent="0.2">
      <c r="A76" s="4"/>
      <c r="B76" s="1" t="s">
        <v>94</v>
      </c>
      <c r="C76" s="11">
        <v>0</v>
      </c>
      <c r="D76" s="30">
        <v>680</v>
      </c>
      <c r="E76" s="27">
        <f>SUM(C76:D76)</f>
        <v>680</v>
      </c>
    </row>
    <row r="77" spans="1:10" x14ac:dyDescent="0.2">
      <c r="A77" s="4"/>
      <c r="B77" s="1" t="s">
        <v>95</v>
      </c>
      <c r="C77" s="12">
        <v>0</v>
      </c>
      <c r="D77" s="31">
        <v>500</v>
      </c>
      <c r="E77" s="28">
        <f>SUM(C77:D77)</f>
        <v>500</v>
      </c>
    </row>
    <row r="78" spans="1:10" x14ac:dyDescent="0.2">
      <c r="A78" s="4"/>
    </row>
    <row r="79" spans="1:10" x14ac:dyDescent="0.2">
      <c r="A79" s="4"/>
    </row>
    <row r="80" spans="1:10" x14ac:dyDescent="0.2">
      <c r="A80" s="4"/>
    </row>
  </sheetData>
  <phoneticPr fontId="0" type="noConversion"/>
  <pageMargins left="0.27" right="0.28000000000000003" top="1" bottom="1" header="0.5" footer="0.5"/>
  <pageSetup paperSize="5" scale="7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SOCO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2002-01-31T18:08:55Z</cp:lastPrinted>
  <dcterms:created xsi:type="dcterms:W3CDTF">2002-01-28T15:54:33Z</dcterms:created>
  <dcterms:modified xsi:type="dcterms:W3CDTF">2014-09-03T15:40:39Z</dcterms:modified>
</cp:coreProperties>
</file>