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665" windowWidth="15330" windowHeight="4710"/>
  </bookViews>
  <sheets>
    <sheet name="Origination Summary" sheetId="1" r:id="rId1"/>
    <sheet name="International Origin Summary" sheetId="2" r:id="rId2"/>
    <sheet name="Sheet3" sheetId="3" r:id="rId3"/>
  </sheets>
  <externalReferences>
    <externalReference r:id="rId4"/>
    <externalReference r:id="rId5"/>
    <externalReference r:id="rId6"/>
  </externalReferences>
  <calcPr calcId="152511" iterate="1" iterateCount="1"/>
</workbook>
</file>

<file path=xl/calcChain.xml><?xml version="1.0" encoding="utf-8"?>
<calcChain xmlns="http://schemas.openxmlformats.org/spreadsheetml/2006/main">
  <c r="A9" i="2" l="1"/>
  <c r="P22" i="2"/>
  <c r="R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51" i="2"/>
  <c r="H51" i="2"/>
  <c r="I51" i="2"/>
  <c r="J51" i="2"/>
  <c r="K51" i="2"/>
  <c r="K66" i="2" s="1"/>
  <c r="L55" i="2"/>
  <c r="G56" i="2"/>
  <c r="G64" i="2" s="1"/>
  <c r="H56" i="2"/>
  <c r="I56" i="2"/>
  <c r="I64" i="2" s="1"/>
  <c r="I66" i="2" s="1"/>
  <c r="I106" i="2" s="1"/>
  <c r="J56" i="2"/>
  <c r="G57" i="2"/>
  <c r="H57" i="2"/>
  <c r="L57" i="2" s="1"/>
  <c r="I57" i="2"/>
  <c r="J57" i="2"/>
  <c r="L58" i="2"/>
  <c r="H59" i="2"/>
  <c r="I59" i="2"/>
  <c r="J59" i="2"/>
  <c r="L59" i="2"/>
  <c r="H60" i="2"/>
  <c r="I60" i="2"/>
  <c r="J60" i="2"/>
  <c r="J64" i="2" s="1"/>
  <c r="J66" i="2" s="1"/>
  <c r="L60" i="2"/>
  <c r="H61" i="2"/>
  <c r="I61" i="2"/>
  <c r="J61" i="2"/>
  <c r="L61" i="2"/>
  <c r="H62" i="2"/>
  <c r="I62" i="2"/>
  <c r="J62" i="2"/>
  <c r="L62" i="2"/>
  <c r="H63" i="2"/>
  <c r="I63" i="2"/>
  <c r="J63" i="2"/>
  <c r="L63" i="2"/>
  <c r="K64" i="2"/>
  <c r="N65" i="2"/>
  <c r="O65" i="2"/>
  <c r="O106" i="2" s="1"/>
  <c r="O109" i="2" s="1"/>
  <c r="P65" i="2"/>
  <c r="R65" i="2"/>
  <c r="R106" i="2" s="1"/>
  <c r="R109" i="2" s="1"/>
  <c r="L72" i="2"/>
  <c r="L73" i="2"/>
  <c r="L74" i="2"/>
  <c r="L75" i="2"/>
  <c r="L76" i="2"/>
  <c r="L77" i="2"/>
  <c r="G78" i="2"/>
  <c r="H78" i="2"/>
  <c r="K78" i="2"/>
  <c r="L78" i="2"/>
  <c r="G79" i="2"/>
  <c r="H79" i="2"/>
  <c r="K79" i="2"/>
  <c r="L79" i="2"/>
  <c r="G80" i="2"/>
  <c r="H80" i="2"/>
  <c r="K80" i="2"/>
  <c r="L80" i="2"/>
  <c r="L82" i="2"/>
  <c r="L83" i="2"/>
  <c r="L84" i="2"/>
  <c r="L85" i="2"/>
  <c r="L86" i="2"/>
  <c r="I87" i="2"/>
  <c r="J87" i="2"/>
  <c r="K87" i="2"/>
  <c r="L91" i="2"/>
  <c r="M91" i="2"/>
  <c r="N91" i="2" s="1"/>
  <c r="L92" i="2"/>
  <c r="L93" i="2"/>
  <c r="L94" i="2"/>
  <c r="L95" i="2"/>
  <c r="L96" i="2"/>
  <c r="L97" i="2"/>
  <c r="L98" i="2"/>
  <c r="G99" i="2"/>
  <c r="H99" i="2"/>
  <c r="I99" i="2"/>
  <c r="I102" i="2" s="1"/>
  <c r="J99" i="2"/>
  <c r="K99" i="2"/>
  <c r="K102" i="2" s="1"/>
  <c r="K109" i="2" s="1"/>
  <c r="K113" i="2" s="1"/>
  <c r="K115" i="2" s="1"/>
  <c r="N102" i="2"/>
  <c r="O102" i="2"/>
  <c r="P102" i="2"/>
  <c r="R102" i="2"/>
  <c r="N106" i="2"/>
  <c r="N109" i="2" s="1"/>
  <c r="P106" i="2"/>
  <c r="P109" i="2" s="1"/>
  <c r="P113" i="2" s="1"/>
  <c r="M113" i="2"/>
  <c r="M115" i="2" s="1"/>
  <c r="P115" i="2"/>
  <c r="A127" i="2"/>
  <c r="L137" i="2"/>
  <c r="R137" i="2" s="1"/>
  <c r="P137" i="2"/>
  <c r="L138" i="2"/>
  <c r="L139" i="2"/>
  <c r="R139" i="2"/>
  <c r="L140" i="2"/>
  <c r="P140" i="2"/>
  <c r="R140" i="2" s="1"/>
  <c r="G141" i="2"/>
  <c r="G157" i="2" s="1"/>
  <c r="G161" i="2" s="1"/>
  <c r="G163" i="2" s="1"/>
  <c r="H141" i="2"/>
  <c r="I141" i="2"/>
  <c r="I157" i="2" s="1"/>
  <c r="J141" i="2"/>
  <c r="J157" i="2" s="1"/>
  <c r="L141" i="2"/>
  <c r="N141" i="2"/>
  <c r="O141" i="2"/>
  <c r="O154" i="2" s="1"/>
  <c r="L145" i="2"/>
  <c r="P145" i="2"/>
  <c r="R145" i="2"/>
  <c r="L146" i="2"/>
  <c r="L147" i="2"/>
  <c r="L148" i="2"/>
  <c r="L149" i="2"/>
  <c r="L150" i="2"/>
  <c r="L151" i="2"/>
  <c r="L152" i="2"/>
  <c r="L153" i="2"/>
  <c r="R153" i="2" s="1"/>
  <c r="P153" i="2"/>
  <c r="G154" i="2"/>
  <c r="H154" i="2"/>
  <c r="H157" i="2" s="1"/>
  <c r="H161" i="2" s="1"/>
  <c r="H163" i="2" s="1"/>
  <c r="I154" i="2"/>
  <c r="J154" i="2"/>
  <c r="K154" i="2"/>
  <c r="K157" i="2" s="1"/>
  <c r="K161" i="2" s="1"/>
  <c r="K163" i="2" s="1"/>
  <c r="N154" i="2"/>
  <c r="N157" i="2"/>
  <c r="N161" i="2" s="1"/>
  <c r="N163" i="2" s="1"/>
  <c r="O157" i="2"/>
  <c r="O161" i="2" s="1"/>
  <c r="P157" i="2"/>
  <c r="R157" i="2"/>
  <c r="L159" i="2"/>
  <c r="L160" i="2"/>
  <c r="I161" i="2"/>
  <c r="J161" i="2"/>
  <c r="J163" i="2" s="1"/>
  <c r="M161" i="2"/>
  <c r="M163" i="2" s="1"/>
  <c r="P161" i="2"/>
  <c r="P163" i="2" s="1"/>
  <c r="I163" i="2"/>
  <c r="O163" i="2"/>
  <c r="I19" i="1"/>
  <c r="T19" i="1"/>
  <c r="I20" i="1"/>
  <c r="T20" i="1"/>
  <c r="I21" i="1"/>
  <c r="I24" i="1" s="1"/>
  <c r="T24" i="1" s="1"/>
  <c r="T21" i="1"/>
  <c r="E22" i="1"/>
  <c r="F22" i="1"/>
  <c r="I22" i="1"/>
  <c r="T22" i="1"/>
  <c r="T23" i="1"/>
  <c r="D24" i="1"/>
  <c r="E24" i="1"/>
  <c r="F24" i="1"/>
  <c r="G24" i="1"/>
  <c r="H24" i="1"/>
  <c r="T25" i="1"/>
  <c r="T26" i="1"/>
  <c r="T27" i="1"/>
  <c r="I28" i="1"/>
  <c r="I29" i="1"/>
  <c r="T29" i="1" s="1"/>
  <c r="I30" i="1"/>
  <c r="T30" i="1" s="1"/>
  <c r="I31" i="1"/>
  <c r="T31" i="1" s="1"/>
  <c r="I32" i="1"/>
  <c r="T32" i="1"/>
  <c r="I33" i="1"/>
  <c r="T33" i="1"/>
  <c r="I34" i="1"/>
  <c r="T34" i="1"/>
  <c r="D35" i="1"/>
  <c r="I35" i="1"/>
  <c r="I36" i="1"/>
  <c r="T36" i="1"/>
  <c r="I37" i="1"/>
  <c r="T37" i="1"/>
  <c r="I38" i="1"/>
  <c r="T38" i="1"/>
  <c r="I39" i="1"/>
  <c r="T39" i="1"/>
  <c r="I40" i="1"/>
  <c r="T40" i="1"/>
  <c r="T41" i="1"/>
  <c r="E42" i="1"/>
  <c r="F42" i="1"/>
  <c r="G42" i="1"/>
  <c r="H42" i="1"/>
  <c r="T43" i="1"/>
  <c r="T44" i="1"/>
  <c r="T45" i="1"/>
  <c r="I46" i="1"/>
  <c r="T46" i="1"/>
  <c r="I47" i="1"/>
  <c r="I66" i="1" s="1"/>
  <c r="T47" i="1"/>
  <c r="I48" i="1"/>
  <c r="T48" i="1" s="1"/>
  <c r="I49" i="1"/>
  <c r="T49" i="1"/>
  <c r="E50" i="1"/>
  <c r="F50" i="1"/>
  <c r="I50" i="1"/>
  <c r="T50" i="1"/>
  <c r="D51" i="1"/>
  <c r="T51" i="1" s="1"/>
  <c r="I51" i="1"/>
  <c r="I52" i="1"/>
  <c r="D52" i="1" s="1"/>
  <c r="T52" i="1"/>
  <c r="D53" i="1"/>
  <c r="T53" i="1" s="1"/>
  <c r="I53" i="1"/>
  <c r="D54" i="1"/>
  <c r="T54" i="1" s="1"/>
  <c r="I54" i="1"/>
  <c r="T55" i="1"/>
  <c r="D56" i="1"/>
  <c r="T56" i="1"/>
  <c r="I57" i="1"/>
  <c r="T57" i="1"/>
  <c r="I58" i="1"/>
  <c r="D58" i="1" s="1"/>
  <c r="T58" i="1" s="1"/>
  <c r="D59" i="1"/>
  <c r="T59" i="1" s="1"/>
  <c r="E59" i="1"/>
  <c r="I59" i="1" s="1"/>
  <c r="E60" i="1"/>
  <c r="I60" i="1"/>
  <c r="D60" i="1" s="1"/>
  <c r="T60" i="1" s="1"/>
  <c r="I61" i="1"/>
  <c r="D61" i="1" s="1"/>
  <c r="T61" i="1" s="1"/>
  <c r="I62" i="1"/>
  <c r="T62" i="1"/>
  <c r="I63" i="1"/>
  <c r="T63" i="1"/>
  <c r="I64" i="1"/>
  <c r="D64" i="1" s="1"/>
  <c r="T64" i="1" s="1"/>
  <c r="T65" i="1"/>
  <c r="E66" i="1"/>
  <c r="F66" i="1"/>
  <c r="G66" i="1"/>
  <c r="H66" i="1"/>
  <c r="T67" i="1"/>
  <c r="T68" i="1"/>
  <c r="T69" i="1"/>
  <c r="E70" i="1"/>
  <c r="I70" i="1" s="1"/>
  <c r="F70" i="1"/>
  <c r="T70" i="1"/>
  <c r="E71" i="1"/>
  <c r="I71" i="1" s="1"/>
  <c r="T71" i="1" s="1"/>
  <c r="F71" i="1"/>
  <c r="E72" i="1"/>
  <c r="F72" i="1"/>
  <c r="T72" i="1"/>
  <c r="E73" i="1"/>
  <c r="F73" i="1"/>
  <c r="T73" i="1"/>
  <c r="E74" i="1"/>
  <c r="I74" i="1" s="1"/>
  <c r="F74" i="1"/>
  <c r="T74" i="1"/>
  <c r="E75" i="1"/>
  <c r="F75" i="1"/>
  <c r="E76" i="1"/>
  <c r="F76" i="1"/>
  <c r="E77" i="1"/>
  <c r="F77" i="1"/>
  <c r="D78" i="1"/>
  <c r="I78" i="1"/>
  <c r="I79" i="1"/>
  <c r="D79" i="1" s="1"/>
  <c r="T79" i="1" s="1"/>
  <c r="I80" i="1"/>
  <c r="T80" i="1"/>
  <c r="I81" i="1"/>
  <c r="T81" i="1" s="1"/>
  <c r="I82" i="1"/>
  <c r="T82" i="1"/>
  <c r="T83" i="1"/>
  <c r="I84" i="1"/>
  <c r="T84" i="1" s="1"/>
  <c r="I85" i="1"/>
  <c r="T85" i="1"/>
  <c r="I86" i="1"/>
  <c r="T86" i="1"/>
  <c r="I87" i="1"/>
  <c r="T87" i="1"/>
  <c r="I88" i="1"/>
  <c r="T88" i="1" s="1"/>
  <c r="T89" i="1"/>
  <c r="G90" i="1"/>
  <c r="H90" i="1"/>
  <c r="T91" i="1"/>
  <c r="T92" i="1"/>
  <c r="T93" i="1"/>
  <c r="E94" i="1"/>
  <c r="F94" i="1"/>
  <c r="I94" i="1"/>
  <c r="I97" i="1" s="1"/>
  <c r="T97" i="1" s="1"/>
  <c r="T94" i="1"/>
  <c r="E95" i="1"/>
  <c r="I95" i="1"/>
  <c r="T95" i="1"/>
  <c r="T96" i="1"/>
  <c r="D97" i="1"/>
  <c r="E97" i="1"/>
  <c r="F97" i="1"/>
  <c r="G97" i="1"/>
  <c r="H97" i="1"/>
  <c r="T98" i="1"/>
  <c r="T99" i="1"/>
  <c r="T100" i="1"/>
  <c r="T101" i="1"/>
  <c r="T102" i="1"/>
  <c r="E103" i="1"/>
  <c r="I103" i="1"/>
  <c r="T103" i="1"/>
  <c r="E104" i="1"/>
  <c r="I104" i="1" s="1"/>
  <c r="T104" i="1" s="1"/>
  <c r="E105" i="1"/>
  <c r="I105" i="1"/>
  <c r="E106" i="1"/>
  <c r="I106" i="1" s="1"/>
  <c r="T106" i="1" s="1"/>
  <c r="E107" i="1"/>
  <c r="I107" i="1"/>
  <c r="T107" i="1" s="1"/>
  <c r="E108" i="1"/>
  <c r="I108" i="1" s="1"/>
  <c r="T108" i="1" s="1"/>
  <c r="I109" i="1"/>
  <c r="T109" i="1"/>
  <c r="I110" i="1"/>
  <c r="T110" i="1"/>
  <c r="I111" i="1"/>
  <c r="T111" i="1" s="1"/>
  <c r="I112" i="1"/>
  <c r="T112" i="1"/>
  <c r="I113" i="1"/>
  <c r="T113" i="1" s="1"/>
  <c r="T114" i="1"/>
  <c r="D115" i="1"/>
  <c r="E115" i="1"/>
  <c r="F115" i="1"/>
  <c r="G115" i="1"/>
  <c r="H115" i="1"/>
  <c r="T116" i="1"/>
  <c r="T117" i="1"/>
  <c r="T118" i="1"/>
  <c r="I119" i="1"/>
  <c r="T119" i="1" s="1"/>
  <c r="D120" i="1"/>
  <c r="E120" i="1"/>
  <c r="F120" i="1"/>
  <c r="G120" i="1"/>
  <c r="H120" i="1"/>
  <c r="I120" i="1"/>
  <c r="T120" i="1"/>
  <c r="T121" i="1"/>
  <c r="T122" i="1"/>
  <c r="T123" i="1"/>
  <c r="T124" i="1"/>
  <c r="T125" i="1"/>
  <c r="I126" i="1"/>
  <c r="T126" i="1"/>
  <c r="T127" i="1"/>
  <c r="D128" i="1"/>
  <c r="E128" i="1"/>
  <c r="F128" i="1"/>
  <c r="G128" i="1"/>
  <c r="G146" i="1" s="1"/>
  <c r="G151" i="1" s="1"/>
  <c r="H128" i="1"/>
  <c r="I128" i="1"/>
  <c r="T128" i="1"/>
  <c r="T129" i="1"/>
  <c r="T130" i="1"/>
  <c r="T131" i="1"/>
  <c r="E132" i="1"/>
  <c r="F132" i="1"/>
  <c r="F144" i="1" s="1"/>
  <c r="E133" i="1"/>
  <c r="F133" i="1"/>
  <c r="E134" i="1"/>
  <c r="I134" i="1"/>
  <c r="T134" i="1" s="1"/>
  <c r="E135" i="1"/>
  <c r="I135" i="1"/>
  <c r="T135" i="1" s="1"/>
  <c r="E136" i="1"/>
  <c r="F136" i="1"/>
  <c r="I136" i="1" s="1"/>
  <c r="T136" i="1" s="1"/>
  <c r="E137" i="1"/>
  <c r="I137" i="1"/>
  <c r="T137" i="1"/>
  <c r="I138" i="1"/>
  <c r="T138" i="1"/>
  <c r="I139" i="1"/>
  <c r="T139" i="1"/>
  <c r="T140" i="1"/>
  <c r="T141" i="1"/>
  <c r="T142" i="1"/>
  <c r="T143" i="1"/>
  <c r="D144" i="1"/>
  <c r="G144" i="1"/>
  <c r="H144" i="1"/>
  <c r="T145" i="1"/>
  <c r="T147" i="1"/>
  <c r="T148" i="1"/>
  <c r="E149" i="1"/>
  <c r="I149" i="1"/>
  <c r="T149" i="1"/>
  <c r="T150" i="1"/>
  <c r="T152" i="1"/>
  <c r="T153" i="1"/>
  <c r="T154" i="1"/>
  <c r="T155" i="1"/>
  <c r="T156" i="1"/>
  <c r="T157" i="1"/>
  <c r="T158" i="1"/>
  <c r="E159" i="1"/>
  <c r="F159" i="1"/>
  <c r="E160" i="1"/>
  <c r="I160" i="1" s="1"/>
  <c r="D160" i="1" s="1"/>
  <c r="T160" i="1" s="1"/>
  <c r="E161" i="1"/>
  <c r="I161" i="1" s="1"/>
  <c r="F161" i="1"/>
  <c r="T161" i="1"/>
  <c r="D162" i="1"/>
  <c r="T162" i="1" s="1"/>
  <c r="E162" i="1"/>
  <c r="I162" i="1" s="1"/>
  <c r="F162" i="1"/>
  <c r="D163" i="1"/>
  <c r="E163" i="1"/>
  <c r="I163" i="1"/>
  <c r="T163" i="1"/>
  <c r="E164" i="1"/>
  <c r="I164" i="1" s="1"/>
  <c r="T164" i="1" s="1"/>
  <c r="E165" i="1"/>
  <c r="I165" i="1" s="1"/>
  <c r="D165" i="1" s="1"/>
  <c r="T165" i="1"/>
  <c r="E166" i="1"/>
  <c r="I166" i="1" s="1"/>
  <c r="D166" i="1" s="1"/>
  <c r="T166" i="1" s="1"/>
  <c r="D167" i="1"/>
  <c r="T167" i="1" s="1"/>
  <c r="E167" i="1"/>
  <c r="I167" i="1" s="1"/>
  <c r="E168" i="1"/>
  <c r="I168" i="1"/>
  <c r="T168" i="1" s="1"/>
  <c r="E169" i="1"/>
  <c r="F169" i="1"/>
  <c r="E170" i="1"/>
  <c r="I170" i="1" s="1"/>
  <c r="D170" i="1" s="1"/>
  <c r="T170" i="1" s="1"/>
  <c r="D171" i="1"/>
  <c r="T171" i="1" s="1"/>
  <c r="I171" i="1"/>
  <c r="E172" i="1"/>
  <c r="I172" i="1" s="1"/>
  <c r="T172" i="1"/>
  <c r="E173" i="1"/>
  <c r="I173" i="1"/>
  <c r="T173" i="1"/>
  <c r="E174" i="1"/>
  <c r="I174" i="1" s="1"/>
  <c r="T174" i="1" s="1"/>
  <c r="I175" i="1"/>
  <c r="T175" i="1" s="1"/>
  <c r="E176" i="1"/>
  <c r="I176" i="1" s="1"/>
  <c r="D176" i="1" s="1"/>
  <c r="T176" i="1" s="1"/>
  <c r="F176" i="1"/>
  <c r="D177" i="1"/>
  <c r="T177" i="1" s="1"/>
  <c r="E177" i="1"/>
  <c r="I177" i="1" s="1"/>
  <c r="E178" i="1"/>
  <c r="I178" i="1"/>
  <c r="D178" i="1" s="1"/>
  <c r="T178" i="1" s="1"/>
  <c r="I179" i="1"/>
  <c r="D179" i="1" s="1"/>
  <c r="T179" i="1" s="1"/>
  <c r="I180" i="1"/>
  <c r="D180" i="1" s="1"/>
  <c r="T180" i="1" s="1"/>
  <c r="D181" i="1"/>
  <c r="T181" i="1" s="1"/>
  <c r="I181" i="1"/>
  <c r="I182" i="1"/>
  <c r="D182" i="1" s="1"/>
  <c r="T182" i="1" s="1"/>
  <c r="I183" i="1"/>
  <c r="T183" i="1" s="1"/>
  <c r="D184" i="1"/>
  <c r="I184" i="1"/>
  <c r="T184" i="1"/>
  <c r="D185" i="1"/>
  <c r="T185" i="1" s="1"/>
  <c r="I185" i="1"/>
  <c r="I186" i="1"/>
  <c r="D186" i="1" s="1"/>
  <c r="T186" i="1"/>
  <c r="I187" i="1"/>
  <c r="D187" i="1" s="1"/>
  <c r="T187" i="1"/>
  <c r="D188" i="1"/>
  <c r="T188" i="1" s="1"/>
  <c r="I188" i="1"/>
  <c r="I189" i="1"/>
  <c r="D189" i="1" s="1"/>
  <c r="T189" i="1" s="1"/>
  <c r="D190" i="1"/>
  <c r="T190" i="1" s="1"/>
  <c r="T191" i="1"/>
  <c r="D192" i="1"/>
  <c r="T192" i="1"/>
  <c r="I193" i="1"/>
  <c r="D193" i="1" s="1"/>
  <c r="T193" i="1" s="1"/>
  <c r="D194" i="1"/>
  <c r="T194" i="1" s="1"/>
  <c r="I194" i="1"/>
  <c r="I195" i="1"/>
  <c r="D195" i="1" s="1"/>
  <c r="T195" i="1" s="1"/>
  <c r="D196" i="1"/>
  <c r="T196" i="1" s="1"/>
  <c r="I196" i="1"/>
  <c r="D197" i="1"/>
  <c r="T197" i="1" s="1"/>
  <c r="I197" i="1"/>
  <c r="I198" i="1"/>
  <c r="T198" i="1"/>
  <c r="I199" i="1"/>
  <c r="T199" i="1" s="1"/>
  <c r="I200" i="1"/>
  <c r="T200" i="1" s="1"/>
  <c r="I201" i="1"/>
  <c r="T201" i="1" s="1"/>
  <c r="I202" i="1"/>
  <c r="T202" i="1"/>
  <c r="I203" i="1"/>
  <c r="T203" i="1" s="1"/>
  <c r="I204" i="1"/>
  <c r="T204" i="1"/>
  <c r="I205" i="1"/>
  <c r="T205" i="1" s="1"/>
  <c r="I206" i="1"/>
  <c r="T206" i="1"/>
  <c r="I207" i="1"/>
  <c r="T207" i="1" s="1"/>
  <c r="T208" i="1"/>
  <c r="I209" i="1"/>
  <c r="D209" i="1" s="1"/>
  <c r="T209" i="1" s="1"/>
  <c r="I210" i="1"/>
  <c r="T210" i="1"/>
  <c r="D211" i="1"/>
  <c r="I211" i="1"/>
  <c r="T211" i="1"/>
  <c r="I212" i="1"/>
  <c r="T212" i="1"/>
  <c r="I213" i="1"/>
  <c r="D213" i="1" s="1"/>
  <c r="T213" i="1"/>
  <c r="D214" i="1"/>
  <c r="T214" i="1" s="1"/>
  <c r="T215" i="1"/>
  <c r="I216" i="1"/>
  <c r="D216" i="1" s="1"/>
  <c r="T216" i="1" s="1"/>
  <c r="I218" i="1"/>
  <c r="T218" i="1"/>
  <c r="E219" i="1"/>
  <c r="I219" i="1" s="1"/>
  <c r="T219" i="1"/>
  <c r="D220" i="1"/>
  <c r="T220" i="1" s="1"/>
  <c r="I220" i="1"/>
  <c r="G222" i="1"/>
  <c r="H222" i="1"/>
  <c r="T223" i="1"/>
  <c r="T224" i="1"/>
  <c r="T225" i="1"/>
  <c r="E226" i="1"/>
  <c r="I226" i="1"/>
  <c r="E227" i="1"/>
  <c r="I227" i="1" s="1"/>
  <c r="T227" i="1"/>
  <c r="E228" i="1"/>
  <c r="I228" i="1" s="1"/>
  <c r="T228" i="1" s="1"/>
  <c r="E229" i="1"/>
  <c r="F229" i="1"/>
  <c r="I229" i="1"/>
  <c r="T229" i="1" s="1"/>
  <c r="E230" i="1"/>
  <c r="F230" i="1"/>
  <c r="D231" i="1"/>
  <c r="T231" i="1" s="1"/>
  <c r="E231" i="1"/>
  <c r="I231" i="1"/>
  <c r="E232" i="1"/>
  <c r="I232" i="1" s="1"/>
  <c r="D232" i="1" s="1"/>
  <c r="T232" i="1" s="1"/>
  <c r="D233" i="1"/>
  <c r="T233" i="1" s="1"/>
  <c r="E233" i="1"/>
  <c r="I233" i="1" s="1"/>
  <c r="E234" i="1"/>
  <c r="I234" i="1"/>
  <c r="D234" i="1" s="1"/>
  <c r="T234" i="1" s="1"/>
  <c r="E235" i="1"/>
  <c r="I235" i="1" s="1"/>
  <c r="T235" i="1" s="1"/>
  <c r="F235" i="1"/>
  <c r="E236" i="1"/>
  <c r="F236" i="1"/>
  <c r="E237" i="1"/>
  <c r="I237" i="1"/>
  <c r="T237" i="1" s="1"/>
  <c r="E238" i="1"/>
  <c r="I238" i="1"/>
  <c r="T238" i="1"/>
  <c r="E239" i="1"/>
  <c r="I239" i="1" s="1"/>
  <c r="T239" i="1" s="1"/>
  <c r="E240" i="1"/>
  <c r="I240" i="1"/>
  <c r="T240" i="1" s="1"/>
  <c r="E241" i="1"/>
  <c r="I241" i="1" s="1"/>
  <c r="T241" i="1" s="1"/>
  <c r="E242" i="1"/>
  <c r="I242" i="1"/>
  <c r="T242" i="1" s="1"/>
  <c r="E243" i="1"/>
  <c r="I243" i="1"/>
  <c r="D243" i="1" s="1"/>
  <c r="T243" i="1" s="1"/>
  <c r="D244" i="1"/>
  <c r="T244" i="1" s="1"/>
  <c r="E244" i="1"/>
  <c r="I244" i="1"/>
  <c r="E245" i="1"/>
  <c r="I245" i="1" s="1"/>
  <c r="T245" i="1"/>
  <c r="D246" i="1"/>
  <c r="T246" i="1" s="1"/>
  <c r="I246" i="1"/>
  <c r="I247" i="1"/>
  <c r="T247" i="1" s="1"/>
  <c r="D248" i="1"/>
  <c r="I248" i="1"/>
  <c r="T248" i="1"/>
  <c r="I249" i="1"/>
  <c r="T249" i="1" s="1"/>
  <c r="I250" i="1"/>
  <c r="D250" i="1" s="1"/>
  <c r="T250" i="1"/>
  <c r="D251" i="1"/>
  <c r="T251" i="1" s="1"/>
  <c r="I251" i="1"/>
  <c r="I252" i="1"/>
  <c r="T252" i="1" s="1"/>
  <c r="I253" i="1"/>
  <c r="D253" i="1" s="1"/>
  <c r="T253" i="1" s="1"/>
  <c r="I254" i="1"/>
  <c r="T254" i="1" s="1"/>
  <c r="I255" i="1"/>
  <c r="T255" i="1"/>
  <c r="D256" i="1"/>
  <c r="I256" i="1"/>
  <c r="T256" i="1"/>
  <c r="D257" i="1"/>
  <c r="T257" i="1" s="1"/>
  <c r="T258" i="1"/>
  <c r="I259" i="1"/>
  <c r="D259" i="1" s="1"/>
  <c r="T259" i="1" s="1"/>
  <c r="E260" i="1"/>
  <c r="I260" i="1"/>
  <c r="T260" i="1"/>
  <c r="D261" i="1"/>
  <c r="I261" i="1"/>
  <c r="T261" i="1"/>
  <c r="D262" i="1"/>
  <c r="T262" i="1" s="1"/>
  <c r="I262" i="1"/>
  <c r="E263" i="1"/>
  <c r="G263" i="1"/>
  <c r="H263" i="1"/>
  <c r="T264" i="1"/>
  <c r="T265" i="1"/>
  <c r="T266" i="1"/>
  <c r="E267" i="1"/>
  <c r="F267" i="1"/>
  <c r="G267" i="1"/>
  <c r="H267" i="1"/>
  <c r="I268" i="1"/>
  <c r="T268" i="1"/>
  <c r="I269" i="1"/>
  <c r="D270" i="1"/>
  <c r="I270" i="1"/>
  <c r="T270" i="1"/>
  <c r="I271" i="1"/>
  <c r="D271" i="1" s="1"/>
  <c r="T271" i="1" s="1"/>
  <c r="I272" i="1"/>
  <c r="D272" i="1" s="1"/>
  <c r="T272" i="1" s="1"/>
  <c r="I273" i="1"/>
  <c r="D273" i="1" s="1"/>
  <c r="T273" i="1"/>
  <c r="D274" i="1"/>
  <c r="I274" i="1"/>
  <c r="T274" i="1"/>
  <c r="D275" i="1"/>
  <c r="T275" i="1" s="1"/>
  <c r="I275" i="1"/>
  <c r="I276" i="1"/>
  <c r="D276" i="1" s="1"/>
  <c r="T276" i="1"/>
  <c r="I277" i="1"/>
  <c r="D277" i="1" s="1"/>
  <c r="T277" i="1" s="1"/>
  <c r="D278" i="1"/>
  <c r="I278" i="1"/>
  <c r="T278" i="1"/>
  <c r="I279" i="1"/>
  <c r="D279" i="1" s="1"/>
  <c r="T279" i="1" s="1"/>
  <c r="I280" i="1"/>
  <c r="D280" i="1" s="1"/>
  <c r="T280" i="1" s="1"/>
  <c r="I281" i="1"/>
  <c r="D281" i="1" s="1"/>
  <c r="T281" i="1"/>
  <c r="D282" i="1"/>
  <c r="I282" i="1"/>
  <c r="T282" i="1"/>
  <c r="T283" i="1"/>
  <c r="D284" i="1"/>
  <c r="I284" i="1"/>
  <c r="T284" i="1"/>
  <c r="I285" i="1"/>
  <c r="T285" i="1" s="1"/>
  <c r="D286" i="1"/>
  <c r="T286" i="1"/>
  <c r="D287" i="1"/>
  <c r="T287" i="1" s="1"/>
  <c r="I288" i="1"/>
  <c r="T288" i="1"/>
  <c r="I289" i="1"/>
  <c r="T289" i="1"/>
  <c r="I290" i="1"/>
  <c r="D290" i="1" s="1"/>
  <c r="T290" i="1"/>
  <c r="I291" i="1"/>
  <c r="T291" i="1"/>
  <c r="T292" i="1"/>
  <c r="I293" i="1"/>
  <c r="I392" i="1" s="1"/>
  <c r="D294" i="1"/>
  <c r="I294" i="1"/>
  <c r="T294" i="1"/>
  <c r="I295" i="1"/>
  <c r="D295" i="1" s="1"/>
  <c r="T295" i="1" s="1"/>
  <c r="D296" i="1"/>
  <c r="I296" i="1"/>
  <c r="T296" i="1"/>
  <c r="D297" i="1"/>
  <c r="T297" i="1" s="1"/>
  <c r="I297" i="1"/>
  <c r="D298" i="1"/>
  <c r="T298" i="1" s="1"/>
  <c r="I298" i="1"/>
  <c r="I299" i="1"/>
  <c r="D299" i="1" s="1"/>
  <c r="T299" i="1"/>
  <c r="D300" i="1"/>
  <c r="T300" i="1" s="1"/>
  <c r="I300" i="1"/>
  <c r="D301" i="1"/>
  <c r="T301" i="1" s="1"/>
  <c r="I301" i="1"/>
  <c r="D302" i="1"/>
  <c r="T302" i="1" s="1"/>
  <c r="I302" i="1"/>
  <c r="I303" i="1"/>
  <c r="D303" i="1" s="1"/>
  <c r="T303" i="1" s="1"/>
  <c r="D304" i="1"/>
  <c r="I304" i="1"/>
  <c r="T304" i="1"/>
  <c r="T305" i="1"/>
  <c r="G306" i="1"/>
  <c r="H306" i="1"/>
  <c r="T307" i="1"/>
  <c r="F308" i="1"/>
  <c r="D309" i="1"/>
  <c r="F309" i="1"/>
  <c r="I309" i="1"/>
  <c r="T309" i="1"/>
  <c r="D310" i="1"/>
  <c r="T310" i="1" s="1"/>
  <c r="I310" i="1"/>
  <c r="E311" i="1"/>
  <c r="E312" i="1"/>
  <c r="I312" i="1"/>
  <c r="D312" i="1" s="1"/>
  <c r="T312" i="1"/>
  <c r="E313" i="1"/>
  <c r="I313" i="1" s="1"/>
  <c r="D313" i="1" s="1"/>
  <c r="T313" i="1" s="1"/>
  <c r="D314" i="1"/>
  <c r="T314" i="1" s="1"/>
  <c r="E314" i="1"/>
  <c r="I314" i="1"/>
  <c r="D315" i="1"/>
  <c r="E315" i="1"/>
  <c r="I315" i="1" s="1"/>
  <c r="T315" i="1"/>
  <c r="E316" i="1"/>
  <c r="I316" i="1" s="1"/>
  <c r="D316" i="1" s="1"/>
  <c r="T316" i="1"/>
  <c r="D317" i="1"/>
  <c r="T317" i="1" s="1"/>
  <c r="E317" i="1"/>
  <c r="I317" i="1" s="1"/>
  <c r="E318" i="1"/>
  <c r="I318" i="1"/>
  <c r="D318" i="1" s="1"/>
  <c r="T318" i="1" s="1"/>
  <c r="I319" i="1"/>
  <c r="D319" i="1" s="1"/>
  <c r="T319" i="1" s="1"/>
  <c r="D320" i="1"/>
  <c r="T320" i="1" s="1"/>
  <c r="I320" i="1"/>
  <c r="I321" i="1"/>
  <c r="D321" i="1" s="1"/>
  <c r="T321" i="1" s="1"/>
  <c r="D322" i="1"/>
  <c r="T322" i="1" s="1"/>
  <c r="I322" i="1"/>
  <c r="I323" i="1"/>
  <c r="D323" i="1" s="1"/>
  <c r="T323" i="1" s="1"/>
  <c r="D324" i="1"/>
  <c r="I324" i="1"/>
  <c r="T324" i="1"/>
  <c r="I325" i="1"/>
  <c r="D325" i="1" s="1"/>
  <c r="T325" i="1" s="1"/>
  <c r="I326" i="1"/>
  <c r="D326" i="1" s="1"/>
  <c r="T326" i="1" s="1"/>
  <c r="D327" i="1"/>
  <c r="T327" i="1" s="1"/>
  <c r="I327" i="1"/>
  <c r="I328" i="1"/>
  <c r="D328" i="1" s="1"/>
  <c r="T328" i="1"/>
  <c r="I329" i="1"/>
  <c r="D329" i="1" s="1"/>
  <c r="T329" i="1"/>
  <c r="D330" i="1"/>
  <c r="T330" i="1" s="1"/>
  <c r="D331" i="1"/>
  <c r="T331" i="1"/>
  <c r="D332" i="1"/>
  <c r="T332" i="1"/>
  <c r="D333" i="1"/>
  <c r="T333" i="1"/>
  <c r="D334" i="1"/>
  <c r="T334" i="1" s="1"/>
  <c r="D335" i="1"/>
  <c r="T335" i="1" s="1"/>
  <c r="D336" i="1"/>
  <c r="T336" i="1" s="1"/>
  <c r="D337" i="1"/>
  <c r="T337" i="1" s="1"/>
  <c r="D338" i="1"/>
  <c r="T338" i="1" s="1"/>
  <c r="I338" i="1"/>
  <c r="D339" i="1"/>
  <c r="T339" i="1"/>
  <c r="D340" i="1"/>
  <c r="T340" i="1" s="1"/>
  <c r="D341" i="1"/>
  <c r="T341" i="1"/>
  <c r="I342" i="1"/>
  <c r="D342" i="1" s="1"/>
  <c r="T342" i="1" s="1"/>
  <c r="I343" i="1"/>
  <c r="D343" i="1" s="1"/>
  <c r="T343" i="1"/>
  <c r="D344" i="1"/>
  <c r="T344" i="1" s="1"/>
  <c r="I344" i="1"/>
  <c r="I345" i="1"/>
  <c r="D345" i="1" s="1"/>
  <c r="T345" i="1"/>
  <c r="I346" i="1"/>
  <c r="D346" i="1" s="1"/>
  <c r="T346" i="1"/>
  <c r="D347" i="1"/>
  <c r="T347" i="1" s="1"/>
  <c r="I347" i="1"/>
  <c r="I348" i="1"/>
  <c r="D348" i="1" s="1"/>
  <c r="T348" i="1" s="1"/>
  <c r="D349" i="1"/>
  <c r="I349" i="1"/>
  <c r="T349" i="1"/>
  <c r="I350" i="1"/>
  <c r="D350" i="1" s="1"/>
  <c r="T350" i="1"/>
  <c r="I351" i="1"/>
  <c r="D351" i="1" s="1"/>
  <c r="T351" i="1" s="1"/>
  <c r="I352" i="1"/>
  <c r="D352" i="1" s="1"/>
  <c r="T352" i="1" s="1"/>
  <c r="D353" i="1"/>
  <c r="I353" i="1"/>
  <c r="T353" i="1"/>
  <c r="D354" i="1"/>
  <c r="T354" i="1" s="1"/>
  <c r="I354" i="1"/>
  <c r="D355" i="1"/>
  <c r="I355" i="1"/>
  <c r="T355" i="1"/>
  <c r="D356" i="1"/>
  <c r="T356" i="1"/>
  <c r="D357" i="1"/>
  <c r="T357" i="1" s="1"/>
  <c r="D358" i="1"/>
  <c r="T358" i="1"/>
  <c r="D359" i="1"/>
  <c r="T359" i="1"/>
  <c r="D360" i="1"/>
  <c r="T360" i="1"/>
  <c r="D361" i="1"/>
  <c r="T361" i="1" s="1"/>
  <c r="D362" i="1"/>
  <c r="T362" i="1"/>
  <c r="D363" i="1"/>
  <c r="T363" i="1"/>
  <c r="D364" i="1"/>
  <c r="T364" i="1"/>
  <c r="D365" i="1"/>
  <c r="T365" i="1" s="1"/>
  <c r="D366" i="1"/>
  <c r="T366" i="1"/>
  <c r="D367" i="1"/>
  <c r="T367" i="1"/>
  <c r="D368" i="1"/>
  <c r="T368" i="1"/>
  <c r="D369" i="1"/>
  <c r="T369" i="1" s="1"/>
  <c r="D370" i="1"/>
  <c r="T370" i="1"/>
  <c r="D371" i="1"/>
  <c r="T371" i="1"/>
  <c r="D372" i="1"/>
  <c r="T372" i="1"/>
  <c r="D373" i="1"/>
  <c r="T373" i="1" s="1"/>
  <c r="D374" i="1"/>
  <c r="T374" i="1"/>
  <c r="I375" i="1"/>
  <c r="D375" i="1" s="1"/>
  <c r="T375" i="1"/>
  <c r="I376" i="1"/>
  <c r="D376" i="1" s="1"/>
  <c r="T376" i="1"/>
  <c r="D377" i="1"/>
  <c r="T377" i="1" s="1"/>
  <c r="I377" i="1"/>
  <c r="I378" i="1"/>
  <c r="D378" i="1" s="1"/>
  <c r="T378" i="1" s="1"/>
  <c r="I379" i="1"/>
  <c r="D379" i="1" s="1"/>
  <c r="T379" i="1" s="1"/>
  <c r="D380" i="1"/>
  <c r="T380" i="1" s="1"/>
  <c r="I380" i="1"/>
  <c r="I381" i="1"/>
  <c r="D381" i="1" s="1"/>
  <c r="T381" i="1" s="1"/>
  <c r="I382" i="1"/>
  <c r="D382" i="1" s="1"/>
  <c r="T382" i="1" s="1"/>
  <c r="I383" i="1"/>
  <c r="D383" i="1" s="1"/>
  <c r="T383" i="1"/>
  <c r="D384" i="1"/>
  <c r="T384" i="1" s="1"/>
  <c r="I384" i="1"/>
  <c r="I385" i="1"/>
  <c r="D385" i="1" s="1"/>
  <c r="T385" i="1" s="1"/>
  <c r="D386" i="1"/>
  <c r="I386" i="1"/>
  <c r="T386" i="1"/>
  <c r="D387" i="1"/>
  <c r="T387" i="1" s="1"/>
  <c r="I387" i="1"/>
  <c r="I388" i="1"/>
  <c r="T388" i="1"/>
  <c r="D389" i="1"/>
  <c r="T389" i="1" s="1"/>
  <c r="I389" i="1"/>
  <c r="I390" i="1"/>
  <c r="D390" i="1" s="1"/>
  <c r="T390" i="1" s="1"/>
  <c r="T391" i="1"/>
  <c r="E392" i="1"/>
  <c r="F392" i="1"/>
  <c r="G392" i="1"/>
  <c r="H392" i="1"/>
  <c r="T393" i="1"/>
  <c r="D394" i="1"/>
  <c r="I394" i="1"/>
  <c r="I395" i="1"/>
  <c r="D395" i="1" s="1"/>
  <c r="T395" i="1"/>
  <c r="I396" i="1"/>
  <c r="D396" i="1" s="1"/>
  <c r="T396" i="1"/>
  <c r="D397" i="1"/>
  <c r="T397" i="1" s="1"/>
  <c r="I397" i="1"/>
  <c r="I398" i="1"/>
  <c r="D398" i="1" s="1"/>
  <c r="T398" i="1" s="1"/>
  <c r="D399" i="1"/>
  <c r="T399" i="1" s="1"/>
  <c r="I399" i="1"/>
  <c r="I400" i="1"/>
  <c r="D400" i="1" s="1"/>
  <c r="T400" i="1" s="1"/>
  <c r="D401" i="1"/>
  <c r="I401" i="1"/>
  <c r="T401" i="1"/>
  <c r="D402" i="1"/>
  <c r="T402" i="1" s="1"/>
  <c r="I402" i="1"/>
  <c r="I403" i="1"/>
  <c r="D403" i="1" s="1"/>
  <c r="T403" i="1" s="1"/>
  <c r="I404" i="1"/>
  <c r="D404" i="1" s="1"/>
  <c r="T404" i="1"/>
  <c r="D405" i="1"/>
  <c r="T405" i="1" s="1"/>
  <c r="I405" i="1"/>
  <c r="I406" i="1"/>
  <c r="D406" i="1" s="1"/>
  <c r="T406" i="1" s="1"/>
  <c r="D407" i="1"/>
  <c r="T407" i="1" s="1"/>
  <c r="I407" i="1"/>
  <c r="I408" i="1"/>
  <c r="D408" i="1" s="1"/>
  <c r="T408" i="1" s="1"/>
  <c r="D409" i="1"/>
  <c r="I409" i="1"/>
  <c r="T409" i="1"/>
  <c r="D410" i="1"/>
  <c r="T410" i="1" s="1"/>
  <c r="I410" i="1"/>
  <c r="I411" i="1"/>
  <c r="D411" i="1" s="1"/>
  <c r="T411" i="1"/>
  <c r="I412" i="1"/>
  <c r="D412" i="1" s="1"/>
  <c r="T412" i="1"/>
  <c r="T413" i="1"/>
  <c r="E414" i="1"/>
  <c r="F414" i="1"/>
  <c r="G414" i="1"/>
  <c r="H414" i="1"/>
  <c r="E415" i="1"/>
  <c r="I415" i="1" s="1"/>
  <c r="T415" i="1"/>
  <c r="G416" i="1"/>
  <c r="T416" i="1"/>
  <c r="I417" i="1"/>
  <c r="T417" i="1"/>
  <c r="G418" i="1"/>
  <c r="T419" i="1"/>
  <c r="T420" i="1"/>
  <c r="T421" i="1"/>
  <c r="T422" i="1"/>
  <c r="I423" i="1"/>
  <c r="I428" i="1" s="1"/>
  <c r="T428" i="1" s="1"/>
  <c r="T423" i="1"/>
  <c r="I424" i="1"/>
  <c r="T424" i="1"/>
  <c r="I425" i="1"/>
  <c r="T425" i="1" s="1"/>
  <c r="I426" i="1"/>
  <c r="T426" i="1"/>
  <c r="T427" i="1"/>
  <c r="D428" i="1"/>
  <c r="E428" i="1"/>
  <c r="F428" i="1"/>
  <c r="G428" i="1"/>
  <c r="H428" i="1"/>
  <c r="T429" i="1"/>
  <c r="T430" i="1"/>
  <c r="T431" i="1"/>
  <c r="G432" i="1"/>
  <c r="H432" i="1"/>
  <c r="I433" i="1"/>
  <c r="T433" i="1"/>
  <c r="D434" i="1"/>
  <c r="E434" i="1"/>
  <c r="I434" i="1"/>
  <c r="D435" i="1"/>
  <c r="E435" i="1"/>
  <c r="F435" i="1"/>
  <c r="I435" i="1"/>
  <c r="T435" i="1"/>
  <c r="E436" i="1"/>
  <c r="F436" i="1"/>
  <c r="E437" i="1"/>
  <c r="I437" i="1" s="1"/>
  <c r="D437" i="1" s="1"/>
  <c r="T437" i="1" s="1"/>
  <c r="F437" i="1"/>
  <c r="E438" i="1"/>
  <c r="I438" i="1" s="1"/>
  <c r="D438" i="1" s="1"/>
  <c r="T438" i="1" s="1"/>
  <c r="F438" i="1"/>
  <c r="E439" i="1"/>
  <c r="F439" i="1"/>
  <c r="I439" i="1" s="1"/>
  <c r="D439" i="1" s="1"/>
  <c r="T439" i="1" s="1"/>
  <c r="E440" i="1"/>
  <c r="F440" i="1"/>
  <c r="I440" i="1"/>
  <c r="D440" i="1" s="1"/>
  <c r="T440" i="1" s="1"/>
  <c r="E441" i="1"/>
  <c r="F441" i="1"/>
  <c r="E442" i="1"/>
  <c r="F442" i="1"/>
  <c r="I442" i="1"/>
  <c r="D442" i="1" s="1"/>
  <c r="T442" i="1"/>
  <c r="E443" i="1"/>
  <c r="I443" i="1"/>
  <c r="D443" i="1" s="1"/>
  <c r="T443" i="1" s="1"/>
  <c r="E444" i="1"/>
  <c r="I444" i="1"/>
  <c r="D444" i="1" s="1"/>
  <c r="T444" i="1" s="1"/>
  <c r="E445" i="1"/>
  <c r="I445" i="1"/>
  <c r="D445" i="1" s="1"/>
  <c r="T445" i="1" s="1"/>
  <c r="E446" i="1"/>
  <c r="I446" i="1"/>
  <c r="D446" i="1" s="1"/>
  <c r="T446" i="1" s="1"/>
  <c r="E447" i="1"/>
  <c r="I447" i="1"/>
  <c r="D447" i="1" s="1"/>
  <c r="T447" i="1" s="1"/>
  <c r="E448" i="1"/>
  <c r="I448" i="1"/>
  <c r="D448" i="1" s="1"/>
  <c r="T448" i="1"/>
  <c r="E449" i="1"/>
  <c r="F449" i="1"/>
  <c r="I449" i="1" s="1"/>
  <c r="D449" i="1" s="1"/>
  <c r="T449" i="1" s="1"/>
  <c r="E450" i="1"/>
  <c r="F450" i="1"/>
  <c r="I450" i="1"/>
  <c r="D450" i="1" s="1"/>
  <c r="T450" i="1" s="1"/>
  <c r="E451" i="1"/>
  <c r="I451" i="1" s="1"/>
  <c r="D451" i="1" s="1"/>
  <c r="T451" i="1" s="1"/>
  <c r="F451" i="1"/>
  <c r="E452" i="1"/>
  <c r="F452" i="1"/>
  <c r="I452" i="1"/>
  <c r="D452" i="1" s="1"/>
  <c r="T452" i="1" s="1"/>
  <c r="E453" i="1"/>
  <c r="F453" i="1"/>
  <c r="I453" i="1" s="1"/>
  <c r="D453" i="1" s="1"/>
  <c r="T453" i="1" s="1"/>
  <c r="E454" i="1"/>
  <c r="I454" i="1" s="1"/>
  <c r="D454" i="1" s="1"/>
  <c r="T454" i="1" s="1"/>
  <c r="F454" i="1"/>
  <c r="E455" i="1"/>
  <c r="I455" i="1" s="1"/>
  <c r="D455" i="1" s="1"/>
  <c r="T455" i="1" s="1"/>
  <c r="F455" i="1"/>
  <c r="E456" i="1"/>
  <c r="I456" i="1" s="1"/>
  <c r="D456" i="1" s="1"/>
  <c r="F456" i="1"/>
  <c r="T456" i="1"/>
  <c r="D457" i="1"/>
  <c r="E457" i="1"/>
  <c r="F457" i="1"/>
  <c r="I457" i="1"/>
  <c r="T457" i="1"/>
  <c r="E458" i="1"/>
  <c r="I458" i="1" s="1"/>
  <c r="D458" i="1" s="1"/>
  <c r="T458" i="1"/>
  <c r="E459" i="1"/>
  <c r="I459" i="1" s="1"/>
  <c r="D459" i="1" s="1"/>
  <c r="T459" i="1" s="1"/>
  <c r="E460" i="1"/>
  <c r="F460" i="1"/>
  <c r="I460" i="1"/>
  <c r="D460" i="1" s="1"/>
  <c r="T460" i="1" s="1"/>
  <c r="E461" i="1"/>
  <c r="I461" i="1"/>
  <c r="D461" i="1" s="1"/>
  <c r="T461" i="1" s="1"/>
  <c r="D462" i="1"/>
  <c r="E462" i="1"/>
  <c r="F462" i="1"/>
  <c r="I462" i="1" s="1"/>
  <c r="T462" i="1"/>
  <c r="D463" i="1"/>
  <c r="E463" i="1"/>
  <c r="I463" i="1" s="1"/>
  <c r="T463" i="1"/>
  <c r="D464" i="1"/>
  <c r="T464" i="1" s="1"/>
  <c r="E464" i="1"/>
  <c r="I464" i="1" s="1"/>
  <c r="I465" i="1"/>
  <c r="D465" i="1" s="1"/>
  <c r="T465" i="1" s="1"/>
  <c r="D466" i="1"/>
  <c r="T466" i="1" s="1"/>
  <c r="I466" i="1"/>
  <c r="I467" i="1"/>
  <c r="D467" i="1" s="1"/>
  <c r="T467" i="1" s="1"/>
  <c r="D468" i="1"/>
  <c r="I468" i="1"/>
  <c r="T468" i="1"/>
  <c r="D469" i="1"/>
  <c r="T469" i="1" s="1"/>
  <c r="I469" i="1"/>
  <c r="D470" i="1"/>
  <c r="T470" i="1" s="1"/>
  <c r="I470" i="1"/>
  <c r="T471" i="1"/>
  <c r="T472" i="1"/>
  <c r="G473" i="1"/>
  <c r="H473" i="1"/>
  <c r="T474" i="1"/>
  <c r="E475" i="1"/>
  <c r="I475" i="1" s="1"/>
  <c r="D475" i="1" s="1"/>
  <c r="T475" i="1"/>
  <c r="D476" i="1"/>
  <c r="T476" i="1" s="1"/>
  <c r="E476" i="1"/>
  <c r="I476" i="1" s="1"/>
  <c r="D477" i="1"/>
  <c r="T477" i="1" s="1"/>
  <c r="E477" i="1"/>
  <c r="I477" i="1" s="1"/>
  <c r="E478" i="1"/>
  <c r="I478" i="1" s="1"/>
  <c r="D478" i="1" s="1"/>
  <c r="T478" i="1"/>
  <c r="E479" i="1"/>
  <c r="E473" i="1" s="1"/>
  <c r="I479" i="1"/>
  <c r="D479" i="1" s="1"/>
  <c r="T479" i="1" s="1"/>
  <c r="E480" i="1"/>
  <c r="I480" i="1" s="1"/>
  <c r="D480" i="1" s="1"/>
  <c r="T480" i="1"/>
  <c r="D481" i="1"/>
  <c r="T481" i="1" s="1"/>
  <c r="E481" i="1"/>
  <c r="I481" i="1"/>
  <c r="D482" i="1"/>
  <c r="T482" i="1" s="1"/>
  <c r="E482" i="1"/>
  <c r="I482" i="1" s="1"/>
  <c r="E483" i="1"/>
  <c r="I483" i="1" s="1"/>
  <c r="D483" i="1" s="1"/>
  <c r="T483" i="1" s="1"/>
  <c r="D484" i="1"/>
  <c r="T484" i="1" s="1"/>
  <c r="E484" i="1"/>
  <c r="I484" i="1" s="1"/>
  <c r="E485" i="1"/>
  <c r="I485" i="1"/>
  <c r="D485" i="1" s="1"/>
  <c r="T485" i="1" s="1"/>
  <c r="D486" i="1"/>
  <c r="T486" i="1" s="1"/>
  <c r="E486" i="1"/>
  <c r="I486" i="1" s="1"/>
  <c r="E487" i="1"/>
  <c r="I487" i="1"/>
  <c r="D487" i="1" s="1"/>
  <c r="T487" i="1" s="1"/>
  <c r="E488" i="1"/>
  <c r="I488" i="1" s="1"/>
  <c r="D488" i="1" s="1"/>
  <c r="T488" i="1"/>
  <c r="D489" i="1"/>
  <c r="T489" i="1" s="1"/>
  <c r="E489" i="1"/>
  <c r="I489" i="1"/>
  <c r="E490" i="1"/>
  <c r="I490" i="1"/>
  <c r="D490" i="1" s="1"/>
  <c r="T490" i="1" s="1"/>
  <c r="D491" i="1"/>
  <c r="T491" i="1" s="1"/>
  <c r="E491" i="1"/>
  <c r="I491" i="1"/>
  <c r="E492" i="1"/>
  <c r="I492" i="1"/>
  <c r="D492" i="1" s="1"/>
  <c r="T492" i="1" s="1"/>
  <c r="D493" i="1"/>
  <c r="T493" i="1" s="1"/>
  <c r="E493" i="1"/>
  <c r="F493" i="1"/>
  <c r="I493" i="1"/>
  <c r="E494" i="1"/>
  <c r="I494" i="1"/>
  <c r="D494" i="1" s="1"/>
  <c r="T494" i="1"/>
  <c r="E495" i="1"/>
  <c r="I495" i="1"/>
  <c r="D495" i="1" s="1"/>
  <c r="T495" i="1"/>
  <c r="E496" i="1"/>
  <c r="I496" i="1" s="1"/>
  <c r="D496" i="1" s="1"/>
  <c r="T496" i="1" s="1"/>
  <c r="E497" i="1"/>
  <c r="I497" i="1"/>
  <c r="D497" i="1" s="1"/>
  <c r="T497" i="1"/>
  <c r="E498" i="1"/>
  <c r="F498" i="1"/>
  <c r="I498" i="1"/>
  <c r="D498" i="1" s="1"/>
  <c r="T498" i="1" s="1"/>
  <c r="E499" i="1"/>
  <c r="I499" i="1" s="1"/>
  <c r="D499" i="1" s="1"/>
  <c r="T499" i="1" s="1"/>
  <c r="E500" i="1"/>
  <c r="F500" i="1"/>
  <c r="E501" i="1"/>
  <c r="I501" i="1" s="1"/>
  <c r="D501" i="1" s="1"/>
  <c r="T501" i="1" s="1"/>
  <c r="F501" i="1"/>
  <c r="D502" i="1"/>
  <c r="T502" i="1" s="1"/>
  <c r="E502" i="1"/>
  <c r="F502" i="1"/>
  <c r="I502" i="1"/>
  <c r="E503" i="1"/>
  <c r="I503" i="1" s="1"/>
  <c r="D503" i="1" s="1"/>
  <c r="T503" i="1" s="1"/>
  <c r="F503" i="1"/>
  <c r="E504" i="1"/>
  <c r="I504" i="1"/>
  <c r="D504" i="1" s="1"/>
  <c r="T504" i="1" s="1"/>
  <c r="E505" i="1"/>
  <c r="F505" i="1"/>
  <c r="D506" i="1"/>
  <c r="T506" i="1" s="1"/>
  <c r="I506" i="1"/>
  <c r="E507" i="1"/>
  <c r="F507" i="1"/>
  <c r="D508" i="1"/>
  <c r="T508" i="1" s="1"/>
  <c r="E508" i="1"/>
  <c r="F508" i="1"/>
  <c r="I508" i="1"/>
  <c r="E509" i="1"/>
  <c r="F509" i="1"/>
  <c r="I509" i="1"/>
  <c r="D509" i="1" s="1"/>
  <c r="T509" i="1" s="1"/>
  <c r="E510" i="1"/>
  <c r="I510" i="1" s="1"/>
  <c r="D510" i="1" s="1"/>
  <c r="T510" i="1" s="1"/>
  <c r="F510" i="1"/>
  <c r="E511" i="1"/>
  <c r="F511" i="1"/>
  <c r="D512" i="1"/>
  <c r="T512" i="1" s="1"/>
  <c r="E512" i="1"/>
  <c r="I512" i="1" s="1"/>
  <c r="F512" i="1"/>
  <c r="E513" i="1"/>
  <c r="F513" i="1"/>
  <c r="I513" i="1"/>
  <c r="D513" i="1" s="1"/>
  <c r="T513" i="1" s="1"/>
  <c r="E514" i="1"/>
  <c r="F514" i="1"/>
  <c r="I514" i="1"/>
  <c r="D514" i="1" s="1"/>
  <c r="T514" i="1" s="1"/>
  <c r="E515" i="1"/>
  <c r="F515" i="1"/>
  <c r="E516" i="1"/>
  <c r="I516" i="1" s="1"/>
  <c r="D516" i="1" s="1"/>
  <c r="T516" i="1" s="1"/>
  <c r="F516" i="1"/>
  <c r="E517" i="1"/>
  <c r="F517" i="1"/>
  <c r="I517" i="1"/>
  <c r="D517" i="1" s="1"/>
  <c r="T517" i="1" s="1"/>
  <c r="F518" i="1"/>
  <c r="I518" i="1"/>
  <c r="D518" i="1" s="1"/>
  <c r="T518" i="1"/>
  <c r="F519" i="1"/>
  <c r="I519" i="1"/>
  <c r="D519" i="1" s="1"/>
  <c r="T519" i="1"/>
  <c r="E520" i="1"/>
  <c r="F520" i="1"/>
  <c r="I520" i="1" s="1"/>
  <c r="D520" i="1" s="1"/>
  <c r="T520" i="1" s="1"/>
  <c r="E521" i="1"/>
  <c r="I521" i="1"/>
  <c r="D521" i="1" s="1"/>
  <c r="T521" i="1" s="1"/>
  <c r="E522" i="1"/>
  <c r="I522" i="1"/>
  <c r="D522" i="1" s="1"/>
  <c r="T522" i="1" s="1"/>
  <c r="E523" i="1"/>
  <c r="I523" i="1"/>
  <c r="D523" i="1" s="1"/>
  <c r="T523" i="1" s="1"/>
  <c r="E524" i="1"/>
  <c r="F524" i="1"/>
  <c r="I524" i="1" s="1"/>
  <c r="D524" i="1" s="1"/>
  <c r="T524" i="1" s="1"/>
  <c r="D525" i="1"/>
  <c r="E525" i="1"/>
  <c r="I525" i="1" s="1"/>
  <c r="T525" i="1"/>
  <c r="E526" i="1"/>
  <c r="I526" i="1" s="1"/>
  <c r="D526" i="1" s="1"/>
  <c r="T526" i="1" s="1"/>
  <c r="E527" i="1"/>
  <c r="I527" i="1" s="1"/>
  <c r="D527" i="1" s="1"/>
  <c r="T527" i="1" s="1"/>
  <c r="D528" i="1"/>
  <c r="T528" i="1" s="1"/>
  <c r="E528" i="1"/>
  <c r="I528" i="1" s="1"/>
  <c r="E529" i="1"/>
  <c r="I529" i="1" s="1"/>
  <c r="D529" i="1" s="1"/>
  <c r="T529" i="1" s="1"/>
  <c r="E530" i="1"/>
  <c r="I530" i="1" s="1"/>
  <c r="D530" i="1" s="1"/>
  <c r="T530" i="1" s="1"/>
  <c r="D531" i="1"/>
  <c r="T531" i="1" s="1"/>
  <c r="E531" i="1"/>
  <c r="I531" i="1" s="1"/>
  <c r="E532" i="1"/>
  <c r="I532" i="1" s="1"/>
  <c r="D532" i="1" s="1"/>
  <c r="T532" i="1" s="1"/>
  <c r="D533" i="1"/>
  <c r="T533" i="1" s="1"/>
  <c r="E533" i="1"/>
  <c r="I533" i="1" s="1"/>
  <c r="D534" i="1"/>
  <c r="T534" i="1" s="1"/>
  <c r="E534" i="1"/>
  <c r="I534" i="1" s="1"/>
  <c r="E535" i="1"/>
  <c r="I535" i="1" s="1"/>
  <c r="D535" i="1" s="1"/>
  <c r="T535" i="1" s="1"/>
  <c r="D536" i="1"/>
  <c r="T536" i="1" s="1"/>
  <c r="E536" i="1"/>
  <c r="I536" i="1" s="1"/>
  <c r="E537" i="1"/>
  <c r="I537" i="1" s="1"/>
  <c r="D537" i="1" s="1"/>
  <c r="T537" i="1" s="1"/>
  <c r="E538" i="1"/>
  <c r="I538" i="1" s="1"/>
  <c r="D538" i="1" s="1"/>
  <c r="T538" i="1" s="1"/>
  <c r="E539" i="1"/>
  <c r="I539" i="1" s="1"/>
  <c r="D539" i="1" s="1"/>
  <c r="T539" i="1" s="1"/>
  <c r="E540" i="1"/>
  <c r="I540" i="1" s="1"/>
  <c r="D540" i="1" s="1"/>
  <c r="T540" i="1" s="1"/>
  <c r="D541" i="1"/>
  <c r="E541" i="1"/>
  <c r="I541" i="1" s="1"/>
  <c r="T541" i="1"/>
  <c r="I542" i="1"/>
  <c r="D542" i="1" s="1"/>
  <c r="T542" i="1" s="1"/>
  <c r="I543" i="1"/>
  <c r="D543" i="1" s="1"/>
  <c r="T543" i="1"/>
  <c r="I544" i="1"/>
  <c r="D544" i="1" s="1"/>
  <c r="T544" i="1" s="1"/>
  <c r="D545" i="1"/>
  <c r="T545" i="1" s="1"/>
  <c r="I545" i="1"/>
  <c r="I546" i="1"/>
  <c r="D546" i="1" s="1"/>
  <c r="T546" i="1" s="1"/>
  <c r="I547" i="1"/>
  <c r="D547" i="1" s="1"/>
  <c r="T547" i="1" s="1"/>
  <c r="I548" i="1"/>
  <c r="D548" i="1" s="1"/>
  <c r="T548" i="1" s="1"/>
  <c r="D549" i="1"/>
  <c r="I549" i="1"/>
  <c r="T549" i="1"/>
  <c r="I550" i="1"/>
  <c r="D550" i="1" s="1"/>
  <c r="T550" i="1" s="1"/>
  <c r="I551" i="1"/>
  <c r="D551" i="1" s="1"/>
  <c r="T551" i="1" s="1"/>
  <c r="I552" i="1"/>
  <c r="D552" i="1" s="1"/>
  <c r="T552" i="1"/>
  <c r="D553" i="1"/>
  <c r="T553" i="1" s="1"/>
  <c r="I553" i="1"/>
  <c r="I554" i="1"/>
  <c r="D554" i="1" s="1"/>
  <c r="T554" i="1" s="1"/>
  <c r="D555" i="1"/>
  <c r="T555" i="1" s="1"/>
  <c r="I555" i="1"/>
  <c r="I556" i="1"/>
  <c r="D556" i="1" s="1"/>
  <c r="T556" i="1"/>
  <c r="D557" i="1"/>
  <c r="T557" i="1" s="1"/>
  <c r="I557" i="1"/>
  <c r="D558" i="1"/>
  <c r="T558" i="1" s="1"/>
  <c r="I558" i="1"/>
  <c r="I559" i="1"/>
  <c r="D559" i="1" s="1"/>
  <c r="T559" i="1"/>
  <c r="I560" i="1"/>
  <c r="D560" i="1" s="1"/>
  <c r="T560" i="1"/>
  <c r="D561" i="1"/>
  <c r="T561" i="1" s="1"/>
  <c r="I561" i="1"/>
  <c r="D562" i="1"/>
  <c r="T562" i="1" s="1"/>
  <c r="I562" i="1"/>
  <c r="I563" i="1"/>
  <c r="D563" i="1" s="1"/>
  <c r="T563" i="1" s="1"/>
  <c r="I564" i="1"/>
  <c r="D564" i="1" s="1"/>
  <c r="T564" i="1" s="1"/>
  <c r="D565" i="1"/>
  <c r="T565" i="1" s="1"/>
  <c r="I565" i="1"/>
  <c r="I566" i="1"/>
  <c r="D566" i="1" s="1"/>
  <c r="T566" i="1" s="1"/>
  <c r="I567" i="1"/>
  <c r="D567" i="1" s="1"/>
  <c r="T567" i="1"/>
  <c r="I568" i="1"/>
  <c r="D568" i="1" s="1"/>
  <c r="T568" i="1"/>
  <c r="D569" i="1"/>
  <c r="T569" i="1" s="1"/>
  <c r="I569" i="1"/>
  <c r="I570" i="1"/>
  <c r="D570" i="1" s="1"/>
  <c r="T570" i="1" s="1"/>
  <c r="I571" i="1"/>
  <c r="D571" i="1" s="1"/>
  <c r="T571" i="1" s="1"/>
  <c r="I572" i="1"/>
  <c r="D572" i="1" s="1"/>
  <c r="T572" i="1"/>
  <c r="D573" i="1"/>
  <c r="I573" i="1"/>
  <c r="T573" i="1"/>
  <c r="I574" i="1"/>
  <c r="D574" i="1" s="1"/>
  <c r="T574" i="1" s="1"/>
  <c r="I575" i="1"/>
  <c r="D575" i="1" s="1"/>
  <c r="T575" i="1"/>
  <c r="I576" i="1"/>
  <c r="D576" i="1" s="1"/>
  <c r="T576" i="1" s="1"/>
  <c r="D577" i="1"/>
  <c r="T577" i="1" s="1"/>
  <c r="I577" i="1"/>
  <c r="I578" i="1"/>
  <c r="D578" i="1" s="1"/>
  <c r="T578" i="1" s="1"/>
  <c r="I579" i="1"/>
  <c r="D579" i="1" s="1"/>
  <c r="T579" i="1" s="1"/>
  <c r="I580" i="1"/>
  <c r="D580" i="1" s="1"/>
  <c r="T580" i="1" s="1"/>
  <c r="D581" i="1"/>
  <c r="I581" i="1"/>
  <c r="T581" i="1"/>
  <c r="I582" i="1"/>
  <c r="D582" i="1" s="1"/>
  <c r="T582" i="1" s="1"/>
  <c r="I583" i="1"/>
  <c r="D583" i="1" s="1"/>
  <c r="T583" i="1" s="1"/>
  <c r="I584" i="1"/>
  <c r="D584" i="1" s="1"/>
  <c r="T584" i="1"/>
  <c r="D585" i="1"/>
  <c r="T585" i="1" s="1"/>
  <c r="I585" i="1"/>
  <c r="D586" i="1"/>
  <c r="T586" i="1"/>
  <c r="D587" i="1"/>
  <c r="T587" i="1"/>
  <c r="D588" i="1"/>
  <c r="T588" i="1"/>
  <c r="D589" i="1"/>
  <c r="T589" i="1"/>
  <c r="D590" i="1"/>
  <c r="T590" i="1"/>
  <c r="D591" i="1"/>
  <c r="T591" i="1" s="1"/>
  <c r="D592" i="1"/>
  <c r="T592" i="1"/>
  <c r="D593" i="1"/>
  <c r="T593" i="1"/>
  <c r="D594" i="1"/>
  <c r="T594" i="1"/>
  <c r="D595" i="1"/>
  <c r="T595" i="1" s="1"/>
  <c r="D596" i="1"/>
  <c r="T596" i="1"/>
  <c r="D597" i="1"/>
  <c r="T597" i="1"/>
  <c r="D598" i="1"/>
  <c r="T598" i="1"/>
  <c r="D599" i="1"/>
  <c r="T599" i="1" s="1"/>
  <c r="D600" i="1"/>
  <c r="T600" i="1"/>
  <c r="D601" i="1"/>
  <c r="T601" i="1"/>
  <c r="D602" i="1"/>
  <c r="T602" i="1"/>
  <c r="D603" i="1"/>
  <c r="T603" i="1" s="1"/>
  <c r="I603" i="1"/>
  <c r="D604" i="1"/>
  <c r="T604" i="1" s="1"/>
  <c r="I604" i="1"/>
  <c r="D605" i="1"/>
  <c r="T605" i="1" s="1"/>
  <c r="I605" i="1"/>
  <c r="D606" i="1"/>
  <c r="T606" i="1" s="1"/>
  <c r="I606" i="1"/>
  <c r="I607" i="1"/>
  <c r="D607" i="1" s="1"/>
  <c r="T607" i="1"/>
  <c r="D608" i="1"/>
  <c r="T608" i="1" s="1"/>
  <c r="I608" i="1"/>
  <c r="D609" i="1"/>
  <c r="T609" i="1" s="1"/>
  <c r="I609" i="1"/>
  <c r="I610" i="1"/>
  <c r="D610" i="1" s="1"/>
  <c r="T610" i="1"/>
  <c r="I611" i="1"/>
  <c r="D611" i="1" s="1"/>
  <c r="T611" i="1" s="1"/>
  <c r="D612" i="1"/>
  <c r="T612" i="1" s="1"/>
  <c r="I612" i="1"/>
  <c r="D613" i="1"/>
  <c r="I613" i="1"/>
  <c r="T613" i="1"/>
  <c r="I614" i="1"/>
  <c r="D614" i="1" s="1"/>
  <c r="T614" i="1" s="1"/>
  <c r="I615" i="1"/>
  <c r="D615" i="1" s="1"/>
  <c r="T615" i="1"/>
  <c r="D616" i="1"/>
  <c r="I616" i="1"/>
  <c r="T616" i="1"/>
  <c r="I617" i="1"/>
  <c r="D617" i="1" s="1"/>
  <c r="T617" i="1" s="1"/>
  <c r="I618" i="1"/>
  <c r="D618" i="1" s="1"/>
  <c r="T618" i="1"/>
  <c r="D619" i="1"/>
  <c r="T619" i="1" s="1"/>
  <c r="I619" i="1"/>
  <c r="D620" i="1"/>
  <c r="T620" i="1" s="1"/>
  <c r="I620" i="1"/>
  <c r="D621" i="1"/>
  <c r="T621" i="1" s="1"/>
  <c r="I621" i="1"/>
  <c r="D622" i="1"/>
  <c r="T622" i="1" s="1"/>
  <c r="I622" i="1"/>
  <c r="I623" i="1"/>
  <c r="D623" i="1" s="1"/>
  <c r="T623" i="1"/>
  <c r="D624" i="1"/>
  <c r="T624" i="1" s="1"/>
  <c r="I624" i="1"/>
  <c r="D625" i="1"/>
  <c r="T625" i="1" s="1"/>
  <c r="I625" i="1"/>
  <c r="I626" i="1"/>
  <c r="D626" i="1" s="1"/>
  <c r="T626" i="1"/>
  <c r="I627" i="1"/>
  <c r="D627" i="1" s="1"/>
  <c r="T627" i="1" s="1"/>
  <c r="D628" i="1"/>
  <c r="T628" i="1" s="1"/>
  <c r="I628" i="1"/>
  <c r="D629" i="1"/>
  <c r="I629" i="1"/>
  <c r="T629" i="1"/>
  <c r="I630" i="1"/>
  <c r="D630" i="1" s="1"/>
  <c r="T630" i="1" s="1"/>
  <c r="I631" i="1"/>
  <c r="D631" i="1" s="1"/>
  <c r="T631" i="1"/>
  <c r="D632" i="1"/>
  <c r="I632" i="1"/>
  <c r="T632" i="1"/>
  <c r="I633" i="1"/>
  <c r="D633" i="1" s="1"/>
  <c r="T633" i="1" s="1"/>
  <c r="I634" i="1"/>
  <c r="D634" i="1" s="1"/>
  <c r="T634" i="1"/>
  <c r="D635" i="1"/>
  <c r="T635" i="1" s="1"/>
  <c r="I635" i="1"/>
  <c r="D636" i="1"/>
  <c r="T636" i="1" s="1"/>
  <c r="I636" i="1"/>
  <c r="D637" i="1"/>
  <c r="T637" i="1" s="1"/>
  <c r="I637" i="1"/>
  <c r="D638" i="1"/>
  <c r="T638" i="1" s="1"/>
  <c r="I638" i="1"/>
  <c r="I639" i="1"/>
  <c r="D639" i="1" s="1"/>
  <c r="T639" i="1"/>
  <c r="D640" i="1"/>
  <c r="T640" i="1" s="1"/>
  <c r="I640" i="1"/>
  <c r="D641" i="1"/>
  <c r="T641" i="1" s="1"/>
  <c r="I641" i="1"/>
  <c r="I642" i="1"/>
  <c r="D642" i="1" s="1"/>
  <c r="T642" i="1"/>
  <c r="I643" i="1"/>
  <c r="D643" i="1" s="1"/>
  <c r="T643" i="1" s="1"/>
  <c r="D644" i="1"/>
  <c r="T644" i="1" s="1"/>
  <c r="I644" i="1"/>
  <c r="D645" i="1"/>
  <c r="I645" i="1"/>
  <c r="T645" i="1"/>
  <c r="I646" i="1"/>
  <c r="D646" i="1" s="1"/>
  <c r="T646" i="1" s="1"/>
  <c r="I647" i="1"/>
  <c r="D647" i="1" s="1"/>
  <c r="T647" i="1"/>
  <c r="D648" i="1"/>
  <c r="I648" i="1"/>
  <c r="T648" i="1"/>
  <c r="I649" i="1"/>
  <c r="D649" i="1" s="1"/>
  <c r="T649" i="1" s="1"/>
  <c r="I650" i="1"/>
  <c r="D650" i="1" s="1"/>
  <c r="T650" i="1"/>
  <c r="D651" i="1"/>
  <c r="T651" i="1" s="1"/>
  <c r="I651" i="1"/>
  <c r="D652" i="1"/>
  <c r="T652" i="1" s="1"/>
  <c r="I652" i="1"/>
  <c r="D653" i="1"/>
  <c r="T653" i="1" s="1"/>
  <c r="I653" i="1"/>
  <c r="D654" i="1"/>
  <c r="T654" i="1" s="1"/>
  <c r="I654" i="1"/>
  <c r="I655" i="1"/>
  <c r="D655" i="1" s="1"/>
  <c r="T655" i="1"/>
  <c r="D656" i="1"/>
  <c r="T656" i="1" s="1"/>
  <c r="I656" i="1"/>
  <c r="D657" i="1"/>
  <c r="T657" i="1" s="1"/>
  <c r="I657" i="1"/>
  <c r="I658" i="1"/>
  <c r="D658" i="1" s="1"/>
  <c r="T658" i="1"/>
  <c r="I659" i="1"/>
  <c r="D659" i="1" s="1"/>
  <c r="T659" i="1" s="1"/>
  <c r="D660" i="1"/>
  <c r="T660" i="1" s="1"/>
  <c r="I660" i="1"/>
  <c r="D661" i="1"/>
  <c r="I661" i="1"/>
  <c r="T661" i="1"/>
  <c r="I662" i="1"/>
  <c r="D662" i="1" s="1"/>
  <c r="T662" i="1" s="1"/>
  <c r="I663" i="1"/>
  <c r="D663" i="1" s="1"/>
  <c r="T663" i="1"/>
  <c r="D664" i="1"/>
  <c r="I664" i="1"/>
  <c r="T664" i="1"/>
  <c r="I665" i="1"/>
  <c r="D665" i="1" s="1"/>
  <c r="T665" i="1" s="1"/>
  <c r="I666" i="1"/>
  <c r="D666" i="1" s="1"/>
  <c r="T666" i="1"/>
  <c r="D667" i="1"/>
  <c r="T667" i="1" s="1"/>
  <c r="I667" i="1"/>
  <c r="D668" i="1"/>
  <c r="T668" i="1" s="1"/>
  <c r="I668" i="1"/>
  <c r="D669" i="1"/>
  <c r="T669" i="1" s="1"/>
  <c r="I669" i="1"/>
  <c r="D670" i="1"/>
  <c r="T670" i="1" s="1"/>
  <c r="I670" i="1"/>
  <c r="I671" i="1"/>
  <c r="D671" i="1" s="1"/>
  <c r="T671" i="1"/>
  <c r="D672" i="1"/>
  <c r="T672" i="1" s="1"/>
  <c r="I672" i="1"/>
  <c r="D673" i="1"/>
  <c r="T673" i="1" s="1"/>
  <c r="D674" i="1"/>
  <c r="T674" i="1"/>
  <c r="D675" i="1"/>
  <c r="T675" i="1"/>
  <c r="D676" i="1"/>
  <c r="T676" i="1"/>
  <c r="D677" i="1"/>
  <c r="T677" i="1" s="1"/>
  <c r="D678" i="1"/>
  <c r="T678" i="1"/>
  <c r="I679" i="1"/>
  <c r="D679" i="1" s="1"/>
  <c r="T679" i="1" s="1"/>
  <c r="T680" i="1"/>
  <c r="G681" i="1"/>
  <c r="H681" i="1"/>
  <c r="T682" i="1"/>
  <c r="T683" i="1"/>
  <c r="T684" i="1"/>
  <c r="E685" i="1"/>
  <c r="I685" i="1"/>
  <c r="D685" i="1" s="1"/>
  <c r="T685" i="1"/>
  <c r="F686" i="1"/>
  <c r="F688" i="1" s="1"/>
  <c r="I686" i="1"/>
  <c r="I688" i="1" s="1"/>
  <c r="T686" i="1"/>
  <c r="D687" i="1"/>
  <c r="T687" i="1" s="1"/>
  <c r="I687" i="1"/>
  <c r="E688" i="1"/>
  <c r="G688" i="1"/>
  <c r="H688" i="1"/>
  <c r="T689" i="1"/>
  <c r="T690" i="1"/>
  <c r="D691" i="1"/>
  <c r="I691" i="1"/>
  <c r="T691" i="1"/>
  <c r="E692" i="1"/>
  <c r="E693" i="1" s="1"/>
  <c r="I692" i="1"/>
  <c r="I693" i="1" s="1"/>
  <c r="T693" i="1" s="1"/>
  <c r="T692" i="1"/>
  <c r="D693" i="1"/>
  <c r="F693" i="1"/>
  <c r="G693" i="1"/>
  <c r="H693" i="1"/>
  <c r="T694" i="1"/>
  <c r="T695" i="1"/>
  <c r="I696" i="1"/>
  <c r="T696" i="1"/>
  <c r="I697" i="1"/>
  <c r="T697" i="1"/>
  <c r="I698" i="1"/>
  <c r="T698" i="1"/>
  <c r="I699" i="1"/>
  <c r="T699" i="1"/>
  <c r="I700" i="1"/>
  <c r="T700" i="1"/>
  <c r="I701" i="1"/>
  <c r="T701" i="1"/>
  <c r="I702" i="1"/>
  <c r="T702" i="1"/>
  <c r="I703" i="1"/>
  <c r="T703" i="1"/>
  <c r="I704" i="1"/>
  <c r="T704" i="1"/>
  <c r="I705" i="1"/>
  <c r="T705" i="1"/>
  <c r="E706" i="1"/>
  <c r="I706" i="1"/>
  <c r="T706" i="1"/>
  <c r="I707" i="1"/>
  <c r="T707" i="1"/>
  <c r="G709" i="1"/>
  <c r="D714" i="1"/>
  <c r="E714" i="1"/>
  <c r="F714" i="1"/>
  <c r="G714" i="1"/>
  <c r="H714" i="1"/>
  <c r="I714" i="1"/>
  <c r="D720" i="1"/>
  <c r="F720" i="1"/>
  <c r="G720" i="1"/>
  <c r="H720" i="1"/>
  <c r="H728" i="1" s="1"/>
  <c r="D724" i="1"/>
  <c r="I724" i="1"/>
  <c r="I725" i="1"/>
  <c r="I726" i="1" s="1"/>
  <c r="I728" i="1" s="1"/>
  <c r="E726" i="1"/>
  <c r="F726" i="1"/>
  <c r="G726" i="1"/>
  <c r="G728" i="1" s="1"/>
  <c r="H726" i="1"/>
  <c r="E728" i="1"/>
  <c r="F728" i="1"/>
  <c r="I732" i="1"/>
  <c r="I733" i="1"/>
  <c r="E736" i="1"/>
  <c r="I736" i="1" s="1"/>
  <c r="F736" i="1"/>
  <c r="G736" i="1"/>
  <c r="H736" i="1"/>
  <c r="D754" i="1"/>
  <c r="D755" i="1"/>
  <c r="D756" i="1"/>
  <c r="I763" i="1"/>
  <c r="I765" i="1" s="1"/>
  <c r="D765" i="1"/>
  <c r="E765" i="1"/>
  <c r="F765" i="1"/>
  <c r="G765" i="1"/>
  <c r="H765" i="1"/>
  <c r="D786" i="1"/>
  <c r="D795" i="1"/>
  <c r="D797" i="1" s="1"/>
  <c r="D802" i="1"/>
  <c r="E217" i="1" l="1"/>
  <c r="D807" i="1"/>
  <c r="R115" i="2"/>
  <c r="R113" i="2"/>
  <c r="G738" i="1"/>
  <c r="G742" i="1" s="1"/>
  <c r="G744" i="1" s="1"/>
  <c r="N113" i="2"/>
  <c r="N115" i="2" s="1"/>
  <c r="T28" i="1"/>
  <c r="I42" i="1"/>
  <c r="D293" i="1"/>
  <c r="T105" i="1"/>
  <c r="I115" i="1"/>
  <c r="D725" i="1"/>
  <c r="D726" i="1" s="1"/>
  <c r="D728" i="1" s="1"/>
  <c r="I230" i="1"/>
  <c r="T230" i="1" s="1"/>
  <c r="F263" i="1"/>
  <c r="I515" i="1"/>
  <c r="D515" i="1" s="1"/>
  <c r="T515" i="1" s="1"/>
  <c r="I511" i="1"/>
  <c r="D511" i="1" s="1"/>
  <c r="T511" i="1" s="1"/>
  <c r="I308" i="1"/>
  <c r="F306" i="1"/>
  <c r="F418" i="1" s="1"/>
  <c r="D146" i="1"/>
  <c r="R146" i="2"/>
  <c r="L154" i="2"/>
  <c r="L157" i="2" s="1"/>
  <c r="L161" i="2" s="1"/>
  <c r="I159" i="1"/>
  <c r="E418" i="1"/>
  <c r="I132" i="1"/>
  <c r="E144" i="1"/>
  <c r="E146" i="1" s="1"/>
  <c r="E151" i="1" s="1"/>
  <c r="L51" i="2"/>
  <c r="I507" i="1"/>
  <c r="D507" i="1" s="1"/>
  <c r="T507" i="1" s="1"/>
  <c r="E306" i="1"/>
  <c r="I311" i="1"/>
  <c r="D311" i="1" s="1"/>
  <c r="T311" i="1" s="1"/>
  <c r="D226" i="1"/>
  <c r="I263" i="1"/>
  <c r="R141" i="2"/>
  <c r="L56" i="2"/>
  <c r="L64" i="2" s="1"/>
  <c r="L66" i="2" s="1"/>
  <c r="H64" i="2"/>
  <c r="H66" i="2" s="1"/>
  <c r="D688" i="1"/>
  <c r="T688" i="1" s="1"/>
  <c r="I267" i="1"/>
  <c r="D269" i="1"/>
  <c r="R154" i="2"/>
  <c r="I500" i="1"/>
  <c r="D500" i="1" s="1"/>
  <c r="T500" i="1" s="1"/>
  <c r="E432" i="1"/>
  <c r="E681" i="1" s="1"/>
  <c r="H418" i="1"/>
  <c r="H709" i="1" s="1"/>
  <c r="H416" i="1"/>
  <c r="P91" i="2"/>
  <c r="K106" i="2"/>
  <c r="E90" i="1"/>
  <c r="D42" i="1"/>
  <c r="T42" i="1" s="1"/>
  <c r="T35" i="1"/>
  <c r="R161" i="2"/>
  <c r="R163" i="2" s="1"/>
  <c r="F146" i="1"/>
  <c r="F151" i="1" s="1"/>
  <c r="D432" i="1"/>
  <c r="T434" i="1"/>
  <c r="I414" i="1"/>
  <c r="L163" i="2"/>
  <c r="I505" i="1"/>
  <c r="D505" i="1" s="1"/>
  <c r="T505" i="1" s="1"/>
  <c r="I236" i="1"/>
  <c r="T236" i="1" s="1"/>
  <c r="H146" i="1"/>
  <c r="H151" i="1" s="1"/>
  <c r="P141" i="2"/>
  <c r="P154" i="2" s="1"/>
  <c r="L87" i="2"/>
  <c r="F473" i="1"/>
  <c r="I436" i="1"/>
  <c r="D436" i="1" s="1"/>
  <c r="T436" i="1" s="1"/>
  <c r="T78" i="1"/>
  <c r="D90" i="1"/>
  <c r="I75" i="1"/>
  <c r="T75" i="1" s="1"/>
  <c r="I109" i="2"/>
  <c r="I113" i="2" s="1"/>
  <c r="I115" i="2" s="1"/>
  <c r="G66" i="2"/>
  <c r="G106" i="2" s="1"/>
  <c r="I72" i="1"/>
  <c r="I90" i="1" s="1"/>
  <c r="G87" i="2"/>
  <c r="G102" i="2" s="1"/>
  <c r="I416" i="1"/>
  <c r="T394" i="1"/>
  <c r="D414" i="1"/>
  <c r="D66" i="1"/>
  <c r="T66" i="1" s="1"/>
  <c r="I441" i="1"/>
  <c r="D441" i="1" s="1"/>
  <c r="T441" i="1" s="1"/>
  <c r="F432" i="1"/>
  <c r="F681" i="1" s="1"/>
  <c r="I169" i="1"/>
  <c r="D169" i="1" s="1"/>
  <c r="T169" i="1" s="1"/>
  <c r="F222" i="1"/>
  <c r="O113" i="2"/>
  <c r="O115" i="2"/>
  <c r="I77" i="1"/>
  <c r="T77" i="1" s="1"/>
  <c r="J102" i="2"/>
  <c r="J109" i="2" s="1"/>
  <c r="J113" i="2" s="1"/>
  <c r="J115" i="2" s="1"/>
  <c r="O91" i="2"/>
  <c r="L99" i="2"/>
  <c r="I133" i="1"/>
  <c r="T133" i="1" s="1"/>
  <c r="I76" i="1"/>
  <c r="T76" i="1" s="1"/>
  <c r="I73" i="1"/>
  <c r="F90" i="1"/>
  <c r="H87" i="2"/>
  <c r="H102" i="2" s="1"/>
  <c r="H109" i="2" s="1"/>
  <c r="H113" i="2" s="1"/>
  <c r="H115" i="2" s="1"/>
  <c r="R91" i="2" l="1"/>
  <c r="I144" i="1"/>
  <c r="T144" i="1" s="1"/>
  <c r="T132" i="1"/>
  <c r="I306" i="1"/>
  <c r="D308" i="1"/>
  <c r="Q91" i="2"/>
  <c r="I432" i="1"/>
  <c r="I681" i="1" s="1"/>
  <c r="T159" i="1"/>
  <c r="T293" i="1"/>
  <c r="D392" i="1"/>
  <c r="T392" i="1" s="1"/>
  <c r="L102" i="2"/>
  <c r="L109" i="2" s="1"/>
  <c r="L113" i="2" s="1"/>
  <c r="L115" i="2" s="1"/>
  <c r="D681" i="1"/>
  <c r="T269" i="1"/>
  <c r="D267" i="1"/>
  <c r="T267" i="1" s="1"/>
  <c r="T414" i="1"/>
  <c r="T90" i="1"/>
  <c r="H738" i="1"/>
  <c r="H742" i="1" s="1"/>
  <c r="H744" i="1" s="1"/>
  <c r="I473" i="1"/>
  <c r="I146" i="1"/>
  <c r="I151" i="1" s="1"/>
  <c r="T226" i="1"/>
  <c r="D263" i="1"/>
  <c r="T263" i="1" s="1"/>
  <c r="H106" i="2"/>
  <c r="D151" i="1"/>
  <c r="D473" i="1"/>
  <c r="T473" i="1" s="1"/>
  <c r="F709" i="1"/>
  <c r="F738" i="1" s="1"/>
  <c r="F742" i="1" s="1"/>
  <c r="F744" i="1" s="1"/>
  <c r="G109" i="2"/>
  <c r="G113" i="2" s="1"/>
  <c r="G115" i="2" s="1"/>
  <c r="I418" i="1"/>
  <c r="J106" i="2"/>
  <c r="L106" i="2"/>
  <c r="T115" i="1"/>
  <c r="E221" i="1"/>
  <c r="I217" i="1"/>
  <c r="D217" i="1" s="1"/>
  <c r="T217" i="1" s="1"/>
  <c r="T681" i="1" l="1"/>
  <c r="T432" i="1"/>
  <c r="D306" i="1"/>
  <c r="T308" i="1"/>
  <c r="I221" i="1"/>
  <c r="E222" i="1"/>
  <c r="E709" i="1" s="1"/>
  <c r="E738" i="1" s="1"/>
  <c r="E742" i="1" s="1"/>
  <c r="E744" i="1" s="1"/>
  <c r="T146" i="1"/>
  <c r="T151" i="1"/>
  <c r="D221" i="1" l="1"/>
  <c r="I222" i="1"/>
  <c r="I709" i="1" s="1"/>
  <c r="I738" i="1" s="1"/>
  <c r="T306" i="1"/>
  <c r="D418" i="1"/>
  <c r="T418" i="1" s="1"/>
  <c r="T221" i="1" l="1"/>
  <c r="D222" i="1"/>
  <c r="I742" i="1"/>
  <c r="I744" i="1" s="1"/>
  <c r="T222" i="1" l="1"/>
  <c r="D709" i="1"/>
  <c r="D738" i="1" s="1"/>
  <c r="D742" i="1" l="1"/>
  <c r="D744" i="1" s="1"/>
  <c r="D753" i="1"/>
  <c r="D757" i="1" s="1"/>
  <c r="D739" i="1"/>
</calcChain>
</file>

<file path=xl/sharedStrings.xml><?xml version="1.0" encoding="utf-8"?>
<sst xmlns="http://schemas.openxmlformats.org/spreadsheetml/2006/main" count="1578" uniqueCount="849">
  <si>
    <t>EES - Risk Analysis</t>
  </si>
  <si>
    <t xml:space="preserve"> 3Q/2001 MTM Origination Summary</t>
  </si>
  <si>
    <t>As of 09/28/01</t>
  </si>
  <si>
    <t>Deals</t>
  </si>
  <si>
    <t>Origination</t>
  </si>
  <si>
    <t>Week Closed</t>
  </si>
  <si>
    <t>Channel</t>
  </si>
  <si>
    <t>TCV*</t>
  </si>
  <si>
    <r>
      <t xml:space="preserve">Sales Orig. O-K </t>
    </r>
    <r>
      <rPr>
        <sz val="8"/>
        <rFont val="Arial"/>
        <family val="2"/>
      </rPr>
      <t>(Net of Consumption Premium)</t>
    </r>
  </si>
  <si>
    <t>Credit Reserve</t>
  </si>
  <si>
    <t>Implementation Premium</t>
  </si>
  <si>
    <t>Consumption Premium</t>
  </si>
  <si>
    <r>
      <t xml:space="preserve">Net Orig. Value O-K </t>
    </r>
    <r>
      <rPr>
        <b/>
        <sz val="8"/>
        <rFont val="Arial"/>
        <family val="2"/>
      </rPr>
      <t>(MTM @ offer)</t>
    </r>
  </si>
  <si>
    <t>Product
Grouping</t>
  </si>
  <si>
    <t>Energy Services</t>
  </si>
  <si>
    <t>Industrial Energy Services</t>
  </si>
  <si>
    <t>Harrah's Power EAM</t>
  </si>
  <si>
    <t>Harrah's Gas EAM</t>
  </si>
  <si>
    <t>Gas</t>
  </si>
  <si>
    <t xml:space="preserve">Harrah's - Gas </t>
  </si>
  <si>
    <t>HSBC Financial Swap</t>
  </si>
  <si>
    <t>NYPP</t>
  </si>
  <si>
    <t>Total Industrial Energy Services</t>
  </si>
  <si>
    <t>Manufacturing Energy Services</t>
  </si>
  <si>
    <t>Metaldyne</t>
  </si>
  <si>
    <t>CA</t>
  </si>
  <si>
    <t>Northrop</t>
  </si>
  <si>
    <t>BallCorp</t>
  </si>
  <si>
    <t>Raytheon</t>
  </si>
  <si>
    <t>Quaker Oats Co. - Gas</t>
  </si>
  <si>
    <t>Quaker Oats Adj - Power****</t>
  </si>
  <si>
    <t>Other</t>
  </si>
  <si>
    <t>Quaker Oats Adj - Gas ****</t>
  </si>
  <si>
    <t>Sonoco - Gas</t>
  </si>
  <si>
    <t>CES</t>
  </si>
  <si>
    <t>Sysco</t>
  </si>
  <si>
    <t>MES</t>
  </si>
  <si>
    <t>Sysco Credit Adjustment</t>
  </si>
  <si>
    <t>Pepsi Bottling Group Credit Revision</t>
  </si>
  <si>
    <t>Pepsi Bottling Group Credit prior day adj.</t>
  </si>
  <si>
    <t>Pepsi Bottling Group</t>
  </si>
  <si>
    <t>Total Manufacturing Energy Services</t>
  </si>
  <si>
    <t>Industrial/Manaufacturing Portfolio Origination</t>
  </si>
  <si>
    <t>Owens Corning Power EAM (9/01)</t>
  </si>
  <si>
    <t>Owens Corning Gas EAM (9/01)</t>
  </si>
  <si>
    <t>Quebecor Power EAM (9/01)</t>
  </si>
  <si>
    <t>Quebecor Gas EAM (9/01)</t>
  </si>
  <si>
    <t>Partial Unwind Tyco West</t>
  </si>
  <si>
    <t>Port. Mgmt. - Springs Industries</t>
  </si>
  <si>
    <t>Port Mgmt - Rexam Beverage Can Co</t>
  </si>
  <si>
    <t xml:space="preserve">Port Mgmt - Quaker </t>
  </si>
  <si>
    <t>Port Mgmt - ECT</t>
  </si>
  <si>
    <t>Rexam East - unwind and rebook</t>
  </si>
  <si>
    <t>Reg Comm</t>
  </si>
  <si>
    <t>Port Mgmt - Owens Corning</t>
  </si>
  <si>
    <t>Partial Unwind Tyco East *</t>
  </si>
  <si>
    <t>Port. Mgmt - DESC</t>
  </si>
  <si>
    <t>impo</t>
  </si>
  <si>
    <t>Owens Corning Fiberglass - Gas</t>
  </si>
  <si>
    <t>IMPO</t>
  </si>
  <si>
    <t>Quebecor Printing USA Corp - Gas</t>
  </si>
  <si>
    <t>Springs Industries</t>
  </si>
  <si>
    <t>Tyco - Gas</t>
  </si>
  <si>
    <t>Tyco - Gas 9/5/01</t>
  </si>
  <si>
    <t>Total Industrial/Manufacturing Port. Origination</t>
  </si>
  <si>
    <t>Commercial Energy Services</t>
  </si>
  <si>
    <t>Unwind Wendy's Partial</t>
  </si>
  <si>
    <t>Wendy's</t>
  </si>
  <si>
    <t>Wendys_TX_Corp_092601</t>
  </si>
  <si>
    <t>TX</t>
  </si>
  <si>
    <t>Wendys_TX_Franchise_092601</t>
  </si>
  <si>
    <t>Wendy's_TX_Franchise_Additional_092601</t>
  </si>
  <si>
    <t>Walmart</t>
  </si>
  <si>
    <t>Limited</t>
  </si>
  <si>
    <t>Toys R us</t>
  </si>
  <si>
    <t>Darden Restaurants, Inc.</t>
  </si>
  <si>
    <t>Hyatt Hotels - Gas</t>
  </si>
  <si>
    <t>Walmart_Maine 08-07</t>
  </si>
  <si>
    <t>Maine</t>
  </si>
  <si>
    <t>Home Depot Additional Sites</t>
  </si>
  <si>
    <t>Equity Office Properties - California</t>
  </si>
  <si>
    <t>Equity Office Properties MA</t>
  </si>
  <si>
    <t>Mass</t>
  </si>
  <si>
    <t>Speiker - California</t>
  </si>
  <si>
    <t>Ca</t>
  </si>
  <si>
    <t>Simon JV III Remaining Sites - Unwind</t>
  </si>
  <si>
    <t>Simon JV III OA - Unwind</t>
  </si>
  <si>
    <t>The Limited - CA Revision</t>
  </si>
  <si>
    <t>The Limited - CA</t>
  </si>
  <si>
    <t>Total Commercial Energy Services</t>
  </si>
  <si>
    <t>Commercial Portfolio Origination</t>
  </si>
  <si>
    <t>Starwood</t>
  </si>
  <si>
    <t>Starwood Option unwind</t>
  </si>
  <si>
    <t>Total Commercial Portfolio Origination</t>
  </si>
  <si>
    <t>Regional Market Services</t>
  </si>
  <si>
    <t>Northeast</t>
  </si>
  <si>
    <t>CHE_Darby 073101 adj-opt premium</t>
  </si>
  <si>
    <t>Sage1</t>
  </si>
  <si>
    <t>Sage2</t>
  </si>
  <si>
    <t>Sage3</t>
  </si>
  <si>
    <t>Sage4</t>
  </si>
  <si>
    <t>Sage5</t>
  </si>
  <si>
    <t>American Express Credit Adjustment</t>
  </si>
  <si>
    <t>Robert Wood Johnson (Additional Sites)</t>
  </si>
  <si>
    <t>PJM</t>
  </si>
  <si>
    <t>CHE_Darby 073101*</t>
  </si>
  <si>
    <t>ED- East NE</t>
  </si>
  <si>
    <t>Verizon</t>
  </si>
  <si>
    <t>RMS-NE/ILL</t>
  </si>
  <si>
    <t>MG Industries</t>
  </si>
  <si>
    <t>Total Northeast</t>
  </si>
  <si>
    <t>Illinois</t>
  </si>
  <si>
    <t>City of Chicago</t>
  </si>
  <si>
    <t>IL</t>
  </si>
  <si>
    <t>Total Illinois</t>
  </si>
  <si>
    <t>Texas</t>
  </si>
  <si>
    <t>Lowes Home Centers 071201</t>
  </si>
  <si>
    <t>RMS-TX</t>
  </si>
  <si>
    <t>Total Texas</t>
  </si>
  <si>
    <t>California</t>
  </si>
  <si>
    <t>TABC</t>
  </si>
  <si>
    <t>Jack in the Box 082901</t>
  </si>
  <si>
    <t>Balta Food Group</t>
  </si>
  <si>
    <t>Balta Resturant</t>
  </si>
  <si>
    <t>BD BioSciences - PGE Secondary</t>
  </si>
  <si>
    <t>BK Fountain Valley Resturant</t>
  </si>
  <si>
    <t>Credit Write Off (Komag)</t>
  </si>
  <si>
    <t>Deal Mgmt  Mid Mkt Orig (Komag)</t>
  </si>
  <si>
    <t>American Stores (Albertson's)</t>
  </si>
  <si>
    <t>RMS-Cali</t>
  </si>
  <si>
    <t>Unisil and Tri Valley unwind</t>
  </si>
  <si>
    <t>Golden Bear</t>
  </si>
  <si>
    <t>Unwind American Stores (Albertson's)**</t>
  </si>
  <si>
    <t>Total California</t>
  </si>
  <si>
    <t>Total Regional Market Services</t>
  </si>
  <si>
    <t>Sourcing</t>
  </si>
  <si>
    <t>Origination adjustment on recision rights</t>
  </si>
  <si>
    <t>Total Energy Services</t>
  </si>
  <si>
    <t>Enron Direct USA</t>
  </si>
  <si>
    <t>Direct Sales:</t>
  </si>
  <si>
    <t>West:</t>
  </si>
  <si>
    <t>Lowes_092801</t>
  </si>
  <si>
    <t>GoodeCompany_092001</t>
  </si>
  <si>
    <t>Tricon</t>
  </si>
  <si>
    <t>Tricon_MissingSites_092101</t>
  </si>
  <si>
    <t>TX_MidMkt_092801</t>
  </si>
  <si>
    <t>HelfmanFord_Batch02</t>
  </si>
  <si>
    <t>HomeWoodSuites_092801</t>
  </si>
  <si>
    <t>LeadershipFord_091901</t>
  </si>
  <si>
    <t>MarsMusic_092401</t>
  </si>
  <si>
    <t>RiverOaks_Batch02</t>
  </si>
  <si>
    <t>SecondBaptistChurch_092401</t>
  </si>
  <si>
    <t>SouthernMultifoods_Additional_092001</t>
  </si>
  <si>
    <t>TravisAveBaptistChurch_091801</t>
  </si>
  <si>
    <t>Intuit</t>
  </si>
  <si>
    <t>Eagle Electronics</t>
  </si>
  <si>
    <t>PrestonwoodBaptistChurch_Additional_091301</t>
  </si>
  <si>
    <t>IL_MidMkt_AdvancedArenas_090701</t>
  </si>
  <si>
    <t>TX_MidMkt_Auchan_091701</t>
  </si>
  <si>
    <t>TX_MidMkt_DePelchin_091701</t>
  </si>
  <si>
    <t>TX_MidMkt_Goldberg Towers_091101</t>
  </si>
  <si>
    <t>TX_MidMkt_BallIndustries_090701</t>
  </si>
  <si>
    <t>TX_MidMkt_Breadwinners_090701</t>
  </si>
  <si>
    <t>TX_MidMkt_Chucks_090601</t>
  </si>
  <si>
    <t>TX_MidMkt_RansomManagement_090701</t>
  </si>
  <si>
    <t>KeheFoods_083001</t>
  </si>
  <si>
    <t>TX MidMkt_KRTS 082401</t>
  </si>
  <si>
    <t>TX MidMkt_Leiserve_082701</t>
  </si>
  <si>
    <t>TX MidMkt_Austaco 083001</t>
  </si>
  <si>
    <t>TX MidMkt_Home&amp;Hearth 083101</t>
  </si>
  <si>
    <t>TX MidMkt_Noel Furniture_Late82801</t>
  </si>
  <si>
    <t>TX MidMkt_Timberland_082901 (Timber Blind)</t>
  </si>
  <si>
    <t>Texas MidMkt_Oak Condiminiums 082101</t>
  </si>
  <si>
    <t>Gulf Pacific (Amendment)</t>
  </si>
  <si>
    <t>JohnSoules 081501 (Additional Sites)</t>
  </si>
  <si>
    <t>TX Mid Market - U.S. Contractors</t>
  </si>
  <si>
    <t>TX Mid Market - GreenAcres 081301</t>
  </si>
  <si>
    <t>Texas Mid Mkt Oak Street Apartments 080901</t>
  </si>
  <si>
    <t>Texas Mid Mkt 11211South Post Oak 080801</t>
  </si>
  <si>
    <t>Texas Mid Mkt _6922 South Loop East Apartments</t>
  </si>
  <si>
    <t>Gulf Pacific</t>
  </si>
  <si>
    <t>ED - West CA</t>
  </si>
  <si>
    <t>Universal Form Clamp</t>
  </si>
  <si>
    <t>ED - West IL</t>
  </si>
  <si>
    <t>Campbell Motel Prop</t>
  </si>
  <si>
    <t>ED - West TX</t>
  </si>
  <si>
    <t>Tricon TX</t>
  </si>
  <si>
    <t>Tricon CA</t>
  </si>
  <si>
    <t>Hyatt Regency (Houston)</t>
  </si>
  <si>
    <t>Hyatt Airport</t>
  </si>
  <si>
    <t>Numerical Precision</t>
  </si>
  <si>
    <t>Prestonwood Baptist Church (TXU)</t>
  </si>
  <si>
    <t>Studewood Management (Reliant)</t>
  </si>
  <si>
    <t>Unwind Studewood Management</t>
  </si>
  <si>
    <t>Lenore Properties Inc. (Reliant)</t>
  </si>
  <si>
    <t>OSI Group/Nation Pizza - IL</t>
  </si>
  <si>
    <t>St. James Council Credit Revision</t>
  </si>
  <si>
    <t>Partial Unwind Lenore Properties</t>
  </si>
  <si>
    <t>Belfort Villa Apartments L.P. (Reliant)</t>
  </si>
  <si>
    <t>Komet of America</t>
  </si>
  <si>
    <t>Five Star Laundry</t>
  </si>
  <si>
    <t>Large Commodity Gas - West</t>
  </si>
  <si>
    <t>California Gas Deals (See Unwind Detail)***</t>
  </si>
  <si>
    <t>Origination Release Nooter Fabricators - Gas</t>
  </si>
  <si>
    <t>Agency Fees - Gas</t>
  </si>
  <si>
    <t>Mid-Market Gas - Illinios</t>
  </si>
  <si>
    <t>Mid-Market Gas - California</t>
  </si>
  <si>
    <t xml:space="preserve">Total West </t>
  </si>
  <si>
    <t>East:</t>
  </si>
  <si>
    <t>GSCorp_091901</t>
  </si>
  <si>
    <t>Leiserv_092001</t>
  </si>
  <si>
    <t>Leiserve_092101</t>
  </si>
  <si>
    <t>RamAssociates_092401</t>
  </si>
  <si>
    <t>RiverTerminal_092801</t>
  </si>
  <si>
    <t>Cypriania_092101</t>
  </si>
  <si>
    <t>Leiserv_092101</t>
  </si>
  <si>
    <t>OakwoodLanes_092601</t>
  </si>
  <si>
    <t>Speedwash_091801</t>
  </si>
  <si>
    <t>Brunswick</t>
  </si>
  <si>
    <t>Childrens Medical</t>
  </si>
  <si>
    <t>Morris</t>
  </si>
  <si>
    <t>Peerless_092001</t>
  </si>
  <si>
    <t>A&amp;A_092601</t>
  </si>
  <si>
    <t>Cersosimo Lumber</t>
  </si>
  <si>
    <t>John Lane</t>
  </si>
  <si>
    <t>NEPOOL</t>
  </si>
  <si>
    <t>RodneyHunt_Batch02</t>
  </si>
  <si>
    <t>Beninson_091301</t>
  </si>
  <si>
    <t>NHE</t>
  </si>
  <si>
    <t>RomaFoods_091301</t>
  </si>
  <si>
    <t>AM_Properties_083101</t>
  </si>
  <si>
    <t>BridgewaterIceArena 082201</t>
  </si>
  <si>
    <t>ClearviewNursingHome</t>
  </si>
  <si>
    <t>Engelside 083101</t>
  </si>
  <si>
    <t>Hebrew Hospital 082901</t>
  </si>
  <si>
    <t>SilverBarn</t>
  </si>
  <si>
    <t>Howland Hook</t>
  </si>
  <si>
    <t>Bob Evans Farms - Gas</t>
  </si>
  <si>
    <t>ED - East MA</t>
  </si>
  <si>
    <t>Hyatt Residence Center</t>
  </si>
  <si>
    <t>Boston Properties 2</t>
  </si>
  <si>
    <t>ED- East MA</t>
  </si>
  <si>
    <t>NEPOOL (MA)</t>
  </si>
  <si>
    <t>Town of Sturbridge</t>
  </si>
  <si>
    <t>Beech Hills (MidMkt) 07/27/01</t>
  </si>
  <si>
    <t>Classic Residence by Hyatt 072301</t>
  </si>
  <si>
    <t>Large Commodity Gas - East</t>
  </si>
  <si>
    <t>Mid-Market Gas - Mid-Atlantic</t>
  </si>
  <si>
    <t>Mid-Market Gas - Northeast</t>
  </si>
  <si>
    <t xml:space="preserve">Total East </t>
  </si>
  <si>
    <t>Agent Network Channel</t>
  </si>
  <si>
    <t>Tricon TXU</t>
  </si>
  <si>
    <t>TX MidMkt_B&amp;G_082401</t>
  </si>
  <si>
    <t>TX MidMkt_Espinosa Pizza 082401</t>
  </si>
  <si>
    <t>TX MidMkt_Fields_082401</t>
  </si>
  <si>
    <t>TX MidMkt_Hospitality_082401</t>
  </si>
  <si>
    <t>TX MidMkt_Mallen_082401</t>
  </si>
  <si>
    <t>TX MidMkt_RGV_082401</t>
  </si>
  <si>
    <t>TX MidMkt_AmericasPizzaCompany 082401</t>
  </si>
  <si>
    <t>TX MidMkt_AmericasPizzaPartners 082401</t>
  </si>
  <si>
    <t>TX MidMkt_DaisyFoods_082401</t>
  </si>
  <si>
    <t>TX MidMkt_KormexFoods 082401</t>
  </si>
  <si>
    <t>TX MidMkt_ProgressivePizzaPartners 082401</t>
  </si>
  <si>
    <t>TX MidMkt_RestaurantSystems 082401</t>
  </si>
  <si>
    <t>TX MidMkt_SouthernMultifoods 082801</t>
  </si>
  <si>
    <t>TX MidMkt_TenKil 082401</t>
  </si>
  <si>
    <t>NY_FIA_Bivco 082901</t>
  </si>
  <si>
    <t xml:space="preserve">MECC 12 Month - B &amp; E (LaValley, Hardwood, Pratt &amp; Whitney) </t>
  </si>
  <si>
    <t>MECC_R&amp;V Industries 072701</t>
  </si>
  <si>
    <t>3rd Party</t>
  </si>
  <si>
    <t>Rich Tool &amp; Dye</t>
  </si>
  <si>
    <t>FIA - Fast Break Food Stores Unwind</t>
  </si>
  <si>
    <t>Aggregation</t>
  </si>
  <si>
    <t>FIA - 9530 Food Corp Unwind</t>
  </si>
  <si>
    <t>Pola_082001</t>
  </si>
  <si>
    <t>Haverhill Site Unwind (Daniel Chansky)</t>
  </si>
  <si>
    <t>Unwind NSA - Teofilo de Jesus</t>
  </si>
  <si>
    <t>Unwind NSA - Edwin Sanchez</t>
  </si>
  <si>
    <t>Unwind NSA - Fernando Diaz</t>
  </si>
  <si>
    <t>Unwind NSA - Hector Bueno</t>
  </si>
  <si>
    <t>Unwind NSA - Juan Bautista</t>
  </si>
  <si>
    <t>Unwind NSA - Juan Y. Diaz</t>
  </si>
  <si>
    <t>Unwind NSA - Nelson Diaz - 1</t>
  </si>
  <si>
    <t>Unwind NSA - Nicolas Lopez</t>
  </si>
  <si>
    <t>Unwind NSA - Paul Fernandez</t>
  </si>
  <si>
    <t>Unwind NSA - Rafael Roca</t>
  </si>
  <si>
    <t>Unwind NSA - Shana Benoit</t>
  </si>
  <si>
    <t>Unwind NSA - Danilo Espinal</t>
  </si>
  <si>
    <t>Total CES</t>
  </si>
  <si>
    <t>Unwind CES55_Chancellor Garden of Cape Elizabeth</t>
  </si>
  <si>
    <t>Unwind CES58_BJ's Market</t>
  </si>
  <si>
    <t>CES60_Lo&amp;To_BHE_091801</t>
  </si>
  <si>
    <t>CES64_Super8_NEPOOL_092601</t>
  </si>
  <si>
    <t>CES64_YorkCommunityActionGroup_CMP_092701</t>
  </si>
  <si>
    <t>CES65_bangorTruck&amp;Trailer_CMP_092801</t>
  </si>
  <si>
    <t>CES65_HighChevroletBuick_CMP_092801</t>
  </si>
  <si>
    <t>CES65_NortheastWoodTurning_CMP_092801</t>
  </si>
  <si>
    <t>CES65_Sowbrookcondo_NEPOOL_092601</t>
  </si>
  <si>
    <t>CES59_LisbonRestaurants_BHE_091201</t>
  </si>
  <si>
    <t>CES59_Romeos_CMP_091201</t>
  </si>
  <si>
    <t>CES_54_Maine State Retirement Systems_CMP 082401</t>
  </si>
  <si>
    <t>CES54_RHFosterEnergy_BHE 082401</t>
  </si>
  <si>
    <t>CES54_RHFosterEnergy_CMP 082401</t>
  </si>
  <si>
    <t>CES55_ChancellorGardens 082801</t>
  </si>
  <si>
    <t>CES56_MorrisYachts_BHE 082901</t>
  </si>
  <si>
    <t>CES57_DaigleOil_BHE 083001</t>
  </si>
  <si>
    <t>CES57_REHemondFarm_CMP_083001</t>
  </si>
  <si>
    <t>CES58_BJWinner_BHE 083101</t>
  </si>
  <si>
    <t>CES58_SureWinner_CMP 083101</t>
  </si>
  <si>
    <t>Unwind CES46 Extra Term</t>
  </si>
  <si>
    <t>Unwind CES49 Kinsley Bond Extra Term</t>
  </si>
  <si>
    <t>CES49_Kingsley Pond_CMP</t>
  </si>
  <si>
    <t>CES49_Kingsley Pond_BHE_September 03 Addition</t>
  </si>
  <si>
    <t>CES51_Walls Electric_BHE</t>
  </si>
  <si>
    <t>CES51_BarharborQualityInn_BHE 082001</t>
  </si>
  <si>
    <t>CES52_BarberFoods 081501</t>
  </si>
  <si>
    <t>CES53_GrowTechInc(DivisionofRynel,Inc) 082201</t>
  </si>
  <si>
    <t>CES46_MaineMidMkt_September01</t>
  </si>
  <si>
    <t>CES53_Zbrothers Inc 082201</t>
  </si>
  <si>
    <t>CES48_Custom Banner and Graphics</t>
  </si>
  <si>
    <t>CES49_KinsleyPond_BHE 081501</t>
  </si>
  <si>
    <t>CES49_KinsleyPond_CMP 081501</t>
  </si>
  <si>
    <t>CES_50_James Newspaper 081701</t>
  </si>
  <si>
    <t>CES46_Falcon Rule_080101</t>
  </si>
  <si>
    <t>CES46_Hotel Equities Days Inn 080101</t>
  </si>
  <si>
    <t>CES46_Howell's Travel Shop 080101</t>
  </si>
  <si>
    <t>CES46_Lodging Comfort Inn 080101</t>
  </si>
  <si>
    <t>CES46_Lodging Inequities Econo Lodge 080101</t>
  </si>
  <si>
    <t>CES46_Megquire Hill Farm 080101</t>
  </si>
  <si>
    <t>CES46_Saco (Scarborough) Sport and Fitness 080101</t>
  </si>
  <si>
    <t>CES46_Saco Sport and Fitness 080101</t>
  </si>
  <si>
    <t>CES46_Sam's Italian Foods 080101</t>
  </si>
  <si>
    <t>CES46_Dunlop Corporation 080101</t>
  </si>
  <si>
    <t>CES47_York Harbor Inn 080601</t>
  </si>
  <si>
    <t>CES 38 - Transparent Audio Inc.</t>
  </si>
  <si>
    <t>Agent</t>
  </si>
  <si>
    <t>CES 38 - Lafayette Waterville</t>
  </si>
  <si>
    <t>CES 38 - Clean Harbors Environment</t>
  </si>
  <si>
    <t>Unwind CES38 - Clean Harbor Environment</t>
  </si>
  <si>
    <t>Unwind CES38 - Blue Star Grille</t>
  </si>
  <si>
    <t>Unwind CES41 - High Partners</t>
  </si>
  <si>
    <t>CES 42 - Maine Recycling Corp 072401</t>
  </si>
  <si>
    <t>CES 42 - Oriental Jade Restaurant 072401</t>
  </si>
  <si>
    <t>CES 42 - WLBZ 072401</t>
  </si>
  <si>
    <t>CES 42 - Anchoragelnn 072401</t>
  </si>
  <si>
    <t>CES 42 - Inn at Long Sands</t>
  </si>
  <si>
    <t>CES42_Gagne Precast Concrete Products_072401</t>
  </si>
  <si>
    <t>CES42_Best Western Manor_072401</t>
  </si>
  <si>
    <t>CES44_BernsteinShurSawyer and Nelson_072601</t>
  </si>
  <si>
    <t>CES44_Returnable Services_072601</t>
  </si>
  <si>
    <t>CES43 - Colette Donut Shoppe</t>
  </si>
  <si>
    <t>CES43 - Acadia Insurance Company</t>
  </si>
  <si>
    <t>CES45-St. Andre Health Care Facility</t>
  </si>
  <si>
    <t>CES45-Auburn Manufacturing</t>
  </si>
  <si>
    <t>CES45-GreenMill Corp.</t>
  </si>
  <si>
    <t>CES45-Port Harbor Marine Inc</t>
  </si>
  <si>
    <t>CES45-Pat's Pizza of Auburn</t>
  </si>
  <si>
    <t>CES 38 - Set Blue Star Grille</t>
  </si>
  <si>
    <t>Unwind CES21 - Pat's Pizza of Scarborough</t>
  </si>
  <si>
    <t>CES_Greene IGA</t>
  </si>
  <si>
    <t>CES_Sabago</t>
  </si>
  <si>
    <t>CES_Bessey Motor Sales</t>
  </si>
  <si>
    <t>CES_Northgate</t>
  </si>
  <si>
    <t>CES_Clean Harbors Environment Rebook</t>
  </si>
  <si>
    <t>CES_Lafayette Waterville Rebook</t>
  </si>
  <si>
    <t>CES_Transparent Audio Rebook</t>
  </si>
  <si>
    <t>CES 40th Set - High Chevrolet Pontiac</t>
  </si>
  <si>
    <t>CES 40th Set - High Chevrolet Buick</t>
  </si>
  <si>
    <t>Unwind CES38 - Lafayette Waterville, Inc.</t>
  </si>
  <si>
    <t>Unwind CES38 - Transparent Audio, Inc.</t>
  </si>
  <si>
    <t>CES_Greene IGA Reversal</t>
  </si>
  <si>
    <t>CES_Greene IGA Revision</t>
  </si>
  <si>
    <t>Unwind CES - Clean Harbor Environment</t>
  </si>
  <si>
    <t>Total NSA 7/19/01</t>
  </si>
  <si>
    <t>Unwind FIA - Empire Supermarket</t>
  </si>
  <si>
    <t>Unwind FIA - Jason Ferreira</t>
  </si>
  <si>
    <t>Unwind FIA - Blue Giant Food Corp</t>
  </si>
  <si>
    <t>Unwind FIA - 8772 Meat Corp</t>
  </si>
  <si>
    <t>Unwind FIA - Zakat Food Corp</t>
  </si>
  <si>
    <t>Unwind FIA - 597 Food Corp</t>
  </si>
  <si>
    <t>Unwind FIA - Baychester Supermarket</t>
  </si>
  <si>
    <t>Unwind FIA - C Town 108-30 Meat Corp</t>
  </si>
  <si>
    <t xml:space="preserve">Unwind FIA - C Town </t>
  </si>
  <si>
    <t xml:space="preserve">Unwind FIA - JD 145 Meat Corp/Fine Fare </t>
  </si>
  <si>
    <t>Unwind FIA - JD Washington Food Corp</t>
  </si>
  <si>
    <t>Unwind FIA - Lucky Spot Food Corp</t>
  </si>
  <si>
    <t>Unwind FIA - P J Meat &amp; Produce</t>
  </si>
  <si>
    <t>Unwind FIA - Reisi Food Market, Inc.</t>
  </si>
  <si>
    <t>Unwind FIA -S&amp;S Food LLC</t>
  </si>
  <si>
    <t>Unwind FIA - Sea Gate Food</t>
  </si>
  <si>
    <t>Unwind FIA - Shapla of Ridgewood</t>
  </si>
  <si>
    <t>Unwind FIA - T&amp;C Food Corp</t>
  </si>
  <si>
    <t>Unwind FIA - 56X Grocery Inc.</t>
  </si>
  <si>
    <t>Total FIA 7/19/01</t>
  </si>
  <si>
    <r>
      <t xml:space="preserve">Agent Gas </t>
    </r>
    <r>
      <rPr>
        <sz val="10"/>
        <color indexed="8"/>
        <rFont val="Arial"/>
        <family val="2"/>
      </rPr>
      <t>(combined with E-Channel Gas)</t>
    </r>
  </si>
  <si>
    <t>Aggregation Gas</t>
  </si>
  <si>
    <t>Total Agent Network Channel</t>
  </si>
  <si>
    <t>E-Channel (Lowney):</t>
  </si>
  <si>
    <t>E-Channel Gas</t>
  </si>
  <si>
    <t>Interpolymer Corporation 082401</t>
  </si>
  <si>
    <t>Lantor MA 082701</t>
  </si>
  <si>
    <t>Axcel Photonics_072701</t>
  </si>
  <si>
    <t xml:space="preserve">   Total E-Channel</t>
  </si>
  <si>
    <t>Third Party Sales (Bertasi):</t>
  </si>
  <si>
    <t>Total Mass Market West</t>
  </si>
  <si>
    <t>TX_MassMkt_CAD_092401</t>
  </si>
  <si>
    <t>Tx_MassMkt_HLP_091401</t>
  </si>
  <si>
    <t>TX_MassMkt_HLP_091801</t>
  </si>
  <si>
    <t>TX_MassMkt_HLP_091901</t>
  </si>
  <si>
    <t>TX_MassMkt_HLP_092101</t>
  </si>
  <si>
    <t>TX_MassMkt_HLP_092401</t>
  </si>
  <si>
    <t>TX_MassMkt_HLP_092501</t>
  </si>
  <si>
    <t>TX_MassMkt_HLP_092601</t>
  </si>
  <si>
    <t>TX_MassMkt_HLP_092701</t>
  </si>
  <si>
    <t>TX_MassMkt_TNP_092001</t>
  </si>
  <si>
    <t>TX_MassMkt_TNP_092101</t>
  </si>
  <si>
    <t>Tx_MassMkt_TNPNorth_092601</t>
  </si>
  <si>
    <t>TX_MassMkt_TNPNorth_092701</t>
  </si>
  <si>
    <t>TX_MassMkt_TNPNorth_092801</t>
  </si>
  <si>
    <t>TX_MassMkt_TNPSouth_092701</t>
  </si>
  <si>
    <t>Tx_MassMkt_TXU_091701</t>
  </si>
  <si>
    <t>Tx_MassMkt_TXU_091801</t>
  </si>
  <si>
    <t>Tx_MassMkt_TXU_091901</t>
  </si>
  <si>
    <t>TX_MassMkt_TXU_092001</t>
  </si>
  <si>
    <t>TX_MassMkt_TXU_092101</t>
  </si>
  <si>
    <t>TX_MassMkt_TXU_092401</t>
  </si>
  <si>
    <t>TX_MassMkt_TXU_092501</t>
  </si>
  <si>
    <t>TX_MassMkt_TXU_092601</t>
  </si>
  <si>
    <t>TX_MassMkt_TXU_092701</t>
  </si>
  <si>
    <t>Tx_MassMlt_TNPSouth_092601</t>
  </si>
  <si>
    <t>TX_MassMkt_091001</t>
  </si>
  <si>
    <t>TX_MassMkt_091201</t>
  </si>
  <si>
    <t>TX_MassMkt_091301</t>
  </si>
  <si>
    <t>TX_MassMkt_HLP_091701</t>
  </si>
  <si>
    <t>Tx_MassMkt_Txu_091301</t>
  </si>
  <si>
    <t>TX_MassMkt_Txu_091401</t>
  </si>
  <si>
    <t>TX_MassMkt_090401</t>
  </si>
  <si>
    <t>TX_MassMkt_090501</t>
  </si>
  <si>
    <t>TX_MassMkt_090601</t>
  </si>
  <si>
    <t>TX_MassMkt_090701</t>
  </si>
  <si>
    <t>TX_MassMkt 083001</t>
  </si>
  <si>
    <t>TX_MassMkt 083101</t>
  </si>
  <si>
    <t>Total Mass Market East</t>
  </si>
  <si>
    <t>MA_MassMkt_BECO_091801</t>
  </si>
  <si>
    <t>MA_MassMkt_BECO_091801_1</t>
  </si>
  <si>
    <t>MA_MassMkt_BECO_091801_2</t>
  </si>
  <si>
    <t>MA_MassMkt_BECO_091801_3</t>
  </si>
  <si>
    <t>MA_MassMkt_BECO_091801_4</t>
  </si>
  <si>
    <t>MA_MassMkt_BECO_091801_5</t>
  </si>
  <si>
    <t>MA_MassMkt_BECO_091901</t>
  </si>
  <si>
    <t>MA_MassMkt_BECO_092001</t>
  </si>
  <si>
    <t>MA_MassMkt_BECO_092101</t>
  </si>
  <si>
    <t>MA_MassMkt_BECO_092401_Agg</t>
  </si>
  <si>
    <t>MA_MassMkt_BECO_092501</t>
  </si>
  <si>
    <t>MA_MassMkt_BECO_092601</t>
  </si>
  <si>
    <t>MA_MassMkt_BECO_092701</t>
  </si>
  <si>
    <t>MA_MassMkt_BECO_092801</t>
  </si>
  <si>
    <t>MA_MassMkt_MECO_091801-1</t>
  </si>
  <si>
    <t>MA_MassMkt_MECO_091801-2</t>
  </si>
  <si>
    <t>MA_MassMkt_MECO_091801-3</t>
  </si>
  <si>
    <t>MA_MassMkt_MECO_091801-4</t>
  </si>
  <si>
    <t>MA_MassMkt_MECO_091801-5</t>
  </si>
  <si>
    <t>MA_MassMkt_MECO_092001</t>
  </si>
  <si>
    <t>MA_MassMkt_MECO_092101</t>
  </si>
  <si>
    <t>MA_MassMkt_MECO_092401</t>
  </si>
  <si>
    <t>MA_MassMkt_MECO_092401_1</t>
  </si>
  <si>
    <t>MA_MassMkt_MECO_092501</t>
  </si>
  <si>
    <t>MA_MassMkt_MECO_092601</t>
  </si>
  <si>
    <t>MA_MassMkt_MECO_092701</t>
  </si>
  <si>
    <t>MA_MassMkt_MECO_092801</t>
  </si>
  <si>
    <t>MA_MassMkt_MECO_1_092001</t>
  </si>
  <si>
    <t>MassMkt_MECO_091801</t>
  </si>
  <si>
    <t>MassMkt_MECO_091901</t>
  </si>
  <si>
    <t>NY_MassMkt_09_19_01</t>
  </si>
  <si>
    <t>NY_MassMkt_091201(from 091101)</t>
  </si>
  <si>
    <t>Ny_MassMkt_091701_b2nd</t>
  </si>
  <si>
    <t>NY_MassMkt_092001</t>
  </si>
  <si>
    <t>NY_MassMkt_092101</t>
  </si>
  <si>
    <t>Ny_MassMkt_092401</t>
  </si>
  <si>
    <t>NY_MassMkt_092401</t>
  </si>
  <si>
    <t>NY_MassMkt_092501_b</t>
  </si>
  <si>
    <t>NY_MassMkt_092601</t>
  </si>
  <si>
    <t>NY_MassMkt_092801</t>
  </si>
  <si>
    <t>NY_MassMkt_b</t>
  </si>
  <si>
    <t>NY_MassMkt_Salience_091801</t>
  </si>
  <si>
    <t>Ny_MassMkt_Talent Tree_091801</t>
  </si>
  <si>
    <t>Partial Unwind MA_MassMkt_MECO_081501</t>
  </si>
  <si>
    <t>Unwind MA_MassMkt_Term Adj</t>
  </si>
  <si>
    <t>Ny_MassMkt_091001</t>
  </si>
  <si>
    <t>Ny_massMkt_091201</t>
  </si>
  <si>
    <t>NY_MassMkt_091301</t>
  </si>
  <si>
    <t>NY_MassMkt_091401</t>
  </si>
  <si>
    <t>NY_MassMkt_OldDeals_091701</t>
  </si>
  <si>
    <t>MA_Mass Mkt_Beco_082901_October</t>
  </si>
  <si>
    <t>MA_Mass Mkt_Beco_083001_October</t>
  </si>
  <si>
    <t>MA_Mass Mkt_Beco_083101_October</t>
  </si>
  <si>
    <t>MA_Mass Mkt_Beco_090401_October</t>
  </si>
  <si>
    <t>MA_Mass Mkt_Beco_090501_October</t>
  </si>
  <si>
    <t>MA_Mass Mkt_Beco_090601_October</t>
  </si>
  <si>
    <t>MA_Mass Mkt_Meco_082901_October</t>
  </si>
  <si>
    <t>MA_Mass Mkt_Meco_083101_October</t>
  </si>
  <si>
    <t>MA_Mass Mkt_Meco_084101_October</t>
  </si>
  <si>
    <t>MA_Mass Mkt_Meco_090401_October</t>
  </si>
  <si>
    <t>MA_Mass Mkt_Meco_090501_October</t>
  </si>
  <si>
    <t>MA_Mass Mkt_Meco_090601_October</t>
  </si>
  <si>
    <t>MA_MassMkt_BECO_091001</t>
  </si>
  <si>
    <t>MA_MassMkt_BECO_091401</t>
  </si>
  <si>
    <t>MA_MassMkt_MECO_082301 - Dynawave Incop. Adj.</t>
  </si>
  <si>
    <t>MA_MassMkt_MECO_091001</t>
  </si>
  <si>
    <t>MA_MassMkt_MECO_091401</t>
  </si>
  <si>
    <t>MA_MassMkt_090701 (MECO)</t>
  </si>
  <si>
    <t>MA_MassMkt_BECO_090401</t>
  </si>
  <si>
    <t>MA_MassMkt_BECO_090501</t>
  </si>
  <si>
    <t>MA_MassMkt_BECO_09061</t>
  </si>
  <si>
    <t>MA_MassMkt_MECO_090401</t>
  </si>
  <si>
    <t>MA_MassMkt_MECO_090501</t>
  </si>
  <si>
    <t>MA_MassMkt_MECO_090601</t>
  </si>
  <si>
    <t>NY_MassMkt__090501</t>
  </si>
  <si>
    <t>NY_MassMkt_090401</t>
  </si>
  <si>
    <t>NY_MassMkt_090601</t>
  </si>
  <si>
    <t>NY_MassMkt_090701</t>
  </si>
  <si>
    <t>NY_MassMkt_AdditionalSites_090401</t>
  </si>
  <si>
    <t>NY_MassMkt_CAD_090401</t>
  </si>
  <si>
    <t>MA MassMkt_BECO_Late 82301</t>
  </si>
  <si>
    <t>MA_MassMkt_BECO 080801</t>
  </si>
  <si>
    <t>MA_MassMkt_BECO 082001_data from bill</t>
  </si>
  <si>
    <t>MA_MassMkt_BECO 082901</t>
  </si>
  <si>
    <t>MA_MassMkt_BECO 083001</t>
  </si>
  <si>
    <t>MA_MassMkt_BECO 083101</t>
  </si>
  <si>
    <t>MA_MassMkt_BECO 81301_EDI</t>
  </si>
  <si>
    <t>MA_MassMkt_BECO 82401</t>
  </si>
  <si>
    <t>MA_MassMKt_BECO 82701</t>
  </si>
  <si>
    <t>MA_MassMkt_BECO_080901.edi</t>
  </si>
  <si>
    <t>MA_MassMkt_BECO_DATA from Bill_081601</t>
  </si>
  <si>
    <t>MA_MassMkt_BECO_Late 081701_EDI</t>
  </si>
  <si>
    <t>MA_MassMkt_BECO_Late_081401_EDI</t>
  </si>
  <si>
    <t>MA_MassMkt_BECO_Late82801</t>
  </si>
  <si>
    <t>MA_MassMKt_Late 081501_EDI</t>
  </si>
  <si>
    <t>MA_MassMkt_MECO 082401</t>
  </si>
  <si>
    <t>MA_MassMkt_MECO 082701</t>
  </si>
  <si>
    <t>MA_MassMkt_MECO 082801</t>
  </si>
  <si>
    <t>MA_MassMkt_MECO 082901</t>
  </si>
  <si>
    <t>MA_MassMkt_MECO 083001</t>
  </si>
  <si>
    <t>MA_MassMkt_MECO 083101</t>
  </si>
  <si>
    <t>MA_MassMkt_MECO_082301</t>
  </si>
  <si>
    <t>NY_MassMkt 082101</t>
  </si>
  <si>
    <t>NY_MassMkt 082301</t>
  </si>
  <si>
    <t>NY_MassMkt 082801</t>
  </si>
  <si>
    <t>NY_MassMkt 082901</t>
  </si>
  <si>
    <t>NY_MassMkt 083001</t>
  </si>
  <si>
    <t>NY_MassMkt 82201</t>
  </si>
  <si>
    <t>NY_MassMkt_082401</t>
  </si>
  <si>
    <t>NY_MassMkt_82701</t>
  </si>
  <si>
    <t>NY_MassMkt_Additional 082901</t>
  </si>
  <si>
    <t>MA_MassMkt_Meco 081401</t>
  </si>
  <si>
    <t>MA_Mass Mkt_MECO_082001</t>
  </si>
  <si>
    <t>MA_Mass Mkt_BECO 081701_ Late 81001</t>
  </si>
  <si>
    <t xml:space="preserve">MA_MassMkt_MECO 082201 </t>
  </si>
  <si>
    <t>MA_MassMkt_MECO 082201Late</t>
  </si>
  <si>
    <t>MA_MassMkt_BECO 081501</t>
  </si>
  <si>
    <t>MA_MassMkt_MECO_082101</t>
  </si>
  <si>
    <t>MA_MassMkt_BECO 082201</t>
  </si>
  <si>
    <t>MA_MassMkt_BECO_Late 081401</t>
  </si>
  <si>
    <t>MA_MassMkt_BECO 081701</t>
  </si>
  <si>
    <t>NY_MassMkt 081501</t>
  </si>
  <si>
    <t>MA_MassMkt 081701</t>
  </si>
  <si>
    <t>NY_MassMkt 081601</t>
  </si>
  <si>
    <t>NY_MassMkt 082001</t>
  </si>
  <si>
    <t>NY_MassMkt 081701</t>
  </si>
  <si>
    <t>MA_MassMkt_Meco 081601</t>
  </si>
  <si>
    <t>MA_MassMkt_Meco 081501</t>
  </si>
  <si>
    <t>MassMkt 073101</t>
  </si>
  <si>
    <t>mass</t>
  </si>
  <si>
    <t>NY_MassMkt 081401</t>
  </si>
  <si>
    <t>NY_MassMkt 081301</t>
  </si>
  <si>
    <t>NY_MassMkt 081001</t>
  </si>
  <si>
    <t>NY_MassMkt 080901</t>
  </si>
  <si>
    <t>MassMkt_NY 080801</t>
  </si>
  <si>
    <t>MassMkt_NY 080701</t>
  </si>
  <si>
    <t>MassMkt 080701 - Meriam Sales dba Shore Acres Dry Cleaners Unwind</t>
  </si>
  <si>
    <t>MA_MassMkt_Meco 081301</t>
  </si>
  <si>
    <t>MA_MassMkt_Meco 080901</t>
  </si>
  <si>
    <t>MA_MassMkt_Beco 080901</t>
  </si>
  <si>
    <t>MA_MassMkt Meco_Late080201</t>
  </si>
  <si>
    <t>MA_MassMkt 081301</t>
  </si>
  <si>
    <t>MA_MassMkt 081001</t>
  </si>
  <si>
    <t>MA_MassMkt 080801</t>
  </si>
  <si>
    <t>MA Mass Mkt 073101_1859 House Restaurant</t>
  </si>
  <si>
    <t>MassMkt 073001</t>
  </si>
  <si>
    <t>MA_MassMkt 073101</t>
  </si>
  <si>
    <t>MassMkt 070901Credit adjustment</t>
  </si>
  <si>
    <t>MassMkt 071001Credit adjustment</t>
  </si>
  <si>
    <t>MassMkt 071101Credit adjustment</t>
  </si>
  <si>
    <t>MassMkt 071201Credit adjustment</t>
  </si>
  <si>
    <t>Unwind Capricorn Pizza MassMkt 070901</t>
  </si>
  <si>
    <t>Unwind Roland Super Food MassMkt 071601</t>
  </si>
  <si>
    <t>MassMkt 080201</t>
  </si>
  <si>
    <t>MassMkt 080301</t>
  </si>
  <si>
    <t>NY_MassMkt 080601</t>
  </si>
  <si>
    <t>MA_MassMkt 080101</t>
  </si>
  <si>
    <t>MA_MassMkt 080301</t>
  </si>
  <si>
    <t>MA_MassMkt 080601</t>
  </si>
  <si>
    <t>MA_MassMky 080701</t>
  </si>
  <si>
    <t>Mass Market - Chae Chong Hue unwind</t>
  </si>
  <si>
    <t>Mass Market</t>
  </si>
  <si>
    <t>Mass Market - TJ Brothers Corp Unwind</t>
  </si>
  <si>
    <t>Mass Market - City Line Fruit Store Unwind</t>
  </si>
  <si>
    <t>Mass Market - Son Happy Farm Unwind</t>
  </si>
  <si>
    <t>Mass Market - YH Vegetable Store Unwind</t>
  </si>
  <si>
    <t>Mass Market - Yonkers African Mkt Unwind</t>
  </si>
  <si>
    <t>Mass Market - Gem Star Furniture Unwind</t>
  </si>
  <si>
    <t>Mass Market - Empire Bedding Unwind</t>
  </si>
  <si>
    <t>Mass Market - Jim Stationary Unwind</t>
  </si>
  <si>
    <t>Mass Market - Nan Young Cho Unwind</t>
  </si>
  <si>
    <t>Mass Market - Catherine Thaila Hair Spa Unwind</t>
  </si>
  <si>
    <t>Mass Market - Kellys Pub Unwind</t>
  </si>
  <si>
    <t>Mass Market - JG Deli &amp; Food Corp Unwind</t>
  </si>
  <si>
    <t>Mass Market - Getty Square Hero Unwind</t>
  </si>
  <si>
    <t>Mass Market - New Main Discount Unwind</t>
  </si>
  <si>
    <t>Mass Market - K Bolan, D Dixon Unwind</t>
  </si>
  <si>
    <t>Mass Mkt 7/2</t>
  </si>
  <si>
    <t>Mass Mkt 7/3</t>
  </si>
  <si>
    <t>Mass Mkt 7/5</t>
  </si>
  <si>
    <t>Mass Market 07/06/01</t>
  </si>
  <si>
    <t>Mass Market 07/09/01</t>
  </si>
  <si>
    <t>Mass Market 07/10/01</t>
  </si>
  <si>
    <t>Mass Market 07/11/01</t>
  </si>
  <si>
    <t>MassMkt 07_12_01</t>
  </si>
  <si>
    <t>MassMkt 07_13_01</t>
  </si>
  <si>
    <t>MassMkt 07_16_01</t>
  </si>
  <si>
    <t>Unwind MassMkt - Café El Dorado</t>
  </si>
  <si>
    <t>Unwind MassMkt - Deli &amp; Grocery</t>
  </si>
  <si>
    <t>Unwind MassMkt - 1545 Pizza Corporation</t>
  </si>
  <si>
    <t>Unwind MassMkt - Patricia Pizza &amp; Pasta II</t>
  </si>
  <si>
    <t>Unwind MassMkt - Café Guatemala_044</t>
  </si>
  <si>
    <t>Unwind MassMkt - Café Guatemala_065</t>
  </si>
  <si>
    <t>Unwind MassMkt - Sany's Varieties Store</t>
  </si>
  <si>
    <t>Unwind MassMkt - Main St. Supermarket Corp.</t>
  </si>
  <si>
    <t>Unwind MassMkt - 99 Cents Value Inc.</t>
  </si>
  <si>
    <t>MassMkt07_19_01</t>
  </si>
  <si>
    <t>Unwind MassMkt - Richmond County Donut Inc.</t>
  </si>
  <si>
    <t>Unwind MassMkt - Williams Bridge Discount</t>
  </si>
  <si>
    <t>Mass Mkt 07_17_01</t>
  </si>
  <si>
    <t>Mass Mkt 07_23_01</t>
  </si>
  <si>
    <t>Mass Mkt 7/20/01</t>
  </si>
  <si>
    <t>MassMkt 07_24_01</t>
  </si>
  <si>
    <t>Mass Mkt 07_25_01</t>
  </si>
  <si>
    <t>MassMkt_072601</t>
  </si>
  <si>
    <t>MassMkt_072701</t>
  </si>
  <si>
    <t>Mass Mkt 07_18_01</t>
  </si>
  <si>
    <t xml:space="preserve">   Total Third Party Sales</t>
  </si>
  <si>
    <t>CAD Sales:</t>
  </si>
  <si>
    <t>Jerome Industries</t>
  </si>
  <si>
    <t>CAD</t>
  </si>
  <si>
    <t>Credit Reserve Adjustment</t>
  </si>
  <si>
    <t>CAD - Gas Deals</t>
  </si>
  <si>
    <t xml:space="preserve">   Total CAD Sales</t>
  </si>
  <si>
    <t>Clinton Gas Sales:</t>
  </si>
  <si>
    <t>Clinton Gas Sales</t>
  </si>
  <si>
    <t>Agency Fees</t>
  </si>
  <si>
    <t>Total Clinton Gas Sales</t>
  </si>
  <si>
    <t>Other Transactions:</t>
  </si>
  <si>
    <t>Gas - Other</t>
  </si>
  <si>
    <t>Bico Dayton, Inc. (Orig =Major Accts, Weidinger)</t>
  </si>
  <si>
    <t>DESC-NETC Great Lakes (Orig=Major Accts, Weinreich)</t>
  </si>
  <si>
    <t>Credit Write Off (Aerocraft)</t>
  </si>
  <si>
    <t>Credit Mid Mkt Orig (Aerocraft)</t>
  </si>
  <si>
    <t>Deal Mgmt  Mid Mkt Orig (Roma Foods)</t>
  </si>
  <si>
    <t>Deal Mgmt  Mid Mkt Orig (Stonehurst)</t>
  </si>
  <si>
    <t>Deal Mgmt  Mid Mkt Orig (Milso)</t>
  </si>
  <si>
    <t>Deal Mgmt  Mid Mkt Orig (WHB Corp/Millenium Bilmore Hotel)</t>
  </si>
  <si>
    <t>Deal Mgmt  Mid Mkt Orig (South Valley Gins Inc.)</t>
  </si>
  <si>
    <t>Deal Mgmt  Mid Mkt Orig (Victoria Nurseries)</t>
  </si>
  <si>
    <t>Deal Mgmt  Mid Mkt Orig (Ponds Pembroke LP/Brookdale Holdings)</t>
  </si>
  <si>
    <t>Total Enron Direct USA</t>
  </si>
  <si>
    <t xml:space="preserve">   Total Margin Adjustments:</t>
  </si>
  <si>
    <t>Other Businesses</t>
  </si>
  <si>
    <t>Golden Bear:</t>
  </si>
  <si>
    <t>Total Golden Bear</t>
  </si>
  <si>
    <t>Utility Representation Services:</t>
  </si>
  <si>
    <t>ANC-Phoenix</t>
  </si>
  <si>
    <t xml:space="preserve">Portfolio </t>
  </si>
  <si>
    <t>Tyco-Commerce TX</t>
  </si>
  <si>
    <t>Total Utility Representation Services</t>
  </si>
  <si>
    <t>Total Other Businesses</t>
  </si>
  <si>
    <t>Other Items Affecting TCV or MTM</t>
  </si>
  <si>
    <t>ICAP recalculation grant from EWS</t>
  </si>
  <si>
    <t>Gas Mid Mkt</t>
  </si>
  <si>
    <t xml:space="preserve">Total for Other Items </t>
  </si>
  <si>
    <t>Total 3Q 2001</t>
  </si>
  <si>
    <t>1Q 2001</t>
  </si>
  <si>
    <t>2Q 2001</t>
  </si>
  <si>
    <t>3Q 2001</t>
  </si>
  <si>
    <t>4Q 2001</t>
  </si>
  <si>
    <t>YTD 2001</t>
  </si>
  <si>
    <t>Europe TCV</t>
  </si>
  <si>
    <t>Current Week Newly Booked Deals</t>
  </si>
  <si>
    <t>* Variance from underwriting value to booking value under review.</t>
  </si>
  <si>
    <t>TCV Reconciliation</t>
  </si>
  <si>
    <t>Domestic TCV - Booked</t>
  </si>
  <si>
    <t>European TCV - Booked</t>
  </si>
  <si>
    <t>Canadian TCV - Booked</t>
  </si>
  <si>
    <t>Domestic TCV - Unbooked</t>
  </si>
  <si>
    <t>TOTAL Q3 TCV</t>
  </si>
  <si>
    <t>New Closed Deals not on DPR**</t>
  </si>
  <si>
    <t>Total New Deals:</t>
  </si>
  <si>
    <t xml:space="preserve">**Deal Economics are estimated </t>
  </si>
  <si>
    <t>**** Will be offset by corresponding accrual revesral</t>
  </si>
  <si>
    <t>Deal Unwind Detail***</t>
  </si>
  <si>
    <t>Unwinds Booked Q3</t>
  </si>
  <si>
    <t xml:space="preserve">Ablestik  </t>
  </si>
  <si>
    <t>Buddy Bar Casting</t>
  </si>
  <si>
    <t>Castaic Clay</t>
  </si>
  <si>
    <t>Delimex</t>
  </si>
  <si>
    <t>Expo Dyeing &amp; Finishing</t>
  </si>
  <si>
    <t>Huron Ginning</t>
  </si>
  <si>
    <t>Pacific Tube</t>
  </si>
  <si>
    <t>Radiant</t>
  </si>
  <si>
    <t>San Antonio Hospital</t>
  </si>
  <si>
    <t>Sodexo Mariott Management Services</t>
  </si>
  <si>
    <t>Temperform USA</t>
  </si>
  <si>
    <t>Treasure Chest (Vertis, Inc.)</t>
  </si>
  <si>
    <t>Universal Dyeing and Printing</t>
  </si>
  <si>
    <t>Legally Pursuing **</t>
  </si>
  <si>
    <t>Brown Pacific**</t>
  </si>
  <si>
    <t>Crown City Plating Co., Inc.**</t>
  </si>
  <si>
    <t>Koos Manufacturing**</t>
  </si>
  <si>
    <t>KUA Textile Inc.**</t>
  </si>
  <si>
    <t>Matchmaster Dyeing &amp; Finishing, Inc**</t>
  </si>
  <si>
    <t>Paradise Textile**</t>
  </si>
  <si>
    <t>Regent Beverly Wilshire**  Legally Pursuing</t>
  </si>
  <si>
    <t>Total Unwinds Booked as of 8/29/01</t>
  </si>
  <si>
    <t>Unwinds Not Booked</t>
  </si>
  <si>
    <t>Stylex (Morris Industries)**  Legally Pursuing</t>
  </si>
  <si>
    <t>Total Unwinds Not Booked as of 8/29/01</t>
  </si>
  <si>
    <t>Unwinds Booked Q2</t>
  </si>
  <si>
    <t>Holiday Rock Co.</t>
  </si>
  <si>
    <t>Grand Total</t>
  </si>
  <si>
    <t>**Receivables Acct. established to offset total unwind exposure.</t>
  </si>
  <si>
    <t>(Appears on Forecast Report)</t>
  </si>
  <si>
    <t>DSM</t>
  </si>
  <si>
    <t>EES Canada - Risk Analysis</t>
  </si>
  <si>
    <t>Risk Management</t>
  </si>
  <si>
    <t>Silo</t>
  </si>
  <si>
    <t>State</t>
  </si>
  <si>
    <t>Region</t>
  </si>
  <si>
    <t>Type</t>
  </si>
  <si>
    <t>TCV</t>
  </si>
  <si>
    <t>Sales Orig. O-K</t>
  </si>
  <si>
    <t>Implementation Premium / Misc.</t>
  </si>
  <si>
    <r>
      <t xml:space="preserve">Net Orig. Value O-K               </t>
    </r>
    <r>
      <rPr>
        <b/>
        <sz val="8"/>
        <rFont val="Arial"/>
        <family val="2"/>
      </rPr>
      <t>(MTM @ Offer)</t>
    </r>
  </si>
  <si>
    <t>Hedge Mngmt</t>
  </si>
  <si>
    <t>Valuation Prudencies</t>
  </si>
  <si>
    <t>NET RM</t>
  </si>
  <si>
    <t>Total Value</t>
  </si>
  <si>
    <t>Thousands of US Dollars (FX Rate 1.54)</t>
  </si>
  <si>
    <t>M-O</t>
  </si>
  <si>
    <t>RM</t>
  </si>
  <si>
    <t>(MTM)</t>
  </si>
  <si>
    <t>ENRON DIRECT CANADA</t>
  </si>
  <si>
    <t>DIRECT SALES:</t>
  </si>
  <si>
    <t xml:space="preserve"> ALBERTA GAS DEALS</t>
  </si>
  <si>
    <t>Boardwalk Equities Inc. - 2.5%</t>
  </si>
  <si>
    <t xml:space="preserve">Boardwalk 2.5% Hedge </t>
  </si>
  <si>
    <t>Calgary Winter Club</t>
  </si>
  <si>
    <t>Point on the Bow Condo</t>
  </si>
  <si>
    <t>Telus Convention Center</t>
  </si>
  <si>
    <t>Lindsay Park</t>
  </si>
  <si>
    <t>C.E.P Automotive Ltd.</t>
  </si>
  <si>
    <t>Calgary Olympic Development Association</t>
  </si>
  <si>
    <t>Frank Sissons Casino</t>
  </si>
  <si>
    <t>The Owners Condo Plan #971-2250</t>
  </si>
  <si>
    <t>Condominimum Plan 9310722</t>
  </si>
  <si>
    <t>Haul-All Equipment</t>
  </si>
  <si>
    <t>Soundsaround Inc.</t>
  </si>
  <si>
    <t>903734 Alberta Ltd.</t>
  </si>
  <si>
    <t>SMED International Inc.</t>
  </si>
  <si>
    <t>Calgary Managers Rinks</t>
  </si>
  <si>
    <t>The Calgary Science Centre Society</t>
  </si>
  <si>
    <t>East Calgary Twin Arena Society</t>
  </si>
  <si>
    <t>Crowfoot Minor Hockey</t>
  </si>
  <si>
    <t>London-Norbridge</t>
  </si>
  <si>
    <t>Beverly Motel / 674211 Albert Ltd.</t>
  </si>
  <si>
    <t>The Forzani Group Ltd - 3 year deal</t>
  </si>
  <si>
    <t>The Forzani Group Ltd - 2 year deal</t>
  </si>
  <si>
    <t>Zavisha Sawmills Ltd.</t>
  </si>
  <si>
    <t>Swan Aeromotive Ltd.</t>
  </si>
  <si>
    <t>Road King</t>
  </si>
  <si>
    <t>Calgary Public Library</t>
  </si>
  <si>
    <t>Inventronics</t>
  </si>
  <si>
    <t>Total Alberta Gas Deals</t>
  </si>
  <si>
    <t xml:space="preserve"> ONTARIO GAS DEALS</t>
  </si>
  <si>
    <t>Canadian Polystyrene Recycling Association</t>
  </si>
  <si>
    <t>Kawartha Hospital Linens</t>
  </si>
  <si>
    <t>Rosenthal Bros.</t>
  </si>
  <si>
    <t>Techno Strip Ltd.</t>
  </si>
  <si>
    <t>Koch Engineering Company Ltd.</t>
  </si>
  <si>
    <t>Tarrant Enterprises Ltd - Dec o5</t>
  </si>
  <si>
    <t>Tarrant Enterprises Ltd - July 02</t>
  </si>
  <si>
    <t>Tarrant Enterprises Ltd - Sept 02</t>
  </si>
  <si>
    <t>Tarrant Enterprises Ltd - Nov 02</t>
  </si>
  <si>
    <t>Total Ontario Gas Deals</t>
  </si>
  <si>
    <t>TOTAL GAS DEALS</t>
  </si>
  <si>
    <t>POWER DEALS</t>
  </si>
  <si>
    <t xml:space="preserve"> ALBERTA POWER DEALS</t>
  </si>
  <si>
    <t>Kawneer Company Canada</t>
  </si>
  <si>
    <t>Capri Centre</t>
  </si>
  <si>
    <t>Frank Sissions Casino</t>
  </si>
  <si>
    <t>St. Mary River Irrigation</t>
  </si>
  <si>
    <t>232098 Alberta Ltd.</t>
  </si>
  <si>
    <t>894245 Alberta Inc.</t>
  </si>
  <si>
    <t>Road King Travel</t>
  </si>
  <si>
    <t>Beverly Motel/674211 Albert Ltd.</t>
  </si>
  <si>
    <t>Mar-Quinn Industries</t>
  </si>
  <si>
    <t>Total Alberta Power Deals</t>
  </si>
  <si>
    <t xml:space="preserve"> ONTARIO POWER DEALS</t>
  </si>
  <si>
    <t>Alfield Industries Ltd.</t>
  </si>
  <si>
    <t>Hanson Pipe &amp; Products Canada Inc.</t>
  </si>
  <si>
    <t>Berzel Enterprises Ltd.</t>
  </si>
  <si>
    <t>Spoolon Manufacturing Limited</t>
  </si>
  <si>
    <t>Wolf Steel</t>
  </si>
  <si>
    <t>CLO Glass Limited</t>
  </si>
  <si>
    <t>Stack Teck Systems Canada Inc.</t>
  </si>
  <si>
    <t>Total Ontario Power Deals</t>
  </si>
  <si>
    <t>TOTAL POWER DEALS</t>
  </si>
  <si>
    <t>Second Quarter Prudency Adjustment</t>
  </si>
  <si>
    <t>TOTAL ENRON DIRECT CANADA:</t>
  </si>
  <si>
    <t>TOTAL ENRON DIRECT CANADA Q3:</t>
  </si>
  <si>
    <t>EES Europe</t>
  </si>
  <si>
    <t>3Q/2001 MTM Origination Summary</t>
  </si>
  <si>
    <t>Neta / Renewables Provision</t>
  </si>
  <si>
    <t>($000's US$)</t>
  </si>
  <si>
    <t>Middle Market (Crossley Cooke)</t>
  </si>
  <si>
    <t>Enron Direct Power</t>
  </si>
  <si>
    <t>Enron Direct Gas</t>
  </si>
  <si>
    <t>Enron Directo</t>
  </si>
  <si>
    <t>Enron Direct, Netherlands</t>
  </si>
  <si>
    <t xml:space="preserve"> </t>
  </si>
  <si>
    <t>Energy Portfolio Mgmt (Rexrode)</t>
  </si>
  <si>
    <t>Taylor Woodrow Property Management Ltd</t>
  </si>
  <si>
    <t>Taylor Woodrow Construction Ltd</t>
  </si>
  <si>
    <t>PGL</t>
  </si>
  <si>
    <t>Marley</t>
  </si>
  <si>
    <t>Sibelco</t>
  </si>
  <si>
    <t>Diageo</t>
  </si>
  <si>
    <t>JLL</t>
  </si>
  <si>
    <t>Kraft</t>
  </si>
  <si>
    <t>Guiness</t>
  </si>
  <si>
    <t>TOTAL Europe Q3: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</si>
</sst>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2" formatCode="0.00000%"/>
  </numFmts>
  <fonts count="36" x14ac:knownFonts="1">
    <font>
      <sz val="10"/>
      <name val="Arial"/>
    </font>
    <font>
      <sz val="10"/>
      <name val="Arial"/>
    </font>
    <font>
      <b/>
      <sz val="2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i/>
      <u/>
      <sz val="12"/>
      <name val="Arial"/>
      <family val="2"/>
    </font>
    <font>
      <i/>
      <sz val="12"/>
      <color indexed="8"/>
      <name val="Arial"/>
      <family val="2"/>
    </font>
    <font>
      <i/>
      <u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i/>
      <sz val="12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0" xfId="0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  <xf numFmtId="165" fontId="7" fillId="0" borderId="2" xfId="1" applyNumberFormat="1" applyFont="1" applyFill="1" applyBorder="1" applyAlignment="1">
      <alignment horizontal="center" wrapText="1"/>
    </xf>
    <xf numFmtId="165" fontId="6" fillId="0" borderId="2" xfId="1" applyNumberFormat="1" applyFont="1" applyFill="1" applyBorder="1" applyAlignment="1">
      <alignment horizontal="center" wrapText="1"/>
    </xf>
    <xf numFmtId="165" fontId="6" fillId="0" borderId="5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wrapText="1"/>
    </xf>
    <xf numFmtId="0" fontId="12" fillId="0" borderId="11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center" wrapText="1"/>
    </xf>
    <xf numFmtId="165" fontId="6" fillId="0" borderId="3" xfId="1" applyNumberFormat="1" applyFont="1" applyFill="1" applyBorder="1" applyAlignment="1">
      <alignment horizontal="center" wrapText="1"/>
    </xf>
    <xf numFmtId="165" fontId="6" fillId="0" borderId="11" xfId="1" applyNumberFormat="1" applyFont="1" applyFill="1" applyBorder="1" applyAlignment="1">
      <alignment horizontal="center" wrapText="1"/>
    </xf>
    <xf numFmtId="165" fontId="7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center" wrapText="1"/>
    </xf>
    <xf numFmtId="165" fontId="6" fillId="0" borderId="4" xfId="1" applyNumberFormat="1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center" wrapText="1"/>
    </xf>
    <xf numFmtId="165" fontId="7" fillId="0" borderId="3" xfId="1" applyNumberFormat="1" applyFont="1" applyFill="1" applyBorder="1" applyAlignment="1">
      <alignment horizontal="center" wrapText="1"/>
    </xf>
    <xf numFmtId="165" fontId="7" fillId="0" borderId="11" xfId="1" applyNumberFormat="1" applyFont="1" applyFill="1" applyBorder="1" applyAlignment="1">
      <alignment horizontal="center" wrapText="1"/>
    </xf>
    <xf numFmtId="165" fontId="7" fillId="0" borderId="4" xfId="1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wrapText="1" indent="1"/>
    </xf>
    <xf numFmtId="0" fontId="0" fillId="0" borderId="3" xfId="0" applyBorder="1" applyAlignment="1"/>
    <xf numFmtId="0" fontId="0" fillId="0" borderId="11" xfId="0" applyBorder="1" applyAlignment="1"/>
    <xf numFmtId="0" fontId="0" fillId="0" borderId="4" xfId="0" applyBorder="1" applyAlignment="1"/>
    <xf numFmtId="0" fontId="13" fillId="4" borderId="3" xfId="5" applyFont="1" applyFill="1" applyBorder="1" applyAlignment="1">
      <alignment horizontal="left" indent="2"/>
    </xf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horizontal="center" wrapText="1"/>
    </xf>
    <xf numFmtId="165" fontId="7" fillId="4" borderId="3" xfId="1" applyNumberFormat="1" applyFont="1" applyFill="1" applyBorder="1" applyAlignment="1">
      <alignment horizontal="center" wrapText="1"/>
    </xf>
    <xf numFmtId="165" fontId="7" fillId="4" borderId="11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horizontal="center" wrapText="1"/>
    </xf>
    <xf numFmtId="165" fontId="7" fillId="4" borderId="0" xfId="1" applyNumberFormat="1" applyFont="1" applyFill="1" applyBorder="1" applyAlignment="1">
      <alignment wrapText="1"/>
    </xf>
    <xf numFmtId="165" fontId="7" fillId="4" borderId="4" xfId="1" applyNumberFormat="1" applyFont="1" applyFill="1" applyBorder="1" applyAlignment="1">
      <alignment horizontal="center" wrapText="1"/>
    </xf>
    <xf numFmtId="0" fontId="7" fillId="5" borderId="0" xfId="5" applyFont="1" applyFill="1" applyBorder="1" applyAlignment="1">
      <alignment horizontal="left" indent="2"/>
    </xf>
    <xf numFmtId="0" fontId="14" fillId="5" borderId="11" xfId="5" applyFont="1" applyFill="1" applyBorder="1" applyAlignment="1">
      <alignment horizontal="left"/>
    </xf>
    <xf numFmtId="0" fontId="8" fillId="5" borderId="11" xfId="5" applyFont="1" applyFill="1" applyBorder="1" applyAlignment="1">
      <alignment horizontal="left"/>
    </xf>
    <xf numFmtId="165" fontId="13" fillId="5" borderId="3" xfId="1" applyNumberFormat="1" applyFont="1" applyFill="1" applyBorder="1" applyAlignment="1">
      <alignment horizontal="left"/>
    </xf>
    <xf numFmtId="165" fontId="7" fillId="5" borderId="11" xfId="1" applyNumberFormat="1" applyFont="1" applyFill="1" applyBorder="1" applyAlignment="1"/>
    <xf numFmtId="165" fontId="7" fillId="5" borderId="0" xfId="1" applyNumberFormat="1" applyFont="1" applyFill="1" applyBorder="1" applyAlignment="1"/>
    <xf numFmtId="165" fontId="7" fillId="5" borderId="4" xfId="1" applyNumberFormat="1" applyFont="1" applyFill="1" applyBorder="1" applyAlignment="1"/>
    <xf numFmtId="0" fontId="6" fillId="0" borderId="0" xfId="0" applyFont="1" applyFill="1" applyBorder="1"/>
    <xf numFmtId="0" fontId="7" fillId="0" borderId="3" xfId="0" applyFont="1" applyFill="1" applyBorder="1" applyAlignment="1">
      <alignment horizontal="left" wrapText="1" indent="1"/>
    </xf>
    <xf numFmtId="165" fontId="7" fillId="0" borderId="12" xfId="1" applyNumberFormat="1" applyFont="1" applyFill="1" applyBorder="1" applyAlignment="1">
      <alignment horizontal="center" wrapText="1"/>
    </xf>
    <xf numFmtId="165" fontId="7" fillId="0" borderId="13" xfId="1" applyNumberFormat="1" applyFont="1" applyFill="1" applyBorder="1" applyAlignment="1">
      <alignment horizontal="center" wrapText="1"/>
    </xf>
    <xf numFmtId="165" fontId="7" fillId="0" borderId="14" xfId="1" applyNumberFormat="1" applyFont="1" applyFill="1" applyBorder="1" applyAlignment="1">
      <alignment horizontal="center" wrapText="1"/>
    </xf>
    <xf numFmtId="165" fontId="7" fillId="0" borderId="15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3"/>
    </xf>
    <xf numFmtId="165" fontId="7" fillId="0" borderId="0" xfId="1" applyNumberFormat="1" applyFont="1" applyFill="1" applyBorder="1" applyAlignment="1"/>
    <xf numFmtId="0" fontId="7" fillId="0" borderId="11" xfId="0" applyFont="1" applyFill="1" applyBorder="1" applyAlignment="1">
      <alignment wrapText="1"/>
    </xf>
    <xf numFmtId="0" fontId="13" fillId="4" borderId="11" xfId="5" applyFont="1" applyFill="1" applyBorder="1" applyAlignment="1">
      <alignment horizontal="left"/>
    </xf>
    <xf numFmtId="0" fontId="8" fillId="4" borderId="11" xfId="5" applyFont="1" applyFill="1" applyBorder="1" applyAlignment="1">
      <alignment horizontal="left"/>
    </xf>
    <xf numFmtId="165" fontId="13" fillId="4" borderId="3" xfId="1" applyNumberFormat="1" applyFont="1" applyFill="1" applyBorder="1" applyAlignment="1">
      <alignment horizontal="left"/>
    </xf>
    <xf numFmtId="165" fontId="7" fillId="4" borderId="11" xfId="1" applyNumberFormat="1" applyFont="1" applyFill="1" applyBorder="1" applyAlignment="1"/>
    <xf numFmtId="165" fontId="7" fillId="4" borderId="0" xfId="1" applyNumberFormat="1" applyFont="1" applyFill="1" applyBorder="1" applyAlignment="1"/>
    <xf numFmtId="165" fontId="7" fillId="4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2"/>
    </xf>
    <xf numFmtId="0" fontId="13" fillId="0" borderId="11" xfId="5" applyFont="1" applyFill="1" applyBorder="1" applyAlignment="1">
      <alignment horizontal="left"/>
    </xf>
    <xf numFmtId="0" fontId="8" fillId="0" borderId="11" xfId="5" applyFont="1" applyFill="1" applyBorder="1" applyAlignment="1">
      <alignment horizontal="left"/>
    </xf>
    <xf numFmtId="165" fontId="13" fillId="0" borderId="3" xfId="1" applyNumberFormat="1" applyFont="1" applyFill="1" applyBorder="1" applyAlignment="1">
      <alignment horizontal="left"/>
    </xf>
    <xf numFmtId="165" fontId="7" fillId="0" borderId="11" xfId="1" applyNumberFormat="1" applyFont="1" applyFill="1" applyBorder="1" applyAlignment="1"/>
    <xf numFmtId="165" fontId="7" fillId="0" borderId="4" xfId="1" applyNumberFormat="1" applyFont="1" applyFill="1" applyBorder="1" applyAlignment="1"/>
    <xf numFmtId="16" fontId="13" fillId="0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 applyAlignment="1"/>
    <xf numFmtId="0" fontId="7" fillId="0" borderId="0" xfId="0" applyFont="1" applyFill="1" applyBorder="1"/>
    <xf numFmtId="0" fontId="7" fillId="0" borderId="11" xfId="0" applyFont="1" applyFill="1" applyBorder="1" applyAlignment="1"/>
    <xf numFmtId="16" fontId="13" fillId="6" borderId="11" xfId="5" applyNumberFormat="1" applyFont="1" applyFill="1" applyBorder="1" applyAlignment="1">
      <alignment horizontal="left"/>
    </xf>
    <xf numFmtId="165" fontId="7" fillId="0" borderId="3" xfId="1" applyNumberFormat="1" applyFont="1" applyFill="1" applyBorder="1"/>
    <xf numFmtId="166" fontId="7" fillId="5" borderId="0" xfId="1" applyNumberFormat="1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2"/>
    </xf>
    <xf numFmtId="0" fontId="12" fillId="0" borderId="3" xfId="5" applyFont="1" applyFill="1" applyBorder="1" applyAlignment="1">
      <alignment horizontal="left" indent="3"/>
    </xf>
    <xf numFmtId="0" fontId="7" fillId="0" borderId="0" xfId="5" applyFont="1" applyFill="1" applyBorder="1" applyAlignment="1">
      <alignment horizontal="left"/>
    </xf>
    <xf numFmtId="165" fontId="7" fillId="5" borderId="0" xfId="1" applyNumberFormat="1" applyFont="1" applyFill="1" applyBorder="1" applyAlignment="1">
      <alignment horizontal="left" indent="2"/>
    </xf>
    <xf numFmtId="0" fontId="6" fillId="7" borderId="0" xfId="0" applyFont="1" applyFill="1" applyBorder="1"/>
    <xf numFmtId="0" fontId="7" fillId="0" borderId="3" xfId="0" applyFont="1" applyFill="1" applyBorder="1" applyAlignment="1">
      <alignment horizontal="left" wrapText="1" indent="3"/>
    </xf>
    <xf numFmtId="0" fontId="15" fillId="0" borderId="3" xfId="0" applyFont="1" applyFill="1" applyBorder="1" applyAlignment="1">
      <alignment horizontal="left" wrapText="1" indent="4"/>
    </xf>
    <xf numFmtId="167" fontId="7" fillId="0" borderId="3" xfId="1" applyNumberFormat="1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2"/>
    </xf>
    <xf numFmtId="0" fontId="16" fillId="0" borderId="11" xfId="0" applyFont="1" applyFill="1" applyBorder="1" applyAlignment="1">
      <alignment horizontal="left" wrapText="1" indent="1"/>
    </xf>
    <xf numFmtId="165" fontId="7" fillId="5" borderId="0" xfId="1" applyNumberFormat="1" applyFont="1" applyFill="1" applyBorder="1" applyAlignment="1">
      <alignment horizontal="left" indent="3"/>
    </xf>
    <xf numFmtId="0" fontId="14" fillId="5" borderId="11" xfId="5" applyFont="1" applyFill="1" applyBorder="1" applyAlignment="1">
      <alignment horizontal="left" indent="4"/>
    </xf>
    <xf numFmtId="0" fontId="8" fillId="5" borderId="3" xfId="5" applyFont="1" applyFill="1" applyBorder="1" applyAlignment="1">
      <alignment horizontal="left" indent="4"/>
    </xf>
    <xf numFmtId="165" fontId="13" fillId="5" borderId="3" xfId="1" applyNumberFormat="1" applyFont="1" applyFill="1" applyBorder="1" applyAlignment="1">
      <alignment horizontal="left" indent="4"/>
    </xf>
    <xf numFmtId="165" fontId="7" fillId="5" borderId="0" xfId="1" applyNumberFormat="1" applyFont="1" applyFill="1" applyBorder="1" applyAlignment="1">
      <alignment horizontal="left" indent="4"/>
    </xf>
    <xf numFmtId="165" fontId="7" fillId="5" borderId="4" xfId="1" applyNumberFormat="1" applyFont="1" applyFill="1" applyBorder="1" applyAlignment="1">
      <alignment horizontal="left" indent="4"/>
    </xf>
    <xf numFmtId="0" fontId="6" fillId="0" borderId="0" xfId="0" applyFont="1" applyFill="1" applyBorder="1" applyAlignment="1">
      <alignment horizontal="left" indent="4"/>
    </xf>
    <xf numFmtId="0" fontId="13" fillId="0" borderId="3" xfId="5" applyFont="1" applyFill="1" applyBorder="1" applyAlignment="1">
      <alignment horizontal="left" indent="3"/>
    </xf>
    <xf numFmtId="0" fontId="13" fillId="0" borderId="11" xfId="5" applyFont="1" applyFill="1" applyBorder="1" applyAlignment="1">
      <alignment horizontal="left" indent="3"/>
    </xf>
    <xf numFmtId="0" fontId="8" fillId="0" borderId="11" xfId="5" applyFont="1" applyFill="1" applyBorder="1" applyAlignment="1">
      <alignment horizontal="left" indent="3"/>
    </xf>
    <xf numFmtId="165" fontId="13" fillId="0" borderId="3" xfId="1" applyNumberFormat="1" applyFont="1" applyFill="1" applyBorder="1" applyAlignment="1">
      <alignment horizontal="left" indent="3"/>
    </xf>
    <xf numFmtId="165" fontId="7" fillId="0" borderId="11" xfId="1" applyNumberFormat="1" applyFont="1" applyFill="1" applyBorder="1" applyAlignment="1">
      <alignment horizontal="left" indent="3"/>
    </xf>
    <xf numFmtId="165" fontId="7" fillId="0" borderId="0" xfId="1" applyNumberFormat="1" applyFont="1" applyFill="1" applyBorder="1" applyAlignment="1">
      <alignment horizontal="left" indent="3"/>
    </xf>
    <xf numFmtId="165" fontId="7" fillId="0" borderId="4" xfId="1" applyNumberFormat="1" applyFont="1" applyFill="1" applyBorder="1" applyAlignment="1">
      <alignment horizontal="left" indent="3"/>
    </xf>
    <xf numFmtId="0" fontId="6" fillId="0" borderId="0" xfId="0" applyFont="1" applyFill="1" applyBorder="1" applyAlignment="1">
      <alignment horizontal="left" indent="3"/>
    </xf>
    <xf numFmtId="0" fontId="8" fillId="0" borderId="3" xfId="5" applyFont="1" applyFill="1" applyBorder="1" applyAlignment="1">
      <alignment horizontal="left" indent="3"/>
    </xf>
    <xf numFmtId="0" fontId="13" fillId="0" borderId="0" xfId="5" applyFont="1" applyFill="1" applyBorder="1" applyAlignment="1">
      <alignment horizontal="left"/>
    </xf>
    <xf numFmtId="165" fontId="7" fillId="0" borderId="12" xfId="1" applyNumberFormat="1" applyFont="1" applyFill="1" applyBorder="1"/>
    <xf numFmtId="165" fontId="7" fillId="0" borderId="13" xfId="1" applyNumberFormat="1" applyFont="1" applyFill="1" applyBorder="1" applyAlignment="1"/>
    <xf numFmtId="165" fontId="7" fillId="0" borderId="14" xfId="1" applyNumberFormat="1" applyFont="1" applyFill="1" applyBorder="1" applyAlignment="1"/>
    <xf numFmtId="165" fontId="7" fillId="0" borderId="15" xfId="1" applyNumberFormat="1" applyFont="1" applyFill="1" applyBorder="1" applyAlignment="1"/>
    <xf numFmtId="0" fontId="17" fillId="0" borderId="11" xfId="0" applyFont="1" applyFill="1" applyBorder="1" applyAlignment="1">
      <alignment horizontal="left" wrapText="1" indent="4"/>
    </xf>
    <xf numFmtId="165" fontId="13" fillId="0" borderId="12" xfId="1" applyNumberFormat="1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3"/>
    </xf>
    <xf numFmtId="0" fontId="13" fillId="4" borderId="3" xfId="5" applyFont="1" applyFill="1" applyBorder="1" applyAlignment="1">
      <alignment horizontal="left" indent="3"/>
    </xf>
    <xf numFmtId="0" fontId="13" fillId="4" borderId="11" xfId="5" applyFont="1" applyFill="1" applyBorder="1" applyAlignment="1"/>
    <xf numFmtId="0" fontId="13" fillId="4" borderId="3" xfId="5" applyFont="1" applyFill="1" applyBorder="1" applyAlignment="1">
      <alignment horizontal="left"/>
    </xf>
    <xf numFmtId="0" fontId="7" fillId="4" borderId="3" xfId="5" applyFont="1" applyFill="1" applyBorder="1" applyAlignment="1">
      <alignment horizontal="left" indent="3"/>
    </xf>
    <xf numFmtId="0" fontId="7" fillId="0" borderId="16" xfId="0" applyFont="1" applyFill="1" applyBorder="1" applyAlignment="1"/>
    <xf numFmtId="0" fontId="15" fillId="0" borderId="11" xfId="0" applyFont="1" applyFill="1" applyBorder="1" applyAlignment="1">
      <alignment horizontal="left" wrapText="1" indent="2"/>
    </xf>
    <xf numFmtId="165" fontId="7" fillId="5" borderId="0" xfId="1" applyNumberFormat="1" applyFont="1" applyFill="1" applyBorder="1" applyAlignment="1">
      <alignment horizontal="left" indent="1"/>
    </xf>
    <xf numFmtId="165" fontId="7" fillId="0" borderId="7" xfId="1" applyNumberFormat="1" applyFont="1" applyFill="1" applyBorder="1" applyAlignment="1">
      <alignment horizontal="center" wrapText="1"/>
    </xf>
    <xf numFmtId="165" fontId="7" fillId="0" borderId="10" xfId="1" applyNumberFormat="1" applyFont="1" applyFill="1" applyBorder="1" applyAlignment="1">
      <alignment horizontal="center" wrapText="1"/>
    </xf>
    <xf numFmtId="165" fontId="7" fillId="0" borderId="8" xfId="1" applyNumberFormat="1" applyFont="1" applyFill="1" applyBorder="1" applyAlignment="1">
      <alignment horizontal="center" wrapText="1"/>
    </xf>
    <xf numFmtId="165" fontId="7" fillId="0" borderId="9" xfId="1" applyNumberFormat="1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left" indent="3"/>
    </xf>
    <xf numFmtId="0" fontId="12" fillId="0" borderId="11" xfId="0" applyFont="1" applyFill="1" applyBorder="1" applyAlignment="1">
      <alignment horizontal="left" indent="3"/>
    </xf>
    <xf numFmtId="0" fontId="12" fillId="0" borderId="3" xfId="0" applyFont="1" applyFill="1" applyBorder="1" applyAlignment="1"/>
    <xf numFmtId="165" fontId="14" fillId="0" borderId="3" xfId="1" applyNumberFormat="1" applyFont="1" applyFill="1" applyBorder="1" applyAlignment="1">
      <alignment horizontal="left"/>
    </xf>
    <xf numFmtId="165" fontId="14" fillId="0" borderId="11" xfId="1" applyNumberFormat="1" applyFont="1" applyFill="1" applyBorder="1" applyAlignment="1">
      <alignment horizontal="left"/>
    </xf>
    <xf numFmtId="165" fontId="14" fillId="0" borderId="0" xfId="1" applyNumberFormat="1" applyFont="1" applyFill="1" applyBorder="1" applyAlignment="1">
      <alignment horizontal="left"/>
    </xf>
    <xf numFmtId="165" fontId="14" fillId="0" borderId="4" xfId="1" applyNumberFormat="1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/>
    <xf numFmtId="0" fontId="12" fillId="0" borderId="11" xfId="0" applyFont="1" applyFill="1" applyBorder="1" applyAlignment="1"/>
    <xf numFmtId="0" fontId="7" fillId="0" borderId="3" xfId="0" applyFont="1" applyFill="1" applyBorder="1" applyAlignment="1"/>
    <xf numFmtId="0" fontId="19" fillId="0" borderId="3" xfId="0" applyFont="1" applyFill="1" applyBorder="1" applyAlignment="1"/>
    <xf numFmtId="0" fontId="19" fillId="0" borderId="11" xfId="0" applyFont="1" applyFill="1" applyBorder="1" applyAlignment="1"/>
    <xf numFmtId="0" fontId="19" fillId="0" borderId="3" xfId="0" applyFont="1" applyFill="1" applyBorder="1" applyAlignment="1">
      <alignment horizontal="left" indent="1"/>
    </xf>
    <xf numFmtId="0" fontId="16" fillId="0" borderId="3" xfId="0" applyFont="1" applyFill="1" applyBorder="1" applyAlignment="1"/>
    <xf numFmtId="0" fontId="16" fillId="0" borderId="11" xfId="0" applyFont="1" applyFill="1" applyBorder="1" applyAlignment="1"/>
    <xf numFmtId="0" fontId="20" fillId="0" borderId="3" xfId="0" applyFont="1" applyFill="1" applyBorder="1" applyAlignment="1">
      <alignment horizontal="left" indent="2"/>
    </xf>
    <xf numFmtId="0" fontId="20" fillId="0" borderId="11" xfId="0" applyFont="1" applyFill="1" applyBorder="1" applyAlignment="1"/>
    <xf numFmtId="0" fontId="0" fillId="0" borderId="11" xfId="0" applyFill="1" applyBorder="1" applyAlignment="1"/>
    <xf numFmtId="0" fontId="0" fillId="0" borderId="3" xfId="0" applyFill="1" applyBorder="1" applyAlignment="1"/>
    <xf numFmtId="165" fontId="1" fillId="0" borderId="3" xfId="1" applyNumberFormat="1" applyFill="1" applyBorder="1" applyAlignment="1"/>
    <xf numFmtId="165" fontId="1" fillId="0" borderId="11" xfId="1" applyNumberFormat="1" applyFill="1" applyBorder="1" applyAlignment="1"/>
    <xf numFmtId="165" fontId="1" fillId="0" borderId="0" xfId="1" applyNumberFormat="1" applyFill="1" applyBorder="1" applyAlignment="1"/>
    <xf numFmtId="165" fontId="1" fillId="0" borderId="4" xfId="1" applyNumberFormat="1" applyFill="1" applyBorder="1" applyAlignment="1"/>
    <xf numFmtId="0" fontId="8" fillId="5" borderId="3" xfId="5" applyFont="1" applyFill="1" applyBorder="1" applyAlignment="1">
      <alignment horizontal="left"/>
    </xf>
    <xf numFmtId="0" fontId="14" fillId="5" borderId="11" xfId="5" applyFont="1" applyFill="1" applyBorder="1" applyAlignment="1">
      <alignment horizontal="left" indent="2"/>
    </xf>
    <xf numFmtId="0" fontId="8" fillId="5" borderId="3" xfId="5" applyFont="1" applyFill="1" applyBorder="1" applyAlignment="1">
      <alignment horizontal="left" indent="2"/>
    </xf>
    <xf numFmtId="165" fontId="13" fillId="5" borderId="3" xfId="1" applyNumberFormat="1" applyFont="1" applyFill="1" applyBorder="1" applyAlignment="1">
      <alignment horizontal="left" indent="2"/>
    </xf>
    <xf numFmtId="165" fontId="7" fillId="5" borderId="4" xfId="1" applyNumberFormat="1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left" indent="2"/>
    </xf>
    <xf numFmtId="0" fontId="7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/>
    </xf>
    <xf numFmtId="0" fontId="8" fillId="0" borderId="3" xfId="5" applyFont="1" applyFill="1" applyBorder="1" applyAlignment="1">
      <alignment horizontal="left"/>
    </xf>
    <xf numFmtId="0" fontId="7" fillId="0" borderId="0" xfId="0" applyFont="1" applyFill="1" applyBorder="1" applyAlignment="1"/>
    <xf numFmtId="165" fontId="13" fillId="0" borderId="3" xfId="1" applyNumberFormat="1" applyFont="1" applyFill="1" applyBorder="1" applyAlignment="1">
      <alignment horizontal="right"/>
    </xf>
    <xf numFmtId="0" fontId="13" fillId="0" borderId="3" xfId="5" applyFont="1" applyFill="1" applyBorder="1" applyAlignment="1">
      <alignment horizontal="left"/>
    </xf>
    <xf numFmtId="165" fontId="13" fillId="0" borderId="11" xfId="1" applyNumberFormat="1" applyFont="1" applyFill="1" applyBorder="1" applyAlignment="1">
      <alignment horizontal="left"/>
    </xf>
    <xf numFmtId="16" fontId="13" fillId="4" borderId="11" xfId="5" applyNumberFormat="1" applyFont="1" applyFill="1" applyBorder="1" applyAlignment="1">
      <alignment horizontal="left"/>
    </xf>
    <xf numFmtId="165" fontId="13" fillId="4" borderId="11" xfId="1" applyNumberFormat="1" applyFont="1" applyFill="1" applyBorder="1" applyAlignment="1">
      <alignment horizontal="left"/>
    </xf>
    <xf numFmtId="165" fontId="13" fillId="0" borderId="13" xfId="1" applyNumberFormat="1" applyFont="1" applyFill="1" applyBorder="1" applyAlignment="1">
      <alignment horizontal="left"/>
    </xf>
    <xf numFmtId="0" fontId="21" fillId="0" borderId="3" xfId="5" applyFont="1" applyFill="1" applyBorder="1" applyAlignment="1">
      <alignment horizontal="left" indent="2"/>
    </xf>
    <xf numFmtId="0" fontId="21" fillId="0" borderId="11" xfId="5" applyFont="1" applyFill="1" applyBorder="1" applyAlignment="1">
      <alignment horizontal="left" indent="1"/>
    </xf>
    <xf numFmtId="0" fontId="21" fillId="0" borderId="3" xfId="5" applyFont="1" applyFill="1" applyBorder="1" applyAlignment="1">
      <alignment horizontal="left" indent="1"/>
    </xf>
    <xf numFmtId="0" fontId="22" fillId="0" borderId="3" xfId="5" applyFont="1" applyFill="1" applyBorder="1" applyAlignment="1">
      <alignment horizontal="left" indent="2"/>
    </xf>
    <xf numFmtId="0" fontId="22" fillId="0" borderId="11" xfId="5" applyFont="1" applyFill="1" applyBorder="1" applyAlignment="1">
      <alignment horizontal="left"/>
    </xf>
    <xf numFmtId="0" fontId="7" fillId="0" borderId="0" xfId="0" applyFont="1" applyFill="1"/>
    <xf numFmtId="0" fontId="22" fillId="0" borderId="3" xfId="5" applyFont="1" applyFill="1" applyBorder="1" applyAlignment="1">
      <alignment horizontal="left"/>
    </xf>
    <xf numFmtId="0" fontId="7" fillId="4" borderId="3" xfId="0" applyFont="1" applyFill="1" applyBorder="1" applyAlignment="1"/>
    <xf numFmtId="165" fontId="13" fillId="4" borderId="3" xfId="1" applyNumberFormat="1" applyFont="1" applyFill="1" applyBorder="1" applyAlignment="1">
      <alignment horizontal="right"/>
    </xf>
    <xf numFmtId="165" fontId="13" fillId="0" borderId="17" xfId="1" applyNumberFormat="1" applyFont="1" applyFill="1" applyBorder="1" applyAlignment="1">
      <alignment horizontal="left"/>
    </xf>
    <xf numFmtId="165" fontId="7" fillId="0" borderId="18" xfId="1" applyNumberFormat="1" applyFont="1" applyFill="1" applyBorder="1" applyAlignment="1"/>
    <xf numFmtId="0" fontId="13" fillId="0" borderId="3" xfId="5" applyFont="1" applyFill="1" applyBorder="1" applyAlignment="1">
      <alignment horizontal="left" indent="1"/>
    </xf>
    <xf numFmtId="0" fontId="13" fillId="0" borderId="11" xfId="5" applyFont="1" applyFill="1" applyBorder="1" applyAlignment="1">
      <alignment horizontal="left" indent="1"/>
    </xf>
    <xf numFmtId="0" fontId="23" fillId="0" borderId="11" xfId="5" applyFont="1" applyFill="1" applyBorder="1" applyAlignment="1">
      <alignment horizontal="left"/>
    </xf>
    <xf numFmtId="0" fontId="23" fillId="0" borderId="3" xfId="5" applyFont="1" applyFill="1" applyBorder="1" applyAlignment="1">
      <alignment horizontal="left"/>
    </xf>
    <xf numFmtId="0" fontId="13" fillId="8" borderId="3" xfId="5" applyFont="1" applyFill="1" applyBorder="1" applyAlignment="1">
      <alignment horizontal="left" indent="3"/>
    </xf>
    <xf numFmtId="0" fontId="21" fillId="8" borderId="11" xfId="5" applyFont="1" applyFill="1" applyBorder="1" applyAlignment="1">
      <alignment horizontal="left" indent="1"/>
    </xf>
    <xf numFmtId="0" fontId="13" fillId="8" borderId="3" xfId="5" applyFont="1" applyFill="1" applyBorder="1" applyAlignment="1">
      <alignment horizontal="left"/>
    </xf>
    <xf numFmtId="165" fontId="13" fillId="8" borderId="3" xfId="1" applyNumberFormat="1" applyFont="1" applyFill="1" applyBorder="1" applyAlignment="1">
      <alignment horizontal="left"/>
    </xf>
    <xf numFmtId="165" fontId="7" fillId="8" borderId="11" xfId="1" applyNumberFormat="1" applyFont="1" applyFill="1" applyBorder="1" applyAlignment="1"/>
    <xf numFmtId="165" fontId="7" fillId="8" borderId="0" xfId="1" applyNumberFormat="1" applyFont="1" applyFill="1" applyBorder="1" applyAlignment="1"/>
    <xf numFmtId="165" fontId="7" fillId="8" borderId="4" xfId="1" applyNumberFormat="1" applyFont="1" applyFill="1" applyBorder="1" applyAlignment="1"/>
    <xf numFmtId="0" fontId="13" fillId="0" borderId="3" xfId="5" applyFont="1" applyFill="1" applyBorder="1" applyAlignment="1">
      <alignment horizontal="left" indent="6"/>
    </xf>
    <xf numFmtId="0" fontId="13" fillId="8" borderId="11" xfId="5" applyFont="1" applyFill="1" applyBorder="1" applyAlignment="1">
      <alignment horizontal="left"/>
    </xf>
    <xf numFmtId="0" fontId="8" fillId="8" borderId="3" xfId="5" applyFont="1" applyFill="1" applyBorder="1" applyAlignment="1">
      <alignment horizontal="left"/>
    </xf>
    <xf numFmtId="16" fontId="13" fillId="8" borderId="11" xfId="5" applyNumberFormat="1" applyFont="1" applyFill="1" applyBorder="1" applyAlignment="1">
      <alignment horizontal="left"/>
    </xf>
    <xf numFmtId="0" fontId="13" fillId="8" borderId="0" xfId="5" applyFont="1" applyFill="1" applyBorder="1" applyAlignment="1">
      <alignment horizontal="left"/>
    </xf>
    <xf numFmtId="0" fontId="7" fillId="5" borderId="0" xfId="5" applyFont="1" applyFill="1" applyBorder="1" applyAlignment="1">
      <alignment horizontal="left" indent="6"/>
    </xf>
    <xf numFmtId="0" fontId="7" fillId="0" borderId="3" xfId="5" applyFont="1" applyFill="1" applyBorder="1" applyAlignment="1">
      <alignment horizontal="left" indent="6"/>
    </xf>
    <xf numFmtId="0" fontId="14" fillId="0" borderId="3" xfId="5" applyFont="1" applyFill="1" applyBorder="1" applyAlignment="1">
      <alignment horizontal="left" indent="3"/>
    </xf>
    <xf numFmtId="0" fontId="13" fillId="8" borderId="3" xfId="5" applyFont="1" applyFill="1" applyBorder="1" applyAlignment="1">
      <alignment horizontal="left" indent="6"/>
    </xf>
    <xf numFmtId="0" fontId="23" fillId="0" borderId="3" xfId="5" applyFont="1" applyFill="1" applyBorder="1" applyAlignment="1">
      <alignment horizontal="left" indent="1"/>
    </xf>
    <xf numFmtId="0" fontId="7" fillId="0" borderId="11" xfId="0" applyFont="1" applyFill="1" applyBorder="1" applyAlignment="1">
      <alignment horizontal="left" indent="1"/>
    </xf>
    <xf numFmtId="0" fontId="8" fillId="4" borderId="3" xfId="5" applyFont="1" applyFill="1" applyBorder="1" applyAlignment="1">
      <alignment horizontal="left"/>
    </xf>
    <xf numFmtId="165" fontId="13" fillId="0" borderId="12" xfId="1" applyNumberFormat="1" applyFont="1" applyFill="1" applyBorder="1" applyAlignment="1">
      <alignment horizontal="right"/>
    </xf>
    <xf numFmtId="165" fontId="7" fillId="5" borderId="0" xfId="1" applyNumberFormat="1" applyFont="1" applyFill="1" applyBorder="1" applyAlignment="1">
      <alignment horizontal="left" indent="5"/>
    </xf>
    <xf numFmtId="165" fontId="6" fillId="0" borderId="0" xfId="0" applyNumberFormat="1" applyFont="1" applyFill="1" applyBorder="1"/>
    <xf numFmtId="0" fontId="14" fillId="0" borderId="11" xfId="5" applyFont="1" applyFill="1" applyBorder="1" applyAlignment="1">
      <alignment horizontal="left" indent="5"/>
    </xf>
    <xf numFmtId="0" fontId="8" fillId="0" borderId="3" xfId="5" applyFont="1" applyFill="1" applyBorder="1" applyAlignment="1">
      <alignment horizontal="left" indent="5"/>
    </xf>
    <xf numFmtId="165" fontId="7" fillId="0" borderId="11" xfId="1" applyNumberFormat="1" applyFont="1" applyFill="1" applyBorder="1" applyAlignment="1">
      <alignment horizontal="left" indent="5"/>
    </xf>
    <xf numFmtId="165" fontId="7" fillId="0" borderId="0" xfId="1" applyNumberFormat="1" applyFont="1" applyFill="1" applyBorder="1" applyAlignment="1">
      <alignment horizontal="left" indent="5"/>
    </xf>
    <xf numFmtId="165" fontId="7" fillId="0" borderId="4" xfId="1" applyNumberFormat="1" applyFont="1" applyFill="1" applyBorder="1" applyAlignment="1">
      <alignment horizontal="left" indent="5"/>
    </xf>
    <xf numFmtId="0" fontId="13" fillId="5" borderId="3" xfId="5" applyFont="1" applyFill="1" applyBorder="1" applyAlignment="1">
      <alignment horizontal="left" indent="6"/>
    </xf>
    <xf numFmtId="165" fontId="7" fillId="8" borderId="3" xfId="1" applyNumberFormat="1" applyFont="1" applyFill="1" applyBorder="1"/>
    <xf numFmtId="165" fontId="13" fillId="0" borderId="1" xfId="1" applyNumberFormat="1" applyFont="1" applyFill="1" applyBorder="1" applyAlignment="1">
      <alignment horizontal="left"/>
    </xf>
    <xf numFmtId="165" fontId="7" fillId="0" borderId="19" xfId="1" applyNumberFormat="1" applyFont="1" applyFill="1" applyBorder="1" applyAlignment="1"/>
    <xf numFmtId="165" fontId="7" fillId="0" borderId="17" xfId="1" applyNumberFormat="1" applyFont="1" applyFill="1" applyBorder="1" applyAlignment="1"/>
    <xf numFmtId="0" fontId="23" fillId="0" borderId="3" xfId="5" applyFont="1" applyFill="1" applyBorder="1" applyAlignment="1">
      <alignment horizontal="left" indent="2"/>
    </xf>
    <xf numFmtId="0" fontId="23" fillId="4" borderId="11" xfId="5" applyFont="1" applyFill="1" applyBorder="1" applyAlignment="1">
      <alignment horizontal="left"/>
    </xf>
    <xf numFmtId="0" fontId="13" fillId="0" borderId="11" xfId="5" applyFont="1" applyFill="1" applyBorder="1" applyAlignment="1"/>
    <xf numFmtId="165" fontId="7" fillId="0" borderId="7" xfId="1" applyNumberFormat="1" applyFont="1" applyFill="1" applyBorder="1" applyAlignment="1"/>
    <xf numFmtId="0" fontId="13" fillId="0" borderId="3" xfId="5" applyFont="1" applyFill="1" applyBorder="1" applyAlignment="1">
      <alignment horizontal="left" indent="4"/>
    </xf>
    <xf numFmtId="0" fontId="13" fillId="4" borderId="3" xfId="5" applyFont="1" applyFill="1" applyBorder="1" applyAlignment="1">
      <alignment horizontal="left" indent="4"/>
    </xf>
    <xf numFmtId="0" fontId="21" fillId="4" borderId="11" xfId="5" applyFont="1" applyFill="1" applyBorder="1" applyAlignment="1">
      <alignment horizontal="left" indent="1"/>
    </xf>
    <xf numFmtId="165" fontId="13" fillId="4" borderId="12" xfId="1" applyNumberFormat="1" applyFont="1" applyFill="1" applyBorder="1" applyAlignment="1">
      <alignment horizontal="left"/>
    </xf>
    <xf numFmtId="165" fontId="7" fillId="4" borderId="13" xfId="1" applyNumberFormat="1" applyFont="1" applyFill="1" applyBorder="1" applyAlignment="1"/>
    <xf numFmtId="165" fontId="7" fillId="4" borderId="14" xfId="1" applyNumberFormat="1" applyFont="1" applyFill="1" applyBorder="1" applyAlignment="1"/>
    <xf numFmtId="165" fontId="7" fillId="4" borderId="15" xfId="1" applyNumberFormat="1" applyFont="1" applyFill="1" applyBorder="1" applyAlignment="1"/>
    <xf numFmtId="0" fontId="8" fillId="0" borderId="11" xfId="5" applyFont="1" applyFill="1" applyBorder="1" applyAlignment="1">
      <alignment horizontal="left" indent="2"/>
    </xf>
    <xf numFmtId="165" fontId="6" fillId="0" borderId="7" xfId="1" applyNumberFormat="1" applyFont="1" applyFill="1" applyBorder="1" applyAlignment="1"/>
    <xf numFmtId="165" fontId="6" fillId="0" borderId="10" xfId="1" applyNumberFormat="1" applyFont="1" applyFill="1" applyBorder="1" applyAlignment="1"/>
    <xf numFmtId="165" fontId="6" fillId="0" borderId="8" xfId="1" applyNumberFormat="1" applyFont="1" applyFill="1" applyBorder="1" applyAlignment="1"/>
    <xf numFmtId="165" fontId="6" fillId="0" borderId="9" xfId="1" applyNumberFormat="1" applyFont="1" applyFill="1" applyBorder="1" applyAlignment="1"/>
    <xf numFmtId="0" fontId="6" fillId="0" borderId="3" xfId="5" applyFont="1" applyFill="1" applyBorder="1" applyAlignment="1">
      <alignment horizontal="left" indent="3"/>
    </xf>
    <xf numFmtId="0" fontId="14" fillId="0" borderId="11" xfId="5" applyFont="1" applyFill="1" applyBorder="1" applyAlignment="1">
      <alignment horizontal="left" indent="3"/>
    </xf>
    <xf numFmtId="0" fontId="14" fillId="0" borderId="3" xfId="5" applyFont="1" applyFill="1" applyBorder="1" applyAlignment="1">
      <alignment horizontal="left"/>
    </xf>
    <xf numFmtId="165" fontId="14" fillId="0" borderId="1" xfId="1" applyNumberFormat="1" applyFont="1" applyFill="1" applyBorder="1" applyAlignment="1">
      <alignment horizontal="left"/>
    </xf>
    <xf numFmtId="0" fontId="18" fillId="0" borderId="0" xfId="0" applyFont="1" applyFill="1" applyBorder="1"/>
    <xf numFmtId="165" fontId="13" fillId="0" borderId="0" xfId="1" applyNumberFormat="1" applyFont="1" applyFill="1" applyBorder="1" applyAlignment="1">
      <alignment horizontal="left"/>
    </xf>
    <xf numFmtId="165" fontId="13" fillId="0" borderId="4" xfId="1" applyNumberFormat="1" applyFont="1" applyFill="1" applyBorder="1" applyAlignment="1">
      <alignment horizontal="left"/>
    </xf>
    <xf numFmtId="0" fontId="13" fillId="0" borderId="3" xfId="5" applyFont="1" applyFill="1" applyBorder="1" applyAlignment="1"/>
    <xf numFmtId="165" fontId="13" fillId="0" borderId="20" xfId="1" applyNumberFormat="1" applyFont="1" applyFill="1" applyBorder="1" applyAlignment="1">
      <alignment horizontal="left"/>
    </xf>
    <xf numFmtId="0" fontId="24" fillId="0" borderId="21" xfId="4" applyFont="1" applyFill="1" applyBorder="1" applyAlignment="1">
      <alignment horizontal="left" wrapText="1"/>
    </xf>
    <xf numFmtId="165" fontId="7" fillId="0" borderId="10" xfId="1" applyNumberFormat="1" applyFont="1" applyFill="1" applyBorder="1" applyAlignment="1"/>
    <xf numFmtId="165" fontId="7" fillId="0" borderId="8" xfId="1" applyNumberFormat="1" applyFont="1" applyFill="1" applyBorder="1" applyAlignment="1"/>
    <xf numFmtId="165" fontId="7" fillId="0" borderId="9" xfId="1" applyNumberFormat="1" applyFont="1" applyFill="1" applyBorder="1" applyAlignment="1"/>
    <xf numFmtId="165" fontId="12" fillId="0" borderId="11" xfId="1" applyNumberFormat="1" applyFont="1" applyFill="1" applyBorder="1" applyAlignment="1"/>
    <xf numFmtId="165" fontId="12" fillId="0" borderId="0" xfId="1" applyNumberFormat="1" applyFont="1" applyFill="1" applyBorder="1" applyAlignment="1"/>
    <xf numFmtId="165" fontId="12" fillId="0" borderId="4" xfId="1" applyNumberFormat="1" applyFont="1" applyFill="1" applyBorder="1" applyAlignment="1"/>
    <xf numFmtId="0" fontId="7" fillId="0" borderId="3" xfId="5" applyFont="1" applyFill="1" applyBorder="1" applyAlignment="1">
      <alignment horizontal="left" indent="1"/>
    </xf>
    <xf numFmtId="0" fontId="3" fillId="0" borderId="0" xfId="0" applyFont="1" applyFill="1" applyBorder="1"/>
    <xf numFmtId="165" fontId="7" fillId="0" borderId="2" xfId="1" applyNumberFormat="1" applyFont="1" applyFill="1" applyBorder="1" applyAlignment="1"/>
    <xf numFmtId="165" fontId="7" fillId="0" borderId="5" xfId="1" applyNumberFormat="1" applyFont="1" applyFill="1" applyBorder="1" applyAlignment="1"/>
    <xf numFmtId="0" fontId="13" fillId="0" borderId="7" xfId="5" applyFont="1" applyFill="1" applyBorder="1" applyAlignment="1">
      <alignment horizontal="left" indent="1"/>
    </xf>
    <xf numFmtId="0" fontId="13" fillId="0" borderId="10" xfId="5" applyFont="1" applyFill="1" applyBorder="1" applyAlignment="1">
      <alignment horizontal="left" indent="1"/>
    </xf>
    <xf numFmtId="0" fontId="7" fillId="0" borderId="7" xfId="0" applyFont="1" applyBorder="1" applyAlignment="1"/>
    <xf numFmtId="165" fontId="7" fillId="0" borderId="7" xfId="1" applyNumberFormat="1" applyFont="1" applyBorder="1" applyAlignment="1"/>
    <xf numFmtId="165" fontId="7" fillId="0" borderId="8" xfId="1" applyNumberFormat="1" applyFont="1" applyBorder="1" applyAlignment="1"/>
    <xf numFmtId="165" fontId="7" fillId="0" borderId="9" xfId="1" applyNumberFormat="1" applyFont="1" applyBorder="1" applyAlignment="1"/>
    <xf numFmtId="0" fontId="12" fillId="3" borderId="22" xfId="0" applyFont="1" applyFill="1" applyBorder="1" applyAlignment="1"/>
    <xf numFmtId="0" fontId="12" fillId="3" borderId="23" xfId="0" applyFont="1" applyFill="1" applyBorder="1" applyAlignment="1"/>
    <xf numFmtId="164" fontId="12" fillId="3" borderId="23" xfId="3" applyNumberFormat="1" applyFont="1" applyFill="1" applyBorder="1" applyAlignment="1"/>
    <xf numFmtId="164" fontId="12" fillId="3" borderId="24" xfId="3" applyNumberFormat="1" applyFont="1" applyFill="1" applyBorder="1" applyAlignment="1"/>
    <xf numFmtId="164" fontId="12" fillId="3" borderId="25" xfId="3" applyNumberFormat="1" applyFont="1" applyFill="1" applyBorder="1" applyAlignment="1"/>
    <xf numFmtId="0" fontId="12" fillId="0" borderId="24" xfId="0" applyFont="1" applyFill="1" applyBorder="1" applyAlignment="1"/>
    <xf numFmtId="164" fontId="12" fillId="0" borderId="24" xfId="3" applyNumberFormat="1" applyFont="1" applyFill="1" applyBorder="1" applyAlignment="1"/>
    <xf numFmtId="0" fontId="12" fillId="3" borderId="24" xfId="0" applyFont="1" applyFill="1" applyBorder="1" applyAlignment="1"/>
    <xf numFmtId="164" fontId="12" fillId="3" borderId="22" xfId="3" applyNumberFormat="1" applyFont="1" applyFill="1" applyBorder="1" applyAlignment="1"/>
    <xf numFmtId="0" fontId="14" fillId="3" borderId="22" xfId="5" applyFont="1" applyFill="1" applyBorder="1" applyAlignment="1">
      <alignment horizontal="left" indent="3"/>
    </xf>
    <xf numFmtId="0" fontId="14" fillId="3" borderId="24" xfId="5" applyFont="1" applyFill="1" applyBorder="1" applyAlignment="1">
      <alignment horizontal="left" indent="3"/>
    </xf>
    <xf numFmtId="0" fontId="0" fillId="3" borderId="24" xfId="0" applyFill="1" applyBorder="1" applyAlignment="1"/>
    <xf numFmtId="165" fontId="1" fillId="0" borderId="0" xfId="1" applyNumberFormat="1" applyFill="1" applyAlignment="1"/>
    <xf numFmtId="0" fontId="3" fillId="5" borderId="0" xfId="0" applyFont="1" applyFill="1" applyAlignment="1"/>
    <xf numFmtId="0" fontId="25" fillId="6" borderId="0" xfId="0" applyFont="1" applyFill="1" applyAlignment="1"/>
    <xf numFmtId="165" fontId="1" fillId="0" borderId="0" xfId="1" applyNumberFormat="1" applyFont="1" applyFill="1" applyAlignment="1"/>
    <xf numFmtId="0" fontId="3" fillId="5" borderId="0" xfId="0" applyFont="1" applyFill="1" applyBorder="1" applyAlignment="1"/>
    <xf numFmtId="0" fontId="0" fillId="9" borderId="0" xfId="0" applyFill="1" applyBorder="1" applyAlignment="1"/>
    <xf numFmtId="0" fontId="26" fillId="0" borderId="0" xfId="0" applyFont="1" applyFill="1"/>
    <xf numFmtId="0" fontId="14" fillId="0" borderId="0" xfId="5" applyFont="1" applyFill="1" applyBorder="1" applyAlignment="1">
      <alignment horizontal="left" indent="3"/>
    </xf>
    <xf numFmtId="164" fontId="12" fillId="0" borderId="3" xfId="3" applyNumberFormat="1" applyFont="1" applyFill="1" applyBorder="1"/>
    <xf numFmtId="0" fontId="0" fillId="3" borderId="24" xfId="0" applyFill="1" applyBorder="1"/>
    <xf numFmtId="164" fontId="12" fillId="3" borderId="22" xfId="3" applyNumberFormat="1" applyFont="1" applyFill="1" applyBorder="1"/>
    <xf numFmtId="164" fontId="12" fillId="0" borderId="0" xfId="3" applyNumberFormat="1" applyFont="1" applyFill="1" applyBorder="1"/>
    <xf numFmtId="0" fontId="0" fillId="0" borderId="0" xfId="0" applyFill="1" applyAlignment="1"/>
    <xf numFmtId="0" fontId="12" fillId="3" borderId="22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3" fillId="0" borderId="1" xfId="5" applyFont="1" applyFill="1" applyBorder="1" applyAlignment="1">
      <alignment horizontal="left"/>
    </xf>
    <xf numFmtId="0" fontId="6" fillId="0" borderId="0" xfId="0" applyFont="1" applyFill="1" applyBorder="1" applyAlignment="1"/>
    <xf numFmtId="165" fontId="7" fillId="0" borderId="1" xfId="1" applyNumberFormat="1" applyFont="1" applyFill="1" applyBorder="1" applyAlignment="1"/>
    <xf numFmtId="0" fontId="27" fillId="0" borderId="6" xfId="5" applyFont="1" applyFill="1" applyBorder="1" applyAlignment="1">
      <alignment horizontal="left"/>
    </xf>
    <xf numFmtId="0" fontId="6" fillId="0" borderId="2" xfId="0" applyFont="1" applyFill="1" applyBorder="1" applyAlignment="1"/>
    <xf numFmtId="165" fontId="13" fillId="0" borderId="1" xfId="1" applyNumberFormat="1" applyFont="1" applyFill="1" applyBorder="1" applyAlignment="1">
      <alignment horizontal="right"/>
    </xf>
    <xf numFmtId="0" fontId="0" fillId="0" borderId="10" xfId="0" applyBorder="1" applyAlignment="1"/>
    <xf numFmtId="0" fontId="0" fillId="0" borderId="7" xfId="0" applyBorder="1" applyAlignment="1"/>
    <xf numFmtId="0" fontId="0" fillId="0" borderId="9" xfId="0" applyBorder="1" applyAlignment="1"/>
    <xf numFmtId="165" fontId="7" fillId="0" borderId="7" xfId="1" applyNumberFormat="1" applyFont="1" applyFill="1" applyBorder="1" applyAlignment="1">
      <alignment horizontal="right"/>
    </xf>
    <xf numFmtId="0" fontId="7" fillId="0" borderId="0" xfId="0" applyFont="1" applyBorder="1" applyAlignment="1"/>
    <xf numFmtId="0" fontId="21" fillId="3" borderId="7" xfId="5" applyFont="1" applyFill="1" applyBorder="1" applyAlignment="1">
      <alignment horizontal="left" indent="1"/>
    </xf>
    <xf numFmtId="0" fontId="21" fillId="3" borderId="8" xfId="5" applyFont="1" applyFill="1" applyBorder="1" applyAlignment="1">
      <alignment horizontal="left" indent="1"/>
    </xf>
    <xf numFmtId="0" fontId="0" fillId="3" borderId="8" xfId="0" applyFill="1" applyBorder="1" applyAlignment="1"/>
    <xf numFmtId="165" fontId="7" fillId="3" borderId="22" xfId="1" applyNumberFormat="1" applyFont="1" applyFill="1" applyBorder="1" applyAlignment="1"/>
    <xf numFmtId="0" fontId="21" fillId="0" borderId="0" xfId="5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center"/>
    </xf>
    <xf numFmtId="0" fontId="15" fillId="0" borderId="11" xfId="5" applyFont="1" applyFill="1" applyBorder="1" applyAlignment="1">
      <alignment horizontal="left" wrapText="1"/>
    </xf>
    <xf numFmtId="0" fontId="15" fillId="0" borderId="0" xfId="5" applyFont="1" applyFill="1" applyBorder="1" applyAlignment="1">
      <alignment horizontal="center" wrapText="1"/>
    </xf>
    <xf numFmtId="0" fontId="15" fillId="0" borderId="4" xfId="5" applyFont="1" applyFill="1" applyBorder="1" applyAlignment="1">
      <alignment horizontal="center" wrapText="1"/>
    </xf>
    <xf numFmtId="0" fontId="28" fillId="0" borderId="11" xfId="5" applyFont="1" applyFill="1" applyBorder="1" applyAlignment="1">
      <alignment horizontal="left" wrapText="1" indent="2"/>
    </xf>
    <xf numFmtId="165" fontId="0" fillId="0" borderId="4" xfId="0" applyNumberFormat="1" applyFill="1" applyBorder="1" applyAlignment="1"/>
    <xf numFmtId="165" fontId="0" fillId="0" borderId="4" xfId="0" applyNumberFormat="1" applyBorder="1" applyAlignment="1"/>
    <xf numFmtId="165" fontId="28" fillId="0" borderId="4" xfId="1" applyNumberFormat="1" applyFont="1" applyFill="1" applyBorder="1" applyAlignment="1">
      <alignment horizontal="left" wrapText="1"/>
    </xf>
    <xf numFmtId="0" fontId="0" fillId="4" borderId="0" xfId="0" applyFill="1" applyBorder="1" applyAlignment="1"/>
    <xf numFmtId="165" fontId="0" fillId="0" borderId="15" xfId="0" applyNumberFormat="1" applyBorder="1" applyAlignment="1"/>
    <xf numFmtId="0" fontId="28" fillId="0" borderId="11" xfId="5" applyFont="1" applyFill="1" applyBorder="1" applyAlignment="1">
      <alignment horizontal="left" wrapText="1" indent="1"/>
    </xf>
    <xf numFmtId="0" fontId="29" fillId="0" borderId="11" xfId="5" applyFont="1" applyFill="1" applyBorder="1" applyAlignment="1">
      <alignment horizontal="left" wrapText="1" indent="1"/>
    </xf>
    <xf numFmtId="165" fontId="0" fillId="0" borderId="15" xfId="0" applyNumberFormat="1" applyFill="1" applyBorder="1" applyAlignment="1"/>
    <xf numFmtId="0" fontId="29" fillId="0" borderId="11" xfId="5" applyFont="1" applyFill="1" applyBorder="1" applyAlignment="1">
      <alignment horizontal="left" wrapText="1" indent="2"/>
    </xf>
    <xf numFmtId="165" fontId="5" fillId="0" borderId="4" xfId="0" applyNumberFormat="1" applyFont="1" applyBorder="1" applyAlignment="1"/>
    <xf numFmtId="0" fontId="28" fillId="0" borderId="11" xfId="5" applyFont="1" applyFill="1" applyBorder="1" applyAlignment="1">
      <alignment horizontal="left" wrapText="1" indent="3"/>
    </xf>
    <xf numFmtId="0" fontId="28" fillId="0" borderId="11" xfId="5" applyFont="1" applyFill="1" applyBorder="1" applyAlignment="1">
      <alignment horizontal="left" wrapText="1" indent="4"/>
    </xf>
    <xf numFmtId="165" fontId="5" fillId="0" borderId="26" xfId="0" applyNumberFormat="1" applyFont="1" applyBorder="1" applyAlignment="1"/>
    <xf numFmtId="0" fontId="29" fillId="0" borderId="11" xfId="5" applyFont="1" applyFill="1" applyBorder="1" applyAlignment="1">
      <alignment horizontal="left" wrapText="1" indent="4"/>
    </xf>
    <xf numFmtId="0" fontId="29" fillId="0" borderId="11" xfId="5" applyFont="1" applyFill="1" applyBorder="1" applyAlignment="1"/>
    <xf numFmtId="0" fontId="30" fillId="0" borderId="10" xfId="5" applyFont="1" applyFill="1" applyBorder="1" applyAlignment="1"/>
    <xf numFmtId="0" fontId="0" fillId="0" borderId="8" xfId="0" applyBorder="1" applyAlignment="1"/>
    <xf numFmtId="165" fontId="5" fillId="0" borderId="9" xfId="0" applyNumberFormat="1" applyFont="1" applyBorder="1" applyAlignment="1"/>
    <xf numFmtId="0" fontId="3" fillId="0" borderId="0" xfId="0" applyFont="1" applyAlignment="1"/>
    <xf numFmtId="167" fontId="7" fillId="0" borderId="11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indent="4"/>
    </xf>
    <xf numFmtId="165" fontId="7" fillId="0" borderId="0" xfId="0" applyNumberFormat="1" applyFont="1" applyFill="1" applyBorder="1" applyAlignment="1">
      <alignment horizontal="left" indent="4"/>
    </xf>
    <xf numFmtId="43" fontId="6" fillId="0" borderId="0" xfId="0" applyNumberFormat="1" applyFont="1" applyFill="1" applyBorder="1"/>
    <xf numFmtId="168" fontId="6" fillId="0" borderId="0" xfId="0" applyNumberFormat="1" applyFont="1" applyFill="1" applyBorder="1"/>
    <xf numFmtId="16" fontId="13" fillId="5" borderId="11" xfId="5" applyNumberFormat="1" applyFont="1" applyFill="1" applyBorder="1" applyAlignment="1">
      <alignment horizontal="left"/>
    </xf>
    <xf numFmtId="0" fontId="13" fillId="5" borderId="3" xfId="5" applyFont="1" applyFill="1" applyBorder="1" applyAlignment="1">
      <alignment horizontal="left"/>
    </xf>
    <xf numFmtId="0" fontId="3" fillId="0" borderId="0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4" xfId="0" applyFont="1" applyFill="1" applyBorder="1" applyAlignment="1"/>
    <xf numFmtId="0" fontId="18" fillId="0" borderId="3" xfId="0" applyFont="1" applyFill="1" applyBorder="1" applyAlignment="1"/>
    <xf numFmtId="0" fontId="3" fillId="0" borderId="3" xfId="0" applyFont="1" applyFill="1" applyBorder="1" applyAlignment="1"/>
    <xf numFmtId="0" fontId="7" fillId="0" borderId="3" xfId="0" applyFont="1" applyBorder="1" applyAlignment="1"/>
    <xf numFmtId="0" fontId="3" fillId="0" borderId="3" xfId="0" applyFont="1" applyBorder="1" applyAlignment="1"/>
    <xf numFmtId="43" fontId="7" fillId="0" borderId="3" xfId="0" applyNumberFormat="1" applyFont="1" applyFill="1" applyBorder="1" applyAlignment="1"/>
    <xf numFmtId="0" fontId="18" fillId="0" borderId="7" xfId="0" applyFont="1" applyFill="1" applyBorder="1" applyAlignment="1"/>
    <xf numFmtId="0" fontId="18" fillId="0" borderId="0" xfId="0" applyFont="1" applyFill="1" applyBorder="1" applyAlignment="1"/>
    <xf numFmtId="167" fontId="7" fillId="0" borderId="0" xfId="1" applyNumberFormat="1" applyFont="1" applyFill="1" applyBorder="1" applyAlignment="1">
      <alignment horizontal="center" wrapText="1"/>
    </xf>
    <xf numFmtId="167" fontId="7" fillId="4" borderId="11" xfId="1" applyNumberFormat="1" applyFont="1" applyFill="1" applyBorder="1" applyAlignment="1"/>
    <xf numFmtId="165" fontId="13" fillId="0" borderId="19" xfId="1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6" fillId="3" borderId="1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3" xfId="0" applyFont="1" applyFill="1" applyBorder="1"/>
    <xf numFmtId="0" fontId="32" fillId="3" borderId="22" xfId="0" applyFont="1" applyFill="1" applyBorder="1" applyAlignment="1">
      <alignment horizontal="center" wrapText="1"/>
    </xf>
    <xf numFmtId="0" fontId="31" fillId="0" borderId="0" xfId="0" applyFont="1" applyFill="1" applyAlignment="1">
      <alignment wrapText="1"/>
    </xf>
    <xf numFmtId="0" fontId="8" fillId="3" borderId="3" xfId="4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wrapText="1"/>
    </xf>
    <xf numFmtId="0" fontId="32" fillId="3" borderId="1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32" fillId="3" borderId="7" xfId="0" applyFont="1" applyFill="1" applyBorder="1" applyAlignment="1">
      <alignment horizontal="center" wrapText="1"/>
    </xf>
    <xf numFmtId="0" fontId="31" fillId="3" borderId="7" xfId="0" applyFont="1" applyFill="1" applyBorder="1" applyAlignment="1">
      <alignment wrapText="1"/>
    </xf>
    <xf numFmtId="0" fontId="11" fillId="3" borderId="7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3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32" fillId="0" borderId="5" xfId="0" applyFont="1" applyFill="1" applyBorder="1" applyAlignment="1">
      <alignment horizontal="center" wrapText="1"/>
    </xf>
    <xf numFmtId="0" fontId="0" fillId="0" borderId="3" xfId="0" applyBorder="1"/>
    <xf numFmtId="0" fontId="19" fillId="0" borderId="3" xfId="0" applyFont="1" applyBorder="1"/>
    <xf numFmtId="0" fontId="7" fillId="0" borderId="0" xfId="0" applyFont="1" applyBorder="1"/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0" xfId="0" applyFont="1"/>
    <xf numFmtId="0" fontId="6" fillId="0" borderId="4" xfId="0" applyFont="1" applyFill="1" applyBorder="1" applyAlignment="1">
      <alignment horizontal="center" wrapText="1"/>
    </xf>
    <xf numFmtId="0" fontId="7" fillId="0" borderId="3" xfId="0" applyFont="1" applyBorder="1"/>
    <xf numFmtId="0" fontId="33" fillId="0" borderId="3" xfId="0" applyFont="1" applyBorder="1"/>
    <xf numFmtId="0" fontId="32" fillId="0" borderId="4" xfId="0" applyFont="1" applyFill="1" applyBorder="1" applyAlignment="1">
      <alignment horizontal="center" wrapText="1"/>
    </xf>
    <xf numFmtId="165" fontId="31" fillId="0" borderId="3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4" xfId="0" applyNumberFormat="1" applyBorder="1"/>
    <xf numFmtId="0" fontId="34" fillId="0" borderId="3" xfId="0" applyFont="1" applyBorder="1"/>
    <xf numFmtId="165" fontId="1" fillId="0" borderId="0" xfId="1" applyNumberFormat="1" applyBorder="1" applyAlignment="1">
      <alignment horizontal="right"/>
    </xf>
    <xf numFmtId="165" fontId="31" fillId="0" borderId="0" xfId="1" applyNumberFormat="1" applyFont="1" applyFill="1" applyBorder="1"/>
    <xf numFmtId="165" fontId="31" fillId="0" borderId="0" xfId="1" applyNumberFormat="1" applyFont="1" applyFill="1" applyBorder="1" applyAlignment="1">
      <alignment horizontal="right"/>
    </xf>
    <xf numFmtId="165" fontId="31" fillId="0" borderId="4" xfId="1" applyNumberFormat="1" applyFont="1" applyFill="1" applyBorder="1"/>
    <xf numFmtId="43" fontId="32" fillId="0" borderId="3" xfId="0" applyNumberFormat="1" applyFont="1" applyFill="1" applyBorder="1" applyAlignment="1">
      <alignment horizontal="center" vertical="center" wrapText="1"/>
    </xf>
    <xf numFmtId="43" fontId="31" fillId="0" borderId="0" xfId="1" applyNumberFormat="1" applyFont="1" applyFill="1" applyBorder="1"/>
    <xf numFmtId="43" fontId="31" fillId="0" borderId="3" xfId="1" applyNumberFormat="1" applyFont="1" applyFill="1" applyBorder="1"/>
    <xf numFmtId="166" fontId="31" fillId="0" borderId="0" xfId="1" applyNumberFormat="1" applyFont="1" applyFill="1" applyBorder="1"/>
    <xf numFmtId="166" fontId="31" fillId="0" borderId="0" xfId="1" applyNumberFormat="1" applyFont="1" applyFill="1" applyBorder="1" applyAlignment="1">
      <alignment horizontal="right"/>
    </xf>
    <xf numFmtId="166" fontId="31" fillId="0" borderId="4" xfId="1" applyNumberFormat="1" applyFont="1" applyFill="1" applyBorder="1"/>
    <xf numFmtId="165" fontId="32" fillId="0" borderId="3" xfId="1" applyNumberFormat="1" applyFont="1" applyFill="1" applyBorder="1" applyAlignment="1">
      <alignment horizontal="center" vertical="center" wrapText="1"/>
    </xf>
    <xf numFmtId="165" fontId="31" fillId="0" borderId="3" xfId="1" applyNumberFormat="1" applyFont="1" applyFill="1" applyBorder="1"/>
    <xf numFmtId="0" fontId="0" fillId="0" borderId="3" xfId="0" applyFill="1" applyBorder="1"/>
    <xf numFmtId="167" fontId="31" fillId="0" borderId="0" xfId="1" applyNumberFormat="1" applyFont="1" applyFill="1" applyBorder="1"/>
    <xf numFmtId="165" fontId="31" fillId="0" borderId="11" xfId="1" applyNumberFormat="1" applyFont="1" applyFill="1" applyBorder="1"/>
    <xf numFmtId="0" fontId="0" fillId="0" borderId="7" xfId="0" applyFill="1" applyBorder="1"/>
    <xf numFmtId="0" fontId="0" fillId="0" borderId="8" xfId="0" applyBorder="1"/>
    <xf numFmtId="165" fontId="31" fillId="0" borderId="7" xfId="0" applyNumberFormat="1" applyFont="1" applyFill="1" applyBorder="1" applyAlignment="1">
      <alignment horizontal="center" vertical="center" wrapText="1"/>
    </xf>
    <xf numFmtId="165" fontId="31" fillId="0" borderId="8" xfId="1" applyNumberFormat="1" applyFont="1" applyFill="1" applyBorder="1"/>
    <xf numFmtId="165" fontId="31" fillId="0" borderId="8" xfId="1" applyNumberFormat="1" applyFont="1" applyFill="1" applyBorder="1" applyAlignment="1">
      <alignment horizontal="right"/>
    </xf>
    <xf numFmtId="165" fontId="31" fillId="0" borderId="9" xfId="1" applyNumberFormat="1" applyFont="1" applyFill="1" applyBorder="1"/>
    <xf numFmtId="0" fontId="0" fillId="0" borderId="6" xfId="0" applyBorder="1"/>
    <xf numFmtId="0" fontId="0" fillId="0" borderId="2" xfId="0" applyBorder="1"/>
    <xf numFmtId="165" fontId="31" fillId="0" borderId="1" xfId="1" applyNumberFormat="1" applyFont="1" applyFill="1" applyBorder="1" applyAlignment="1">
      <alignment horizontal="center" vertical="center" wrapText="1"/>
    </xf>
    <xf numFmtId="165" fontId="31" fillId="0" borderId="6" xfId="1" applyNumberFormat="1" applyFont="1" applyFill="1" applyBorder="1"/>
    <xf numFmtId="165" fontId="31" fillId="0" borderId="2" xfId="1" applyNumberFormat="1" applyFont="1" applyFill="1" applyBorder="1"/>
    <xf numFmtId="165" fontId="31" fillId="0" borderId="5" xfId="1" applyNumberFormat="1" applyFont="1" applyFill="1" applyBorder="1"/>
    <xf numFmtId="0" fontId="0" fillId="0" borderId="11" xfId="0" applyBorder="1"/>
    <xf numFmtId="165" fontId="31" fillId="0" borderId="3" xfId="1" applyNumberFormat="1" applyFont="1" applyFill="1" applyBorder="1" applyAlignment="1">
      <alignment horizontal="center" vertical="center" wrapText="1"/>
    </xf>
    <xf numFmtId="0" fontId="34" fillId="0" borderId="11" xfId="0" applyFont="1" applyBorder="1"/>
    <xf numFmtId="167" fontId="31" fillId="0" borderId="11" xfId="1" applyNumberFormat="1" applyFont="1" applyFill="1" applyBorder="1"/>
    <xf numFmtId="0" fontId="0" fillId="0" borderId="11" xfId="0" applyFill="1" applyBorder="1"/>
    <xf numFmtId="165" fontId="31" fillId="0" borderId="7" xfId="1" applyNumberFormat="1" applyFont="1" applyFill="1" applyBorder="1" applyAlignment="1">
      <alignment horizontal="center" vertical="center" wrapText="1"/>
    </xf>
    <xf numFmtId="167" fontId="31" fillId="0" borderId="10" xfId="1" applyNumberFormat="1" applyFont="1" applyFill="1" applyBorder="1"/>
    <xf numFmtId="167" fontId="31" fillId="0" borderId="8" xfId="1" applyNumberFormat="1" applyFont="1" applyFill="1" applyBorder="1"/>
    <xf numFmtId="0" fontId="5" fillId="0" borderId="1" xfId="0" applyFont="1" applyFill="1" applyBorder="1"/>
    <xf numFmtId="165" fontId="31" fillId="0" borderId="2" xfId="1" applyNumberFormat="1" applyFont="1" applyFill="1" applyBorder="1" applyAlignment="1">
      <alignment horizontal="right"/>
    </xf>
    <xf numFmtId="165" fontId="32" fillId="0" borderId="4" xfId="1" applyNumberFormat="1" applyFont="1" applyFill="1" applyBorder="1" applyAlignment="1">
      <alignment horizontal="center" vertical="center" wrapText="1"/>
    </xf>
    <xf numFmtId="0" fontId="26" fillId="0" borderId="3" xfId="0" applyFont="1" applyFill="1" applyBorder="1"/>
    <xf numFmtId="165" fontId="32" fillId="0" borderId="11" xfId="1" applyNumberFormat="1" applyFont="1" applyFill="1" applyBorder="1"/>
    <xf numFmtId="165" fontId="32" fillId="0" borderId="0" xfId="1" applyNumberFormat="1" applyFont="1" applyFill="1" applyBorder="1"/>
    <xf numFmtId="165" fontId="32" fillId="0" borderId="0" xfId="1" applyNumberFormat="1" applyFont="1" applyFill="1" applyBorder="1" applyAlignment="1">
      <alignment horizontal="right"/>
    </xf>
    <xf numFmtId="165" fontId="32" fillId="0" borderId="4" xfId="1" applyNumberFormat="1" applyFont="1" applyFill="1" applyBorder="1"/>
    <xf numFmtId="165" fontId="1" fillId="0" borderId="3" xfId="1" applyNumberFormat="1" applyBorder="1"/>
    <xf numFmtId="165" fontId="32" fillId="0" borderId="3" xfId="1" applyNumberFormat="1" applyFont="1" applyFill="1" applyBorder="1"/>
    <xf numFmtId="0" fontId="35" fillId="3" borderId="3" xfId="0" applyFont="1" applyFill="1" applyBorder="1"/>
    <xf numFmtId="0" fontId="0" fillId="3" borderId="0" xfId="0" applyFill="1" applyBorder="1"/>
    <xf numFmtId="165" fontId="32" fillId="3" borderId="3" xfId="1" applyNumberFormat="1" applyFont="1" applyFill="1" applyBorder="1" applyAlignment="1">
      <alignment horizontal="center" vertical="center" wrapText="1"/>
    </xf>
    <xf numFmtId="165" fontId="32" fillId="3" borderId="11" xfId="1" applyNumberFormat="1" applyFont="1" applyFill="1" applyBorder="1"/>
    <xf numFmtId="165" fontId="32" fillId="3" borderId="0" xfId="1" applyNumberFormat="1" applyFont="1" applyFill="1" applyBorder="1"/>
    <xf numFmtId="165" fontId="32" fillId="3" borderId="0" xfId="1" applyNumberFormat="1" applyFont="1" applyFill="1" applyBorder="1" applyAlignment="1">
      <alignment horizontal="right"/>
    </xf>
    <xf numFmtId="165" fontId="32" fillId="3" borderId="4" xfId="1" applyNumberFormat="1" applyFont="1" applyFill="1" applyBorder="1"/>
    <xf numFmtId="0" fontId="34" fillId="0" borderId="3" xfId="0" applyFont="1" applyFill="1" applyBorder="1"/>
    <xf numFmtId="0" fontId="34" fillId="0" borderId="0" xfId="0" applyFont="1"/>
    <xf numFmtId="165" fontId="1" fillId="0" borderId="0" xfId="1" applyNumberFormat="1"/>
    <xf numFmtId="165" fontId="32" fillId="0" borderId="4" xfId="1" applyNumberFormat="1" applyFont="1" applyFill="1" applyBorder="1" applyAlignment="1">
      <alignment horizontal="center" wrapText="1"/>
    </xf>
    <xf numFmtId="0" fontId="0" fillId="6" borderId="0" xfId="0" applyFill="1" applyBorder="1"/>
    <xf numFmtId="0" fontId="3" fillId="0" borderId="11" xfId="0" applyFont="1" applyFill="1" applyBorder="1"/>
    <xf numFmtId="165" fontId="31" fillId="0" borderId="10" xfId="1" applyNumberFormat="1" applyFont="1" applyFill="1" applyBorder="1"/>
    <xf numFmtId="0" fontId="5" fillId="0" borderId="2" xfId="0" applyFont="1" applyFill="1" applyBorder="1"/>
    <xf numFmtId="0" fontId="3" fillId="0" borderId="3" xfId="0" applyFont="1" applyFill="1" applyBorder="1"/>
    <xf numFmtId="165" fontId="1" fillId="0" borderId="0" xfId="1" applyNumberFormat="1" applyBorder="1"/>
    <xf numFmtId="165" fontId="1" fillId="0" borderId="4" xfId="1" applyNumberFormat="1" applyBorder="1"/>
    <xf numFmtId="0" fontId="5" fillId="0" borderId="3" xfId="0" applyFont="1" applyBorder="1"/>
    <xf numFmtId="0" fontId="0" fillId="0" borderId="7" xfId="0" applyBorder="1"/>
    <xf numFmtId="0" fontId="12" fillId="3" borderId="23" xfId="0" applyFont="1" applyFill="1" applyBorder="1"/>
    <xf numFmtId="0" fontId="18" fillId="3" borderId="24" xfId="0" applyFont="1" applyFill="1" applyBorder="1"/>
    <xf numFmtId="165" fontId="12" fillId="3" borderId="22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center" vertical="center" wrapText="1"/>
    </xf>
    <xf numFmtId="165" fontId="12" fillId="3" borderId="24" xfId="1" applyNumberFormat="1" applyFont="1" applyFill="1" applyBorder="1" applyAlignment="1">
      <alignment horizontal="right" vertical="center" wrapText="1"/>
    </xf>
    <xf numFmtId="165" fontId="12" fillId="3" borderId="25" xfId="1" applyNumberFormat="1" applyFont="1" applyFill="1" applyBorder="1" applyAlignment="1">
      <alignment horizontal="center" vertical="center" wrapText="1"/>
    </xf>
    <xf numFmtId="164" fontId="12" fillId="0" borderId="3" xfId="1" applyNumberFormat="1" applyFont="1" applyFill="1" applyBorder="1" applyAlignment="1">
      <alignment horizontal="center" vertical="center" wrapText="1"/>
    </xf>
    <xf numFmtId="164" fontId="12" fillId="3" borderId="24" xfId="1" applyNumberFormat="1" applyFont="1" applyFill="1" applyBorder="1"/>
    <xf numFmtId="164" fontId="12" fillId="3" borderId="25" xfId="1" applyNumberFormat="1" applyFont="1" applyFill="1" applyBorder="1" applyAlignment="1">
      <alignment horizontal="center" wrapText="1"/>
    </xf>
    <xf numFmtId="164" fontId="12" fillId="0" borderId="11" xfId="1" applyNumberFormat="1" applyFont="1" applyFill="1" applyBorder="1"/>
    <xf numFmtId="164" fontId="12" fillId="3" borderId="22" xfId="3" applyNumberFormat="1" applyFont="1" applyFill="1" applyBorder="1" applyAlignment="1">
      <alignment horizontal="center" vertical="center" wrapText="1"/>
    </xf>
    <xf numFmtId="0" fontId="12" fillId="0" borderId="24" xfId="0" applyFont="1" applyFill="1" applyBorder="1"/>
    <xf numFmtId="0" fontId="18" fillId="0" borderId="24" xfId="0" applyFont="1" applyFill="1" applyBorder="1"/>
    <xf numFmtId="165" fontId="12" fillId="0" borderId="24" xfId="1" applyNumberFormat="1" applyFont="1" applyFill="1" applyBorder="1" applyAlignment="1">
      <alignment horizontal="center" vertical="center" wrapText="1"/>
    </xf>
    <xf numFmtId="165" fontId="12" fillId="0" borderId="24" xfId="1" applyNumberFormat="1" applyFont="1" applyFill="1" applyBorder="1" applyAlignment="1">
      <alignment horizontal="right" vertical="center" wrapText="1"/>
    </xf>
    <xf numFmtId="164" fontId="12" fillId="0" borderId="0" xfId="1" applyNumberFormat="1" applyFont="1" applyFill="1" applyBorder="1" applyAlignment="1">
      <alignment horizontal="center" vertical="center" wrapText="1"/>
    </xf>
    <xf numFmtId="164" fontId="12" fillId="0" borderId="24" xfId="1" applyNumberFormat="1" applyFont="1" applyFill="1" applyBorder="1"/>
    <xf numFmtId="164" fontId="12" fillId="0" borderId="24" xfId="1" applyNumberFormat="1" applyFont="1" applyFill="1" applyBorder="1" applyAlignment="1">
      <alignment horizontal="center" wrapText="1"/>
    </xf>
    <xf numFmtId="164" fontId="12" fillId="0" borderId="0" xfId="1" applyNumberFormat="1" applyFont="1" applyFill="1" applyBorder="1"/>
    <xf numFmtId="164" fontId="12" fillId="0" borderId="24" xfId="3" applyNumberFormat="1" applyFont="1" applyFill="1" applyBorder="1" applyAlignment="1">
      <alignment horizontal="center" vertical="center" wrapText="1"/>
    </xf>
    <xf numFmtId="165" fontId="12" fillId="3" borderId="22" xfId="1" applyNumberFormat="1" applyFont="1" applyFill="1" applyBorder="1" applyAlignment="1"/>
    <xf numFmtId="165" fontId="12" fillId="3" borderId="24" xfId="1" applyNumberFormat="1" applyFont="1" applyFill="1" applyBorder="1" applyAlignment="1"/>
    <xf numFmtId="165" fontId="12" fillId="3" borderId="24" xfId="1" applyNumberFormat="1" applyFont="1" applyFill="1" applyBorder="1" applyAlignment="1">
      <alignment horizontal="right"/>
    </xf>
    <xf numFmtId="165" fontId="12" fillId="3" borderId="25" xfId="1" applyNumberFormat="1" applyFont="1" applyFill="1" applyBorder="1" applyAlignment="1"/>
    <xf numFmtId="0" fontId="31" fillId="0" borderId="0" xfId="0" applyFont="1" applyBorder="1" applyAlignment="1"/>
    <xf numFmtId="0" fontId="31" fillId="0" borderId="0" xfId="0" applyFont="1" applyFill="1" applyBorder="1"/>
    <xf numFmtId="0" fontId="31" fillId="0" borderId="0" xfId="0" applyFont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wrapText="1"/>
    </xf>
    <xf numFmtId="0" fontId="32" fillId="3" borderId="3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 wrapText="1"/>
    </xf>
    <xf numFmtId="0" fontId="32" fillId="3" borderId="0" xfId="0" applyFont="1" applyFill="1" applyBorder="1" applyAlignment="1">
      <alignment horizontal="center" wrapText="1"/>
    </xf>
    <xf numFmtId="0" fontId="31" fillId="3" borderId="0" xfId="0" applyFont="1" applyFill="1" applyBorder="1" applyAlignment="1">
      <alignment wrapText="1"/>
    </xf>
    <xf numFmtId="0" fontId="11" fillId="3" borderId="3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19" fillId="0" borderId="11" xfId="0" applyFont="1" applyBorder="1"/>
    <xf numFmtId="165" fontId="6" fillId="0" borderId="3" xfId="1" applyNumberFormat="1" applyFont="1" applyFill="1" applyBorder="1" applyAlignment="1">
      <alignment horizontal="center" vertical="center" wrapText="1"/>
    </xf>
    <xf numFmtId="165" fontId="7" fillId="0" borderId="0" xfId="1" applyNumberFormat="1" applyFont="1" applyBorder="1"/>
    <xf numFmtId="165" fontId="7" fillId="0" borderId="4" xfId="1" applyNumberFormat="1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166" fontId="6" fillId="0" borderId="0" xfId="2" applyNumberFormat="1" applyFont="1" applyFill="1" applyBorder="1" applyAlignment="1">
      <alignment horizontal="center" vertical="center" wrapText="1"/>
    </xf>
    <xf numFmtId="0" fontId="7" fillId="0" borderId="11" xfId="0" applyFont="1" applyBorder="1"/>
    <xf numFmtId="165" fontId="7" fillId="0" borderId="3" xfId="1" applyNumberFormat="1" applyFont="1" applyFill="1" applyBorder="1" applyAlignment="1">
      <alignment vertical="center" wrapText="1"/>
    </xf>
    <xf numFmtId="165" fontId="7" fillId="0" borderId="0" xfId="2" applyNumberFormat="1" applyFont="1" applyFill="1" applyBorder="1"/>
    <xf numFmtId="165" fontId="6" fillId="0" borderId="0" xfId="2" applyNumberFormat="1" applyFont="1" applyFill="1" applyBorder="1" applyAlignment="1">
      <alignment horizontal="center" vertical="center" wrapText="1"/>
    </xf>
    <xf numFmtId="165" fontId="7" fillId="0" borderId="3" xfId="2" applyNumberFormat="1" applyFont="1" applyFill="1" applyBorder="1"/>
    <xf numFmtId="0" fontId="7" fillId="0" borderId="8" xfId="0" applyFont="1" applyBorder="1"/>
    <xf numFmtId="165" fontId="7" fillId="0" borderId="12" xfId="1" applyNumberFormat="1" applyFont="1" applyFill="1" applyBorder="1" applyAlignment="1">
      <alignment vertical="center" wrapText="1"/>
    </xf>
    <xf numFmtId="0" fontId="17" fillId="0" borderId="11" xfId="0" applyFont="1" applyFill="1" applyBorder="1"/>
    <xf numFmtId="165" fontId="7" fillId="0" borderId="0" xfId="1" applyNumberFormat="1" applyFont="1" applyFill="1" applyBorder="1" applyAlignment="1">
      <alignment vertical="center" wrapText="1"/>
    </xf>
    <xf numFmtId="165" fontId="7" fillId="0" borderId="4" xfId="1" applyNumberFormat="1" applyFont="1" applyFill="1" applyBorder="1" applyAlignment="1">
      <alignment vertical="center" wrapText="1"/>
    </xf>
    <xf numFmtId="166" fontId="7" fillId="0" borderId="0" xfId="2" applyNumberFormat="1" applyFont="1" applyFill="1" applyBorder="1" applyAlignment="1">
      <alignment horizontal="center" vertical="center" wrapText="1"/>
    </xf>
    <xf numFmtId="165" fontId="7" fillId="0" borderId="0" xfId="2" applyNumberFormat="1" applyFont="1" applyBorder="1"/>
    <xf numFmtId="165" fontId="6" fillId="0" borderId="3" xfId="1" applyNumberFormat="1" applyFont="1" applyFill="1" applyBorder="1" applyAlignment="1">
      <alignment vertical="center" wrapText="1"/>
    </xf>
    <xf numFmtId="165" fontId="7" fillId="0" borderId="0" xfId="1" applyNumberFormat="1" applyFont="1" applyBorder="1" applyAlignment="1"/>
    <xf numFmtId="165" fontId="7" fillId="0" borderId="4" xfId="1" applyNumberFormat="1" applyFont="1" applyBorder="1" applyAlignment="1"/>
    <xf numFmtId="165" fontId="6" fillId="0" borderId="0" xfId="2" applyNumberFormat="1" applyFont="1" applyFill="1" applyBorder="1" applyAlignment="1">
      <alignment horizontal="center" wrapText="1"/>
    </xf>
    <xf numFmtId="165" fontId="7" fillId="0" borderId="3" xfId="2" applyNumberFormat="1" applyFont="1" applyBorder="1"/>
    <xf numFmtId="166" fontId="32" fillId="0" borderId="0" xfId="2" applyNumberFormat="1" applyFont="1" applyFill="1" applyBorder="1" applyAlignment="1">
      <alignment horizontal="center" vertical="center" wrapText="1"/>
    </xf>
    <xf numFmtId="165" fontId="1" fillId="0" borderId="0" xfId="2" applyNumberFormat="1" applyBorder="1"/>
    <xf numFmtId="165" fontId="32" fillId="0" borderId="0" xfId="2" applyNumberFormat="1" applyFont="1" applyFill="1" applyBorder="1" applyAlignment="1">
      <alignment horizontal="center" wrapText="1"/>
    </xf>
    <xf numFmtId="165" fontId="1" fillId="0" borderId="3" xfId="2" applyNumberFormat="1" applyBorder="1"/>
    <xf numFmtId="42" fontId="12" fillId="3" borderId="22" xfId="1" applyNumberFormat="1" applyFont="1" applyFill="1" applyBorder="1" applyAlignment="1">
      <alignment horizontal="center" vertical="center" wrapText="1"/>
    </xf>
    <xf numFmtId="42" fontId="12" fillId="3" borderId="24" xfId="1" applyNumberFormat="1" applyFont="1" applyFill="1" applyBorder="1" applyAlignment="1">
      <alignment horizontal="center" vertical="center" wrapText="1"/>
    </xf>
    <xf numFmtId="42" fontId="12" fillId="3" borderId="25" xfId="1" applyNumberFormat="1" applyFont="1" applyFill="1" applyBorder="1" applyAlignment="1">
      <alignment horizontal="center" vertical="center" wrapText="1"/>
    </xf>
    <xf numFmtId="42" fontId="12" fillId="0" borderId="24" xfId="1" applyNumberFormat="1" applyFont="1" applyFill="1" applyBorder="1" applyAlignment="1">
      <alignment horizontal="center" vertical="center" wrapText="1"/>
    </xf>
    <xf numFmtId="42" fontId="12" fillId="3" borderId="22" xfId="1" applyNumberFormat="1" applyFont="1" applyFill="1" applyBorder="1" applyAlignment="1"/>
    <xf numFmtId="42" fontId="12" fillId="3" borderId="24" xfId="1" applyNumberFormat="1" applyFont="1" applyFill="1" applyBorder="1" applyAlignment="1"/>
    <xf numFmtId="42" fontId="12" fillId="3" borderId="25" xfId="1" applyNumberFormat="1" applyFont="1" applyFill="1" applyBorder="1" applyAlignment="1"/>
    <xf numFmtId="172" fontId="12" fillId="0" borderId="24" xfId="6" applyNumberFormat="1" applyFont="1" applyFill="1" applyBorder="1" applyAlignment="1"/>
    <xf numFmtId="10" fontId="0" fillId="0" borderId="0" xfId="6" applyNumberFormat="1" applyFont="1" applyFill="1" applyBorder="1"/>
    <xf numFmtId="10" fontId="7" fillId="0" borderId="0" xfId="6" applyNumberFormat="1" applyFont="1" applyFill="1" applyBorder="1" applyAlignment="1">
      <alignment wrapText="1"/>
    </xf>
    <xf numFmtId="10" fontId="7" fillId="0" borderId="0" xfId="6" applyNumberFormat="1" applyFont="1" applyFill="1" applyBorder="1" applyAlignment="1">
      <alignment horizontal="left" indent="4"/>
    </xf>
    <xf numFmtId="10" fontId="12" fillId="0" borderId="0" xfId="6" applyNumberFormat="1" applyFont="1" applyFill="1" applyBorder="1"/>
    <xf numFmtId="10" fontId="18" fillId="0" borderId="0" xfId="6" applyNumberFormat="1" applyFont="1" applyFill="1" applyBorder="1"/>
    <xf numFmtId="10" fontId="6" fillId="0" borderId="0" xfId="6" applyNumberFormat="1" applyFont="1" applyFill="1" applyBorder="1"/>
    <xf numFmtId="10" fontId="7" fillId="0" borderId="0" xfId="6" applyNumberFormat="1" applyFont="1" applyFill="1" applyBorder="1"/>
    <xf numFmtId="10" fontId="3" fillId="0" borderId="0" xfId="6" applyNumberFormat="1" applyFont="1" applyFill="1" applyBorder="1"/>
    <xf numFmtId="0" fontId="14" fillId="3" borderId="23" xfId="5" applyFont="1" applyFill="1" applyBorder="1" applyAlignment="1">
      <alignment horizontal="center"/>
    </xf>
    <xf numFmtId="0" fontId="14" fillId="3" borderId="24" xfId="5" applyFont="1" applyFill="1" applyBorder="1" applyAlignment="1">
      <alignment horizontal="center"/>
    </xf>
    <xf numFmtId="0" fontId="14" fillId="3" borderId="25" xfId="5" applyFont="1" applyFill="1" applyBorder="1" applyAlignment="1">
      <alignment horizontal="center"/>
    </xf>
    <xf numFmtId="0" fontId="15" fillId="5" borderId="6" xfId="5" applyFont="1" applyFill="1" applyBorder="1" applyAlignment="1">
      <alignment horizontal="center" wrapText="1"/>
    </xf>
    <xf numFmtId="0" fontId="15" fillId="5" borderId="2" xfId="5" applyFont="1" applyFill="1" applyBorder="1" applyAlignment="1">
      <alignment horizontal="center" wrapText="1"/>
    </xf>
    <xf numFmtId="0" fontId="15" fillId="5" borderId="5" xfId="5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16" fontId="5" fillId="0" borderId="0" xfId="0" applyNumberFormat="1" applyFont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wrapText="1"/>
    </xf>
    <xf numFmtId="0" fontId="6" fillId="3" borderId="25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32" fillId="3" borderId="25" xfId="0" applyFont="1" applyFill="1" applyBorder="1" applyAlignment="1">
      <alignment horizontal="center"/>
    </xf>
  </cellXfs>
  <cellStyles count="7">
    <cellStyle name="Comma" xfId="1" builtinId="3"/>
    <cellStyle name="Comma_Europe MTM Orig Summary 19-07-01" xfId="2"/>
    <cellStyle name="Currency" xfId="3" builtinId="4"/>
    <cellStyle name="Normal" xfId="0" builtinId="0"/>
    <cellStyle name="Normal_Origination Summary (3)" xfId="4"/>
    <cellStyle name="Normal_Sheet1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6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142875</xdr:rowOff>
        </xdr:from>
        <xdr:to>
          <xdr:col>0</xdr:col>
          <xdr:colOff>2428875</xdr:colOff>
          <xdr:row>8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142875</xdr:rowOff>
        </xdr:from>
        <xdr:to>
          <xdr:col>0</xdr:col>
          <xdr:colOff>2771775</xdr:colOff>
          <xdr:row>126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%20Orig%20Summ%20Re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%20Origination%20Summary%2009-28-01Re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pt%206,%202001%20Origination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 refreshError="1"/>
      <sheetData sheetId="1">
        <row r="109">
          <cell r="G109">
            <v>12058.6056521377</v>
          </cell>
        </row>
        <row r="157">
          <cell r="G157">
            <v>243585.97374816606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tion Summary"/>
      <sheetName val="International Origin Summary"/>
    </sheetNames>
    <sheetDataSet>
      <sheetData sheetId="0">
        <row r="6">
          <cell r="A6" t="str">
            <v>As of 09/28/01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irect Canada Origination"/>
    </sheetNames>
    <sheetDataSet>
      <sheetData sheetId="0" refreshError="1">
        <row r="51">
          <cell r="H51">
            <v>4.1326795687751652E-3</v>
          </cell>
          <cell r="I51">
            <v>8.0984543447200927E-4</v>
          </cell>
          <cell r="L51">
            <v>0</v>
          </cell>
        </row>
        <row r="52">
          <cell r="H52">
            <v>9.5513723459347485E-3</v>
          </cell>
          <cell r="I52">
            <v>1.9899016053858106E-3</v>
          </cell>
          <cell r="L52">
            <v>0</v>
          </cell>
        </row>
        <row r="53">
          <cell r="H53">
            <v>2.4251411185914035E-2</v>
          </cell>
          <cell r="I53">
            <v>4.6837778353184872E-3</v>
          </cell>
          <cell r="L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U1889"/>
  <sheetViews>
    <sheetView tabSelected="1" topLeftCell="A17" zoomScale="75" workbookViewId="0">
      <selection activeCell="Q25" sqref="Q25"/>
    </sheetView>
  </sheetViews>
  <sheetFormatPr defaultRowHeight="12.75" x14ac:dyDescent="0.2"/>
  <cols>
    <col min="1" max="1" width="76" style="8" customWidth="1"/>
    <col min="2" max="2" width="16" style="8" hidden="1" customWidth="1"/>
    <col min="3" max="3" width="0.42578125" style="8" hidden="1" customWidth="1"/>
    <col min="4" max="4" width="21" style="8" customWidth="1"/>
    <col min="5" max="5" width="18.28515625" style="8" customWidth="1"/>
    <col min="6" max="6" width="17.85546875" style="8" customWidth="1"/>
    <col min="7" max="7" width="20.85546875" style="8" customWidth="1"/>
    <col min="8" max="8" width="19.5703125" style="8" hidden="1" customWidth="1"/>
    <col min="9" max="9" width="22.7109375" style="10" customWidth="1"/>
    <col min="10" max="10" width="15" style="344" customWidth="1"/>
    <col min="11" max="11" width="9.140625" style="2"/>
    <col min="13" max="13" width="20.140625" style="2" bestFit="1" customWidth="1"/>
    <col min="14" max="14" width="12.42578125" style="2" customWidth="1"/>
    <col min="15" max="19" width="9.140625" style="2"/>
    <col min="20" max="20" width="20.140625" style="532" customWidth="1"/>
    <col min="21" max="73" width="9.140625" style="2"/>
    <col min="74" max="16384" width="9.140625" style="3"/>
  </cols>
  <sheetData>
    <row r="2" spans="1:86" ht="12.75" customHeight="1" x14ac:dyDescent="0.2">
      <c r="A2" s="546" t="s">
        <v>0</v>
      </c>
      <c r="B2" s="546"/>
      <c r="C2" s="546"/>
      <c r="D2" s="546"/>
      <c r="E2" s="546"/>
      <c r="F2" s="546"/>
      <c r="G2" s="546"/>
      <c r="H2" s="546"/>
      <c r="I2" s="546"/>
    </row>
    <row r="3" spans="1:86" x14ac:dyDescent="0.2">
      <c r="A3" s="546"/>
      <c r="B3" s="546"/>
      <c r="C3" s="546"/>
      <c r="D3" s="546"/>
      <c r="E3" s="546"/>
      <c r="F3" s="546"/>
      <c r="G3" s="546"/>
      <c r="H3" s="546"/>
      <c r="I3" s="546"/>
    </row>
    <row r="4" spans="1:86" ht="27.75" x14ac:dyDescent="0.4">
      <c r="A4" s="546" t="s">
        <v>1</v>
      </c>
      <c r="B4" s="546"/>
      <c r="C4" s="546"/>
      <c r="D4" s="546"/>
      <c r="E4" s="546"/>
      <c r="F4" s="546"/>
      <c r="G4" s="546"/>
      <c r="H4" s="546"/>
      <c r="I4" s="546"/>
    </row>
    <row r="5" spans="1:86" ht="28.5" customHeight="1" x14ac:dyDescent="0.4">
      <c r="A5" s="1"/>
      <c r="B5" s="1"/>
      <c r="C5" s="1"/>
      <c r="D5" s="1"/>
      <c r="E5" s="1"/>
      <c r="F5" s="1"/>
      <c r="G5" s="4"/>
      <c r="H5" s="1"/>
      <c r="I5" s="5"/>
    </row>
    <row r="6" spans="1:86" ht="12.75" customHeight="1" x14ac:dyDescent="0.2">
      <c r="A6" s="547" t="s">
        <v>2</v>
      </c>
      <c r="B6" s="547"/>
      <c r="C6" s="547"/>
      <c r="D6" s="547"/>
      <c r="E6" s="547"/>
      <c r="F6" s="547"/>
      <c r="G6" s="547"/>
      <c r="H6" s="547"/>
      <c r="I6" s="547"/>
    </row>
    <row r="7" spans="1:86" ht="12.75" customHeight="1" x14ac:dyDescent="0.2">
      <c r="A7" s="6"/>
      <c r="B7" s="6"/>
      <c r="C7" s="6"/>
      <c r="D7" s="6"/>
      <c r="E7" s="6"/>
      <c r="F7" s="6"/>
      <c r="G7" s="6"/>
      <c r="H7" s="6"/>
      <c r="I7" s="7"/>
    </row>
    <row r="8" spans="1:86" ht="12.75" customHeight="1" x14ac:dyDescent="0.2"/>
    <row r="9" spans="1:86" ht="12.75" customHeight="1" thickBot="1" x14ac:dyDescent="0.25">
      <c r="D9" s="11"/>
      <c r="G9" s="9"/>
      <c r="H9" s="11"/>
    </row>
    <row r="10" spans="1:86" s="15" customFormat="1" ht="18.75" customHeight="1" thickBot="1" x14ac:dyDescent="0.3">
      <c r="A10" s="548" t="s">
        <v>3</v>
      </c>
      <c r="B10" s="12"/>
      <c r="C10" s="13"/>
      <c r="D10" s="550" t="s">
        <v>4</v>
      </c>
      <c r="E10" s="551"/>
      <c r="F10" s="551"/>
      <c r="G10" s="551"/>
      <c r="H10" s="551"/>
      <c r="I10" s="552"/>
      <c r="J10" s="344"/>
      <c r="K10" s="14"/>
      <c r="M10" s="14"/>
      <c r="N10" s="14"/>
      <c r="O10" s="14"/>
      <c r="P10" s="14"/>
      <c r="Q10" s="14"/>
      <c r="R10" s="14"/>
      <c r="S10" s="14"/>
      <c r="T10" s="533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</row>
    <row r="11" spans="1:86" s="15" customFormat="1" ht="51.75" customHeight="1" x14ac:dyDescent="0.2">
      <c r="A11" s="549"/>
      <c r="B11" s="16" t="s">
        <v>5</v>
      </c>
      <c r="C11" s="17" t="s">
        <v>6</v>
      </c>
      <c r="D11" s="12" t="s">
        <v>7</v>
      </c>
      <c r="E11" s="18" t="s">
        <v>8</v>
      </c>
      <c r="F11" s="12" t="s">
        <v>9</v>
      </c>
      <c r="G11" s="12" t="s">
        <v>10</v>
      </c>
      <c r="H11" s="19" t="s">
        <v>11</v>
      </c>
      <c r="I11" s="12" t="s">
        <v>12</v>
      </c>
      <c r="J11" s="12" t="s">
        <v>13</v>
      </c>
      <c r="K11" s="14"/>
      <c r="M11" s="14"/>
      <c r="N11" s="14"/>
      <c r="O11" s="14"/>
      <c r="P11" s="14"/>
      <c r="Q11" s="14"/>
      <c r="R11" s="14"/>
      <c r="S11" s="14"/>
      <c r="T11" s="53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</row>
    <row r="12" spans="1:86" s="15" customFormat="1" ht="0.75" customHeight="1" thickBot="1" x14ac:dyDescent="0.3">
      <c r="A12" s="20"/>
      <c r="B12" s="20"/>
      <c r="C12" s="21"/>
      <c r="D12" s="20"/>
      <c r="E12" s="22"/>
      <c r="F12" s="23"/>
      <c r="G12" s="23"/>
      <c r="H12" s="24"/>
      <c r="I12" s="23"/>
      <c r="J12" s="345"/>
      <c r="K12" s="14"/>
      <c r="M12" s="14"/>
      <c r="N12" s="14"/>
      <c r="O12" s="14"/>
      <c r="P12" s="14"/>
      <c r="Q12" s="14"/>
      <c r="R12" s="14"/>
      <c r="S12" s="14"/>
      <c r="T12" s="53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</row>
    <row r="13" spans="1:86" s="15" customFormat="1" ht="15.75" x14ac:dyDescent="0.25">
      <c r="A13" s="25"/>
      <c r="B13" s="26"/>
      <c r="C13" s="26"/>
      <c r="D13" s="27"/>
      <c r="E13" s="28"/>
      <c r="F13" s="29"/>
      <c r="G13" s="29"/>
      <c r="H13" s="30"/>
      <c r="I13" s="31"/>
      <c r="J13" s="346"/>
      <c r="K13" s="14"/>
      <c r="M13" s="14"/>
      <c r="N13" s="14"/>
      <c r="O13" s="14"/>
      <c r="P13" s="14"/>
      <c r="Q13" s="14"/>
      <c r="R13" s="14"/>
      <c r="S13" s="14"/>
      <c r="T13" s="53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 spans="1:86" s="15" customFormat="1" ht="18" x14ac:dyDescent="0.25">
      <c r="A14" s="32" t="s">
        <v>14</v>
      </c>
      <c r="B14" s="33"/>
      <c r="C14" s="34"/>
      <c r="D14" s="35"/>
      <c r="E14" s="36"/>
      <c r="F14" s="37"/>
      <c r="G14" s="37"/>
      <c r="H14" s="38"/>
      <c r="I14" s="39"/>
      <c r="J14" s="345"/>
      <c r="K14" s="14"/>
      <c r="M14" s="14"/>
      <c r="N14" s="14"/>
      <c r="O14" s="14"/>
      <c r="P14" s="14"/>
      <c r="Q14" s="14"/>
      <c r="R14" s="14"/>
      <c r="S14" s="14"/>
      <c r="T14" s="533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</row>
    <row r="15" spans="1:86" s="15" customFormat="1" ht="15" x14ac:dyDescent="0.2">
      <c r="A15" s="40"/>
      <c r="B15" s="41"/>
      <c r="C15" s="42"/>
      <c r="D15" s="43"/>
      <c r="E15" s="44"/>
      <c r="F15" s="37"/>
      <c r="G15" s="37"/>
      <c r="H15" s="37"/>
      <c r="I15" s="45"/>
      <c r="J15" s="345"/>
      <c r="K15" s="14"/>
      <c r="M15" s="14"/>
      <c r="N15" s="14"/>
      <c r="O15" s="14"/>
      <c r="P15" s="14"/>
      <c r="Q15" s="14"/>
      <c r="R15" s="14"/>
      <c r="S15" s="14"/>
      <c r="T15" s="533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</row>
    <row r="16" spans="1:86" s="15" customFormat="1" ht="15.75" x14ac:dyDescent="0.25">
      <c r="A16" s="46" t="s">
        <v>15</v>
      </c>
      <c r="B16" s="41"/>
      <c r="C16" s="42"/>
      <c r="D16" s="43"/>
      <c r="E16" s="44"/>
      <c r="F16" s="37"/>
      <c r="G16" s="37"/>
      <c r="H16" s="37"/>
      <c r="I16" s="45"/>
      <c r="J16" s="345"/>
      <c r="K16" s="14"/>
      <c r="M16" s="14"/>
      <c r="N16" s="14"/>
      <c r="O16" s="14"/>
      <c r="P16" s="14"/>
      <c r="Q16" s="14"/>
      <c r="R16" s="14"/>
      <c r="S16" s="14"/>
      <c r="T16" s="533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</row>
    <row r="17" spans="1:73" s="15" customFormat="1" ht="6.75" customHeight="1" x14ac:dyDescent="0.25">
      <c r="A17" s="46"/>
      <c r="B17" s="41"/>
      <c r="C17" s="42"/>
      <c r="D17" s="43"/>
      <c r="E17" s="44"/>
      <c r="F17" s="37"/>
      <c r="G17" s="37"/>
      <c r="H17" s="37"/>
      <c r="I17" s="45"/>
      <c r="J17" s="345"/>
      <c r="K17" s="14"/>
      <c r="M17" s="14"/>
      <c r="N17" s="14"/>
      <c r="O17" s="14"/>
      <c r="P17" s="14"/>
      <c r="Q17" s="14"/>
      <c r="R17" s="14"/>
      <c r="S17" s="14"/>
      <c r="T17" s="533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</row>
    <row r="18" spans="1:73" ht="12.75" customHeight="1" x14ac:dyDescent="0.2">
      <c r="D18" s="47"/>
      <c r="E18" s="48"/>
      <c r="F18" s="10"/>
      <c r="G18" s="10"/>
      <c r="H18" s="10"/>
      <c r="I18" s="49"/>
      <c r="J18" s="345"/>
    </row>
    <row r="19" spans="1:73" s="15" customFormat="1" ht="15" x14ac:dyDescent="0.2">
      <c r="A19" s="50" t="s">
        <v>16</v>
      </c>
      <c r="B19" s="51"/>
      <c r="C19" s="52"/>
      <c r="D19" s="53">
        <v>1303.7249999999999</v>
      </c>
      <c r="E19" s="54">
        <v>373.41699999999997</v>
      </c>
      <c r="F19" s="55">
        <v>-43.3</v>
      </c>
      <c r="G19" s="56">
        <v>0</v>
      </c>
      <c r="H19" s="55"/>
      <c r="I19" s="57">
        <f>SUM(E19:G19)</f>
        <v>330.11699999999996</v>
      </c>
      <c r="J19" s="345"/>
      <c r="K19" s="14"/>
      <c r="M19" s="14"/>
      <c r="N19" s="14"/>
      <c r="O19" s="14"/>
      <c r="P19" s="14"/>
      <c r="Q19" s="14"/>
      <c r="R19" s="14"/>
      <c r="S19" s="14"/>
      <c r="T19" s="534">
        <f t="shared" ref="T19:T82" si="0">IF(D19&gt;0,(I19/D19),"")</f>
        <v>0.25321060806535117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</row>
    <row r="20" spans="1:73" s="15" customFormat="1" ht="15" x14ac:dyDescent="0.2">
      <c r="A20" s="50" t="s">
        <v>17</v>
      </c>
      <c r="B20" s="51"/>
      <c r="C20" s="52"/>
      <c r="D20" s="53"/>
      <c r="E20" s="54">
        <v>441.82499999999999</v>
      </c>
      <c r="F20" s="55">
        <v>0</v>
      </c>
      <c r="G20" s="56">
        <v>0</v>
      </c>
      <c r="H20" s="55"/>
      <c r="I20" s="57">
        <f>SUM(E20:G20)</f>
        <v>441.82499999999999</v>
      </c>
      <c r="J20" s="345" t="s">
        <v>18</v>
      </c>
      <c r="K20" s="14"/>
      <c r="M20" s="14"/>
      <c r="N20" s="14"/>
      <c r="O20" s="14"/>
      <c r="P20" s="14"/>
      <c r="Q20" s="14"/>
      <c r="R20" s="14"/>
      <c r="S20" s="14"/>
      <c r="T20" s="534" t="str">
        <f t="shared" si="0"/>
        <v/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</row>
    <row r="21" spans="1:73" s="15" customFormat="1" ht="15" x14ac:dyDescent="0.2">
      <c r="A21" s="50" t="s">
        <v>19</v>
      </c>
      <c r="B21" s="51"/>
      <c r="C21" s="52"/>
      <c r="D21" s="53"/>
      <c r="E21" s="54">
        <v>332.37799999999999</v>
      </c>
      <c r="F21" s="55">
        <v>0</v>
      </c>
      <c r="G21" s="56">
        <v>0</v>
      </c>
      <c r="H21" s="55"/>
      <c r="I21" s="57">
        <f>SUM(E21:G21)</f>
        <v>332.37799999999999</v>
      </c>
      <c r="J21" s="345" t="s">
        <v>18</v>
      </c>
      <c r="K21" s="14"/>
      <c r="M21" s="14"/>
      <c r="N21" s="14"/>
      <c r="O21" s="14"/>
      <c r="P21" s="14"/>
      <c r="Q21" s="14"/>
      <c r="R21" s="14"/>
      <c r="S21" s="14"/>
      <c r="T21" s="534" t="str">
        <f t="shared" si="0"/>
        <v/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 spans="1:73" s="65" customFormat="1" ht="18" x14ac:dyDescent="0.25">
      <c r="A22" s="58" t="s">
        <v>20</v>
      </c>
      <c r="B22" s="59"/>
      <c r="C22" s="60"/>
      <c r="D22" s="61">
        <v>9905.0889999999999</v>
      </c>
      <c r="E22" s="62">
        <f>745687/1000</f>
        <v>745.68700000000001</v>
      </c>
      <c r="F22" s="63">
        <f>-58400/1000</f>
        <v>-58.4</v>
      </c>
      <c r="G22" s="63">
        <v>0</v>
      </c>
      <c r="H22" s="63"/>
      <c r="I22" s="64">
        <f>SUM(E22:G22)</f>
        <v>687.28700000000003</v>
      </c>
      <c r="J22" s="347" t="s">
        <v>21</v>
      </c>
      <c r="T22" s="534">
        <f t="shared" si="0"/>
        <v>6.938726143702495E-2</v>
      </c>
    </row>
    <row r="23" spans="1:73" s="15" customFormat="1" ht="8.25" customHeight="1" x14ac:dyDescent="0.2">
      <c r="A23" s="66"/>
      <c r="B23" s="41"/>
      <c r="C23" s="42"/>
      <c r="D23" s="67"/>
      <c r="E23" s="68"/>
      <c r="F23" s="69"/>
      <c r="G23" s="69"/>
      <c r="H23" s="69"/>
      <c r="I23" s="70"/>
      <c r="J23" s="345"/>
      <c r="K23" s="14"/>
      <c r="M23" s="14"/>
      <c r="N23" s="14"/>
      <c r="O23" s="14"/>
      <c r="P23" s="14"/>
      <c r="Q23" s="14"/>
      <c r="R23" s="14"/>
      <c r="S23" s="14"/>
      <c r="T23" s="534" t="str">
        <f t="shared" si="0"/>
        <v/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</row>
    <row r="24" spans="1:73" s="15" customFormat="1" ht="15" x14ac:dyDescent="0.2">
      <c r="A24" s="71" t="s">
        <v>22</v>
      </c>
      <c r="B24" s="41"/>
      <c r="C24" s="42"/>
      <c r="D24" s="43">
        <f t="shared" ref="D24:I24" si="1">SUM(D18:D22)</f>
        <v>11208.814</v>
      </c>
      <c r="E24" s="44">
        <f t="shared" si="1"/>
        <v>1893.3069999999998</v>
      </c>
      <c r="F24" s="37">
        <f t="shared" si="1"/>
        <v>-101.69999999999999</v>
      </c>
      <c r="G24" s="72">
        <f t="shared" si="1"/>
        <v>0</v>
      </c>
      <c r="H24" s="37">
        <f t="shared" si="1"/>
        <v>0</v>
      </c>
      <c r="I24" s="45">
        <f t="shared" si="1"/>
        <v>1791.607</v>
      </c>
      <c r="J24" s="345"/>
      <c r="K24" s="14"/>
      <c r="M24" s="14"/>
      <c r="N24" s="14"/>
      <c r="O24" s="14"/>
      <c r="P24" s="14"/>
      <c r="Q24" s="14"/>
      <c r="R24" s="14"/>
      <c r="S24" s="14"/>
      <c r="T24" s="534">
        <f t="shared" si="0"/>
        <v>0.15983912303299885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</row>
    <row r="25" spans="1:73" s="15" customFormat="1" ht="15" x14ac:dyDescent="0.2">
      <c r="A25" s="66"/>
      <c r="B25" s="41"/>
      <c r="C25" s="42"/>
      <c r="D25" s="43"/>
      <c r="E25" s="44"/>
      <c r="F25" s="37"/>
      <c r="G25" s="37"/>
      <c r="H25" s="37"/>
      <c r="I25" s="45"/>
      <c r="J25" s="345"/>
      <c r="K25" s="14"/>
      <c r="M25" s="14"/>
      <c r="N25" s="14"/>
      <c r="O25" s="14"/>
      <c r="P25" s="14"/>
      <c r="Q25" s="14"/>
      <c r="R25" s="14"/>
      <c r="S25" s="14"/>
      <c r="T25" s="534" t="str">
        <f t="shared" si="0"/>
        <v/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</row>
    <row r="26" spans="1:73" s="15" customFormat="1" ht="15.75" x14ac:dyDescent="0.25">
      <c r="A26" s="46" t="s">
        <v>23</v>
      </c>
      <c r="B26" s="41"/>
      <c r="C26" s="42"/>
      <c r="D26" s="43"/>
      <c r="E26" s="44"/>
      <c r="F26" s="37"/>
      <c r="G26" s="37"/>
      <c r="H26" s="37"/>
      <c r="I26" s="45"/>
      <c r="J26" s="345"/>
      <c r="K26" s="14"/>
      <c r="M26" s="14"/>
      <c r="N26" s="14"/>
      <c r="O26" s="14"/>
      <c r="P26" s="14"/>
      <c r="Q26" s="14"/>
      <c r="R26" s="14"/>
      <c r="S26" s="14"/>
      <c r="T26" s="534" t="str">
        <f t="shared" si="0"/>
        <v/>
      </c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</row>
    <row r="27" spans="1:73" s="15" customFormat="1" ht="6" customHeight="1" x14ac:dyDescent="0.2">
      <c r="A27" s="73"/>
      <c r="B27" s="41"/>
      <c r="C27" s="42"/>
      <c r="D27" s="43"/>
      <c r="E27" s="44"/>
      <c r="F27" s="37"/>
      <c r="G27" s="37"/>
      <c r="H27" s="37"/>
      <c r="I27" s="45"/>
      <c r="J27" s="345"/>
      <c r="K27" s="14"/>
      <c r="M27" s="14"/>
      <c r="N27" s="14"/>
      <c r="O27" s="14"/>
      <c r="P27" s="14"/>
      <c r="Q27" s="14"/>
      <c r="R27" s="14"/>
      <c r="S27" s="14"/>
      <c r="T27" s="534" t="str">
        <f t="shared" si="0"/>
        <v/>
      </c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</row>
    <row r="28" spans="1:73" s="65" customFormat="1" ht="18" x14ac:dyDescent="0.25">
      <c r="A28" s="58" t="s">
        <v>24</v>
      </c>
      <c r="B28" s="59"/>
      <c r="C28" s="60"/>
      <c r="D28" s="61">
        <v>942.03700000000003</v>
      </c>
      <c r="E28" s="62">
        <v>226.749</v>
      </c>
      <c r="F28" s="63">
        <v>-37.700000000000003</v>
      </c>
      <c r="G28" s="63">
        <v>0</v>
      </c>
      <c r="H28" s="63"/>
      <c r="I28" s="64">
        <f t="shared" ref="I28:I33" si="2">SUM(E28:G28)</f>
        <v>189.04899999999998</v>
      </c>
      <c r="J28" s="347" t="s">
        <v>25</v>
      </c>
      <c r="T28" s="534">
        <f t="shared" si="0"/>
        <v>0.2006810772825271</v>
      </c>
    </row>
    <row r="29" spans="1:73" s="65" customFormat="1" ht="18" x14ac:dyDescent="0.25">
      <c r="A29" s="58" t="s">
        <v>26</v>
      </c>
      <c r="B29" s="59"/>
      <c r="C29" s="60"/>
      <c r="D29" s="61">
        <v>14433.3</v>
      </c>
      <c r="E29" s="62">
        <v>2525.3049999999998</v>
      </c>
      <c r="F29" s="63">
        <v>-190.75</v>
      </c>
      <c r="G29" s="63">
        <v>0</v>
      </c>
      <c r="H29" s="63"/>
      <c r="I29" s="64">
        <f t="shared" si="2"/>
        <v>2334.5549999999998</v>
      </c>
      <c r="J29" s="347" t="s">
        <v>25</v>
      </c>
      <c r="T29" s="534">
        <f t="shared" si="0"/>
        <v>0.16174783313587329</v>
      </c>
    </row>
    <row r="30" spans="1:73" s="65" customFormat="1" ht="18" x14ac:dyDescent="0.25">
      <c r="A30" s="58" t="s">
        <v>27</v>
      </c>
      <c r="B30" s="59"/>
      <c r="C30" s="60"/>
      <c r="D30" s="61">
        <v>24610.878000000001</v>
      </c>
      <c r="E30" s="62">
        <v>3413.5039999999999</v>
      </c>
      <c r="F30" s="63">
        <v>-702</v>
      </c>
      <c r="G30" s="63">
        <v>0</v>
      </c>
      <c r="H30" s="63"/>
      <c r="I30" s="64">
        <f t="shared" si="2"/>
        <v>2711.5039999999999</v>
      </c>
      <c r="J30" s="347" t="s">
        <v>25</v>
      </c>
      <c r="T30" s="534">
        <f t="shared" si="0"/>
        <v>0.1101750209805599</v>
      </c>
    </row>
    <row r="31" spans="1:73" s="65" customFormat="1" ht="18" x14ac:dyDescent="0.25">
      <c r="A31" s="58" t="s">
        <v>28</v>
      </c>
      <c r="B31" s="59"/>
      <c r="C31" s="60"/>
      <c r="D31" s="61">
        <v>49099.38</v>
      </c>
      <c r="E31" s="62">
        <v>9481.3979999999992</v>
      </c>
      <c r="F31" s="63">
        <v>-925</v>
      </c>
      <c r="G31" s="63">
        <v>0</v>
      </c>
      <c r="H31" s="63"/>
      <c r="I31" s="64">
        <f t="shared" si="2"/>
        <v>8556.3979999999992</v>
      </c>
      <c r="J31" s="347" t="s">
        <v>25</v>
      </c>
      <c r="T31" s="534">
        <f t="shared" si="0"/>
        <v>0.17426692557013956</v>
      </c>
    </row>
    <row r="32" spans="1:73" s="65" customFormat="1" ht="15.75" x14ac:dyDescent="0.25">
      <c r="A32" s="50" t="s">
        <v>29</v>
      </c>
      <c r="B32" s="74"/>
      <c r="C32" s="75"/>
      <c r="D32" s="76"/>
      <c r="E32" s="77">
        <v>9.3729999999999993</v>
      </c>
      <c r="F32" s="78">
        <v>0</v>
      </c>
      <c r="G32" s="78">
        <v>0</v>
      </c>
      <c r="H32" s="78"/>
      <c r="I32" s="79">
        <f t="shared" si="2"/>
        <v>9.3729999999999993</v>
      </c>
      <c r="J32" s="347" t="s">
        <v>18</v>
      </c>
      <c r="T32" s="534" t="str">
        <f t="shared" si="0"/>
        <v/>
      </c>
    </row>
    <row r="33" spans="1:73" s="65" customFormat="1" ht="15.75" x14ac:dyDescent="0.25">
      <c r="A33" s="80" t="s">
        <v>30</v>
      </c>
      <c r="B33" s="81"/>
      <c r="C33" s="82"/>
      <c r="D33" s="83"/>
      <c r="E33" s="84">
        <v>-419.93799999999999</v>
      </c>
      <c r="F33" s="72">
        <v>0</v>
      </c>
      <c r="G33" s="72">
        <v>0</v>
      </c>
      <c r="H33" s="72"/>
      <c r="I33" s="85">
        <f t="shared" si="2"/>
        <v>-419.93799999999999</v>
      </c>
      <c r="J33" s="347" t="s">
        <v>31</v>
      </c>
      <c r="T33" s="534" t="str">
        <f t="shared" si="0"/>
        <v/>
      </c>
    </row>
    <row r="34" spans="1:73" s="65" customFormat="1" ht="15.75" x14ac:dyDescent="0.25">
      <c r="A34" s="80" t="s">
        <v>32</v>
      </c>
      <c r="B34" s="81"/>
      <c r="C34" s="82"/>
      <c r="D34" s="83"/>
      <c r="E34" s="84">
        <v>-188.863</v>
      </c>
      <c r="F34" s="72">
        <v>0</v>
      </c>
      <c r="G34" s="72">
        <v>0</v>
      </c>
      <c r="H34" s="72"/>
      <c r="I34" s="85">
        <f>SUM(E34:H34)</f>
        <v>-188.863</v>
      </c>
      <c r="J34" s="347" t="s">
        <v>18</v>
      </c>
      <c r="T34" s="534" t="str">
        <f t="shared" si="0"/>
        <v/>
      </c>
    </row>
    <row r="35" spans="1:73" s="88" customFormat="1" ht="15" x14ac:dyDescent="0.2">
      <c r="A35" s="80" t="s">
        <v>33</v>
      </c>
      <c r="B35" s="86">
        <v>37083</v>
      </c>
      <c r="C35" s="81" t="s">
        <v>34</v>
      </c>
      <c r="D35" s="87">
        <f>I35/0.015</f>
        <v>80765.133333333346</v>
      </c>
      <c r="E35" s="84">
        <v>1211.4770000000001</v>
      </c>
      <c r="F35" s="72">
        <v>0</v>
      </c>
      <c r="G35" s="72">
        <v>0</v>
      </c>
      <c r="H35" s="72">
        <v>0</v>
      </c>
      <c r="I35" s="85">
        <f t="shared" ref="I35:I40" si="3">SUM(E35:H35)</f>
        <v>1211.4770000000001</v>
      </c>
      <c r="J35" s="347" t="s">
        <v>18</v>
      </c>
      <c r="T35" s="534">
        <f t="shared" si="0"/>
        <v>1.4999999999999999E-2</v>
      </c>
    </row>
    <row r="36" spans="1:73" s="65" customFormat="1" ht="15.75" x14ac:dyDescent="0.25">
      <c r="A36" s="80" t="s">
        <v>35</v>
      </c>
      <c r="B36" s="86">
        <v>37083</v>
      </c>
      <c r="C36" s="89" t="s">
        <v>36</v>
      </c>
      <c r="D36" s="83">
        <v>44512.319000000003</v>
      </c>
      <c r="E36" s="84">
        <v>4878.4110000000001</v>
      </c>
      <c r="F36" s="72">
        <v>-685</v>
      </c>
      <c r="G36" s="72">
        <v>0</v>
      </c>
      <c r="H36" s="72">
        <v>0</v>
      </c>
      <c r="I36" s="85">
        <f t="shared" si="3"/>
        <v>4193.4110000000001</v>
      </c>
      <c r="J36" s="347" t="s">
        <v>25</v>
      </c>
      <c r="T36" s="534">
        <f t="shared" si="0"/>
        <v>9.420787535243895E-2</v>
      </c>
    </row>
    <row r="37" spans="1:73" s="65" customFormat="1" ht="15.75" x14ac:dyDescent="0.25">
      <c r="A37" s="80" t="s">
        <v>37</v>
      </c>
      <c r="B37" s="86">
        <v>37091</v>
      </c>
      <c r="C37" s="89" t="s">
        <v>36</v>
      </c>
      <c r="D37" s="83">
        <v>0</v>
      </c>
      <c r="E37" s="84">
        <v>0</v>
      </c>
      <c r="F37" s="72">
        <v>85</v>
      </c>
      <c r="G37" s="72">
        <v>0</v>
      </c>
      <c r="H37" s="72">
        <v>0</v>
      </c>
      <c r="I37" s="85">
        <f t="shared" si="3"/>
        <v>85</v>
      </c>
      <c r="J37" s="347" t="s">
        <v>25</v>
      </c>
      <c r="T37" s="534" t="str">
        <f t="shared" si="0"/>
        <v/>
      </c>
    </row>
    <row r="38" spans="1:73" s="65" customFormat="1" ht="15.75" x14ac:dyDescent="0.25">
      <c r="A38" s="80" t="s">
        <v>38</v>
      </c>
      <c r="B38" s="90">
        <v>37098</v>
      </c>
      <c r="C38" s="89" t="s">
        <v>36</v>
      </c>
      <c r="D38" s="91">
        <v>0</v>
      </c>
      <c r="E38" s="84">
        <v>0</v>
      </c>
      <c r="F38" s="72">
        <v>-23.55</v>
      </c>
      <c r="G38" s="72">
        <v>0</v>
      </c>
      <c r="H38" s="72"/>
      <c r="I38" s="85">
        <f t="shared" si="3"/>
        <v>-23.55</v>
      </c>
      <c r="J38" s="347" t="s">
        <v>25</v>
      </c>
      <c r="T38" s="534" t="str">
        <f t="shared" si="0"/>
        <v/>
      </c>
    </row>
    <row r="39" spans="1:73" s="65" customFormat="1" ht="15.75" x14ac:dyDescent="0.25">
      <c r="A39" s="80" t="s">
        <v>39</v>
      </c>
      <c r="B39" s="90">
        <v>37098</v>
      </c>
      <c r="C39" s="89" t="s">
        <v>36</v>
      </c>
      <c r="D39" s="91">
        <v>0</v>
      </c>
      <c r="E39" s="84">
        <v>0</v>
      </c>
      <c r="F39" s="72">
        <v>-119.88</v>
      </c>
      <c r="G39" s="72">
        <v>0</v>
      </c>
      <c r="H39" s="72"/>
      <c r="I39" s="85">
        <f t="shared" si="3"/>
        <v>-119.88</v>
      </c>
      <c r="J39" s="347" t="s">
        <v>25</v>
      </c>
      <c r="T39" s="534" t="str">
        <f t="shared" si="0"/>
        <v/>
      </c>
    </row>
    <row r="40" spans="1:73" s="65" customFormat="1" ht="15.75" x14ac:dyDescent="0.25">
      <c r="A40" s="80" t="s">
        <v>40</v>
      </c>
      <c r="B40" s="90">
        <v>37098</v>
      </c>
      <c r="C40" s="89" t="s">
        <v>36</v>
      </c>
      <c r="D40" s="83">
        <v>8712.6970000000001</v>
      </c>
      <c r="E40" s="84">
        <v>1117.355</v>
      </c>
      <c r="F40" s="72">
        <v>-0.12</v>
      </c>
      <c r="G40" s="72">
        <v>0</v>
      </c>
      <c r="H40" s="72"/>
      <c r="I40" s="85">
        <f t="shared" si="3"/>
        <v>1117.2350000000001</v>
      </c>
      <c r="J40" s="347" t="s">
        <v>25</v>
      </c>
      <c r="T40" s="534">
        <f t="shared" si="0"/>
        <v>0.12823067300515559</v>
      </c>
    </row>
    <row r="41" spans="1:73" s="15" customFormat="1" ht="3.75" customHeight="1" x14ac:dyDescent="0.2">
      <c r="A41" s="73"/>
      <c r="B41" s="41"/>
      <c r="C41" s="42"/>
      <c r="D41" s="67"/>
      <c r="E41" s="68"/>
      <c r="F41" s="69"/>
      <c r="G41" s="69"/>
      <c r="H41" s="69"/>
      <c r="I41" s="70"/>
      <c r="J41" s="345"/>
      <c r="K41" s="14"/>
      <c r="M41" s="14"/>
      <c r="N41" s="14"/>
      <c r="O41" s="14"/>
      <c r="P41" s="14"/>
      <c r="Q41" s="14"/>
      <c r="R41" s="14"/>
      <c r="S41" s="14"/>
      <c r="T41" s="534" t="str">
        <f t="shared" si="0"/>
        <v/>
      </c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</row>
    <row r="42" spans="1:73" s="15" customFormat="1" ht="15" x14ac:dyDescent="0.2">
      <c r="A42" s="71" t="s">
        <v>41</v>
      </c>
      <c r="B42" s="41"/>
      <c r="C42" s="42"/>
      <c r="D42" s="43">
        <f t="shared" ref="D42:I42" si="4">SUM(D26:D41)</f>
        <v>223075.74433333334</v>
      </c>
      <c r="E42" s="44">
        <f t="shared" si="4"/>
        <v>22254.770999999997</v>
      </c>
      <c r="F42" s="37">
        <f t="shared" si="4"/>
        <v>-2599</v>
      </c>
      <c r="G42" s="37">
        <f t="shared" si="4"/>
        <v>0</v>
      </c>
      <c r="H42" s="37">
        <f t="shared" si="4"/>
        <v>0</v>
      </c>
      <c r="I42" s="45">
        <f t="shared" si="4"/>
        <v>19655.771000000001</v>
      </c>
      <c r="J42" s="345"/>
      <c r="K42" s="14"/>
      <c r="M42" s="14"/>
      <c r="N42" s="14"/>
      <c r="O42" s="14"/>
      <c r="P42" s="14"/>
      <c r="Q42" s="14"/>
      <c r="R42" s="14"/>
      <c r="S42" s="14"/>
      <c r="T42" s="534">
        <f t="shared" si="0"/>
        <v>8.8112542485251799E-2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</row>
    <row r="43" spans="1:73" s="15" customFormat="1" ht="15" x14ac:dyDescent="0.2">
      <c r="A43" s="73"/>
      <c r="B43" s="41"/>
      <c r="C43" s="42"/>
      <c r="D43" s="43"/>
      <c r="E43" s="44"/>
      <c r="F43" s="37"/>
      <c r="G43" s="37"/>
      <c r="H43" s="37"/>
      <c r="I43" s="45"/>
      <c r="J43" s="345"/>
      <c r="K43" s="14"/>
      <c r="M43" s="14"/>
      <c r="N43" s="14"/>
      <c r="O43" s="14"/>
      <c r="P43" s="14"/>
      <c r="Q43" s="14"/>
      <c r="R43" s="14"/>
      <c r="S43" s="14"/>
      <c r="T43" s="534" t="str">
        <f t="shared" si="0"/>
        <v/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</row>
    <row r="44" spans="1:73" s="15" customFormat="1" ht="15.75" x14ac:dyDescent="0.25">
      <c r="A44" s="46" t="s">
        <v>42</v>
      </c>
      <c r="B44" s="41"/>
      <c r="C44" s="42"/>
      <c r="D44" s="43"/>
      <c r="E44" s="44"/>
      <c r="F44" s="37"/>
      <c r="G44" s="37"/>
      <c r="H44" s="37"/>
      <c r="I44" s="45"/>
      <c r="J44" s="345"/>
      <c r="K44" s="14"/>
      <c r="M44" s="14"/>
      <c r="N44" s="14"/>
      <c r="O44" s="14"/>
      <c r="P44" s="14"/>
      <c r="Q44" s="14"/>
      <c r="R44" s="14"/>
      <c r="S44" s="14"/>
      <c r="T44" s="534" t="str">
        <f t="shared" si="0"/>
        <v/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</row>
    <row r="45" spans="1:73" s="15" customFormat="1" ht="4.5" customHeight="1" x14ac:dyDescent="0.25">
      <c r="A45" s="46"/>
      <c r="B45" s="41"/>
      <c r="C45" s="42"/>
      <c r="D45" s="43"/>
      <c r="E45" s="44"/>
      <c r="F45" s="37"/>
      <c r="G45" s="37"/>
      <c r="H45" s="37"/>
      <c r="I45" s="45"/>
      <c r="J45" s="345"/>
      <c r="K45" s="14"/>
      <c r="M45" s="14"/>
      <c r="N45" s="14"/>
      <c r="O45" s="14"/>
      <c r="P45" s="14"/>
      <c r="Q45" s="14"/>
      <c r="R45" s="14"/>
      <c r="S45" s="14"/>
      <c r="T45" s="534" t="str">
        <f t="shared" si="0"/>
        <v/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</row>
    <row r="46" spans="1:73" s="65" customFormat="1" ht="18" x14ac:dyDescent="0.25">
      <c r="A46" s="92" t="s">
        <v>43</v>
      </c>
      <c r="B46" s="59"/>
      <c r="C46" s="60"/>
      <c r="D46" s="61">
        <v>39235.805999999997</v>
      </c>
      <c r="E46" s="62">
        <v>1563.8209999999999</v>
      </c>
      <c r="F46" s="63">
        <v>0</v>
      </c>
      <c r="G46" s="63">
        <v>0</v>
      </c>
      <c r="H46" s="63"/>
      <c r="I46" s="64">
        <f>SUM(E46:H46)</f>
        <v>1563.8209999999999</v>
      </c>
      <c r="J46" s="347" t="s">
        <v>740</v>
      </c>
      <c r="T46" s="534">
        <f t="shared" si="0"/>
        <v>3.985698675337522E-2</v>
      </c>
    </row>
    <row r="47" spans="1:73" s="65" customFormat="1" ht="18" x14ac:dyDescent="0.25">
      <c r="A47" s="92" t="s">
        <v>44</v>
      </c>
      <c r="B47" s="59"/>
      <c r="C47" s="60"/>
      <c r="D47" s="61">
        <v>0</v>
      </c>
      <c r="E47" s="62">
        <v>2447.7489999999998</v>
      </c>
      <c r="F47" s="63">
        <v>-750</v>
      </c>
      <c r="G47" s="63">
        <v>0</v>
      </c>
      <c r="H47" s="63"/>
      <c r="I47" s="64">
        <f>SUM(E47:H47)</f>
        <v>1697.7489999999998</v>
      </c>
      <c r="J47" s="347" t="s">
        <v>740</v>
      </c>
      <c r="T47" s="534" t="str">
        <f t="shared" si="0"/>
        <v/>
      </c>
    </row>
    <row r="48" spans="1:73" s="65" customFormat="1" ht="18" x14ac:dyDescent="0.25">
      <c r="A48" s="92" t="s">
        <v>45</v>
      </c>
      <c r="B48" s="59"/>
      <c r="C48" s="60"/>
      <c r="D48" s="61">
        <v>55560.745999999999</v>
      </c>
      <c r="E48" s="62">
        <v>13708.195</v>
      </c>
      <c r="F48" s="63">
        <v>-2174.7020000000002</v>
      </c>
      <c r="G48" s="63">
        <v>0</v>
      </c>
      <c r="H48" s="63"/>
      <c r="I48" s="64">
        <f>SUM(E48:H48)</f>
        <v>11533.492999999999</v>
      </c>
      <c r="J48" s="347" t="s">
        <v>740</v>
      </c>
      <c r="T48" s="534">
        <f t="shared" si="0"/>
        <v>0.20758347989064074</v>
      </c>
    </row>
    <row r="49" spans="1:20" s="65" customFormat="1" ht="18" x14ac:dyDescent="0.25">
      <c r="A49" s="92" t="s">
        <v>46</v>
      </c>
      <c r="B49" s="59"/>
      <c r="C49" s="60"/>
      <c r="D49" s="61">
        <v>0</v>
      </c>
      <c r="E49" s="62">
        <v>886.59500000000003</v>
      </c>
      <c r="F49" s="63">
        <v>0</v>
      </c>
      <c r="G49" s="63">
        <v>0</v>
      </c>
      <c r="H49" s="63"/>
      <c r="I49" s="64">
        <f>SUM(E49:H49)</f>
        <v>886.59500000000003</v>
      </c>
      <c r="J49" s="347" t="s">
        <v>740</v>
      </c>
      <c r="T49" s="534" t="str">
        <f t="shared" si="0"/>
        <v/>
      </c>
    </row>
    <row r="50" spans="1:20" s="65" customFormat="1" ht="18" x14ac:dyDescent="0.25">
      <c r="A50" s="92" t="s">
        <v>47</v>
      </c>
      <c r="B50" s="59"/>
      <c r="C50" s="60"/>
      <c r="D50" s="61">
        <v>0</v>
      </c>
      <c r="E50" s="62">
        <f>-330832/1000</f>
        <v>-330.83199999999999</v>
      </c>
      <c r="F50" s="63">
        <f>237805/1000</f>
        <v>237.80500000000001</v>
      </c>
      <c r="G50" s="63">
        <v>0</v>
      </c>
      <c r="H50" s="63"/>
      <c r="I50" s="64">
        <f>SUM(E50:G50)</f>
        <v>-93.026999999999987</v>
      </c>
      <c r="J50" s="347" t="s">
        <v>25</v>
      </c>
      <c r="T50" s="534" t="str">
        <f t="shared" si="0"/>
        <v/>
      </c>
    </row>
    <row r="51" spans="1:20" s="65" customFormat="1" ht="15.75" x14ac:dyDescent="0.25">
      <c r="A51" s="80" t="s">
        <v>48</v>
      </c>
      <c r="B51" s="81"/>
      <c r="C51" s="82"/>
      <c r="D51" s="91">
        <f>I51/0.03</f>
        <v>430.13333333333333</v>
      </c>
      <c r="E51" s="84">
        <v>12.904</v>
      </c>
      <c r="F51" s="72"/>
      <c r="G51" s="72"/>
      <c r="H51" s="72"/>
      <c r="I51" s="85">
        <f>SUM(E51:G51)</f>
        <v>12.904</v>
      </c>
      <c r="J51" s="347" t="s">
        <v>18</v>
      </c>
      <c r="T51" s="534">
        <f t="shared" si="0"/>
        <v>0.03</v>
      </c>
    </row>
    <row r="52" spans="1:20" s="65" customFormat="1" ht="15.75" x14ac:dyDescent="0.25">
      <c r="A52" s="80" t="s">
        <v>49</v>
      </c>
      <c r="B52" s="81"/>
      <c r="C52" s="82"/>
      <c r="D52" s="91">
        <f>I52/0.03</f>
        <v>3496.4</v>
      </c>
      <c r="E52" s="84">
        <v>104.892</v>
      </c>
      <c r="F52" s="72"/>
      <c r="G52" s="72"/>
      <c r="H52" s="72"/>
      <c r="I52" s="85">
        <f>SUM(E52:G52)</f>
        <v>104.892</v>
      </c>
      <c r="J52" s="347" t="s">
        <v>18</v>
      </c>
      <c r="T52" s="534">
        <f t="shared" si="0"/>
        <v>0.03</v>
      </c>
    </row>
    <row r="53" spans="1:20" s="65" customFormat="1" ht="15.75" x14ac:dyDescent="0.25">
      <c r="A53" s="80" t="s">
        <v>50</v>
      </c>
      <c r="B53" s="81"/>
      <c r="C53" s="82"/>
      <c r="D53" s="91">
        <f>I53/0.03</f>
        <v>1122</v>
      </c>
      <c r="E53" s="84">
        <v>33.659999999999997</v>
      </c>
      <c r="F53" s="72"/>
      <c r="G53" s="72"/>
      <c r="H53" s="72"/>
      <c r="I53" s="85">
        <f>SUM(E53:G53)</f>
        <v>33.659999999999997</v>
      </c>
      <c r="J53" s="347" t="s">
        <v>18</v>
      </c>
      <c r="T53" s="534">
        <f t="shared" si="0"/>
        <v>2.9999999999999995E-2</v>
      </c>
    </row>
    <row r="54" spans="1:20" s="65" customFormat="1" ht="15.75" x14ac:dyDescent="0.25">
      <c r="A54" s="80" t="s">
        <v>51</v>
      </c>
      <c r="B54" s="81"/>
      <c r="C54" s="82"/>
      <c r="D54" s="91">
        <f>I54/0.03</f>
        <v>320</v>
      </c>
      <c r="E54" s="84">
        <v>9.6</v>
      </c>
      <c r="F54" s="72"/>
      <c r="G54" s="72"/>
      <c r="H54" s="72"/>
      <c r="I54" s="85">
        <f>SUM(E54:G54)</f>
        <v>9.6</v>
      </c>
      <c r="J54" s="347" t="s">
        <v>18</v>
      </c>
      <c r="T54" s="534">
        <f t="shared" si="0"/>
        <v>0.03</v>
      </c>
    </row>
    <row r="55" spans="1:20" s="65" customFormat="1" ht="15.75" x14ac:dyDescent="0.25">
      <c r="A55" s="80" t="s">
        <v>52</v>
      </c>
      <c r="B55" s="81"/>
      <c r="C55" s="82"/>
      <c r="D55" s="83">
        <v>213632.984</v>
      </c>
      <c r="E55" s="84">
        <v>11585.378000000001</v>
      </c>
      <c r="F55" s="72">
        <v>-1003.725</v>
      </c>
      <c r="G55" s="72"/>
      <c r="H55" s="72"/>
      <c r="I55" s="85">
        <v>10581.653</v>
      </c>
      <c r="J55" s="347" t="s">
        <v>53</v>
      </c>
      <c r="T55" s="534">
        <f t="shared" si="0"/>
        <v>4.9531925276108113E-2</v>
      </c>
    </row>
    <row r="56" spans="1:20" s="65" customFormat="1" ht="15.75" x14ac:dyDescent="0.25">
      <c r="A56" s="80" t="s">
        <v>54</v>
      </c>
      <c r="B56" s="81"/>
      <c r="C56" s="82"/>
      <c r="D56" s="91">
        <f>I56/0.03</f>
        <v>29.6</v>
      </c>
      <c r="E56" s="84">
        <v>0.84899999999999998</v>
      </c>
      <c r="F56" s="72"/>
      <c r="G56" s="72"/>
      <c r="H56" s="72"/>
      <c r="I56" s="85">
        <v>0.88800000000000001</v>
      </c>
      <c r="J56" s="347" t="s">
        <v>18</v>
      </c>
      <c r="T56" s="534">
        <f t="shared" si="0"/>
        <v>0.03</v>
      </c>
    </row>
    <row r="57" spans="1:20" s="65" customFormat="1" ht="15.75" x14ac:dyDescent="0.25">
      <c r="A57" s="80" t="s">
        <v>55</v>
      </c>
      <c r="B57" s="81"/>
      <c r="C57" s="82"/>
      <c r="D57" s="83">
        <v>-22299.344000000001</v>
      </c>
      <c r="E57" s="84">
        <v>2012.317</v>
      </c>
      <c r="F57" s="72">
        <v>47.561</v>
      </c>
      <c r="G57" s="72"/>
      <c r="H57" s="72"/>
      <c r="I57" s="85">
        <f>SUM(E57:H57)</f>
        <v>2059.8780000000002</v>
      </c>
      <c r="J57" s="347" t="s">
        <v>53</v>
      </c>
      <c r="T57" s="534" t="str">
        <f t="shared" si="0"/>
        <v/>
      </c>
    </row>
    <row r="58" spans="1:20" s="65" customFormat="1" ht="18" x14ac:dyDescent="0.25">
      <c r="A58" s="93" t="s">
        <v>56</v>
      </c>
      <c r="B58" s="94"/>
      <c r="C58" s="95" t="s">
        <v>57</v>
      </c>
      <c r="D58" s="91">
        <f>I58/0.03</f>
        <v>190</v>
      </c>
      <c r="E58" s="84">
        <v>5.7</v>
      </c>
      <c r="F58" s="72"/>
      <c r="G58" s="72"/>
      <c r="H58" s="72"/>
      <c r="I58" s="85">
        <f>SUM(E58:G58)</f>
        <v>5.7</v>
      </c>
      <c r="J58" s="347" t="s">
        <v>18</v>
      </c>
      <c r="T58" s="534">
        <f t="shared" si="0"/>
        <v>3.0000000000000002E-2</v>
      </c>
    </row>
    <row r="59" spans="1:20" s="65" customFormat="1" ht="15.75" x14ac:dyDescent="0.25">
      <c r="A59" s="80" t="s">
        <v>58</v>
      </c>
      <c r="B59" s="86">
        <v>37091</v>
      </c>
      <c r="C59" s="81" t="s">
        <v>59</v>
      </c>
      <c r="D59" s="83">
        <f>I59/0.015</f>
        <v>750</v>
      </c>
      <c r="E59" s="84">
        <f>11.25</f>
        <v>11.25</v>
      </c>
      <c r="F59" s="72">
        <v>0</v>
      </c>
      <c r="G59" s="72">
        <v>0</v>
      </c>
      <c r="H59" s="72">
        <v>0</v>
      </c>
      <c r="I59" s="85">
        <f t="shared" ref="I59:I64" si="5">SUM(E59:H59)</f>
        <v>11.25</v>
      </c>
      <c r="J59" s="347" t="s">
        <v>18</v>
      </c>
      <c r="T59" s="534">
        <f t="shared" si="0"/>
        <v>1.4999999999999999E-2</v>
      </c>
    </row>
    <row r="60" spans="1:20" s="65" customFormat="1" ht="15.75" x14ac:dyDescent="0.25">
      <c r="A60" s="80" t="s">
        <v>60</v>
      </c>
      <c r="B60" s="86">
        <v>37091</v>
      </c>
      <c r="C60" s="81" t="s">
        <v>59</v>
      </c>
      <c r="D60" s="83">
        <f>I60/0.015</f>
        <v>1847.4666666666667</v>
      </c>
      <c r="E60" s="84">
        <f>27.712</f>
        <v>27.712</v>
      </c>
      <c r="F60" s="72">
        <v>0</v>
      </c>
      <c r="G60" s="72">
        <v>0</v>
      </c>
      <c r="H60" s="72">
        <v>0</v>
      </c>
      <c r="I60" s="85">
        <f t="shared" si="5"/>
        <v>27.712</v>
      </c>
      <c r="J60" s="347" t="s">
        <v>18</v>
      </c>
      <c r="T60" s="534">
        <f t="shared" si="0"/>
        <v>1.4999999999999999E-2</v>
      </c>
    </row>
    <row r="61" spans="1:20" s="65" customFormat="1" ht="15.75" x14ac:dyDescent="0.25">
      <c r="A61" s="80" t="s">
        <v>61</v>
      </c>
      <c r="B61" s="86">
        <v>37091</v>
      </c>
      <c r="C61" s="81" t="s">
        <v>59</v>
      </c>
      <c r="D61" s="83">
        <f>I61/0.015</f>
        <v>0</v>
      </c>
      <c r="E61" s="84">
        <v>0</v>
      </c>
      <c r="F61" s="72">
        <v>0</v>
      </c>
      <c r="G61" s="72">
        <v>0</v>
      </c>
      <c r="H61" s="72">
        <v>0</v>
      </c>
      <c r="I61" s="85">
        <f t="shared" si="5"/>
        <v>0</v>
      </c>
      <c r="J61" s="347"/>
      <c r="T61" s="534" t="str">
        <f t="shared" si="0"/>
        <v/>
      </c>
    </row>
    <row r="62" spans="1:20" s="65" customFormat="1" ht="15.75" x14ac:dyDescent="0.25">
      <c r="A62" s="80" t="s">
        <v>62</v>
      </c>
      <c r="B62" s="90">
        <v>37098</v>
      </c>
      <c r="C62" s="81" t="s">
        <v>59</v>
      </c>
      <c r="D62" s="91">
        <v>0</v>
      </c>
      <c r="E62" s="84">
        <v>-44.774000000000001</v>
      </c>
      <c r="F62" s="72">
        <v>0</v>
      </c>
      <c r="G62" s="72">
        <v>0</v>
      </c>
      <c r="H62" s="72"/>
      <c r="I62" s="85">
        <f t="shared" si="5"/>
        <v>-44.774000000000001</v>
      </c>
      <c r="J62" s="347" t="s">
        <v>18</v>
      </c>
      <c r="T62" s="534" t="str">
        <f t="shared" si="0"/>
        <v/>
      </c>
    </row>
    <row r="63" spans="1:20" s="65" customFormat="1" ht="15.75" x14ac:dyDescent="0.25">
      <c r="A63" s="80" t="s">
        <v>63</v>
      </c>
      <c r="B63" s="90"/>
      <c r="C63" s="81"/>
      <c r="D63" s="91">
        <v>0</v>
      </c>
      <c r="E63" s="84">
        <v>44.774000000000001</v>
      </c>
      <c r="F63" s="72">
        <v>0</v>
      </c>
      <c r="G63" s="72">
        <v>0</v>
      </c>
      <c r="H63" s="72"/>
      <c r="I63" s="85">
        <f t="shared" si="5"/>
        <v>44.774000000000001</v>
      </c>
      <c r="J63" s="347" t="s">
        <v>18</v>
      </c>
      <c r="T63" s="534" t="str">
        <f t="shared" si="0"/>
        <v/>
      </c>
    </row>
    <row r="64" spans="1:20" s="65" customFormat="1" ht="15.75" x14ac:dyDescent="0.25">
      <c r="A64" s="80" t="s">
        <v>58</v>
      </c>
      <c r="B64" s="90">
        <v>37098</v>
      </c>
      <c r="C64" s="81" t="s">
        <v>59</v>
      </c>
      <c r="D64" s="91">
        <f>I64/0.03</f>
        <v>11.666666666666666</v>
      </c>
      <c r="E64" s="84">
        <v>0.35</v>
      </c>
      <c r="F64" s="72">
        <v>0</v>
      </c>
      <c r="G64" s="72">
        <v>0</v>
      </c>
      <c r="H64" s="72"/>
      <c r="I64" s="85">
        <f t="shared" si="5"/>
        <v>0.35</v>
      </c>
      <c r="J64" s="347" t="s">
        <v>18</v>
      </c>
      <c r="T64" s="534">
        <f t="shared" si="0"/>
        <v>0.03</v>
      </c>
    </row>
    <row r="65" spans="1:73" s="15" customFormat="1" ht="6" customHeight="1" x14ac:dyDescent="0.2">
      <c r="A65" s="73"/>
      <c r="B65" s="41"/>
      <c r="C65" s="42"/>
      <c r="D65" s="67"/>
      <c r="E65" s="68"/>
      <c r="F65" s="69"/>
      <c r="G65" s="69"/>
      <c r="H65" s="69"/>
      <c r="I65" s="70"/>
      <c r="J65" s="345"/>
      <c r="K65" s="14"/>
      <c r="M65" s="14"/>
      <c r="N65" s="14"/>
      <c r="O65" s="14"/>
      <c r="P65" s="14"/>
      <c r="Q65" s="14"/>
      <c r="R65" s="14"/>
      <c r="S65" s="14"/>
      <c r="T65" s="534" t="str">
        <f t="shared" si="0"/>
        <v/>
      </c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</row>
    <row r="66" spans="1:73" s="15" customFormat="1" ht="15" x14ac:dyDescent="0.2">
      <c r="A66" s="71" t="s">
        <v>64</v>
      </c>
      <c r="B66" s="41"/>
      <c r="C66" s="42"/>
      <c r="D66" s="43">
        <f t="shared" ref="D66:I66" si="6">SUM(D44:D65)</f>
        <v>294327.45866666664</v>
      </c>
      <c r="E66" s="44">
        <f t="shared" si="6"/>
        <v>32080.139999999996</v>
      </c>
      <c r="F66" s="37">
        <f t="shared" si="6"/>
        <v>-3643.0610000000001</v>
      </c>
      <c r="G66" s="37">
        <f t="shared" si="6"/>
        <v>0</v>
      </c>
      <c r="H66" s="37">
        <f t="shared" si="6"/>
        <v>0</v>
      </c>
      <c r="I66" s="45">
        <f t="shared" si="6"/>
        <v>28437.117999999995</v>
      </c>
      <c r="J66" s="345"/>
      <c r="K66" s="14"/>
      <c r="M66" s="14"/>
      <c r="N66" s="14"/>
      <c r="O66" s="14"/>
      <c r="P66" s="14"/>
      <c r="Q66" s="14"/>
      <c r="R66" s="14"/>
      <c r="S66" s="14"/>
      <c r="T66" s="534">
        <f t="shared" si="0"/>
        <v>9.6617278349845556E-2</v>
      </c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</row>
    <row r="67" spans="1:73" s="15" customFormat="1" ht="15" x14ac:dyDescent="0.2">
      <c r="A67" s="73"/>
      <c r="B67" s="41"/>
      <c r="C67" s="42"/>
      <c r="D67" s="43"/>
      <c r="E67" s="44"/>
      <c r="F67" s="37"/>
      <c r="G67" s="37"/>
      <c r="H67" s="37"/>
      <c r="I67" s="45"/>
      <c r="J67" s="345"/>
      <c r="K67" s="14"/>
      <c r="M67" s="14"/>
      <c r="N67" s="14"/>
      <c r="O67" s="14"/>
      <c r="P67" s="14"/>
      <c r="Q67" s="14"/>
      <c r="R67" s="14"/>
      <c r="S67" s="14"/>
      <c r="T67" s="534" t="str">
        <f t="shared" si="0"/>
        <v/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</row>
    <row r="68" spans="1:73" s="15" customFormat="1" ht="15.75" x14ac:dyDescent="0.25">
      <c r="A68" s="46" t="s">
        <v>65</v>
      </c>
      <c r="B68" s="41"/>
      <c r="C68" s="42"/>
      <c r="D68" s="43"/>
      <c r="E68" s="44"/>
      <c r="F68" s="37"/>
      <c r="G68" s="37"/>
      <c r="H68" s="37"/>
      <c r="I68" s="45"/>
      <c r="J68" s="345"/>
      <c r="K68" s="14"/>
      <c r="M68" s="14"/>
      <c r="N68" s="14"/>
      <c r="O68" s="14"/>
      <c r="P68" s="14"/>
      <c r="Q68" s="14"/>
      <c r="R68" s="14"/>
      <c r="S68" s="14"/>
      <c r="T68" s="534" t="str">
        <f t="shared" si="0"/>
        <v/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</row>
    <row r="69" spans="1:73" s="15" customFormat="1" ht="5.25" customHeight="1" x14ac:dyDescent="0.2">
      <c r="A69" s="66"/>
      <c r="B69" s="41"/>
      <c r="C69" s="42"/>
      <c r="D69" s="43"/>
      <c r="E69" s="44"/>
      <c r="F69" s="37"/>
      <c r="G69" s="37"/>
      <c r="H69" s="37"/>
      <c r="I69" s="45"/>
      <c r="J69" s="345"/>
      <c r="K69" s="14"/>
      <c r="M69" s="14"/>
      <c r="N69" s="14"/>
      <c r="O69" s="14"/>
      <c r="P69" s="14"/>
      <c r="Q69" s="14"/>
      <c r="R69" s="14"/>
      <c r="S69" s="14"/>
      <c r="T69" s="534" t="str">
        <f t="shared" si="0"/>
        <v/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</row>
    <row r="70" spans="1:73" s="65" customFormat="1" ht="18" x14ac:dyDescent="0.25">
      <c r="A70" s="96" t="s">
        <v>66</v>
      </c>
      <c r="B70" s="59"/>
      <c r="C70" s="60"/>
      <c r="D70" s="61">
        <v>0</v>
      </c>
      <c r="E70" s="62">
        <f>-444610/1000</f>
        <v>-444.61</v>
      </c>
      <c r="F70" s="63">
        <f>14221/1000</f>
        <v>14.221</v>
      </c>
      <c r="G70" s="63"/>
      <c r="H70" s="63"/>
      <c r="I70" s="64">
        <f t="shared" ref="I70:I77" si="7">SUM(E70:G70)</f>
        <v>-430.38900000000001</v>
      </c>
      <c r="J70" s="347" t="s">
        <v>25</v>
      </c>
      <c r="T70" s="534" t="str">
        <f t="shared" si="0"/>
        <v/>
      </c>
    </row>
    <row r="71" spans="1:73" s="65" customFormat="1" ht="18" x14ac:dyDescent="0.25">
      <c r="A71" s="96" t="s">
        <v>67</v>
      </c>
      <c r="B71" s="59"/>
      <c r="C71" s="60"/>
      <c r="D71" s="61">
        <v>18704.468000000001</v>
      </c>
      <c r="E71" s="62">
        <f>3278907/1000</f>
        <v>3278.9070000000002</v>
      </c>
      <c r="F71" s="63">
        <f>-149017/1000</f>
        <v>-149.017</v>
      </c>
      <c r="G71" s="63"/>
      <c r="H71" s="63"/>
      <c r="I71" s="64">
        <f t="shared" si="7"/>
        <v>3129.8900000000003</v>
      </c>
      <c r="J71" s="347" t="s">
        <v>25</v>
      </c>
      <c r="T71" s="534">
        <f t="shared" si="0"/>
        <v>0.16733381564233746</v>
      </c>
    </row>
    <row r="72" spans="1:73" s="65" customFormat="1" ht="18" x14ac:dyDescent="0.25">
      <c r="A72" s="96" t="s">
        <v>68</v>
      </c>
      <c r="B72" s="59"/>
      <c r="C72" s="60"/>
      <c r="D72" s="61">
        <v>0</v>
      </c>
      <c r="E72" s="62">
        <f>911533/1000</f>
        <v>911.53300000000002</v>
      </c>
      <c r="F72" s="63">
        <f>-50680/1000</f>
        <v>-50.68</v>
      </c>
      <c r="G72" s="63"/>
      <c r="H72" s="63"/>
      <c r="I72" s="64">
        <f t="shared" si="7"/>
        <v>860.85300000000007</v>
      </c>
      <c r="J72" s="347" t="s">
        <v>69</v>
      </c>
      <c r="T72" s="534" t="str">
        <f t="shared" si="0"/>
        <v/>
      </c>
    </row>
    <row r="73" spans="1:73" s="65" customFormat="1" ht="18" x14ac:dyDescent="0.25">
      <c r="A73" s="96" t="s">
        <v>70</v>
      </c>
      <c r="B73" s="59"/>
      <c r="C73" s="60"/>
      <c r="D73" s="61">
        <v>0</v>
      </c>
      <c r="E73" s="62">
        <f>678447/1000</f>
        <v>678.447</v>
      </c>
      <c r="F73" s="63">
        <f>-100897/1000</f>
        <v>-100.89700000000001</v>
      </c>
      <c r="G73" s="63"/>
      <c r="H73" s="63"/>
      <c r="I73" s="64">
        <f t="shared" si="7"/>
        <v>577.54999999999995</v>
      </c>
      <c r="J73" s="347" t="s">
        <v>69</v>
      </c>
      <c r="T73" s="534" t="str">
        <f t="shared" si="0"/>
        <v/>
      </c>
    </row>
    <row r="74" spans="1:73" s="65" customFormat="1" ht="18" x14ac:dyDescent="0.25">
      <c r="A74" s="96" t="s">
        <v>71</v>
      </c>
      <c r="B74" s="59"/>
      <c r="C74" s="60"/>
      <c r="D74" s="61">
        <v>0</v>
      </c>
      <c r="E74" s="62">
        <f>386108/1000</f>
        <v>386.108</v>
      </c>
      <c r="F74" s="63">
        <f>-72528/1000</f>
        <v>-72.528000000000006</v>
      </c>
      <c r="G74" s="63"/>
      <c r="H74" s="63"/>
      <c r="I74" s="64">
        <f t="shared" si="7"/>
        <v>313.58</v>
      </c>
      <c r="J74" s="347" t="s">
        <v>69</v>
      </c>
      <c r="T74" s="534" t="str">
        <f t="shared" si="0"/>
        <v/>
      </c>
    </row>
    <row r="75" spans="1:73" s="65" customFormat="1" ht="18" x14ac:dyDescent="0.25">
      <c r="A75" s="96" t="s">
        <v>72</v>
      </c>
      <c r="B75" s="59"/>
      <c r="C75" s="60"/>
      <c r="D75" s="61">
        <v>29927.564999999999</v>
      </c>
      <c r="E75" s="62">
        <f>12784962/1000</f>
        <v>12784.962</v>
      </c>
      <c r="F75" s="63">
        <f>-550000/1000</f>
        <v>-550</v>
      </c>
      <c r="G75" s="63"/>
      <c r="H75" s="63"/>
      <c r="I75" s="64">
        <f t="shared" si="7"/>
        <v>12234.962</v>
      </c>
      <c r="J75" s="347" t="s">
        <v>25</v>
      </c>
      <c r="T75" s="534">
        <f t="shared" si="0"/>
        <v>0.4088191605297658</v>
      </c>
    </row>
    <row r="76" spans="1:73" s="65" customFormat="1" ht="18" x14ac:dyDescent="0.25">
      <c r="A76" s="96" t="s">
        <v>73</v>
      </c>
      <c r="B76" s="59"/>
      <c r="C76" s="60"/>
      <c r="D76" s="61">
        <v>14660.179</v>
      </c>
      <c r="E76" s="62">
        <f>3141922/1000</f>
        <v>3141.922</v>
      </c>
      <c r="F76" s="63">
        <f>-197200/1000</f>
        <v>-197.2</v>
      </c>
      <c r="G76" s="63"/>
      <c r="H76" s="63"/>
      <c r="I76" s="64">
        <f t="shared" si="7"/>
        <v>2944.7220000000002</v>
      </c>
      <c r="J76" s="347" t="s">
        <v>25</v>
      </c>
      <c r="T76" s="534">
        <f t="shared" si="0"/>
        <v>0.20086535096194938</v>
      </c>
    </row>
    <row r="77" spans="1:73" s="65" customFormat="1" ht="18" x14ac:dyDescent="0.25">
      <c r="A77" s="96" t="s">
        <v>74</v>
      </c>
      <c r="B77" s="59"/>
      <c r="C77" s="60"/>
      <c r="D77" s="61">
        <v>20764.831999999999</v>
      </c>
      <c r="E77" s="62">
        <f>5370259/1000</f>
        <v>5370.259</v>
      </c>
      <c r="F77" s="63">
        <f>-150000/1000</f>
        <v>-150</v>
      </c>
      <c r="G77" s="63">
        <v>0</v>
      </c>
      <c r="H77" s="63"/>
      <c r="I77" s="64">
        <f t="shared" si="7"/>
        <v>5220.259</v>
      </c>
      <c r="J77" s="347" t="s">
        <v>25</v>
      </c>
      <c r="T77" s="534">
        <f t="shared" si="0"/>
        <v>0.25139904815988884</v>
      </c>
    </row>
    <row r="78" spans="1:73" s="65" customFormat="1" ht="15.75" x14ac:dyDescent="0.25">
      <c r="A78" s="50" t="s">
        <v>75</v>
      </c>
      <c r="B78" s="74"/>
      <c r="C78" s="75"/>
      <c r="D78" s="76">
        <f>I78/0.03</f>
        <v>625.30000000000007</v>
      </c>
      <c r="E78" s="77">
        <v>18.759</v>
      </c>
      <c r="F78" s="78"/>
      <c r="G78" s="78">
        <v>0</v>
      </c>
      <c r="H78" s="78"/>
      <c r="I78" s="79">
        <f>SUM(E78:H78)</f>
        <v>18.759</v>
      </c>
      <c r="J78" s="347" t="s">
        <v>18</v>
      </c>
      <c r="T78" s="534">
        <f t="shared" si="0"/>
        <v>0.03</v>
      </c>
    </row>
    <row r="79" spans="1:73" s="65" customFormat="1" ht="15.75" x14ac:dyDescent="0.25">
      <c r="A79" s="80" t="s">
        <v>76</v>
      </c>
      <c r="B79" s="81"/>
      <c r="C79" s="82"/>
      <c r="D79" s="83">
        <f>I79/0.03</f>
        <v>1427.2</v>
      </c>
      <c r="E79" s="84">
        <v>42.816000000000003</v>
      </c>
      <c r="F79" s="72"/>
      <c r="G79" s="72">
        <v>0</v>
      </c>
      <c r="H79" s="72"/>
      <c r="I79" s="85">
        <f>SUM(E79:H79)</f>
        <v>42.816000000000003</v>
      </c>
      <c r="J79" s="347" t="s">
        <v>18</v>
      </c>
      <c r="T79" s="534">
        <f t="shared" si="0"/>
        <v>3.0000000000000002E-2</v>
      </c>
    </row>
    <row r="80" spans="1:73" s="65" customFormat="1" ht="15.75" x14ac:dyDescent="0.25">
      <c r="A80" s="80" t="s">
        <v>77</v>
      </c>
      <c r="B80" s="81"/>
      <c r="C80" s="82"/>
      <c r="D80" s="83">
        <v>2289.88</v>
      </c>
      <c r="E80" s="84">
        <v>94.807000000000002</v>
      </c>
      <c r="F80" s="72">
        <v>-3</v>
      </c>
      <c r="G80" s="72">
        <v>0</v>
      </c>
      <c r="H80" s="72"/>
      <c r="I80" s="85">
        <f>SUM(E80:H80)</f>
        <v>91.807000000000002</v>
      </c>
      <c r="J80" s="347" t="s">
        <v>78</v>
      </c>
      <c r="T80" s="534">
        <f t="shared" si="0"/>
        <v>4.0092493929812914E-2</v>
      </c>
    </row>
    <row r="81" spans="1:73" s="65" customFormat="1" ht="15.75" x14ac:dyDescent="0.25">
      <c r="A81" s="80" t="s">
        <v>79</v>
      </c>
      <c r="B81" s="86">
        <v>37083</v>
      </c>
      <c r="C81" s="81" t="s">
        <v>34</v>
      </c>
      <c r="D81" s="83">
        <v>8663.5169999999998</v>
      </c>
      <c r="E81" s="84">
        <v>1512.3920000000001</v>
      </c>
      <c r="F81" s="72">
        <v>-83.6</v>
      </c>
      <c r="G81" s="72">
        <v>0</v>
      </c>
      <c r="H81" s="72">
        <v>0</v>
      </c>
      <c r="I81" s="85">
        <f>SUM(E81:H81)</f>
        <v>1428.7920000000001</v>
      </c>
      <c r="J81" s="347"/>
      <c r="T81" s="534">
        <f t="shared" si="0"/>
        <v>0.16492055131882355</v>
      </c>
    </row>
    <row r="82" spans="1:73" s="65" customFormat="1" ht="15.75" x14ac:dyDescent="0.25">
      <c r="A82" s="80" t="s">
        <v>80</v>
      </c>
      <c r="B82" s="86">
        <v>37083</v>
      </c>
      <c r="C82" s="81" t="s">
        <v>34</v>
      </c>
      <c r="D82" s="83">
        <v>84662.803</v>
      </c>
      <c r="E82" s="84">
        <v>6042.8140000000003</v>
      </c>
      <c r="F82" s="72">
        <v>-1400</v>
      </c>
      <c r="G82" s="72">
        <v>0</v>
      </c>
      <c r="H82" s="72">
        <v>0</v>
      </c>
      <c r="I82" s="85">
        <f>SUM(E82:H82)</f>
        <v>4642.8140000000003</v>
      </c>
      <c r="J82" s="347" t="s">
        <v>25</v>
      </c>
      <c r="T82" s="534">
        <f t="shared" si="0"/>
        <v>5.483888833682958E-2</v>
      </c>
    </row>
    <row r="83" spans="1:73" s="65" customFormat="1" ht="15.75" x14ac:dyDescent="0.25">
      <c r="A83" s="80" t="s">
        <v>81</v>
      </c>
      <c r="B83" s="86">
        <v>37105</v>
      </c>
      <c r="C83" s="81" t="s">
        <v>34</v>
      </c>
      <c r="D83" s="83">
        <v>14294</v>
      </c>
      <c r="E83" s="84">
        <v>1937.2850000000001</v>
      </c>
      <c r="F83" s="72">
        <v>-180</v>
      </c>
      <c r="G83" s="72">
        <v>0</v>
      </c>
      <c r="H83" s="72"/>
      <c r="I83" s="85">
        <v>1757.2850000000001</v>
      </c>
      <c r="J83" s="347" t="s">
        <v>82</v>
      </c>
      <c r="T83" s="534">
        <f t="shared" ref="T83:T146" si="8">IF(D83&gt;0,(I83/D83),"")</f>
        <v>0.12293864558556038</v>
      </c>
    </row>
    <row r="84" spans="1:73" s="65" customFormat="1" ht="15.75" x14ac:dyDescent="0.25">
      <c r="A84" s="80" t="s">
        <v>83</v>
      </c>
      <c r="B84" s="86">
        <v>37083</v>
      </c>
      <c r="C84" s="81" t="s">
        <v>34</v>
      </c>
      <c r="D84" s="83">
        <v>113803.71400000001</v>
      </c>
      <c r="E84" s="84">
        <v>7364.8459999999995</v>
      </c>
      <c r="F84" s="72">
        <v>-2350</v>
      </c>
      <c r="G84" s="72">
        <v>0</v>
      </c>
      <c r="H84" s="72">
        <v>0</v>
      </c>
      <c r="I84" s="85">
        <f>SUM(E84:H84)</f>
        <v>5014.8459999999995</v>
      </c>
      <c r="J84" s="347" t="s">
        <v>84</v>
      </c>
      <c r="T84" s="534">
        <f t="shared" si="8"/>
        <v>4.4065749910411525E-2</v>
      </c>
    </row>
    <row r="85" spans="1:73" s="65" customFormat="1" ht="15.75" x14ac:dyDescent="0.25">
      <c r="A85" s="80" t="s">
        <v>85</v>
      </c>
      <c r="B85" s="86">
        <v>37091</v>
      </c>
      <c r="C85" s="81" t="s">
        <v>34</v>
      </c>
      <c r="D85" s="83">
        <v>0</v>
      </c>
      <c r="E85" s="84">
        <v>-1606.3140000000001</v>
      </c>
      <c r="F85" s="72">
        <v>440</v>
      </c>
      <c r="G85" s="72">
        <v>0</v>
      </c>
      <c r="H85" s="72">
        <v>0</v>
      </c>
      <c r="I85" s="85">
        <f>SUM(E85:H85)</f>
        <v>-1166.3140000000001</v>
      </c>
      <c r="J85" s="347" t="s">
        <v>31</v>
      </c>
      <c r="T85" s="534" t="str">
        <f t="shared" si="8"/>
        <v/>
      </c>
    </row>
    <row r="86" spans="1:73" s="65" customFormat="1" ht="15.75" x14ac:dyDescent="0.25">
      <c r="A86" s="80" t="s">
        <v>86</v>
      </c>
      <c r="B86" s="86">
        <v>37091</v>
      </c>
      <c r="C86" s="81" t="s">
        <v>34</v>
      </c>
      <c r="D86" s="83">
        <v>0</v>
      </c>
      <c r="E86" s="84">
        <v>-275.23200000000003</v>
      </c>
      <c r="F86" s="72">
        <v>24.2</v>
      </c>
      <c r="G86" s="72">
        <v>0</v>
      </c>
      <c r="H86" s="72">
        <v>0</v>
      </c>
      <c r="I86" s="85">
        <f>SUM(E86:H86)</f>
        <v>-251.03200000000004</v>
      </c>
      <c r="J86" s="347" t="s">
        <v>31</v>
      </c>
      <c r="T86" s="534" t="str">
        <f t="shared" si="8"/>
        <v/>
      </c>
    </row>
    <row r="87" spans="1:73" s="65" customFormat="1" ht="15.75" x14ac:dyDescent="0.25">
      <c r="A87" s="80" t="s">
        <v>87</v>
      </c>
      <c r="B87" s="90">
        <v>37098</v>
      </c>
      <c r="C87" s="81" t="s">
        <v>34</v>
      </c>
      <c r="D87" s="91">
        <v>0</v>
      </c>
      <c r="E87" s="84">
        <v>-2261.6509999999998</v>
      </c>
      <c r="F87" s="72">
        <v>0</v>
      </c>
      <c r="G87" s="72">
        <v>0</v>
      </c>
      <c r="H87" s="72"/>
      <c r="I87" s="85">
        <f>SUM(E87:H87)</f>
        <v>-2261.6509999999998</v>
      </c>
      <c r="J87" s="347" t="s">
        <v>25</v>
      </c>
      <c r="T87" s="534" t="str">
        <f t="shared" si="8"/>
        <v/>
      </c>
    </row>
    <row r="88" spans="1:73" s="65" customFormat="1" ht="15.75" x14ac:dyDescent="0.25">
      <c r="A88" s="80" t="s">
        <v>88</v>
      </c>
      <c r="B88" s="86">
        <v>37091</v>
      </c>
      <c r="C88" s="81" t="s">
        <v>34</v>
      </c>
      <c r="D88" s="83">
        <v>40099.434999999998</v>
      </c>
      <c r="E88" s="84">
        <v>2261.6509999999998</v>
      </c>
      <c r="F88" s="72">
        <v>-73.3</v>
      </c>
      <c r="G88" s="72">
        <v>0</v>
      </c>
      <c r="H88" s="72">
        <v>0</v>
      </c>
      <c r="I88" s="85">
        <f>SUM(E88:H88)</f>
        <v>2188.3509999999997</v>
      </c>
      <c r="J88" s="347" t="s">
        <v>25</v>
      </c>
      <c r="T88" s="534">
        <f t="shared" si="8"/>
        <v>5.4573113062565591E-2</v>
      </c>
    </row>
    <row r="89" spans="1:73" s="15" customFormat="1" ht="6" customHeight="1" x14ac:dyDescent="0.2">
      <c r="A89" s="98"/>
      <c r="B89" s="41"/>
      <c r="C89" s="42"/>
      <c r="D89" s="67"/>
      <c r="E89" s="68"/>
      <c r="F89" s="69"/>
      <c r="G89" s="69"/>
      <c r="H89" s="69"/>
      <c r="I89" s="70"/>
      <c r="J89" s="345"/>
      <c r="K89" s="14"/>
      <c r="M89" s="14"/>
      <c r="N89" s="14"/>
      <c r="O89" s="14"/>
      <c r="P89" s="14"/>
      <c r="Q89" s="14"/>
      <c r="R89" s="14"/>
      <c r="S89" s="14"/>
      <c r="T89" s="534" t="str">
        <f t="shared" si="8"/>
        <v/>
      </c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</row>
    <row r="90" spans="1:73" s="15" customFormat="1" ht="15" x14ac:dyDescent="0.2">
      <c r="A90" s="99" t="s">
        <v>89</v>
      </c>
      <c r="B90" s="41"/>
      <c r="C90" s="42"/>
      <c r="D90" s="43">
        <f t="shared" ref="D90:I90" si="9">SUM(D68:D89)</f>
        <v>349922.89299999998</v>
      </c>
      <c r="E90" s="44">
        <f t="shared" si="9"/>
        <v>41239.700999999994</v>
      </c>
      <c r="F90" s="37">
        <f t="shared" si="9"/>
        <v>-4881.8010000000004</v>
      </c>
      <c r="G90" s="37">
        <f t="shared" si="9"/>
        <v>0</v>
      </c>
      <c r="H90" s="37">
        <f t="shared" si="9"/>
        <v>0</v>
      </c>
      <c r="I90" s="45">
        <f t="shared" si="9"/>
        <v>36357.900000000009</v>
      </c>
      <c r="J90" s="345"/>
      <c r="K90" s="14"/>
      <c r="M90" s="14"/>
      <c r="N90" s="14"/>
      <c r="O90" s="14"/>
      <c r="P90" s="14"/>
      <c r="Q90" s="14"/>
      <c r="R90" s="14"/>
      <c r="S90" s="14"/>
      <c r="T90" s="534">
        <f t="shared" si="8"/>
        <v>0.10390260462324198</v>
      </c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</row>
    <row r="91" spans="1:73" s="15" customFormat="1" ht="15.75" x14ac:dyDescent="0.25">
      <c r="A91" s="46"/>
      <c r="B91" s="41"/>
      <c r="C91" s="42"/>
      <c r="D91" s="43"/>
      <c r="E91" s="44"/>
      <c r="F91" s="37"/>
      <c r="G91" s="37"/>
      <c r="H91" s="37"/>
      <c r="I91" s="45"/>
      <c r="J91" s="345"/>
      <c r="K91" s="14"/>
      <c r="M91" s="14"/>
      <c r="N91" s="14"/>
      <c r="O91" s="14"/>
      <c r="P91" s="14"/>
      <c r="Q91" s="14"/>
      <c r="R91" s="14"/>
      <c r="S91" s="14"/>
      <c r="T91" s="534" t="str">
        <f t="shared" si="8"/>
        <v/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</row>
    <row r="92" spans="1:73" s="15" customFormat="1" ht="15.75" x14ac:dyDescent="0.25">
      <c r="A92" s="46" t="s">
        <v>90</v>
      </c>
      <c r="B92" s="41"/>
      <c r="C92" s="42"/>
      <c r="D92" s="100"/>
      <c r="E92" s="44"/>
      <c r="F92" s="37"/>
      <c r="G92" s="37"/>
      <c r="H92" s="37"/>
      <c r="I92" s="45"/>
      <c r="J92" s="345"/>
      <c r="K92" s="14"/>
      <c r="M92" s="14"/>
      <c r="N92" s="14"/>
      <c r="O92" s="14"/>
      <c r="P92" s="14"/>
      <c r="Q92" s="14"/>
      <c r="R92" s="14"/>
      <c r="S92" s="14"/>
      <c r="T92" s="534" t="str">
        <f t="shared" si="8"/>
        <v/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</row>
    <row r="93" spans="1:73" s="15" customFormat="1" ht="3" customHeight="1" x14ac:dyDescent="0.2">
      <c r="A93" s="40"/>
      <c r="B93" s="41"/>
      <c r="C93" s="42"/>
      <c r="D93" s="43"/>
      <c r="E93" s="44"/>
      <c r="F93" s="37"/>
      <c r="G93" s="37"/>
      <c r="H93" s="37"/>
      <c r="I93" s="45"/>
      <c r="J93" s="345"/>
      <c r="K93" s="14"/>
      <c r="M93" s="14"/>
      <c r="N93" s="14"/>
      <c r="O93" s="14"/>
      <c r="P93" s="14"/>
      <c r="Q93" s="14"/>
      <c r="R93" s="14"/>
      <c r="S93" s="14"/>
      <c r="T93" s="534" t="str">
        <f t="shared" si="8"/>
        <v/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</row>
    <row r="94" spans="1:73" s="65" customFormat="1" ht="18" x14ac:dyDescent="0.25">
      <c r="A94" s="96" t="s">
        <v>91</v>
      </c>
      <c r="B94" s="59"/>
      <c r="C94" s="60"/>
      <c r="D94" s="61">
        <v>10629.583000000001</v>
      </c>
      <c r="E94" s="62">
        <f>2382609/1000</f>
        <v>2382.6089999999999</v>
      </c>
      <c r="F94" s="63">
        <f>-282300/1000</f>
        <v>-282.3</v>
      </c>
      <c r="G94" s="63"/>
      <c r="H94" s="63"/>
      <c r="I94" s="64">
        <f>SUM(E94:G94)</f>
        <v>2100.3089999999997</v>
      </c>
      <c r="J94" s="347" t="s">
        <v>25</v>
      </c>
      <c r="T94" s="534">
        <f t="shared" si="8"/>
        <v>0.19759091207999407</v>
      </c>
    </row>
    <row r="95" spans="1:73" s="65" customFormat="1" ht="18" x14ac:dyDescent="0.25">
      <c r="A95" s="96" t="s">
        <v>92</v>
      </c>
      <c r="B95" s="59"/>
      <c r="C95" s="60"/>
      <c r="D95" s="61">
        <v>0</v>
      </c>
      <c r="E95" s="62">
        <f>-322000/1000</f>
        <v>-322</v>
      </c>
      <c r="F95" s="63"/>
      <c r="G95" s="63"/>
      <c r="H95" s="63"/>
      <c r="I95" s="64">
        <f>SUM(E95:G95)</f>
        <v>-322</v>
      </c>
      <c r="J95" s="347" t="s">
        <v>25</v>
      </c>
      <c r="T95" s="534" t="str">
        <f t="shared" si="8"/>
        <v/>
      </c>
    </row>
    <row r="96" spans="1:73" s="15" customFormat="1" ht="3.75" customHeight="1" x14ac:dyDescent="0.2">
      <c r="A96" s="40"/>
      <c r="B96" s="41"/>
      <c r="C96" s="42"/>
      <c r="D96" s="67"/>
      <c r="E96" s="68"/>
      <c r="F96" s="69"/>
      <c r="G96" s="69"/>
      <c r="H96" s="69"/>
      <c r="I96" s="70"/>
      <c r="J96" s="345"/>
      <c r="K96" s="14"/>
      <c r="M96" s="14"/>
      <c r="N96" s="14"/>
      <c r="O96" s="14"/>
      <c r="P96" s="14"/>
      <c r="Q96" s="14"/>
      <c r="R96" s="14"/>
      <c r="S96" s="14"/>
      <c r="T96" s="534" t="str">
        <f t="shared" si="8"/>
        <v/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</row>
    <row r="97" spans="1:73" s="15" customFormat="1" ht="15" x14ac:dyDescent="0.2">
      <c r="A97" s="101" t="s">
        <v>93</v>
      </c>
      <c r="B97" s="41"/>
      <c r="C97" s="42"/>
      <c r="D97" s="87">
        <f t="shared" ref="D97:I97" si="10">SUM(D92:D95)</f>
        <v>10629.583000000001</v>
      </c>
      <c r="E97" s="84">
        <f t="shared" si="10"/>
        <v>2060.6089999999999</v>
      </c>
      <c r="F97" s="72">
        <f t="shared" si="10"/>
        <v>-282.3</v>
      </c>
      <c r="G97" s="72">
        <f t="shared" si="10"/>
        <v>0</v>
      </c>
      <c r="H97" s="72">
        <f t="shared" si="10"/>
        <v>0</v>
      </c>
      <c r="I97" s="85">
        <f t="shared" si="10"/>
        <v>1778.3089999999997</v>
      </c>
      <c r="J97" s="345"/>
      <c r="K97" s="14"/>
      <c r="M97" s="14"/>
      <c r="N97" s="14"/>
      <c r="O97" s="14"/>
      <c r="P97" s="14"/>
      <c r="Q97" s="14"/>
      <c r="R97" s="14"/>
      <c r="S97" s="14"/>
      <c r="T97" s="534">
        <f t="shared" si="8"/>
        <v>0.16729809626586478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</row>
    <row r="98" spans="1:73" s="15" customFormat="1" ht="15" x14ac:dyDescent="0.2">
      <c r="A98" s="101"/>
      <c r="B98" s="41"/>
      <c r="C98" s="42"/>
      <c r="D98" s="43"/>
      <c r="E98" s="44"/>
      <c r="F98" s="37"/>
      <c r="G98" s="37"/>
      <c r="H98" s="37"/>
      <c r="I98" s="45"/>
      <c r="J98" s="345"/>
      <c r="K98" s="14"/>
      <c r="M98" s="14"/>
      <c r="N98" s="14"/>
      <c r="O98" s="14"/>
      <c r="P98" s="14"/>
      <c r="Q98" s="14"/>
      <c r="R98" s="14"/>
      <c r="S98" s="14"/>
      <c r="T98" s="534" t="str">
        <f t="shared" si="8"/>
        <v/>
      </c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</row>
    <row r="99" spans="1:73" s="15" customFormat="1" ht="15.75" x14ac:dyDescent="0.25">
      <c r="A99" s="46" t="s">
        <v>94</v>
      </c>
      <c r="B99" s="41"/>
      <c r="C99" s="42"/>
      <c r="D99" s="100"/>
      <c r="E99" s="44"/>
      <c r="F99" s="37"/>
      <c r="G99" s="37"/>
      <c r="H99" s="37"/>
      <c r="I99" s="45"/>
      <c r="J99" s="345"/>
      <c r="K99" s="14"/>
      <c r="M99" s="14"/>
      <c r="N99" s="14"/>
      <c r="O99" s="14"/>
      <c r="P99" s="14"/>
      <c r="Q99" s="14"/>
      <c r="R99" s="14"/>
      <c r="S99" s="14"/>
      <c r="T99" s="534" t="str">
        <f t="shared" si="8"/>
        <v/>
      </c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</row>
    <row r="100" spans="1:73" s="15" customFormat="1" ht="15" x14ac:dyDescent="0.2">
      <c r="A100" s="41"/>
      <c r="B100" s="41"/>
      <c r="C100" s="42"/>
      <c r="D100" s="43"/>
      <c r="E100" s="44"/>
      <c r="F100" s="355"/>
      <c r="G100" s="37"/>
      <c r="H100" s="37"/>
      <c r="I100" s="45"/>
      <c r="J100" s="345"/>
      <c r="K100" s="14"/>
      <c r="M100" s="14"/>
      <c r="N100" s="14"/>
      <c r="O100" s="14"/>
      <c r="P100" s="14"/>
      <c r="Q100" s="14"/>
      <c r="R100" s="14"/>
      <c r="S100" s="14"/>
      <c r="T100" s="534" t="str">
        <f t="shared" si="8"/>
        <v/>
      </c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</row>
    <row r="101" spans="1:73" s="15" customFormat="1" ht="15" x14ac:dyDescent="0.2">
      <c r="A101" s="102" t="s">
        <v>95</v>
      </c>
      <c r="B101" s="41"/>
      <c r="C101" s="42"/>
      <c r="D101" s="43"/>
      <c r="E101" s="44"/>
      <c r="F101" s="37"/>
      <c r="G101" s="37"/>
      <c r="H101" s="37"/>
      <c r="I101" s="45"/>
      <c r="J101" s="345"/>
      <c r="K101" s="14"/>
      <c r="M101" s="14"/>
      <c r="N101" s="14"/>
      <c r="O101" s="14"/>
      <c r="P101" s="14"/>
      <c r="Q101" s="14"/>
      <c r="R101" s="14"/>
      <c r="S101" s="14"/>
      <c r="T101" s="534" t="str">
        <f t="shared" si="8"/>
        <v/>
      </c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</row>
    <row r="102" spans="1:73" s="15" customFormat="1" ht="3.75" customHeight="1" x14ac:dyDescent="0.2">
      <c r="A102" s="103"/>
      <c r="B102" s="41"/>
      <c r="C102" s="42"/>
      <c r="D102" s="43"/>
      <c r="E102" s="44"/>
      <c r="F102" s="37"/>
      <c r="G102" s="37"/>
      <c r="H102" s="37"/>
      <c r="I102" s="45"/>
      <c r="J102" s="345"/>
      <c r="K102" s="14"/>
      <c r="M102" s="14"/>
      <c r="N102" s="14"/>
      <c r="O102" s="14"/>
      <c r="P102" s="14"/>
      <c r="Q102" s="14"/>
      <c r="R102" s="14"/>
      <c r="S102" s="14"/>
      <c r="T102" s="534" t="str">
        <f t="shared" si="8"/>
        <v/>
      </c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</row>
    <row r="103" spans="1:73" s="65" customFormat="1" ht="18" x14ac:dyDescent="0.25">
      <c r="A103" s="96" t="s">
        <v>96</v>
      </c>
      <c r="B103" s="59"/>
      <c r="C103" s="60"/>
      <c r="D103" s="61">
        <v>0</v>
      </c>
      <c r="E103" s="62">
        <f>250000/1000</f>
        <v>250</v>
      </c>
      <c r="F103" s="63">
        <v>0</v>
      </c>
      <c r="G103" s="63">
        <v>0</v>
      </c>
      <c r="H103" s="63"/>
      <c r="I103" s="64">
        <f t="shared" ref="I103:I108" si="11">SUM(E103:G103)</f>
        <v>250</v>
      </c>
      <c r="J103" s="347" t="s">
        <v>21</v>
      </c>
      <c r="T103" s="534" t="str">
        <f t="shared" si="8"/>
        <v/>
      </c>
    </row>
    <row r="104" spans="1:73" s="110" customFormat="1" ht="18" x14ac:dyDescent="0.25">
      <c r="A104" s="104" t="s">
        <v>97</v>
      </c>
      <c r="B104" s="105"/>
      <c r="C104" s="106"/>
      <c r="D104" s="107">
        <v>517.79200000000003</v>
      </c>
      <c r="E104" s="108">
        <f>2366/1000</f>
        <v>2.3660000000000001</v>
      </c>
      <c r="F104" s="108">
        <v>-1.56</v>
      </c>
      <c r="G104" s="108"/>
      <c r="H104" s="108"/>
      <c r="I104" s="109">
        <f t="shared" si="11"/>
        <v>0.80600000000000005</v>
      </c>
      <c r="J104" s="149" t="s">
        <v>21</v>
      </c>
      <c r="T104" s="534">
        <f t="shared" si="8"/>
        <v>1.5566096038563749E-3</v>
      </c>
    </row>
    <row r="105" spans="1:73" s="110" customFormat="1" ht="18" x14ac:dyDescent="0.25">
      <c r="A105" s="104" t="s">
        <v>98</v>
      </c>
      <c r="B105" s="105"/>
      <c r="C105" s="106"/>
      <c r="D105" s="107">
        <v>2923.26</v>
      </c>
      <c r="E105" s="108">
        <f>358065/1000</f>
        <v>358.065</v>
      </c>
      <c r="F105" s="108">
        <v>-18.8</v>
      </c>
      <c r="G105" s="108"/>
      <c r="H105" s="108"/>
      <c r="I105" s="109">
        <f t="shared" si="11"/>
        <v>339.26499999999999</v>
      </c>
      <c r="J105" s="149" t="s">
        <v>21</v>
      </c>
      <c r="T105" s="534">
        <f t="shared" si="8"/>
        <v>0.11605707326751639</v>
      </c>
    </row>
    <row r="106" spans="1:73" s="110" customFormat="1" ht="18" x14ac:dyDescent="0.25">
      <c r="A106" s="104" t="s">
        <v>99</v>
      </c>
      <c r="B106" s="105"/>
      <c r="C106" s="106"/>
      <c r="D106" s="107">
        <v>2035.8050000000001</v>
      </c>
      <c r="E106" s="108">
        <f>88047/1000</f>
        <v>88.046999999999997</v>
      </c>
      <c r="F106" s="108">
        <v>-10.46</v>
      </c>
      <c r="G106" s="108"/>
      <c r="H106" s="108"/>
      <c r="I106" s="109">
        <f t="shared" si="11"/>
        <v>77.586999999999989</v>
      </c>
      <c r="J106" s="149" t="s">
        <v>21</v>
      </c>
      <c r="T106" s="534">
        <f t="shared" si="8"/>
        <v>3.811121399151686E-2</v>
      </c>
    </row>
    <row r="107" spans="1:73" s="110" customFormat="1" ht="18" x14ac:dyDescent="0.25">
      <c r="A107" s="104" t="s">
        <v>100</v>
      </c>
      <c r="B107" s="105"/>
      <c r="C107" s="106"/>
      <c r="D107" s="107">
        <v>1218.67</v>
      </c>
      <c r="E107" s="108">
        <f>121056/1000</f>
        <v>121.056</v>
      </c>
      <c r="F107" s="108">
        <v>-6.9</v>
      </c>
      <c r="G107" s="108"/>
      <c r="H107" s="108"/>
      <c r="I107" s="109">
        <f t="shared" si="11"/>
        <v>114.15599999999999</v>
      </c>
      <c r="J107" s="149" t="s">
        <v>21</v>
      </c>
      <c r="T107" s="534">
        <f t="shared" si="8"/>
        <v>9.3672610304676399E-2</v>
      </c>
    </row>
    <row r="108" spans="1:73" s="110" customFormat="1" ht="18" x14ac:dyDescent="0.25">
      <c r="A108" s="104" t="s">
        <v>101</v>
      </c>
      <c r="B108" s="105"/>
      <c r="C108" s="106"/>
      <c r="D108" s="107">
        <v>1775.3489999999999</v>
      </c>
      <c r="E108" s="108">
        <f>213477/1000</f>
        <v>213.477</v>
      </c>
      <c r="F108" s="108">
        <v>-10.3</v>
      </c>
      <c r="G108" s="108"/>
      <c r="H108" s="108"/>
      <c r="I108" s="109">
        <f t="shared" si="11"/>
        <v>203.17699999999999</v>
      </c>
      <c r="J108" s="149" t="s">
        <v>21</v>
      </c>
      <c r="T108" s="534">
        <f t="shared" si="8"/>
        <v>0.11444341366120127</v>
      </c>
    </row>
    <row r="109" spans="1:73" s="65" customFormat="1" ht="15.75" x14ac:dyDescent="0.25">
      <c r="A109" s="80" t="s">
        <v>102</v>
      </c>
      <c r="B109" s="86">
        <v>37083</v>
      </c>
      <c r="C109" s="81" t="s">
        <v>34</v>
      </c>
      <c r="D109" s="83">
        <v>0</v>
      </c>
      <c r="E109" s="84">
        <v>0</v>
      </c>
      <c r="F109" s="72">
        <v>161.5</v>
      </c>
      <c r="G109" s="72">
        <v>0</v>
      </c>
      <c r="H109" s="72">
        <v>0</v>
      </c>
      <c r="I109" s="85">
        <f>SUM(E109:H109)</f>
        <v>161.5</v>
      </c>
      <c r="J109" s="347" t="s">
        <v>18</v>
      </c>
      <c r="T109" s="534" t="str">
        <f t="shared" si="8"/>
        <v/>
      </c>
    </row>
    <row r="110" spans="1:73" s="118" customFormat="1" ht="15.75" x14ac:dyDescent="0.25">
      <c r="A110" s="111" t="s">
        <v>103</v>
      </c>
      <c r="B110" s="112"/>
      <c r="C110" s="113"/>
      <c r="D110" s="114">
        <v>107.014</v>
      </c>
      <c r="E110" s="115">
        <v>-0.254</v>
      </c>
      <c r="F110" s="116">
        <v>-0.95</v>
      </c>
      <c r="G110" s="116"/>
      <c r="H110" s="116"/>
      <c r="I110" s="117">
        <f>SUM(E110:H110)</f>
        <v>-1.204</v>
      </c>
      <c r="J110" s="347" t="s">
        <v>104</v>
      </c>
      <c r="T110" s="534">
        <f t="shared" si="8"/>
        <v>-1.1250864372885791E-2</v>
      </c>
    </row>
    <row r="111" spans="1:73" s="65" customFormat="1" ht="15.75" x14ac:dyDescent="0.25">
      <c r="A111" s="111" t="s">
        <v>105</v>
      </c>
      <c r="B111" s="119"/>
      <c r="C111" s="120" t="s">
        <v>106</v>
      </c>
      <c r="D111" s="83">
        <v>3141.3719999999998</v>
      </c>
      <c r="E111" s="84">
        <v>-185.41900000000001</v>
      </c>
      <c r="F111" s="72">
        <v>-37.6</v>
      </c>
      <c r="G111" s="72"/>
      <c r="H111" s="72"/>
      <c r="I111" s="85">
        <f>SUM(E111:G111)</f>
        <v>-223.01900000000001</v>
      </c>
      <c r="J111" s="347" t="s">
        <v>21</v>
      </c>
      <c r="T111" s="534">
        <f t="shared" si="8"/>
        <v>-7.0994138866711742E-2</v>
      </c>
    </row>
    <row r="112" spans="1:73" s="65" customFormat="1" ht="15.75" x14ac:dyDescent="0.25">
      <c r="A112" s="111" t="s">
        <v>107</v>
      </c>
      <c r="B112" s="86">
        <v>37083</v>
      </c>
      <c r="C112" s="89" t="s">
        <v>108</v>
      </c>
      <c r="D112" s="83">
        <v>65844.188999999998</v>
      </c>
      <c r="E112" s="84">
        <v>4627.55</v>
      </c>
      <c r="F112" s="72">
        <v>-835</v>
      </c>
      <c r="G112" s="72">
        <v>0</v>
      </c>
      <c r="H112" s="72">
        <v>0</v>
      </c>
      <c r="I112" s="85">
        <f>SUM(E112:H112)</f>
        <v>3792.55</v>
      </c>
      <c r="J112" s="347" t="s">
        <v>25</v>
      </c>
      <c r="T112" s="534">
        <f t="shared" si="8"/>
        <v>5.7598856597656629E-2</v>
      </c>
    </row>
    <row r="113" spans="1:73" s="65" customFormat="1" ht="15.75" x14ac:dyDescent="0.25">
      <c r="A113" s="111" t="s">
        <v>109</v>
      </c>
      <c r="B113" s="90">
        <v>37098</v>
      </c>
      <c r="C113" s="89" t="s">
        <v>108</v>
      </c>
      <c r="D113" s="91">
        <v>32033.691999999999</v>
      </c>
      <c r="E113" s="84">
        <v>3081.1770000000001</v>
      </c>
      <c r="F113" s="72">
        <v>-880.5</v>
      </c>
      <c r="G113" s="72">
        <v>0</v>
      </c>
      <c r="H113" s="72"/>
      <c r="I113" s="85">
        <f>SUM(E113:H113)</f>
        <v>2200.6770000000001</v>
      </c>
      <c r="J113" s="347" t="s">
        <v>25</v>
      </c>
      <c r="T113" s="534">
        <f t="shared" si="8"/>
        <v>6.8698824974654821E-2</v>
      </c>
    </row>
    <row r="114" spans="1:73" s="65" customFormat="1" ht="3.75" customHeight="1" x14ac:dyDescent="0.25">
      <c r="A114" s="81"/>
      <c r="B114" s="90"/>
      <c r="C114" s="89"/>
      <c r="D114" s="121"/>
      <c r="E114" s="122"/>
      <c r="F114" s="123"/>
      <c r="G114" s="123"/>
      <c r="H114" s="123"/>
      <c r="I114" s="124"/>
      <c r="J114" s="347"/>
      <c r="T114" s="534" t="str">
        <f t="shared" si="8"/>
        <v/>
      </c>
    </row>
    <row r="115" spans="1:73" s="15" customFormat="1" ht="15" x14ac:dyDescent="0.2">
      <c r="A115" s="125" t="s">
        <v>110</v>
      </c>
      <c r="B115" s="41"/>
      <c r="C115" s="42"/>
      <c r="D115" s="43">
        <f t="shared" ref="D115:I115" si="12">SUM(D101:D114)</f>
        <v>109597.143</v>
      </c>
      <c r="E115" s="44">
        <f t="shared" si="12"/>
        <v>8556.0650000000005</v>
      </c>
      <c r="F115" s="37">
        <f t="shared" si="12"/>
        <v>-1640.57</v>
      </c>
      <c r="G115" s="72">
        <f t="shared" si="12"/>
        <v>0</v>
      </c>
      <c r="H115" s="37">
        <f t="shared" si="12"/>
        <v>0</v>
      </c>
      <c r="I115" s="45">
        <f t="shared" si="12"/>
        <v>6915.4950000000008</v>
      </c>
      <c r="J115" s="345"/>
      <c r="K115" s="14"/>
      <c r="M115" s="14"/>
      <c r="N115" s="14"/>
      <c r="O115" s="14"/>
      <c r="P115" s="14"/>
      <c r="Q115" s="14"/>
      <c r="R115" s="14"/>
      <c r="S115" s="14"/>
      <c r="T115" s="534">
        <f t="shared" si="8"/>
        <v>6.3099226957038484E-2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</row>
    <row r="116" spans="1:73" s="15" customFormat="1" ht="15" x14ac:dyDescent="0.2">
      <c r="A116" s="125"/>
      <c r="B116" s="41"/>
      <c r="C116" s="42"/>
      <c r="D116" s="43"/>
      <c r="E116" s="44"/>
      <c r="F116" s="37"/>
      <c r="G116" s="72"/>
      <c r="H116" s="37"/>
      <c r="I116" s="45"/>
      <c r="J116" s="345"/>
      <c r="K116" s="14"/>
      <c r="M116" s="14"/>
      <c r="N116" s="14"/>
      <c r="O116" s="14"/>
      <c r="P116" s="14"/>
      <c r="Q116" s="14"/>
      <c r="R116" s="14"/>
      <c r="S116" s="14"/>
      <c r="T116" s="534" t="str">
        <f t="shared" si="8"/>
        <v/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</row>
    <row r="117" spans="1:73" s="15" customFormat="1" ht="15" x14ac:dyDescent="0.2">
      <c r="A117" s="125"/>
      <c r="B117" s="41"/>
      <c r="C117" s="42"/>
      <c r="D117" s="43"/>
      <c r="E117" s="44"/>
      <c r="F117" s="37"/>
      <c r="G117" s="72"/>
      <c r="H117" s="37"/>
      <c r="I117" s="45"/>
      <c r="J117" s="345"/>
      <c r="K117" s="14"/>
      <c r="M117" s="14"/>
      <c r="N117" s="14"/>
      <c r="O117" s="14"/>
      <c r="P117" s="14"/>
      <c r="Q117" s="14"/>
      <c r="R117" s="14"/>
      <c r="S117" s="14"/>
      <c r="T117" s="534" t="str">
        <f t="shared" si="8"/>
        <v/>
      </c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</row>
    <row r="118" spans="1:73" s="15" customFormat="1" ht="15" x14ac:dyDescent="0.2">
      <c r="A118" s="102" t="s">
        <v>111</v>
      </c>
      <c r="B118" s="41"/>
      <c r="C118" s="42"/>
      <c r="D118" s="43"/>
      <c r="E118" s="44"/>
      <c r="F118" s="37"/>
      <c r="G118" s="72"/>
      <c r="H118" s="37"/>
      <c r="I118" s="45"/>
      <c r="J118" s="345"/>
      <c r="K118" s="14"/>
      <c r="M118" s="14"/>
      <c r="N118" s="14"/>
      <c r="O118" s="14"/>
      <c r="P118" s="14"/>
      <c r="Q118" s="14"/>
      <c r="R118" s="14"/>
      <c r="S118" s="14"/>
      <c r="T118" s="534" t="str">
        <f t="shared" si="8"/>
        <v/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</row>
    <row r="119" spans="1:73" s="65" customFormat="1" ht="15.75" x14ac:dyDescent="0.25">
      <c r="A119" s="111" t="s">
        <v>112</v>
      </c>
      <c r="B119" s="90">
        <v>37098</v>
      </c>
      <c r="C119" s="89" t="s">
        <v>108</v>
      </c>
      <c r="D119" s="121">
        <v>141779</v>
      </c>
      <c r="E119" s="122">
        <v>9349.0519999999997</v>
      </c>
      <c r="F119" s="123">
        <v>-1692.9</v>
      </c>
      <c r="G119" s="123">
        <v>0</v>
      </c>
      <c r="H119" s="123"/>
      <c r="I119" s="124">
        <f>SUM(E119:H119)</f>
        <v>7656.152</v>
      </c>
      <c r="J119" s="347" t="s">
        <v>113</v>
      </c>
      <c r="T119" s="534">
        <f t="shared" si="8"/>
        <v>5.4000606577842981E-2</v>
      </c>
    </row>
    <row r="120" spans="1:73" s="15" customFormat="1" ht="15" x14ac:dyDescent="0.2">
      <c r="A120" s="125" t="s">
        <v>114</v>
      </c>
      <c r="B120" s="41"/>
      <c r="C120" s="42"/>
      <c r="D120" s="43">
        <f t="shared" ref="D120:I120" si="13">SUM(D118:D119)</f>
        <v>141779</v>
      </c>
      <c r="E120" s="44">
        <f t="shared" si="13"/>
        <v>9349.0519999999997</v>
      </c>
      <c r="F120" s="37">
        <f t="shared" si="13"/>
        <v>-1692.9</v>
      </c>
      <c r="G120" s="72">
        <f t="shared" si="13"/>
        <v>0</v>
      </c>
      <c r="H120" s="37">
        <f t="shared" si="13"/>
        <v>0</v>
      </c>
      <c r="I120" s="45">
        <f t="shared" si="13"/>
        <v>7656.152</v>
      </c>
      <c r="J120" s="345"/>
      <c r="K120" s="14"/>
      <c r="M120" s="14"/>
      <c r="N120" s="14"/>
      <c r="O120" s="14"/>
      <c r="P120" s="14"/>
      <c r="Q120" s="14"/>
      <c r="R120" s="14"/>
      <c r="S120" s="14"/>
      <c r="T120" s="534">
        <f t="shared" si="8"/>
        <v>5.4000606577842981E-2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</row>
    <row r="121" spans="1:73" s="15" customFormat="1" ht="15" x14ac:dyDescent="0.2">
      <c r="A121" s="125"/>
      <c r="B121" s="41"/>
      <c r="C121" s="42"/>
      <c r="D121" s="43"/>
      <c r="E121" s="44"/>
      <c r="F121" s="37"/>
      <c r="G121" s="72"/>
      <c r="H121" s="37"/>
      <c r="I121" s="45"/>
      <c r="J121" s="345"/>
      <c r="K121" s="14"/>
      <c r="M121" s="14"/>
      <c r="N121" s="14"/>
      <c r="O121" s="14"/>
      <c r="P121" s="14"/>
      <c r="Q121" s="14"/>
      <c r="R121" s="14"/>
      <c r="S121" s="14"/>
      <c r="T121" s="534" t="str">
        <f t="shared" si="8"/>
        <v/>
      </c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</row>
    <row r="122" spans="1:73" s="15" customFormat="1" ht="15" x14ac:dyDescent="0.2">
      <c r="A122" s="125"/>
      <c r="B122" s="41"/>
      <c r="C122" s="42"/>
      <c r="D122" s="43"/>
      <c r="E122" s="44"/>
      <c r="F122" s="37"/>
      <c r="G122" s="72"/>
      <c r="H122" s="37"/>
      <c r="I122" s="45"/>
      <c r="J122" s="345"/>
      <c r="K122" s="14"/>
      <c r="M122" s="14"/>
      <c r="N122" s="14"/>
      <c r="O122" s="14"/>
      <c r="P122" s="14"/>
      <c r="Q122" s="14"/>
      <c r="R122" s="14"/>
      <c r="S122" s="14"/>
      <c r="T122" s="534" t="str">
        <f t="shared" si="8"/>
        <v/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</row>
    <row r="123" spans="1:73" s="15" customFormat="1" ht="15" x14ac:dyDescent="0.2">
      <c r="A123" s="102"/>
      <c r="B123" s="41"/>
      <c r="C123" s="42"/>
      <c r="D123" s="43"/>
      <c r="E123" s="44"/>
      <c r="F123" s="37"/>
      <c r="G123" s="72"/>
      <c r="H123" s="37"/>
      <c r="I123" s="45"/>
      <c r="J123" s="345"/>
      <c r="K123" s="14"/>
      <c r="M123" s="14"/>
      <c r="N123" s="14"/>
      <c r="O123" s="14"/>
      <c r="P123" s="14"/>
      <c r="Q123" s="14"/>
      <c r="R123" s="14"/>
      <c r="S123" s="14"/>
      <c r="T123" s="534" t="str">
        <f t="shared" si="8"/>
        <v/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</row>
    <row r="124" spans="1:73" s="15" customFormat="1" ht="15" x14ac:dyDescent="0.2">
      <c r="A124" s="102" t="s">
        <v>115</v>
      </c>
      <c r="B124" s="41"/>
      <c r="C124" s="42"/>
      <c r="D124" s="43"/>
      <c r="E124" s="44"/>
      <c r="F124" s="37"/>
      <c r="G124" s="72"/>
      <c r="H124" s="37"/>
      <c r="I124" s="45"/>
      <c r="J124" s="345"/>
      <c r="K124" s="14"/>
      <c r="M124" s="14"/>
      <c r="N124" s="14"/>
      <c r="O124" s="14"/>
      <c r="P124" s="14"/>
      <c r="Q124" s="14"/>
      <c r="R124" s="14"/>
      <c r="S124" s="14"/>
      <c r="T124" s="534" t="str">
        <f t="shared" si="8"/>
        <v/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</row>
    <row r="125" spans="1:73" s="15" customFormat="1" ht="5.25" customHeight="1" x14ac:dyDescent="0.2">
      <c r="A125" s="102"/>
      <c r="B125" s="41"/>
      <c r="C125" s="42"/>
      <c r="D125" s="43"/>
      <c r="E125" s="44"/>
      <c r="F125" s="37"/>
      <c r="G125" s="72"/>
      <c r="H125" s="37"/>
      <c r="I125" s="45"/>
      <c r="J125" s="345"/>
      <c r="K125" s="14"/>
      <c r="M125" s="14"/>
      <c r="N125" s="14"/>
      <c r="O125" s="14"/>
      <c r="P125" s="14"/>
      <c r="Q125" s="14"/>
      <c r="R125" s="14"/>
      <c r="S125" s="14"/>
      <c r="T125" s="534" t="str">
        <f t="shared" si="8"/>
        <v/>
      </c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</row>
    <row r="126" spans="1:73" s="65" customFormat="1" ht="15.75" x14ac:dyDescent="0.25">
      <c r="A126" s="111" t="s">
        <v>116</v>
      </c>
      <c r="B126" s="86">
        <v>37091</v>
      </c>
      <c r="C126" s="89" t="s">
        <v>117</v>
      </c>
      <c r="D126" s="83">
        <v>3500</v>
      </c>
      <c r="E126" s="84">
        <v>612.72299999999996</v>
      </c>
      <c r="F126" s="72">
        <v>-59.41</v>
      </c>
      <c r="G126" s="72">
        <v>0</v>
      </c>
      <c r="H126" s="72">
        <v>0</v>
      </c>
      <c r="I126" s="85">
        <f>SUM(E126:H126)</f>
        <v>553.31299999999999</v>
      </c>
      <c r="J126" s="347" t="s">
        <v>69</v>
      </c>
      <c r="T126" s="534">
        <f t="shared" si="8"/>
        <v>0.15808942857142858</v>
      </c>
    </row>
    <row r="127" spans="1:73" s="65" customFormat="1" ht="4.5" customHeight="1" x14ac:dyDescent="0.25">
      <c r="A127" s="81"/>
      <c r="B127" s="86"/>
      <c r="C127" s="89"/>
      <c r="D127" s="126"/>
      <c r="E127" s="122"/>
      <c r="F127" s="123"/>
      <c r="G127" s="123"/>
      <c r="H127" s="123"/>
      <c r="I127" s="124"/>
      <c r="J127" s="347"/>
      <c r="T127" s="534" t="str">
        <f t="shared" si="8"/>
        <v/>
      </c>
    </row>
    <row r="128" spans="1:73" s="15" customFormat="1" ht="15" x14ac:dyDescent="0.2">
      <c r="A128" s="125" t="s">
        <v>118</v>
      </c>
      <c r="B128" s="41"/>
      <c r="C128" s="42"/>
      <c r="D128" s="43">
        <f t="shared" ref="D128:I128" si="14">SUM(D125:D127)</f>
        <v>3500</v>
      </c>
      <c r="E128" s="44">
        <f t="shared" si="14"/>
        <v>612.72299999999996</v>
      </c>
      <c r="F128" s="37">
        <f t="shared" si="14"/>
        <v>-59.41</v>
      </c>
      <c r="G128" s="72">
        <f t="shared" si="14"/>
        <v>0</v>
      </c>
      <c r="H128" s="37">
        <f t="shared" si="14"/>
        <v>0</v>
      </c>
      <c r="I128" s="45">
        <f t="shared" si="14"/>
        <v>553.31299999999999</v>
      </c>
      <c r="J128" s="345"/>
      <c r="K128" s="14"/>
      <c r="M128" s="14"/>
      <c r="N128" s="14"/>
      <c r="O128" s="14"/>
      <c r="P128" s="14"/>
      <c r="Q128" s="14"/>
      <c r="R128" s="14"/>
      <c r="S128" s="14"/>
      <c r="T128" s="534">
        <f t="shared" si="8"/>
        <v>0.15808942857142858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</row>
    <row r="129" spans="1:255" s="15" customFormat="1" ht="15" x14ac:dyDescent="0.2">
      <c r="A129" s="73"/>
      <c r="B129" s="41"/>
      <c r="C129" s="42"/>
      <c r="D129" s="43"/>
      <c r="E129" s="44"/>
      <c r="F129" s="37"/>
      <c r="G129" s="72"/>
      <c r="H129" s="37"/>
      <c r="I129" s="45"/>
      <c r="J129" s="345"/>
      <c r="K129" s="14"/>
      <c r="M129" s="14"/>
      <c r="N129" s="14"/>
      <c r="O129" s="14"/>
      <c r="P129" s="14"/>
      <c r="Q129" s="14"/>
      <c r="R129" s="14"/>
      <c r="S129" s="14"/>
      <c r="T129" s="534" t="str">
        <f t="shared" si="8"/>
        <v/>
      </c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</row>
    <row r="130" spans="1:255" s="15" customFormat="1" ht="15" x14ac:dyDescent="0.2">
      <c r="A130" s="102" t="s">
        <v>119</v>
      </c>
      <c r="B130" s="41"/>
      <c r="C130" s="42"/>
      <c r="D130" s="43"/>
      <c r="E130" s="44"/>
      <c r="F130" s="37"/>
      <c r="G130" s="72"/>
      <c r="H130" s="37"/>
      <c r="I130" s="45"/>
      <c r="J130" s="345"/>
      <c r="K130" s="14"/>
      <c r="M130" s="14"/>
      <c r="N130" s="14"/>
      <c r="O130" s="14"/>
      <c r="P130" s="14"/>
      <c r="Q130" s="14"/>
      <c r="R130" s="14"/>
      <c r="S130" s="14"/>
      <c r="T130" s="534" t="str">
        <f t="shared" si="8"/>
        <v/>
      </c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</row>
    <row r="131" spans="1:255" s="15" customFormat="1" ht="4.5" customHeight="1" x14ac:dyDescent="0.2">
      <c r="A131" s="41"/>
      <c r="B131" s="41"/>
      <c r="C131" s="42"/>
      <c r="D131" s="43"/>
      <c r="E131" s="44"/>
      <c r="F131" s="37"/>
      <c r="G131" s="72"/>
      <c r="H131" s="37"/>
      <c r="I131" s="45"/>
      <c r="J131" s="345"/>
      <c r="K131" s="14"/>
      <c r="M131" s="14"/>
      <c r="N131" s="14"/>
      <c r="O131" s="14"/>
      <c r="P131" s="14"/>
      <c r="Q131" s="14"/>
      <c r="R131" s="14"/>
      <c r="S131" s="14"/>
      <c r="T131" s="534" t="str">
        <f t="shared" si="8"/>
        <v/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</row>
    <row r="132" spans="1:255" s="65" customFormat="1" ht="18" x14ac:dyDescent="0.25">
      <c r="A132" s="127" t="s">
        <v>120</v>
      </c>
      <c r="B132" s="59"/>
      <c r="C132" s="60"/>
      <c r="D132" s="61">
        <v>5070.5169999999998</v>
      </c>
      <c r="E132" s="62">
        <f>1270825/1000</f>
        <v>1270.825</v>
      </c>
      <c r="F132" s="63">
        <f>-77850/1000</f>
        <v>-77.849999999999994</v>
      </c>
      <c r="G132" s="63"/>
      <c r="H132" s="63"/>
      <c r="I132" s="64">
        <f t="shared" ref="I132:I137" si="15">SUM(E132:G132)</f>
        <v>1192.9750000000001</v>
      </c>
      <c r="J132" s="347" t="s">
        <v>25</v>
      </c>
      <c r="T132" s="534">
        <f t="shared" si="8"/>
        <v>0.23527679721811409</v>
      </c>
    </row>
    <row r="133" spans="1:255" s="65" customFormat="1" ht="18" x14ac:dyDescent="0.25">
      <c r="A133" s="127" t="s">
        <v>121</v>
      </c>
      <c r="B133" s="59"/>
      <c r="C133" s="60"/>
      <c r="D133" s="61">
        <v>35595.633999999998</v>
      </c>
      <c r="E133" s="62">
        <f>8617698/1000</f>
        <v>8617.6980000000003</v>
      </c>
      <c r="F133" s="63">
        <f>-902000/1000</f>
        <v>-902</v>
      </c>
      <c r="G133" s="63"/>
      <c r="H133" s="63"/>
      <c r="I133" s="64">
        <f t="shared" si="15"/>
        <v>7715.6980000000003</v>
      </c>
      <c r="J133" s="347" t="s">
        <v>25</v>
      </c>
      <c r="T133" s="534">
        <f t="shared" si="8"/>
        <v>0.21675967339140528</v>
      </c>
    </row>
    <row r="134" spans="1:255" s="65" customFormat="1" ht="18" x14ac:dyDescent="0.25">
      <c r="A134" s="127" t="s">
        <v>122</v>
      </c>
      <c r="B134" s="59"/>
      <c r="C134" s="60"/>
      <c r="D134" s="61">
        <v>300.64600000000002</v>
      </c>
      <c r="E134" s="62">
        <f>103835/1000</f>
        <v>103.83499999999999</v>
      </c>
      <c r="F134" s="63">
        <v>-13.6</v>
      </c>
      <c r="G134" s="63"/>
      <c r="H134" s="63"/>
      <c r="I134" s="64">
        <f t="shared" si="15"/>
        <v>90.234999999999999</v>
      </c>
      <c r="J134" s="347" t="s">
        <v>25</v>
      </c>
      <c r="T134" s="534">
        <f t="shared" si="8"/>
        <v>0.30013703824431387</v>
      </c>
    </row>
    <row r="135" spans="1:255" s="65" customFormat="1" ht="18" x14ac:dyDescent="0.25">
      <c r="A135" s="127" t="s">
        <v>123</v>
      </c>
      <c r="B135" s="59"/>
      <c r="C135" s="60"/>
      <c r="D135" s="61">
        <v>76.183000000000007</v>
      </c>
      <c r="E135" s="62">
        <f>26286/1000</f>
        <v>26.286000000000001</v>
      </c>
      <c r="F135" s="63">
        <v>-3.4</v>
      </c>
      <c r="G135" s="63"/>
      <c r="H135" s="63"/>
      <c r="I135" s="64">
        <f t="shared" si="15"/>
        <v>22.886000000000003</v>
      </c>
      <c r="J135" s="347" t="s">
        <v>25</v>
      </c>
      <c r="T135" s="534">
        <f t="shared" si="8"/>
        <v>0.3004082275573291</v>
      </c>
    </row>
    <row r="136" spans="1:255" s="65" customFormat="1" ht="18" x14ac:dyDescent="0.25">
      <c r="A136" s="127" t="s">
        <v>124</v>
      </c>
      <c r="B136" s="59"/>
      <c r="C136" s="60"/>
      <c r="D136" s="61">
        <v>3551.7170000000001</v>
      </c>
      <c r="E136" s="62">
        <f>1015734/1000</f>
        <v>1015.734</v>
      </c>
      <c r="F136" s="63">
        <f>-43500/1000</f>
        <v>-43.5</v>
      </c>
      <c r="G136" s="63"/>
      <c r="H136" s="63"/>
      <c r="I136" s="64">
        <f t="shared" si="15"/>
        <v>972.23400000000004</v>
      </c>
      <c r="J136" s="347" t="s">
        <v>25</v>
      </c>
      <c r="T136" s="534">
        <f t="shared" si="8"/>
        <v>0.27373633653807439</v>
      </c>
    </row>
    <row r="137" spans="1:255" s="65" customFormat="1" ht="18" x14ac:dyDescent="0.25">
      <c r="A137" s="127" t="s">
        <v>125</v>
      </c>
      <c r="B137" s="59"/>
      <c r="C137" s="60"/>
      <c r="D137" s="61">
        <v>85.04</v>
      </c>
      <c r="E137" s="62">
        <f>23877/1000</f>
        <v>23.876999999999999</v>
      </c>
      <c r="F137" s="63">
        <v>-6.6</v>
      </c>
      <c r="G137" s="63"/>
      <c r="H137" s="63"/>
      <c r="I137" s="64">
        <f t="shared" si="15"/>
        <v>17.277000000000001</v>
      </c>
      <c r="J137" s="347" t="s">
        <v>25</v>
      </c>
      <c r="T137" s="534">
        <f t="shared" si="8"/>
        <v>0.2031632173095014</v>
      </c>
    </row>
    <row r="138" spans="1:255" s="65" customFormat="1" ht="15.75" x14ac:dyDescent="0.25">
      <c r="A138" s="128" t="s">
        <v>126</v>
      </c>
      <c r="B138" s="129"/>
      <c r="C138" s="130"/>
      <c r="D138" s="76">
        <v>0</v>
      </c>
      <c r="E138" s="77">
        <v>1315.72</v>
      </c>
      <c r="F138" s="78">
        <v>0</v>
      </c>
      <c r="G138" s="78">
        <v>0</v>
      </c>
      <c r="H138" s="78">
        <v>0</v>
      </c>
      <c r="I138" s="79">
        <f>SUM(E138:H138)</f>
        <v>1315.72</v>
      </c>
      <c r="J138" s="149" t="s">
        <v>18</v>
      </c>
      <c r="T138" s="534" t="str">
        <f t="shared" si="8"/>
        <v/>
      </c>
    </row>
    <row r="139" spans="1:255" s="65" customFormat="1" ht="15.75" x14ac:dyDescent="0.25">
      <c r="A139" s="131" t="s">
        <v>127</v>
      </c>
      <c r="B139" s="129"/>
      <c r="C139" s="130"/>
      <c r="D139" s="76">
        <v>0</v>
      </c>
      <c r="E139" s="77">
        <v>-1315.72</v>
      </c>
      <c r="F139" s="78">
        <v>0</v>
      </c>
      <c r="G139" s="78">
        <v>0</v>
      </c>
      <c r="H139" s="78">
        <v>0</v>
      </c>
      <c r="I139" s="79">
        <f>SUM(E139:H139)</f>
        <v>-1315.72</v>
      </c>
      <c r="J139" s="149" t="s">
        <v>18</v>
      </c>
      <c r="T139" s="534" t="str">
        <f t="shared" si="8"/>
        <v/>
      </c>
    </row>
    <row r="140" spans="1:255" s="65" customFormat="1" ht="15.75" x14ac:dyDescent="0.25">
      <c r="A140" s="111" t="s">
        <v>128</v>
      </c>
      <c r="B140" s="86">
        <v>37091</v>
      </c>
      <c r="C140" s="132" t="s">
        <v>129</v>
      </c>
      <c r="D140" s="91">
        <v>66947.301999999996</v>
      </c>
      <c r="E140" s="84">
        <v>3197.6489999999999</v>
      </c>
      <c r="F140" s="72">
        <v>0</v>
      </c>
      <c r="G140" s="72">
        <v>0</v>
      </c>
      <c r="H140" s="72">
        <v>0</v>
      </c>
      <c r="I140" s="85">
        <v>3197.6489999999999</v>
      </c>
      <c r="J140" s="347" t="s">
        <v>25</v>
      </c>
      <c r="T140" s="534">
        <f t="shared" si="8"/>
        <v>4.7763672388171821E-2</v>
      </c>
    </row>
    <row r="141" spans="1:255" s="97" customFormat="1" ht="15.75" x14ac:dyDescent="0.25">
      <c r="A141" s="111" t="s">
        <v>130</v>
      </c>
      <c r="B141" s="86">
        <v>37105</v>
      </c>
      <c r="C141" s="81" t="s">
        <v>131</v>
      </c>
      <c r="D141" s="83">
        <v>0</v>
      </c>
      <c r="E141" s="84">
        <v>1708.279</v>
      </c>
      <c r="F141" s="72">
        <v>0</v>
      </c>
      <c r="G141" s="72">
        <v>0</v>
      </c>
      <c r="H141" s="72"/>
      <c r="I141" s="85">
        <v>1708.279</v>
      </c>
      <c r="J141" s="347" t="s">
        <v>25</v>
      </c>
      <c r="K141" s="65"/>
      <c r="M141" s="65"/>
      <c r="N141" s="65"/>
      <c r="O141" s="65"/>
      <c r="P141" s="65"/>
      <c r="Q141" s="65"/>
      <c r="R141" s="65"/>
      <c r="S141" s="65"/>
      <c r="T141" s="534" t="str">
        <f t="shared" si="8"/>
        <v/>
      </c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  <c r="DS141" s="65"/>
      <c r="DT141" s="65"/>
      <c r="DU141" s="65"/>
      <c r="DV141" s="65"/>
      <c r="DW141" s="65"/>
      <c r="DX141" s="65"/>
      <c r="DY141" s="65"/>
      <c r="DZ141" s="65"/>
      <c r="EA141" s="65"/>
      <c r="EB141" s="65"/>
      <c r="EC141" s="65"/>
      <c r="ED141" s="65"/>
      <c r="EE141" s="65"/>
      <c r="EF141" s="65"/>
      <c r="EG141" s="65"/>
      <c r="EH141" s="65"/>
      <c r="EI141" s="65"/>
      <c r="EJ141" s="65"/>
      <c r="EK141" s="65"/>
      <c r="EL141" s="65"/>
      <c r="EM141" s="65"/>
      <c r="EN141" s="65"/>
      <c r="EO141" s="65"/>
      <c r="EP141" s="65"/>
      <c r="EQ141" s="65"/>
      <c r="ER141" s="65"/>
      <c r="ES141" s="65"/>
      <c r="ET141" s="65"/>
      <c r="EU141" s="65"/>
      <c r="EV141" s="65"/>
      <c r="EW141" s="65"/>
      <c r="EX141" s="65"/>
      <c r="EY141" s="65"/>
      <c r="EZ141" s="65"/>
      <c r="FA141" s="65"/>
      <c r="FB141" s="65"/>
      <c r="FC141" s="65"/>
      <c r="FD141" s="65"/>
      <c r="FE141" s="65"/>
      <c r="FF141" s="65"/>
      <c r="FG141" s="65"/>
      <c r="FH141" s="65"/>
      <c r="FI141" s="65"/>
      <c r="FJ141" s="65"/>
      <c r="FK141" s="65"/>
      <c r="FL141" s="65"/>
      <c r="FM141" s="65"/>
      <c r="FN141" s="65"/>
      <c r="FO141" s="65"/>
      <c r="FP141" s="65"/>
      <c r="FQ141" s="65"/>
      <c r="FR141" s="65"/>
      <c r="FS141" s="65"/>
      <c r="FT141" s="65"/>
      <c r="FU141" s="65"/>
      <c r="FV141" s="65"/>
      <c r="FW141" s="65"/>
      <c r="FX141" s="65"/>
      <c r="FY141" s="65"/>
      <c r="FZ141" s="65"/>
      <c r="GA141" s="65"/>
      <c r="GB141" s="65"/>
      <c r="GC141" s="65"/>
      <c r="GD141" s="65"/>
      <c r="GE141" s="65"/>
      <c r="GF141" s="65"/>
      <c r="GG141" s="65"/>
      <c r="GH141" s="65"/>
      <c r="GI141" s="65"/>
      <c r="GJ141" s="65"/>
      <c r="GK141" s="65"/>
      <c r="GL141" s="65"/>
      <c r="GM141" s="65"/>
      <c r="GN141" s="65"/>
      <c r="GO141" s="65"/>
      <c r="GP141" s="65"/>
      <c r="GQ141" s="65"/>
      <c r="GR141" s="65"/>
      <c r="GS141" s="65"/>
      <c r="GT141" s="65"/>
      <c r="GU141" s="65"/>
      <c r="GV141" s="65"/>
      <c r="GW141" s="65"/>
      <c r="GX141" s="65"/>
      <c r="GY141" s="65"/>
      <c r="GZ141" s="65"/>
      <c r="HA141" s="65"/>
      <c r="HB141" s="65"/>
      <c r="HC141" s="65"/>
      <c r="HD141" s="65"/>
      <c r="HE141" s="65"/>
      <c r="HF141" s="65"/>
      <c r="HG141" s="65"/>
      <c r="HH141" s="65"/>
      <c r="HI141" s="65"/>
      <c r="HJ141" s="65"/>
      <c r="HK141" s="65"/>
      <c r="HL141" s="65"/>
      <c r="HM141" s="65"/>
      <c r="HN141" s="65"/>
      <c r="HO141" s="65"/>
      <c r="HP141" s="65"/>
      <c r="HQ141" s="65"/>
      <c r="HR141" s="65"/>
      <c r="HS141" s="65"/>
      <c r="HT141" s="65"/>
      <c r="HU141" s="65"/>
      <c r="HV141" s="65"/>
      <c r="HW141" s="65"/>
      <c r="HX141" s="65"/>
      <c r="HY141" s="65"/>
      <c r="HZ141" s="65"/>
      <c r="IA141" s="65"/>
      <c r="IB141" s="65"/>
      <c r="IC141" s="65"/>
      <c r="ID141" s="65"/>
      <c r="IE141" s="65"/>
      <c r="IF141" s="65"/>
      <c r="IG141" s="65"/>
      <c r="IH141" s="65"/>
      <c r="II141" s="65"/>
      <c r="IJ141" s="65"/>
      <c r="IK141" s="65"/>
      <c r="IL141" s="65"/>
      <c r="IM141" s="65"/>
      <c r="IN141" s="65"/>
      <c r="IO141" s="65"/>
      <c r="IP141" s="65"/>
      <c r="IQ141" s="65"/>
      <c r="IR141" s="65"/>
      <c r="IS141" s="65"/>
      <c r="IT141" s="65"/>
      <c r="IU141" s="65"/>
    </row>
    <row r="142" spans="1:255" s="97" customFormat="1" ht="15.75" x14ac:dyDescent="0.25">
      <c r="A142" s="111" t="s">
        <v>132</v>
      </c>
      <c r="B142" s="90">
        <v>37105</v>
      </c>
      <c r="C142" s="132" t="s">
        <v>129</v>
      </c>
      <c r="D142" s="83">
        <v>0</v>
      </c>
      <c r="E142" s="84">
        <v>-25.920999999999999</v>
      </c>
      <c r="F142" s="72">
        <v>2.718</v>
      </c>
      <c r="G142" s="72">
        <v>0</v>
      </c>
      <c r="H142" s="72"/>
      <c r="I142" s="85">
        <v>-23.202999999999999</v>
      </c>
      <c r="J142" s="347" t="s">
        <v>25</v>
      </c>
      <c r="K142" s="65"/>
      <c r="M142" s="65"/>
      <c r="N142" s="65"/>
      <c r="O142" s="65"/>
      <c r="P142" s="65"/>
      <c r="Q142" s="65"/>
      <c r="R142" s="65"/>
      <c r="S142" s="65"/>
      <c r="T142" s="534" t="str">
        <f t="shared" si="8"/>
        <v/>
      </c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65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65"/>
      <c r="FA142" s="65"/>
      <c r="FB142" s="65"/>
      <c r="FC142" s="65"/>
      <c r="FD142" s="65"/>
      <c r="FE142" s="65"/>
      <c r="FF142" s="65"/>
      <c r="FG142" s="65"/>
      <c r="FH142" s="65"/>
      <c r="FI142" s="65"/>
      <c r="FJ142" s="65"/>
      <c r="FK142" s="65"/>
      <c r="FL142" s="65"/>
      <c r="FM142" s="65"/>
      <c r="FN142" s="65"/>
      <c r="FO142" s="65"/>
      <c r="FP142" s="65"/>
      <c r="FQ142" s="65"/>
      <c r="FR142" s="65"/>
      <c r="FS142" s="65"/>
      <c r="FT142" s="65"/>
      <c r="FU142" s="65"/>
      <c r="FV142" s="65"/>
      <c r="FW142" s="65"/>
      <c r="FX142" s="65"/>
      <c r="FY142" s="65"/>
      <c r="FZ142" s="65"/>
      <c r="GA142" s="65"/>
      <c r="GB142" s="65"/>
      <c r="GC142" s="65"/>
      <c r="GD142" s="65"/>
      <c r="GE142" s="65"/>
      <c r="GF142" s="65"/>
      <c r="GG142" s="65"/>
      <c r="GH142" s="65"/>
      <c r="GI142" s="65"/>
      <c r="GJ142" s="65"/>
      <c r="GK142" s="65"/>
      <c r="GL142" s="65"/>
      <c r="GM142" s="65"/>
      <c r="GN142" s="65"/>
      <c r="GO142" s="65"/>
      <c r="GP142" s="65"/>
      <c r="GQ142" s="65"/>
      <c r="GR142" s="65"/>
      <c r="GS142" s="65"/>
      <c r="GT142" s="65"/>
      <c r="GU142" s="65"/>
      <c r="GV142" s="65"/>
      <c r="GW142" s="65"/>
      <c r="GX142" s="65"/>
      <c r="GY142" s="65"/>
      <c r="GZ142" s="65"/>
      <c r="HA142" s="65"/>
      <c r="HB142" s="65"/>
      <c r="HC142" s="65"/>
      <c r="HD142" s="65"/>
      <c r="HE142" s="65"/>
      <c r="HF142" s="65"/>
      <c r="HG142" s="65"/>
      <c r="HH142" s="65"/>
      <c r="HI142" s="65"/>
      <c r="HJ142" s="65"/>
      <c r="HK142" s="65"/>
      <c r="HL142" s="65"/>
      <c r="HM142" s="65"/>
      <c r="HN142" s="65"/>
      <c r="HO142" s="65"/>
      <c r="HP142" s="65"/>
      <c r="HQ142" s="65"/>
      <c r="HR142" s="65"/>
      <c r="HS142" s="65"/>
      <c r="HT142" s="65"/>
      <c r="HU142" s="65"/>
      <c r="HV142" s="65"/>
      <c r="HW142" s="65"/>
      <c r="HX142" s="65"/>
      <c r="HY142" s="65"/>
      <c r="HZ142" s="65"/>
      <c r="IA142" s="65"/>
      <c r="IB142" s="65"/>
      <c r="IC142" s="65"/>
      <c r="ID142" s="65"/>
      <c r="IE142" s="65"/>
      <c r="IF142" s="65"/>
      <c r="IG142" s="65"/>
      <c r="IH142" s="65"/>
      <c r="II142" s="65"/>
      <c r="IJ142" s="65"/>
      <c r="IK142" s="65"/>
      <c r="IL142" s="65"/>
      <c r="IM142" s="65"/>
      <c r="IN142" s="65"/>
      <c r="IO142" s="65"/>
      <c r="IP142" s="65"/>
      <c r="IQ142" s="65"/>
      <c r="IR142" s="65"/>
      <c r="IS142" s="65"/>
      <c r="IT142" s="65"/>
      <c r="IU142" s="65"/>
    </row>
    <row r="143" spans="1:255" s="97" customFormat="1" ht="4.5" customHeight="1" x14ac:dyDescent="0.25">
      <c r="A143" s="81"/>
      <c r="B143" s="90"/>
      <c r="C143" s="89"/>
      <c r="D143" s="126"/>
      <c r="E143" s="122"/>
      <c r="F143" s="123"/>
      <c r="G143" s="123"/>
      <c r="H143" s="123"/>
      <c r="I143" s="124"/>
      <c r="J143" s="347"/>
      <c r="K143" s="65"/>
      <c r="M143" s="65"/>
      <c r="N143" s="65"/>
      <c r="O143" s="65"/>
      <c r="P143" s="65"/>
      <c r="Q143" s="65"/>
      <c r="R143" s="65"/>
      <c r="S143" s="65"/>
      <c r="T143" s="534" t="str">
        <f t="shared" si="8"/>
        <v/>
      </c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  <c r="DS143" s="65"/>
      <c r="DT143" s="65"/>
      <c r="DU143" s="65"/>
      <c r="DV143" s="65"/>
      <c r="DW143" s="65"/>
      <c r="DX143" s="65"/>
      <c r="DY143" s="65"/>
      <c r="DZ143" s="65"/>
      <c r="EA143" s="65"/>
      <c r="EB143" s="65"/>
      <c r="EC143" s="65"/>
      <c r="ED143" s="65"/>
      <c r="EE143" s="65"/>
      <c r="EF143" s="65"/>
      <c r="EG143" s="65"/>
      <c r="EH143" s="65"/>
      <c r="EI143" s="65"/>
      <c r="EJ143" s="65"/>
      <c r="EK143" s="65"/>
      <c r="EL143" s="65"/>
      <c r="EM143" s="65"/>
      <c r="EN143" s="65"/>
      <c r="EO143" s="65"/>
      <c r="EP143" s="65"/>
      <c r="EQ143" s="65"/>
      <c r="ER143" s="65"/>
      <c r="ES143" s="65"/>
      <c r="ET143" s="65"/>
      <c r="EU143" s="65"/>
      <c r="EV143" s="65"/>
      <c r="EW143" s="65"/>
      <c r="EX143" s="65"/>
      <c r="EY143" s="65"/>
      <c r="EZ143" s="65"/>
      <c r="FA143" s="65"/>
      <c r="FB143" s="65"/>
      <c r="FC143" s="65"/>
      <c r="FD143" s="65"/>
      <c r="FE143" s="65"/>
      <c r="FF143" s="65"/>
      <c r="FG143" s="65"/>
      <c r="FH143" s="65"/>
      <c r="FI143" s="65"/>
      <c r="FJ143" s="65"/>
      <c r="FK143" s="65"/>
      <c r="FL143" s="65"/>
      <c r="FM143" s="65"/>
      <c r="FN143" s="65"/>
      <c r="FO143" s="65"/>
      <c r="FP143" s="65"/>
      <c r="FQ143" s="65"/>
      <c r="FR143" s="65"/>
      <c r="FS143" s="65"/>
      <c r="FT143" s="65"/>
      <c r="FU143" s="65"/>
      <c r="FV143" s="65"/>
      <c r="FW143" s="65"/>
      <c r="FX143" s="65"/>
      <c r="FY143" s="65"/>
      <c r="FZ143" s="65"/>
      <c r="GA143" s="65"/>
      <c r="GB143" s="65"/>
      <c r="GC143" s="65"/>
      <c r="GD143" s="65"/>
      <c r="GE143" s="65"/>
      <c r="GF143" s="65"/>
      <c r="GG143" s="65"/>
      <c r="GH143" s="65"/>
      <c r="GI143" s="65"/>
      <c r="GJ143" s="65"/>
      <c r="GK143" s="65"/>
      <c r="GL143" s="65"/>
      <c r="GM143" s="65"/>
      <c r="GN143" s="65"/>
      <c r="GO143" s="65"/>
      <c r="GP143" s="65"/>
      <c r="GQ143" s="65"/>
      <c r="GR143" s="65"/>
      <c r="GS143" s="65"/>
      <c r="GT143" s="65"/>
      <c r="GU143" s="65"/>
      <c r="GV143" s="65"/>
      <c r="GW143" s="65"/>
      <c r="GX143" s="65"/>
      <c r="GY143" s="65"/>
      <c r="GZ143" s="65"/>
      <c r="HA143" s="65"/>
      <c r="HB143" s="65"/>
      <c r="HC143" s="65"/>
      <c r="HD143" s="65"/>
      <c r="HE143" s="65"/>
      <c r="HF143" s="65"/>
      <c r="HG143" s="65"/>
      <c r="HH143" s="65"/>
      <c r="HI143" s="65"/>
      <c r="HJ143" s="65"/>
      <c r="HK143" s="65"/>
      <c r="HL143" s="65"/>
      <c r="HM143" s="65"/>
      <c r="HN143" s="65"/>
      <c r="HO143" s="65"/>
      <c r="HP143" s="65"/>
      <c r="HQ143" s="65"/>
      <c r="HR143" s="65"/>
      <c r="HS143" s="65"/>
      <c r="HT143" s="65"/>
      <c r="HU143" s="65"/>
      <c r="HV143" s="65"/>
      <c r="HW143" s="65"/>
      <c r="HX143" s="65"/>
      <c r="HY143" s="65"/>
      <c r="HZ143" s="65"/>
      <c r="IA143" s="65"/>
      <c r="IB143" s="65"/>
      <c r="IC143" s="65"/>
      <c r="ID143" s="65"/>
      <c r="IE143" s="65"/>
      <c r="IF143" s="65"/>
      <c r="IG143" s="65"/>
      <c r="IH143" s="65"/>
      <c r="II143" s="65"/>
      <c r="IJ143" s="65"/>
      <c r="IK143" s="65"/>
      <c r="IL143" s="65"/>
      <c r="IM143" s="65"/>
      <c r="IN143" s="65"/>
      <c r="IO143" s="65"/>
      <c r="IP143" s="65"/>
      <c r="IQ143" s="65"/>
      <c r="IR143" s="65"/>
      <c r="IS143" s="65"/>
      <c r="IT143" s="65"/>
      <c r="IU143" s="65"/>
    </row>
    <row r="144" spans="1:255" s="15" customFormat="1" ht="15" x14ac:dyDescent="0.2">
      <c r="A144" s="125" t="s">
        <v>133</v>
      </c>
      <c r="B144" s="41"/>
      <c r="C144" s="42"/>
      <c r="D144" s="43">
        <f t="shared" ref="D144:I144" si="16">SUM(D130:D143)</f>
        <v>111627.03899999999</v>
      </c>
      <c r="E144" s="44">
        <f t="shared" si="16"/>
        <v>15938.262000000001</v>
      </c>
      <c r="F144" s="37">
        <f t="shared" si="16"/>
        <v>-1044.2319999999997</v>
      </c>
      <c r="G144" s="72">
        <f t="shared" si="16"/>
        <v>0</v>
      </c>
      <c r="H144" s="37">
        <f t="shared" si="16"/>
        <v>0</v>
      </c>
      <c r="I144" s="45">
        <f t="shared" si="16"/>
        <v>14894.030000000002</v>
      </c>
      <c r="J144" s="345"/>
      <c r="K144" s="14"/>
      <c r="M144" s="14"/>
      <c r="N144" s="14"/>
      <c r="O144" s="14"/>
      <c r="P144" s="14"/>
      <c r="Q144" s="14"/>
      <c r="R144" s="14"/>
      <c r="S144" s="14"/>
      <c r="T144" s="534">
        <f t="shared" si="8"/>
        <v>0.13342672289282889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</row>
    <row r="145" spans="1:73" s="15" customFormat="1" ht="15" x14ac:dyDescent="0.2">
      <c r="A145" s="41"/>
      <c r="B145" s="41"/>
      <c r="C145" s="42"/>
      <c r="D145" s="43"/>
      <c r="E145" s="44"/>
      <c r="F145" s="37"/>
      <c r="G145" s="72"/>
      <c r="H145" s="37"/>
      <c r="I145" s="45"/>
      <c r="J145" s="345"/>
      <c r="K145" s="14"/>
      <c r="M145" s="14"/>
      <c r="N145" s="14"/>
      <c r="O145" s="14"/>
      <c r="P145" s="14"/>
      <c r="Q145" s="14"/>
      <c r="R145" s="14"/>
      <c r="S145" s="14"/>
      <c r="T145" s="534" t="str">
        <f t="shared" si="8"/>
        <v/>
      </c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</row>
    <row r="146" spans="1:73" s="15" customFormat="1" ht="15" x14ac:dyDescent="0.2">
      <c r="A146" s="101" t="s">
        <v>134</v>
      </c>
      <c r="B146" s="41"/>
      <c r="C146" s="42"/>
      <c r="D146" s="43">
        <f t="shared" ref="D146:I146" si="17">D115+D120+D128+D144</f>
        <v>366503.18199999997</v>
      </c>
      <c r="E146" s="44">
        <f>E115+E120+E128+E144</f>
        <v>34456.101999999999</v>
      </c>
      <c r="F146" s="37">
        <f t="shared" si="17"/>
        <v>-4437.1120000000001</v>
      </c>
      <c r="G146" s="72">
        <f t="shared" si="17"/>
        <v>0</v>
      </c>
      <c r="H146" s="37">
        <f t="shared" si="17"/>
        <v>0</v>
      </c>
      <c r="I146" s="45">
        <f t="shared" si="17"/>
        <v>30018.990000000005</v>
      </c>
      <c r="J146" s="345"/>
      <c r="K146" s="14"/>
      <c r="M146" s="14"/>
      <c r="N146" s="14"/>
      <c r="O146" s="14"/>
      <c r="P146" s="14"/>
      <c r="Q146" s="14"/>
      <c r="R146" s="14"/>
      <c r="S146" s="14"/>
      <c r="T146" s="534">
        <f t="shared" si="8"/>
        <v>8.1906492151547022E-2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</row>
    <row r="147" spans="1:73" s="15" customFormat="1" ht="15" x14ac:dyDescent="0.2">
      <c r="A147" s="133"/>
      <c r="B147" s="41"/>
      <c r="C147" s="42"/>
      <c r="D147" s="43"/>
      <c r="E147" s="44"/>
      <c r="F147" s="37"/>
      <c r="G147" s="72"/>
      <c r="H147" s="37"/>
      <c r="I147" s="45"/>
      <c r="J147" s="345"/>
      <c r="K147" s="14"/>
      <c r="M147" s="14"/>
      <c r="N147" s="14"/>
      <c r="O147" s="14"/>
      <c r="P147" s="14"/>
      <c r="Q147" s="14"/>
      <c r="R147" s="14"/>
      <c r="S147" s="14"/>
      <c r="T147" s="534" t="str">
        <f t="shared" ref="T147:T210" si="18">IF(D147&gt;0,(I147/D147),"")</f>
        <v/>
      </c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</row>
    <row r="148" spans="1:73" s="15" customFormat="1" ht="15" x14ac:dyDescent="0.2">
      <c r="A148" s="133" t="s">
        <v>135</v>
      </c>
      <c r="B148" s="41"/>
      <c r="C148" s="42"/>
      <c r="D148" s="43"/>
      <c r="E148" s="44"/>
      <c r="F148" s="37"/>
      <c r="G148" s="72"/>
      <c r="H148" s="37"/>
      <c r="I148" s="45"/>
      <c r="J148" s="345"/>
      <c r="K148" s="14"/>
      <c r="M148" s="14"/>
      <c r="N148" s="14"/>
      <c r="O148" s="14"/>
      <c r="P148" s="14"/>
      <c r="Q148" s="14"/>
      <c r="R148" s="14"/>
      <c r="S148" s="14"/>
      <c r="T148" s="534" t="str">
        <f t="shared" si="18"/>
        <v/>
      </c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</row>
    <row r="149" spans="1:73" s="65" customFormat="1" ht="18" x14ac:dyDescent="0.25">
      <c r="A149" s="134" t="s">
        <v>136</v>
      </c>
      <c r="B149" s="59"/>
      <c r="C149" s="60"/>
      <c r="D149" s="61">
        <v>0</v>
      </c>
      <c r="E149" s="62">
        <f>3000000/1000</f>
        <v>3000</v>
      </c>
      <c r="F149" s="63">
        <v>0</v>
      </c>
      <c r="G149" s="63">
        <v>0</v>
      </c>
      <c r="H149" s="63"/>
      <c r="I149" s="64">
        <f>SUM(E149:G149)</f>
        <v>3000</v>
      </c>
      <c r="J149" s="347" t="s">
        <v>25</v>
      </c>
      <c r="T149" s="534" t="str">
        <f t="shared" si="18"/>
        <v/>
      </c>
    </row>
    <row r="150" spans="1:73" s="15" customFormat="1" ht="15.75" thickBot="1" x14ac:dyDescent="0.25">
      <c r="A150" s="41"/>
      <c r="B150" s="41"/>
      <c r="C150" s="42"/>
      <c r="D150" s="135"/>
      <c r="E150" s="136"/>
      <c r="F150" s="137"/>
      <c r="G150" s="137"/>
      <c r="H150" s="137"/>
      <c r="I150" s="138"/>
      <c r="J150" s="345"/>
      <c r="K150" s="14"/>
      <c r="M150" s="14"/>
      <c r="N150" s="14"/>
      <c r="O150" s="14"/>
      <c r="P150" s="14"/>
      <c r="Q150" s="14"/>
      <c r="R150" s="14"/>
      <c r="S150" s="14"/>
      <c r="T150" s="534" t="str">
        <f t="shared" si="18"/>
        <v/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</row>
    <row r="151" spans="1:73" s="147" customFormat="1" ht="18" x14ac:dyDescent="0.25">
      <c r="A151" s="139" t="s">
        <v>137</v>
      </c>
      <c r="B151" s="140"/>
      <c r="C151" s="141"/>
      <c r="D151" s="142">
        <f t="shared" ref="D151:I151" si="19">D146+D97+D90+D66+D42+D24+D149</f>
        <v>1255667.675</v>
      </c>
      <c r="E151" s="143">
        <f t="shared" si="19"/>
        <v>136984.62999999998</v>
      </c>
      <c r="F151" s="144">
        <f t="shared" si="19"/>
        <v>-15944.974</v>
      </c>
      <c r="G151" s="144">
        <f t="shared" si="19"/>
        <v>0</v>
      </c>
      <c r="H151" s="144">
        <f t="shared" si="19"/>
        <v>0</v>
      </c>
      <c r="I151" s="145">
        <f t="shared" si="19"/>
        <v>121039.69500000002</v>
      </c>
      <c r="J151" s="348"/>
      <c r="K151" s="146"/>
      <c r="M151" s="146"/>
      <c r="N151" s="146"/>
      <c r="O151" s="146"/>
      <c r="P151" s="146"/>
      <c r="Q151" s="146"/>
      <c r="R151" s="146"/>
      <c r="S151" s="146"/>
      <c r="T151" s="534">
        <f t="shared" si="18"/>
        <v>9.6394688984886082E-2</v>
      </c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  <c r="BH151" s="146"/>
      <c r="BI151" s="146"/>
      <c r="BJ151" s="146"/>
      <c r="BK151" s="146"/>
      <c r="BL151" s="146"/>
      <c r="BM151" s="146"/>
      <c r="BN151" s="146"/>
      <c r="BO151" s="146"/>
      <c r="BP151" s="146"/>
      <c r="BQ151" s="146"/>
      <c r="BR151" s="146"/>
      <c r="BS151" s="146"/>
      <c r="BT151" s="146"/>
      <c r="BU151" s="146"/>
    </row>
    <row r="152" spans="1:73" s="147" customFormat="1" ht="18" x14ac:dyDescent="0.25">
      <c r="A152" s="139"/>
      <c r="B152" s="140"/>
      <c r="C152" s="141"/>
      <c r="D152" s="142"/>
      <c r="E152" s="143"/>
      <c r="F152" s="144"/>
      <c r="G152" s="144"/>
      <c r="H152" s="144"/>
      <c r="I152" s="145"/>
      <c r="J152" s="348"/>
      <c r="K152" s="146"/>
      <c r="M152" s="146"/>
      <c r="N152" s="146"/>
      <c r="O152" s="146"/>
      <c r="P152" s="146"/>
      <c r="Q152" s="146"/>
      <c r="R152" s="146"/>
      <c r="S152" s="146"/>
      <c r="T152" s="534" t="str">
        <f t="shared" si="18"/>
        <v/>
      </c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  <c r="BH152" s="146"/>
      <c r="BI152" s="146"/>
      <c r="BJ152" s="146"/>
      <c r="BK152" s="146"/>
      <c r="BL152" s="146"/>
      <c r="BM152" s="146"/>
      <c r="BN152" s="146"/>
      <c r="BO152" s="146"/>
      <c r="BP152" s="146"/>
      <c r="BQ152" s="146"/>
      <c r="BR152" s="146"/>
      <c r="BS152" s="146"/>
      <c r="BT152" s="146"/>
      <c r="BU152" s="146"/>
    </row>
    <row r="153" spans="1:73" ht="18" x14ac:dyDescent="0.25">
      <c r="A153" s="141" t="s">
        <v>138</v>
      </c>
      <c r="B153" s="148"/>
      <c r="C153" s="149"/>
      <c r="D153" s="83"/>
      <c r="E153" s="84"/>
      <c r="F153" s="72"/>
      <c r="G153" s="72"/>
      <c r="H153" s="72"/>
      <c r="I153" s="85"/>
      <c r="J153" s="349"/>
      <c r="T153" s="534" t="str">
        <f t="shared" si="18"/>
        <v/>
      </c>
    </row>
    <row r="154" spans="1:73" ht="15.75" x14ac:dyDescent="0.25">
      <c r="A154" s="150"/>
      <c r="B154" s="151"/>
      <c r="C154" s="149"/>
      <c r="D154" s="83"/>
      <c r="E154" s="84"/>
      <c r="F154" s="72"/>
      <c r="G154" s="72"/>
      <c r="H154" s="72"/>
      <c r="I154" s="85"/>
      <c r="J154" s="349"/>
      <c r="T154" s="534" t="str">
        <f t="shared" si="18"/>
        <v/>
      </c>
    </row>
    <row r="155" spans="1:73" ht="15.75" x14ac:dyDescent="0.25">
      <c r="A155" s="152" t="s">
        <v>139</v>
      </c>
      <c r="B155" s="151"/>
      <c r="C155" s="149"/>
      <c r="D155" s="83"/>
      <c r="E155" s="337"/>
      <c r="F155" s="72"/>
      <c r="G155" s="72"/>
      <c r="H155" s="72"/>
      <c r="I155" s="85"/>
      <c r="J155" s="349"/>
      <c r="T155" s="534" t="str">
        <f t="shared" si="18"/>
        <v/>
      </c>
    </row>
    <row r="156" spans="1:73" ht="15" x14ac:dyDescent="0.2">
      <c r="A156" s="153"/>
      <c r="B156" s="154"/>
      <c r="C156" s="149"/>
      <c r="D156" s="83"/>
      <c r="E156" s="84"/>
      <c r="F156" s="72"/>
      <c r="G156" s="72"/>
      <c r="H156" s="72"/>
      <c r="I156" s="85"/>
      <c r="J156" s="349"/>
      <c r="T156" s="534" t="str">
        <f t="shared" si="18"/>
        <v/>
      </c>
    </row>
    <row r="157" spans="1:73" ht="15" x14ac:dyDescent="0.2">
      <c r="A157" s="155" t="s">
        <v>140</v>
      </c>
      <c r="B157" s="156"/>
      <c r="C157" s="149"/>
      <c r="D157" s="83"/>
      <c r="E157" s="84"/>
      <c r="F157" s="72"/>
      <c r="G157" s="72"/>
      <c r="H157" s="72"/>
      <c r="I157" s="85"/>
      <c r="J157" s="349"/>
      <c r="T157" s="534" t="str">
        <f t="shared" si="18"/>
        <v/>
      </c>
    </row>
    <row r="158" spans="1:73" ht="4.5" customHeight="1" x14ac:dyDescent="0.2">
      <c r="A158" s="157"/>
      <c r="B158" s="157"/>
      <c r="C158" s="158"/>
      <c r="D158" s="159"/>
      <c r="E158" s="160"/>
      <c r="F158" s="161"/>
      <c r="G158" s="161"/>
      <c r="H158" s="161"/>
      <c r="I158" s="162"/>
      <c r="J158" s="349"/>
      <c r="T158" s="534" t="str">
        <f t="shared" si="18"/>
        <v/>
      </c>
    </row>
    <row r="159" spans="1:73" s="65" customFormat="1" ht="18" x14ac:dyDescent="0.25">
      <c r="A159" s="104" t="s">
        <v>141</v>
      </c>
      <c r="B159" s="59"/>
      <c r="C159" s="163"/>
      <c r="D159" s="61">
        <v>9634.2119999999995</v>
      </c>
      <c r="E159" s="63">
        <f>862963/1000</f>
        <v>862.96299999999997</v>
      </c>
      <c r="F159" s="63">
        <f>-82200/1000</f>
        <v>-82.2</v>
      </c>
      <c r="G159" s="63"/>
      <c r="H159" s="63"/>
      <c r="I159" s="64">
        <f t="shared" ref="I159:I172" si="20">SUM(E159:G159)</f>
        <v>780.76299999999992</v>
      </c>
      <c r="J159" s="149" t="s">
        <v>69</v>
      </c>
      <c r="M159" s="110"/>
      <c r="T159" s="534">
        <f t="shared" si="18"/>
        <v>8.1040670477253357E-2</v>
      </c>
    </row>
    <row r="160" spans="1:73" s="65" customFormat="1" ht="18" x14ac:dyDescent="0.25">
      <c r="A160" s="104" t="s">
        <v>142</v>
      </c>
      <c r="B160" s="59"/>
      <c r="C160" s="163"/>
      <c r="D160" s="61">
        <f>I160/0.05</f>
        <v>2498.9</v>
      </c>
      <c r="E160" s="63">
        <f>138758/1000</f>
        <v>138.75800000000001</v>
      </c>
      <c r="F160" s="63">
        <v>-13.813000000000001</v>
      </c>
      <c r="G160" s="63"/>
      <c r="H160" s="63"/>
      <c r="I160" s="64">
        <f t="shared" si="20"/>
        <v>124.94500000000001</v>
      </c>
      <c r="J160" s="149" t="s">
        <v>69</v>
      </c>
      <c r="M160" s="110"/>
      <c r="T160" s="534">
        <f t="shared" si="18"/>
        <v>0.05</v>
      </c>
    </row>
    <row r="161" spans="1:20" s="65" customFormat="1" ht="18" x14ac:dyDescent="0.25">
      <c r="A161" s="104" t="s">
        <v>143</v>
      </c>
      <c r="B161" s="59"/>
      <c r="C161" s="163"/>
      <c r="D161" s="61">
        <v>13293.698</v>
      </c>
      <c r="E161" s="63">
        <f>1337899/1000</f>
        <v>1337.8989999999999</v>
      </c>
      <c r="F161" s="63">
        <f>-694000/1000</f>
        <v>-694</v>
      </c>
      <c r="G161" s="63"/>
      <c r="H161" s="63"/>
      <c r="I161" s="64">
        <f t="shared" si="20"/>
        <v>643.89899999999989</v>
      </c>
      <c r="J161" s="149" t="s">
        <v>25</v>
      </c>
      <c r="M161" s="110"/>
      <c r="T161" s="534">
        <f t="shared" si="18"/>
        <v>4.8436409492678398E-2</v>
      </c>
    </row>
    <row r="162" spans="1:20" s="65" customFormat="1" ht="18" x14ac:dyDescent="0.25">
      <c r="A162" s="104" t="s">
        <v>144</v>
      </c>
      <c r="B162" s="59"/>
      <c r="C162" s="163"/>
      <c r="D162" s="61">
        <f>+I162/0.01</f>
        <v>2605.3000000000002</v>
      </c>
      <c r="E162" s="63">
        <f>26053/1000</f>
        <v>26.053000000000001</v>
      </c>
      <c r="F162" s="63">
        <f>0/1000</f>
        <v>0</v>
      </c>
      <c r="G162" s="63"/>
      <c r="H162" s="63"/>
      <c r="I162" s="64">
        <f t="shared" si="20"/>
        <v>26.053000000000001</v>
      </c>
      <c r="J162" s="149" t="s">
        <v>25</v>
      </c>
      <c r="M162" s="110"/>
      <c r="T162" s="534">
        <f t="shared" si="18"/>
        <v>0.01</v>
      </c>
    </row>
    <row r="163" spans="1:20" s="65" customFormat="1" ht="18" x14ac:dyDescent="0.25">
      <c r="A163" s="104" t="s">
        <v>145</v>
      </c>
      <c r="B163" s="59"/>
      <c r="C163" s="163"/>
      <c r="D163" s="61">
        <f>I163/0.05</f>
        <v>874.06000000000006</v>
      </c>
      <c r="E163" s="63">
        <f>52334/1000</f>
        <v>52.334000000000003</v>
      </c>
      <c r="F163" s="63">
        <v>-8.6310000000000002</v>
      </c>
      <c r="G163" s="63"/>
      <c r="H163" s="63"/>
      <c r="I163" s="64">
        <f t="shared" si="20"/>
        <v>43.703000000000003</v>
      </c>
      <c r="J163" s="149" t="s">
        <v>69</v>
      </c>
      <c r="M163" s="110"/>
      <c r="T163" s="534">
        <f t="shared" si="18"/>
        <v>0.05</v>
      </c>
    </row>
    <row r="164" spans="1:20" s="65" customFormat="1" ht="18" x14ac:dyDescent="0.25">
      <c r="A164" s="104" t="s">
        <v>146</v>
      </c>
      <c r="B164" s="59"/>
      <c r="C164" s="163"/>
      <c r="D164" s="61">
        <v>426.42200000000003</v>
      </c>
      <c r="E164" s="63">
        <f>62479/1000</f>
        <v>62.478999999999999</v>
      </c>
      <c r="F164" s="63">
        <v>-11.335000000000001</v>
      </c>
      <c r="G164" s="63"/>
      <c r="H164" s="63"/>
      <c r="I164" s="64">
        <f t="shared" si="20"/>
        <v>51.143999999999998</v>
      </c>
      <c r="J164" s="149" t="s">
        <v>69</v>
      </c>
      <c r="M164" s="110"/>
      <c r="T164" s="534">
        <f t="shared" si="18"/>
        <v>0.11993752667545295</v>
      </c>
    </row>
    <row r="165" spans="1:20" s="65" customFormat="1" ht="18" x14ac:dyDescent="0.25">
      <c r="A165" s="104" t="s">
        <v>147</v>
      </c>
      <c r="B165" s="59"/>
      <c r="C165" s="163"/>
      <c r="D165" s="61">
        <f>I165/0.05</f>
        <v>2525.38</v>
      </c>
      <c r="E165" s="63">
        <f>135810/1000</f>
        <v>135.81</v>
      </c>
      <c r="F165" s="63">
        <v>-9.5410000000000004</v>
      </c>
      <c r="G165" s="63"/>
      <c r="H165" s="63"/>
      <c r="I165" s="64">
        <f t="shared" si="20"/>
        <v>126.26900000000001</v>
      </c>
      <c r="J165" s="149" t="s">
        <v>69</v>
      </c>
      <c r="M165" s="110"/>
      <c r="T165" s="534">
        <f t="shared" si="18"/>
        <v>0.05</v>
      </c>
    </row>
    <row r="166" spans="1:20" s="65" customFormat="1" ht="18" x14ac:dyDescent="0.25">
      <c r="A166" s="104" t="s">
        <v>148</v>
      </c>
      <c r="B166" s="59"/>
      <c r="C166" s="163"/>
      <c r="D166" s="61">
        <f>I166/0.05</f>
        <v>669.36</v>
      </c>
      <c r="E166" s="63">
        <f>36810/1000</f>
        <v>36.81</v>
      </c>
      <c r="F166" s="63">
        <v>-3.3420000000000001</v>
      </c>
      <c r="G166" s="63"/>
      <c r="H166" s="63"/>
      <c r="I166" s="64">
        <f t="shared" si="20"/>
        <v>33.468000000000004</v>
      </c>
      <c r="J166" s="149" t="s">
        <v>69</v>
      </c>
      <c r="M166" s="110"/>
      <c r="T166" s="534">
        <f t="shared" si="18"/>
        <v>0.05</v>
      </c>
    </row>
    <row r="167" spans="1:20" s="65" customFormat="1" ht="18" x14ac:dyDescent="0.25">
      <c r="A167" s="104" t="s">
        <v>149</v>
      </c>
      <c r="B167" s="59"/>
      <c r="C167" s="163"/>
      <c r="D167" s="61">
        <f>I167/0.05</f>
        <v>1037.3999999999999</v>
      </c>
      <c r="E167" s="63">
        <f>59751/1000</f>
        <v>59.750999999999998</v>
      </c>
      <c r="F167" s="63">
        <v>-7.8810000000000002</v>
      </c>
      <c r="G167" s="63"/>
      <c r="H167" s="63"/>
      <c r="I167" s="64">
        <f t="shared" si="20"/>
        <v>51.87</v>
      </c>
      <c r="J167" s="149" t="s">
        <v>69</v>
      </c>
      <c r="M167" s="110"/>
      <c r="T167" s="534">
        <f t="shared" si="18"/>
        <v>0.05</v>
      </c>
    </row>
    <row r="168" spans="1:20" s="65" customFormat="1" ht="18" x14ac:dyDescent="0.25">
      <c r="A168" s="104" t="s">
        <v>150</v>
      </c>
      <c r="B168" s="59"/>
      <c r="C168" s="163"/>
      <c r="D168" s="61">
        <v>371.738</v>
      </c>
      <c r="E168" s="63">
        <f>56921/1000</f>
        <v>56.920999999999999</v>
      </c>
      <c r="F168" s="63">
        <v>-10.029999999999999</v>
      </c>
      <c r="G168" s="63"/>
      <c r="H168" s="63"/>
      <c r="I168" s="64">
        <f t="shared" si="20"/>
        <v>46.890999999999998</v>
      </c>
      <c r="J168" s="149" t="s">
        <v>69</v>
      </c>
      <c r="M168" s="110"/>
      <c r="T168" s="534">
        <f t="shared" si="18"/>
        <v>0.1261399157471122</v>
      </c>
    </row>
    <row r="169" spans="1:20" s="65" customFormat="1" ht="18" x14ac:dyDescent="0.25">
      <c r="A169" s="104" t="s">
        <v>151</v>
      </c>
      <c r="B169" s="59"/>
      <c r="C169" s="163"/>
      <c r="D169" s="61">
        <f>I169/0.05</f>
        <v>3643.2999999999997</v>
      </c>
      <c r="E169" s="63">
        <f>223691/1000</f>
        <v>223.691</v>
      </c>
      <c r="F169" s="63">
        <f>-41526/1000</f>
        <v>-41.526000000000003</v>
      </c>
      <c r="G169" s="63"/>
      <c r="H169" s="63"/>
      <c r="I169" s="64">
        <f t="shared" si="20"/>
        <v>182.16499999999999</v>
      </c>
      <c r="J169" s="149" t="s">
        <v>69</v>
      </c>
      <c r="M169" s="110"/>
      <c r="T169" s="534">
        <f t="shared" si="18"/>
        <v>0.05</v>
      </c>
    </row>
    <row r="170" spans="1:20" s="65" customFormat="1" ht="18" x14ac:dyDescent="0.25">
      <c r="A170" s="104" t="s">
        <v>152</v>
      </c>
      <c r="B170" s="59"/>
      <c r="C170" s="163"/>
      <c r="D170" s="61">
        <f>I170/0.05</f>
        <v>1878.08</v>
      </c>
      <c r="E170" s="63">
        <f>102735/1000</f>
        <v>102.735</v>
      </c>
      <c r="F170" s="63">
        <v>-8.8309999999999995</v>
      </c>
      <c r="G170" s="63"/>
      <c r="H170" s="63"/>
      <c r="I170" s="64">
        <f t="shared" si="20"/>
        <v>93.903999999999996</v>
      </c>
      <c r="J170" s="149" t="s">
        <v>69</v>
      </c>
      <c r="M170" s="110"/>
      <c r="T170" s="534">
        <f t="shared" si="18"/>
        <v>0.05</v>
      </c>
    </row>
    <row r="171" spans="1:20" s="65" customFormat="1" ht="18" x14ac:dyDescent="0.25">
      <c r="A171" s="104" t="s">
        <v>153</v>
      </c>
      <c r="B171" s="59"/>
      <c r="C171" s="163"/>
      <c r="D171" s="61">
        <f>I171/0.05</f>
        <v>387.5</v>
      </c>
      <c r="E171" s="63">
        <v>23.776</v>
      </c>
      <c r="F171" s="63">
        <v>-4.4009999999999998</v>
      </c>
      <c r="G171" s="63"/>
      <c r="H171" s="63"/>
      <c r="I171" s="64">
        <f t="shared" si="20"/>
        <v>19.375</v>
      </c>
      <c r="J171" s="149" t="s">
        <v>69</v>
      </c>
      <c r="M171" s="110"/>
      <c r="T171" s="534">
        <f t="shared" si="18"/>
        <v>0.05</v>
      </c>
    </row>
    <row r="172" spans="1:20" s="168" customFormat="1" ht="18" x14ac:dyDescent="0.25">
      <c r="A172" s="104" t="s">
        <v>154</v>
      </c>
      <c r="B172" s="164"/>
      <c r="C172" s="165"/>
      <c r="D172" s="166">
        <v>1778.1590000000001</v>
      </c>
      <c r="E172" s="96">
        <f>318687/1000</f>
        <v>318.68700000000001</v>
      </c>
      <c r="F172" s="96">
        <v>-27.9</v>
      </c>
      <c r="G172" s="96"/>
      <c r="H172" s="96"/>
      <c r="I172" s="167">
        <f t="shared" si="20"/>
        <v>290.78700000000003</v>
      </c>
      <c r="J172" s="149" t="s">
        <v>25</v>
      </c>
      <c r="M172" s="110"/>
      <c r="T172" s="534">
        <f t="shared" si="18"/>
        <v>0.16353261997380439</v>
      </c>
    </row>
    <row r="173" spans="1:20" s="65" customFormat="1" ht="18" x14ac:dyDescent="0.25">
      <c r="A173" s="169" t="s">
        <v>155</v>
      </c>
      <c r="B173" s="170"/>
      <c r="C173" s="171"/>
      <c r="D173" s="83">
        <v>1106</v>
      </c>
      <c r="E173" s="84">
        <f>244378/1000</f>
        <v>244.37799999999999</v>
      </c>
      <c r="F173" s="72">
        <v>-17.302</v>
      </c>
      <c r="G173" s="72"/>
      <c r="H173" s="72"/>
      <c r="I173" s="85">
        <f>F173+E173</f>
        <v>227.07599999999999</v>
      </c>
      <c r="J173" s="149" t="s">
        <v>113</v>
      </c>
      <c r="M173" s="110"/>
      <c r="T173" s="534">
        <f t="shared" si="18"/>
        <v>0.20531283905967448</v>
      </c>
    </row>
    <row r="174" spans="1:20" s="65" customFormat="1" ht="18" x14ac:dyDescent="0.25">
      <c r="A174" s="169" t="s">
        <v>156</v>
      </c>
      <c r="B174" s="170"/>
      <c r="C174" s="171"/>
      <c r="D174" s="83">
        <v>1105.5820000000001</v>
      </c>
      <c r="E174" s="84">
        <f>10831/1000</f>
        <v>10.831</v>
      </c>
      <c r="F174" s="72">
        <v>-0.98199999999999998</v>
      </c>
      <c r="G174" s="72"/>
      <c r="H174" s="72"/>
      <c r="I174" s="85">
        <f>F174+E174</f>
        <v>9.8490000000000002</v>
      </c>
      <c r="J174" s="149" t="s">
        <v>69</v>
      </c>
      <c r="M174" s="110"/>
      <c r="T174" s="534">
        <f t="shared" si="18"/>
        <v>8.9084301300129693E-3</v>
      </c>
    </row>
    <row r="175" spans="1:20" s="65" customFormat="1" ht="15.75" x14ac:dyDescent="0.25">
      <c r="A175" s="111" t="s">
        <v>157</v>
      </c>
      <c r="B175" s="81"/>
      <c r="C175" s="171"/>
      <c r="D175" s="87">
        <v>1153.6559999999999</v>
      </c>
      <c r="E175" s="84">
        <v>138.74100000000001</v>
      </c>
      <c r="F175" s="72">
        <v>-26.949000000000002</v>
      </c>
      <c r="G175" s="72"/>
      <c r="H175" s="72"/>
      <c r="I175" s="85">
        <f>SUM(E175:H175)</f>
        <v>111.79200000000002</v>
      </c>
      <c r="J175" s="149" t="s">
        <v>113</v>
      </c>
      <c r="M175" s="110"/>
      <c r="T175" s="534">
        <f t="shared" si="18"/>
        <v>9.6902369510495343E-2</v>
      </c>
    </row>
    <row r="176" spans="1:20" s="65" customFormat="1" ht="18" x14ac:dyDescent="0.25">
      <c r="A176" s="169" t="s">
        <v>158</v>
      </c>
      <c r="B176" s="170"/>
      <c r="C176" s="171"/>
      <c r="D176" s="87">
        <f>I176/0.015</f>
        <v>9219.4666666666672</v>
      </c>
      <c r="E176" s="84">
        <f>188150/1000</f>
        <v>188.15</v>
      </c>
      <c r="F176" s="72">
        <f>-49858/1000</f>
        <v>-49.857999999999997</v>
      </c>
      <c r="G176" s="72"/>
      <c r="H176" s="72"/>
      <c r="I176" s="85">
        <f>F176+E176</f>
        <v>138.292</v>
      </c>
      <c r="J176" s="149" t="s">
        <v>69</v>
      </c>
      <c r="M176" s="110"/>
      <c r="T176" s="534">
        <f t="shared" si="18"/>
        <v>1.4999999999999999E-2</v>
      </c>
    </row>
    <row r="177" spans="1:20" s="65" customFormat="1" ht="18" x14ac:dyDescent="0.25">
      <c r="A177" s="169" t="s">
        <v>159</v>
      </c>
      <c r="B177" s="170"/>
      <c r="C177" s="171"/>
      <c r="D177" s="87">
        <f>I177/0.015</f>
        <v>6789.666666666667</v>
      </c>
      <c r="E177" s="84">
        <f>111707/1000</f>
        <v>111.70699999999999</v>
      </c>
      <c r="F177" s="72">
        <v>-9.8620000000000001</v>
      </c>
      <c r="G177" s="72"/>
      <c r="H177" s="72"/>
      <c r="I177" s="85">
        <f>F177+E177</f>
        <v>101.845</v>
      </c>
      <c r="J177" s="149" t="s">
        <v>69</v>
      </c>
      <c r="M177" s="110"/>
      <c r="T177" s="534">
        <f t="shared" si="18"/>
        <v>1.4999999999999999E-2</v>
      </c>
    </row>
    <row r="178" spans="1:20" s="65" customFormat="1" ht="18" x14ac:dyDescent="0.25">
      <c r="A178" s="169" t="s">
        <v>160</v>
      </c>
      <c r="B178" s="170"/>
      <c r="C178" s="171"/>
      <c r="D178" s="87">
        <f>I178/0.015</f>
        <v>7554.333333333333</v>
      </c>
      <c r="E178" s="84">
        <f>118908/1000</f>
        <v>118.908</v>
      </c>
      <c r="F178" s="72">
        <v>-5.593</v>
      </c>
      <c r="G178" s="72"/>
      <c r="H178" s="72"/>
      <c r="I178" s="85">
        <f>F178+E178</f>
        <v>113.315</v>
      </c>
      <c r="J178" s="149" t="s">
        <v>69</v>
      </c>
      <c r="M178" s="110"/>
      <c r="T178" s="534">
        <f t="shared" si="18"/>
        <v>1.4999999999999999E-2</v>
      </c>
    </row>
    <row r="179" spans="1:20" s="65" customFormat="1" ht="15.75" x14ac:dyDescent="0.25">
      <c r="A179" s="111" t="s">
        <v>161</v>
      </c>
      <c r="B179" s="81"/>
      <c r="C179" s="171"/>
      <c r="D179" s="87">
        <f>I179/0.05</f>
        <v>779.69999999999993</v>
      </c>
      <c r="E179" s="84">
        <v>43.631999999999998</v>
      </c>
      <c r="F179" s="72">
        <v>-4.6470000000000002</v>
      </c>
      <c r="G179" s="72"/>
      <c r="H179" s="72"/>
      <c r="I179" s="85">
        <f>SUM(E179:H179)</f>
        <v>38.984999999999999</v>
      </c>
      <c r="J179" s="149" t="s">
        <v>69</v>
      </c>
      <c r="M179" s="110"/>
      <c r="T179" s="534">
        <f t="shared" si="18"/>
        <v>0.05</v>
      </c>
    </row>
    <row r="180" spans="1:20" s="65" customFormat="1" ht="15.75" x14ac:dyDescent="0.25">
      <c r="A180" s="111" t="s">
        <v>162</v>
      </c>
      <c r="B180" s="81"/>
      <c r="C180" s="171"/>
      <c r="D180" s="87">
        <f>I180/0.05</f>
        <v>311.36</v>
      </c>
      <c r="E180" s="84">
        <v>16.696000000000002</v>
      </c>
      <c r="F180" s="72">
        <v>-1.1279999999999999</v>
      </c>
      <c r="G180" s="72"/>
      <c r="H180" s="72"/>
      <c r="I180" s="85">
        <f>SUM(E180:H180)</f>
        <v>15.568000000000001</v>
      </c>
      <c r="J180" s="149" t="s">
        <v>69</v>
      </c>
      <c r="M180" s="110"/>
      <c r="T180" s="534">
        <f t="shared" si="18"/>
        <v>0.05</v>
      </c>
    </row>
    <row r="181" spans="1:20" s="65" customFormat="1" ht="15.75" x14ac:dyDescent="0.25">
      <c r="A181" s="111" t="s">
        <v>163</v>
      </c>
      <c r="B181" s="81"/>
      <c r="C181" s="171"/>
      <c r="D181" s="87">
        <f>I181/0.05</f>
        <v>1426.8200000000002</v>
      </c>
      <c r="E181" s="84">
        <v>77.147000000000006</v>
      </c>
      <c r="F181" s="72">
        <v>-5.806</v>
      </c>
      <c r="G181" s="72"/>
      <c r="H181" s="72"/>
      <c r="I181" s="85">
        <f>SUM(E181:H181)</f>
        <v>71.341000000000008</v>
      </c>
      <c r="J181" s="149" t="s">
        <v>69</v>
      </c>
      <c r="M181" s="110"/>
      <c r="T181" s="534">
        <f t="shared" si="18"/>
        <v>0.05</v>
      </c>
    </row>
    <row r="182" spans="1:20" s="65" customFormat="1" ht="15.75" x14ac:dyDescent="0.25">
      <c r="A182" s="111" t="s">
        <v>164</v>
      </c>
      <c r="B182" s="81"/>
      <c r="C182" s="171"/>
      <c r="D182" s="87">
        <f>I182/0.05</f>
        <v>784.4</v>
      </c>
      <c r="E182" s="84">
        <v>44.003</v>
      </c>
      <c r="F182" s="72">
        <v>-4.7830000000000004</v>
      </c>
      <c r="G182" s="72"/>
      <c r="H182" s="72"/>
      <c r="I182" s="85">
        <f>SUM(E182:H182)</f>
        <v>39.22</v>
      </c>
      <c r="J182" s="149" t="s">
        <v>69</v>
      </c>
      <c r="M182" s="110"/>
      <c r="T182" s="534">
        <f t="shared" si="18"/>
        <v>0.05</v>
      </c>
    </row>
    <row r="183" spans="1:20" s="65" customFormat="1" ht="15.75" x14ac:dyDescent="0.25">
      <c r="A183" s="111" t="s">
        <v>165</v>
      </c>
      <c r="B183" s="81"/>
      <c r="C183" s="171"/>
      <c r="D183" s="83">
        <v>2142</v>
      </c>
      <c r="E183" s="84">
        <v>429.24599999999998</v>
      </c>
      <c r="F183" s="72">
        <v>-63.496000000000002</v>
      </c>
      <c r="G183" s="72"/>
      <c r="H183" s="72"/>
      <c r="I183" s="85">
        <f t="shared" ref="I183:I189" si="21">SUM(E183:G183)</f>
        <v>365.75</v>
      </c>
      <c r="J183" s="149" t="s">
        <v>113</v>
      </c>
      <c r="M183" s="110"/>
      <c r="T183" s="534">
        <f t="shared" si="18"/>
        <v>0.17075163398692811</v>
      </c>
    </row>
    <row r="184" spans="1:20" s="65" customFormat="1" ht="15.75" x14ac:dyDescent="0.25">
      <c r="A184" s="111" t="s">
        <v>166</v>
      </c>
      <c r="B184" s="81"/>
      <c r="C184" s="171"/>
      <c r="D184" s="83">
        <f t="shared" ref="D184:D190" si="22">I184/0.05</f>
        <v>463.92</v>
      </c>
      <c r="E184" s="84">
        <v>24.931000000000001</v>
      </c>
      <c r="F184" s="72">
        <v>-1.7350000000000001</v>
      </c>
      <c r="G184" s="72"/>
      <c r="H184" s="72"/>
      <c r="I184" s="85">
        <f t="shared" si="21"/>
        <v>23.196000000000002</v>
      </c>
      <c r="J184" s="149" t="s">
        <v>69</v>
      </c>
      <c r="M184" s="110"/>
      <c r="T184" s="534">
        <f t="shared" si="18"/>
        <v>0.05</v>
      </c>
    </row>
    <row r="185" spans="1:20" s="65" customFormat="1" ht="15.75" x14ac:dyDescent="0.25">
      <c r="A185" s="111" t="s">
        <v>167</v>
      </c>
      <c r="B185" s="81"/>
      <c r="C185" s="171"/>
      <c r="D185" s="83">
        <f t="shared" si="22"/>
        <v>1204.3399999999997</v>
      </c>
      <c r="E185" s="84">
        <v>68.462999999999994</v>
      </c>
      <c r="F185" s="72">
        <v>-8.2460000000000004</v>
      </c>
      <c r="G185" s="72"/>
      <c r="H185" s="72"/>
      <c r="I185" s="85">
        <f t="shared" si="21"/>
        <v>60.216999999999992</v>
      </c>
      <c r="J185" s="149" t="s">
        <v>69</v>
      </c>
      <c r="M185" s="110"/>
      <c r="T185" s="534">
        <f t="shared" si="18"/>
        <v>0.05</v>
      </c>
    </row>
    <row r="186" spans="1:20" s="65" customFormat="1" ht="15.75" x14ac:dyDescent="0.25">
      <c r="A186" s="111" t="s">
        <v>168</v>
      </c>
      <c r="B186" s="81"/>
      <c r="C186" s="171"/>
      <c r="D186" s="83">
        <f t="shared" si="22"/>
        <v>444.5</v>
      </c>
      <c r="E186" s="84">
        <v>24.181000000000001</v>
      </c>
      <c r="F186" s="72">
        <v>-1.956</v>
      </c>
      <c r="G186" s="72"/>
      <c r="H186" s="72"/>
      <c r="I186" s="85">
        <f t="shared" si="21"/>
        <v>22.225000000000001</v>
      </c>
      <c r="J186" s="149" t="s">
        <v>69</v>
      </c>
      <c r="M186" s="110"/>
      <c r="T186" s="534">
        <f t="shared" si="18"/>
        <v>0.05</v>
      </c>
    </row>
    <row r="187" spans="1:20" s="65" customFormat="1" ht="15.75" x14ac:dyDescent="0.25">
      <c r="A187" s="111" t="s">
        <v>169</v>
      </c>
      <c r="B187" s="81"/>
      <c r="C187" s="171"/>
      <c r="D187" s="83">
        <f t="shared" si="22"/>
        <v>5125.1599999999989</v>
      </c>
      <c r="E187" s="84">
        <v>284.48399999999998</v>
      </c>
      <c r="F187" s="72">
        <v>-28.225999999999999</v>
      </c>
      <c r="G187" s="72"/>
      <c r="H187" s="72"/>
      <c r="I187" s="85">
        <f t="shared" si="21"/>
        <v>256.25799999999998</v>
      </c>
      <c r="J187" s="149" t="s">
        <v>69</v>
      </c>
      <c r="M187" s="110"/>
      <c r="T187" s="534">
        <f t="shared" si="18"/>
        <v>5.000000000000001E-2</v>
      </c>
    </row>
    <row r="188" spans="1:20" s="65" customFormat="1" ht="15.75" x14ac:dyDescent="0.25">
      <c r="A188" s="111" t="s">
        <v>170</v>
      </c>
      <c r="B188" s="81"/>
      <c r="C188" s="171"/>
      <c r="D188" s="83">
        <f t="shared" si="22"/>
        <v>835.13999999999987</v>
      </c>
      <c r="E188" s="84">
        <v>47.671999999999997</v>
      </c>
      <c r="F188" s="72">
        <v>-5.915</v>
      </c>
      <c r="G188" s="72"/>
      <c r="H188" s="72"/>
      <c r="I188" s="85">
        <f t="shared" si="21"/>
        <v>41.756999999999998</v>
      </c>
      <c r="J188" s="149" t="s">
        <v>69</v>
      </c>
      <c r="M188" s="110"/>
      <c r="T188" s="534">
        <f t="shared" si="18"/>
        <v>0.05</v>
      </c>
    </row>
    <row r="189" spans="1:20" s="65" customFormat="1" ht="15.75" x14ac:dyDescent="0.25">
      <c r="A189" s="111" t="s">
        <v>171</v>
      </c>
      <c r="B189" s="81"/>
      <c r="C189" s="171"/>
      <c r="D189" s="83">
        <f t="shared" si="22"/>
        <v>790.34</v>
      </c>
      <c r="E189" s="84">
        <v>41.655000000000001</v>
      </c>
      <c r="F189" s="72">
        <v>-2.1379999999999999</v>
      </c>
      <c r="G189" s="72"/>
      <c r="H189" s="72"/>
      <c r="I189" s="85">
        <f t="shared" si="21"/>
        <v>39.517000000000003</v>
      </c>
      <c r="J189" s="149" t="s">
        <v>69</v>
      </c>
      <c r="M189" s="110"/>
      <c r="T189" s="534">
        <f t="shared" si="18"/>
        <v>0.05</v>
      </c>
    </row>
    <row r="190" spans="1:20" s="65" customFormat="1" ht="15.75" x14ac:dyDescent="0.25">
      <c r="A190" s="111" t="s">
        <v>172</v>
      </c>
      <c r="B190" s="81"/>
      <c r="C190" s="171"/>
      <c r="D190" s="83">
        <f t="shared" si="22"/>
        <v>2087.8999999999996</v>
      </c>
      <c r="E190" s="84">
        <v>123.768</v>
      </c>
      <c r="F190" s="72">
        <v>-19.373000000000001</v>
      </c>
      <c r="G190" s="72"/>
      <c r="H190" s="72"/>
      <c r="I190" s="85">
        <v>104.395</v>
      </c>
      <c r="J190" s="149" t="s">
        <v>69</v>
      </c>
      <c r="M190" s="110"/>
      <c r="T190" s="534">
        <f t="shared" si="18"/>
        <v>5.000000000000001E-2</v>
      </c>
    </row>
    <row r="191" spans="1:20" s="65" customFormat="1" ht="15.75" x14ac:dyDescent="0.25">
      <c r="A191" s="111" t="s">
        <v>173</v>
      </c>
      <c r="B191" s="81"/>
      <c r="C191" s="171"/>
      <c r="D191" s="83">
        <v>16.915956751692086</v>
      </c>
      <c r="E191" s="84">
        <v>3.7160000000000002</v>
      </c>
      <c r="F191" s="72">
        <v>-1.778</v>
      </c>
      <c r="G191" s="72"/>
      <c r="H191" s="72"/>
      <c r="I191" s="85">
        <v>1.9380000000000002</v>
      </c>
      <c r="J191" s="149" t="s">
        <v>69</v>
      </c>
      <c r="M191" s="110"/>
      <c r="T191" s="534">
        <f t="shared" si="18"/>
        <v>0.11456638418079096</v>
      </c>
    </row>
    <row r="192" spans="1:20" s="65" customFormat="1" ht="15.75" x14ac:dyDescent="0.25">
      <c r="A192" s="111" t="s">
        <v>174</v>
      </c>
      <c r="B192" s="81"/>
      <c r="C192" s="171"/>
      <c r="D192" s="83">
        <f t="shared" ref="D192:D197" si="23">I192/0.05</f>
        <v>515.17999999999995</v>
      </c>
      <c r="E192" s="84">
        <v>27.902999999999999</v>
      </c>
      <c r="F192" s="72">
        <v>-2.1440000000000001</v>
      </c>
      <c r="G192" s="72"/>
      <c r="H192" s="72"/>
      <c r="I192" s="85">
        <v>25.759</v>
      </c>
      <c r="J192" s="149" t="s">
        <v>69</v>
      </c>
      <c r="M192" s="110"/>
      <c r="T192" s="534">
        <f t="shared" si="18"/>
        <v>0.05</v>
      </c>
    </row>
    <row r="193" spans="1:255" s="65" customFormat="1" ht="15.75" x14ac:dyDescent="0.25">
      <c r="A193" s="111" t="s">
        <v>175</v>
      </c>
      <c r="B193" s="81"/>
      <c r="C193" s="171"/>
      <c r="D193" s="83">
        <f t="shared" si="23"/>
        <v>1123.8399999999997</v>
      </c>
      <c r="E193" s="84">
        <v>62.723999999999997</v>
      </c>
      <c r="F193" s="72">
        <v>-6.532</v>
      </c>
      <c r="G193" s="72"/>
      <c r="H193" s="72"/>
      <c r="I193" s="85">
        <f>SUM(E193:H193)</f>
        <v>56.191999999999993</v>
      </c>
      <c r="J193" s="149" t="s">
        <v>69</v>
      </c>
      <c r="M193" s="110"/>
      <c r="T193" s="534">
        <f t="shared" si="18"/>
        <v>5.000000000000001E-2</v>
      </c>
    </row>
    <row r="194" spans="1:255" s="65" customFormat="1" ht="15.75" x14ac:dyDescent="0.25">
      <c r="A194" s="111" t="s">
        <v>176</v>
      </c>
      <c r="B194" s="81"/>
      <c r="C194" s="171"/>
      <c r="D194" s="83">
        <f t="shared" si="23"/>
        <v>884.31999999999994</v>
      </c>
      <c r="E194" s="84">
        <v>52.151000000000003</v>
      </c>
      <c r="F194" s="72">
        <v>-7.9349999999999996</v>
      </c>
      <c r="G194" s="72"/>
      <c r="H194" s="72"/>
      <c r="I194" s="85">
        <f>SUM(E194:H194)</f>
        <v>44.216000000000001</v>
      </c>
      <c r="J194" s="149" t="s">
        <v>69</v>
      </c>
      <c r="M194" s="110"/>
      <c r="T194" s="534">
        <f t="shared" si="18"/>
        <v>0.05</v>
      </c>
    </row>
    <row r="195" spans="1:255" s="65" customFormat="1" ht="15.75" x14ac:dyDescent="0.25">
      <c r="A195" s="111" t="s">
        <v>177</v>
      </c>
      <c r="B195" s="81"/>
      <c r="C195" s="171"/>
      <c r="D195" s="83">
        <f t="shared" si="23"/>
        <v>922.19999999999993</v>
      </c>
      <c r="E195" s="84">
        <v>49.320999999999998</v>
      </c>
      <c r="F195" s="72">
        <v>-3.2109999999999999</v>
      </c>
      <c r="G195" s="72"/>
      <c r="H195" s="72"/>
      <c r="I195" s="85">
        <f>SUM(E195:H195)</f>
        <v>46.11</v>
      </c>
      <c r="J195" s="149" t="s">
        <v>69</v>
      </c>
      <c r="M195" s="110"/>
      <c r="T195" s="534">
        <f t="shared" si="18"/>
        <v>0.05</v>
      </c>
    </row>
    <row r="196" spans="1:255" s="65" customFormat="1" ht="15.75" x14ac:dyDescent="0.25">
      <c r="A196" s="111" t="s">
        <v>178</v>
      </c>
      <c r="B196" s="81"/>
      <c r="C196" s="171"/>
      <c r="D196" s="83">
        <f t="shared" si="23"/>
        <v>612.83999999999992</v>
      </c>
      <c r="E196" s="84">
        <v>32.914999999999999</v>
      </c>
      <c r="F196" s="72">
        <v>-2.2730000000000001</v>
      </c>
      <c r="G196" s="72"/>
      <c r="H196" s="72"/>
      <c r="I196" s="85">
        <f>SUM(E196:H196)</f>
        <v>30.641999999999999</v>
      </c>
      <c r="J196" s="149" t="s">
        <v>69</v>
      </c>
      <c r="M196" s="110"/>
      <c r="T196" s="534">
        <f t="shared" si="18"/>
        <v>0.05</v>
      </c>
    </row>
    <row r="197" spans="1:255" s="65" customFormat="1" ht="15.75" x14ac:dyDescent="0.25">
      <c r="A197" s="111" t="s">
        <v>179</v>
      </c>
      <c r="B197" s="81"/>
      <c r="C197" s="171"/>
      <c r="D197" s="83">
        <f t="shared" si="23"/>
        <v>988.86</v>
      </c>
      <c r="E197" s="84">
        <v>53.712000000000003</v>
      </c>
      <c r="F197" s="72">
        <v>-4.2690000000000001</v>
      </c>
      <c r="G197" s="72"/>
      <c r="H197" s="72"/>
      <c r="I197" s="85">
        <f>SUM(E197:H197)</f>
        <v>49.443000000000005</v>
      </c>
      <c r="J197" s="149" t="s">
        <v>69</v>
      </c>
      <c r="M197" s="110"/>
      <c r="T197" s="534">
        <f t="shared" si="18"/>
        <v>0.05</v>
      </c>
    </row>
    <row r="198" spans="1:255" s="65" customFormat="1" ht="15.75" x14ac:dyDescent="0.25">
      <c r="A198" s="111" t="s">
        <v>180</v>
      </c>
      <c r="B198" s="119"/>
      <c r="C198" s="172" t="s">
        <v>181</v>
      </c>
      <c r="D198" s="83">
        <v>708</v>
      </c>
      <c r="E198" s="84">
        <v>99.763000000000005</v>
      </c>
      <c r="F198" s="72">
        <v>-18.649999999999999</v>
      </c>
      <c r="G198" s="72"/>
      <c r="H198" s="72"/>
      <c r="I198" s="85">
        <f>SUM(E198:G198)</f>
        <v>81.113</v>
      </c>
      <c r="J198" s="149" t="s">
        <v>69</v>
      </c>
      <c r="M198" s="110"/>
      <c r="T198" s="534">
        <f t="shared" si="18"/>
        <v>0.11456638418079096</v>
      </c>
    </row>
    <row r="199" spans="1:255" s="65" customFormat="1" ht="15.75" x14ac:dyDescent="0.25">
      <c r="A199" s="111" t="s">
        <v>182</v>
      </c>
      <c r="B199" s="86">
        <v>37083</v>
      </c>
      <c r="C199" s="149" t="s">
        <v>183</v>
      </c>
      <c r="D199" s="83">
        <v>1364.808</v>
      </c>
      <c r="E199" s="84">
        <v>251.72800000000001</v>
      </c>
      <c r="F199" s="72">
        <v>-38.664999999999999</v>
      </c>
      <c r="G199" s="72">
        <v>0</v>
      </c>
      <c r="H199" s="72">
        <v>0</v>
      </c>
      <c r="I199" s="85">
        <f t="shared" ref="I199:I207" si="24">SUM(E199:H199)</f>
        <v>213.06300000000002</v>
      </c>
      <c r="J199" s="149" t="s">
        <v>113</v>
      </c>
      <c r="M199" s="110"/>
      <c r="T199" s="534">
        <f t="shared" si="18"/>
        <v>0.15611206851073559</v>
      </c>
    </row>
    <row r="200" spans="1:255" s="65" customFormat="1" ht="15.75" x14ac:dyDescent="0.25">
      <c r="A200" s="111" t="s">
        <v>184</v>
      </c>
      <c r="B200" s="86">
        <v>37083</v>
      </c>
      <c r="C200" s="149" t="s">
        <v>185</v>
      </c>
      <c r="D200" s="83">
        <v>2400</v>
      </c>
      <c r="E200" s="84">
        <v>55.939</v>
      </c>
      <c r="F200" s="72">
        <v>-2.5880000000000001</v>
      </c>
      <c r="G200" s="72">
        <v>0</v>
      </c>
      <c r="H200" s="72">
        <v>0</v>
      </c>
      <c r="I200" s="85">
        <f t="shared" si="24"/>
        <v>53.350999999999999</v>
      </c>
      <c r="J200" s="149" t="s">
        <v>69</v>
      </c>
      <c r="M200" s="110"/>
      <c r="T200" s="534">
        <f t="shared" si="18"/>
        <v>2.2229583333333334E-2</v>
      </c>
    </row>
    <row r="201" spans="1:255" s="65" customFormat="1" ht="15.75" x14ac:dyDescent="0.25">
      <c r="A201" s="111" t="s">
        <v>186</v>
      </c>
      <c r="B201" s="86">
        <v>37091</v>
      </c>
      <c r="C201" s="149" t="s">
        <v>185</v>
      </c>
      <c r="D201" s="83">
        <v>5616.4260000000004</v>
      </c>
      <c r="E201" s="84">
        <v>450.78500000000003</v>
      </c>
      <c r="F201" s="72">
        <v>-76.2</v>
      </c>
      <c r="G201" s="72">
        <v>0</v>
      </c>
      <c r="H201" s="72">
        <v>0</v>
      </c>
      <c r="I201" s="85">
        <f t="shared" si="24"/>
        <v>374.58500000000004</v>
      </c>
      <c r="J201" s="149" t="s">
        <v>69</v>
      </c>
      <c r="M201" s="110"/>
      <c r="T201" s="534">
        <f t="shared" si="18"/>
        <v>6.669454916703256E-2</v>
      </c>
    </row>
    <row r="202" spans="1:255" s="65" customFormat="1" ht="15.75" x14ac:dyDescent="0.25">
      <c r="A202" s="111" t="s">
        <v>187</v>
      </c>
      <c r="B202" s="86">
        <v>37091</v>
      </c>
      <c r="C202" s="149" t="s">
        <v>185</v>
      </c>
      <c r="D202" s="83">
        <v>7249.2309999999998</v>
      </c>
      <c r="E202" s="84">
        <v>346.23700000000002</v>
      </c>
      <c r="F202" s="72">
        <v>-145.69999999999999</v>
      </c>
      <c r="G202" s="72">
        <v>0</v>
      </c>
      <c r="H202" s="72">
        <v>0</v>
      </c>
      <c r="I202" s="85">
        <f t="shared" si="24"/>
        <v>200.53700000000003</v>
      </c>
      <c r="J202" s="149" t="s">
        <v>25</v>
      </c>
      <c r="M202" s="110"/>
      <c r="T202" s="534">
        <f t="shared" si="18"/>
        <v>2.7663210070143999E-2</v>
      </c>
    </row>
    <row r="203" spans="1:255" s="65" customFormat="1" ht="15.75" x14ac:dyDescent="0.25">
      <c r="A203" s="111" t="s">
        <v>188</v>
      </c>
      <c r="B203" s="86">
        <v>37091</v>
      </c>
      <c r="C203" s="149" t="s">
        <v>185</v>
      </c>
      <c r="D203" s="83">
        <v>170</v>
      </c>
      <c r="E203" s="84">
        <v>274.76299999999998</v>
      </c>
      <c r="F203" s="72">
        <v>-33.676000000000002</v>
      </c>
      <c r="G203" s="72">
        <v>0</v>
      </c>
      <c r="H203" s="72">
        <v>0</v>
      </c>
      <c r="I203" s="85">
        <f t="shared" si="24"/>
        <v>241.08699999999999</v>
      </c>
      <c r="J203" s="149" t="s">
        <v>69</v>
      </c>
      <c r="M203" s="110"/>
      <c r="T203" s="534">
        <f t="shared" si="18"/>
        <v>1.4181588235294118</v>
      </c>
    </row>
    <row r="204" spans="1:255" s="65" customFormat="1" ht="15.75" x14ac:dyDescent="0.25">
      <c r="A204" s="111" t="s">
        <v>189</v>
      </c>
      <c r="B204" s="86">
        <v>37091</v>
      </c>
      <c r="C204" s="149" t="s">
        <v>185</v>
      </c>
      <c r="D204" s="83">
        <v>674.2</v>
      </c>
      <c r="E204" s="84">
        <v>55.509</v>
      </c>
      <c r="F204" s="72">
        <v>-11.423</v>
      </c>
      <c r="G204" s="72">
        <v>0</v>
      </c>
      <c r="H204" s="72">
        <v>0</v>
      </c>
      <c r="I204" s="85">
        <f t="shared" si="24"/>
        <v>44.085999999999999</v>
      </c>
      <c r="J204" s="149" t="s">
        <v>69</v>
      </c>
      <c r="M204" s="110"/>
      <c r="T204" s="534">
        <f t="shared" si="18"/>
        <v>6.5390091960842472E-2</v>
      </c>
    </row>
    <row r="205" spans="1:255" s="65" customFormat="1" ht="15.75" x14ac:dyDescent="0.25">
      <c r="A205" s="111" t="s">
        <v>190</v>
      </c>
      <c r="B205" s="86">
        <v>37091</v>
      </c>
      <c r="C205" s="149" t="s">
        <v>185</v>
      </c>
      <c r="D205" s="83">
        <v>350</v>
      </c>
      <c r="E205" s="84">
        <v>86.87</v>
      </c>
      <c r="F205" s="72">
        <v>-4.0129999999999999</v>
      </c>
      <c r="G205" s="72">
        <v>0</v>
      </c>
      <c r="H205" s="72">
        <v>0</v>
      </c>
      <c r="I205" s="85">
        <f t="shared" si="24"/>
        <v>82.856999999999999</v>
      </c>
      <c r="J205" s="149" t="s">
        <v>69</v>
      </c>
      <c r="M205" s="110"/>
      <c r="T205" s="534">
        <f t="shared" si="18"/>
        <v>0.2367342857142857</v>
      </c>
    </row>
    <row r="206" spans="1:255" s="65" customFormat="1" ht="18" customHeight="1" x14ac:dyDescent="0.25">
      <c r="A206" s="111" t="s">
        <v>191</v>
      </c>
      <c r="B206" s="86">
        <v>37091</v>
      </c>
      <c r="C206" s="149" t="s">
        <v>185</v>
      </c>
      <c r="D206" s="83">
        <v>1094.5</v>
      </c>
      <c r="E206" s="84">
        <v>77.313000000000002</v>
      </c>
      <c r="F206" s="72">
        <v>-15.260999999999999</v>
      </c>
      <c r="G206" s="72">
        <v>0</v>
      </c>
      <c r="H206" s="72">
        <v>0</v>
      </c>
      <c r="I206" s="85">
        <f t="shared" si="24"/>
        <v>62.052000000000007</v>
      </c>
      <c r="J206" s="149" t="s">
        <v>69</v>
      </c>
      <c r="M206" s="110"/>
      <c r="T206" s="534">
        <f t="shared" si="18"/>
        <v>5.6694380995888541E-2</v>
      </c>
    </row>
    <row r="207" spans="1:255" s="65" customFormat="1" ht="18" customHeight="1" x14ac:dyDescent="0.25">
      <c r="A207" s="111" t="s">
        <v>192</v>
      </c>
      <c r="B207" s="86">
        <v>37091</v>
      </c>
      <c r="C207" s="149" t="s">
        <v>185</v>
      </c>
      <c r="D207" s="83">
        <v>523.70000000000005</v>
      </c>
      <c r="E207" s="84">
        <v>61.771999999999998</v>
      </c>
      <c r="F207" s="72">
        <v>-11.180999999999999</v>
      </c>
      <c r="G207" s="72">
        <v>0</v>
      </c>
      <c r="H207" s="72">
        <v>0</v>
      </c>
      <c r="I207" s="85">
        <f t="shared" si="24"/>
        <v>50.591000000000001</v>
      </c>
      <c r="J207" s="149" t="s">
        <v>69</v>
      </c>
      <c r="M207" s="110"/>
      <c r="T207" s="534">
        <f t="shared" si="18"/>
        <v>9.6603016994462471E-2</v>
      </c>
    </row>
    <row r="208" spans="1:255" s="97" customFormat="1" ht="15.75" x14ac:dyDescent="0.25">
      <c r="A208" s="111" t="s">
        <v>193</v>
      </c>
      <c r="B208" s="86">
        <v>37105</v>
      </c>
      <c r="C208" s="149" t="s">
        <v>185</v>
      </c>
      <c r="D208" s="83">
        <v>-524</v>
      </c>
      <c r="E208" s="84">
        <v>-119.336</v>
      </c>
      <c r="F208" s="72">
        <v>11.254</v>
      </c>
      <c r="G208" s="72">
        <v>0</v>
      </c>
      <c r="H208" s="72"/>
      <c r="I208" s="85">
        <v>-108.08199999999999</v>
      </c>
      <c r="J208" s="149" t="s">
        <v>69</v>
      </c>
      <c r="K208" s="65"/>
      <c r="M208" s="110"/>
      <c r="N208" s="65"/>
      <c r="O208" s="65"/>
      <c r="P208" s="65"/>
      <c r="Q208" s="65"/>
      <c r="R208" s="65"/>
      <c r="S208" s="65"/>
      <c r="T208" s="534" t="str">
        <f t="shared" si="18"/>
        <v/>
      </c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  <c r="DS208" s="65"/>
      <c r="DT208" s="65"/>
      <c r="DU208" s="65"/>
      <c r="DV208" s="65"/>
      <c r="DW208" s="65"/>
      <c r="DX208" s="65"/>
      <c r="DY208" s="65"/>
      <c r="DZ208" s="65"/>
      <c r="EA208" s="65"/>
      <c r="EB208" s="65"/>
      <c r="EC208" s="65"/>
      <c r="ED208" s="65"/>
      <c r="EE208" s="65"/>
      <c r="EF208" s="65"/>
      <c r="EG208" s="65"/>
      <c r="EH208" s="65"/>
      <c r="EI208" s="65"/>
      <c r="EJ208" s="65"/>
      <c r="EK208" s="65"/>
      <c r="EL208" s="65"/>
      <c r="EM208" s="65"/>
      <c r="EN208" s="65"/>
      <c r="EO208" s="65"/>
      <c r="EP208" s="65"/>
      <c r="EQ208" s="65"/>
      <c r="ER208" s="65"/>
      <c r="ES208" s="65"/>
      <c r="ET208" s="65"/>
      <c r="EU208" s="65"/>
      <c r="EV208" s="65"/>
      <c r="EW208" s="65"/>
      <c r="EX208" s="65"/>
      <c r="EY208" s="65"/>
      <c r="EZ208" s="65"/>
      <c r="FA208" s="65"/>
      <c r="FB208" s="65"/>
      <c r="FC208" s="65"/>
      <c r="FD208" s="65"/>
      <c r="FE208" s="65"/>
      <c r="FF208" s="65"/>
      <c r="FG208" s="65"/>
      <c r="FH208" s="65"/>
      <c r="FI208" s="65"/>
      <c r="FJ208" s="65"/>
      <c r="FK208" s="65"/>
      <c r="FL208" s="65"/>
      <c r="FM208" s="65"/>
      <c r="FN208" s="65"/>
      <c r="FO208" s="65"/>
      <c r="FP208" s="65"/>
      <c r="FQ208" s="65"/>
      <c r="FR208" s="65"/>
      <c r="FS208" s="65"/>
      <c r="FT208" s="65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/>
      <c r="GF208" s="65"/>
      <c r="GG208" s="65"/>
      <c r="GH208" s="65"/>
      <c r="GI208" s="65"/>
      <c r="GJ208" s="65"/>
      <c r="GK208" s="65"/>
      <c r="GL208" s="65"/>
      <c r="GM208" s="65"/>
      <c r="GN208" s="65"/>
      <c r="GO208" s="65"/>
      <c r="GP208" s="65"/>
      <c r="GQ208" s="65"/>
      <c r="GR208" s="65"/>
      <c r="GS208" s="65"/>
      <c r="GT208" s="65"/>
      <c r="GU208" s="65"/>
      <c r="GV208" s="65"/>
      <c r="GW208" s="65"/>
      <c r="GX208" s="65"/>
      <c r="GY208" s="65"/>
      <c r="GZ208" s="65"/>
      <c r="HA208" s="65"/>
      <c r="HB208" s="65"/>
      <c r="HC208" s="65"/>
      <c r="HD208" s="65"/>
      <c r="HE208" s="65"/>
      <c r="HF208" s="65"/>
      <c r="HG208" s="65"/>
      <c r="HH208" s="65"/>
      <c r="HI208" s="65"/>
      <c r="HJ208" s="65"/>
      <c r="HK208" s="65"/>
      <c r="HL208" s="65"/>
      <c r="HM208" s="65"/>
      <c r="HN208" s="65"/>
      <c r="HO208" s="65"/>
      <c r="HP208" s="65"/>
      <c r="HQ208" s="65"/>
      <c r="HR208" s="65"/>
      <c r="HS208" s="65"/>
      <c r="HT208" s="65"/>
      <c r="HU208" s="65"/>
      <c r="HV208" s="65"/>
      <c r="HW208" s="65"/>
      <c r="HX208" s="65"/>
      <c r="HY208" s="65"/>
      <c r="HZ208" s="65"/>
      <c r="IA208" s="65"/>
      <c r="IB208" s="65"/>
      <c r="IC208" s="65"/>
      <c r="ID208" s="65"/>
      <c r="IE208" s="65"/>
      <c r="IF208" s="65"/>
      <c r="IG208" s="65"/>
      <c r="IH208" s="65"/>
      <c r="II208" s="65"/>
      <c r="IJ208" s="65"/>
      <c r="IK208" s="65"/>
      <c r="IL208" s="65"/>
      <c r="IM208" s="65"/>
      <c r="IN208" s="65"/>
      <c r="IO208" s="65"/>
      <c r="IP208" s="65"/>
      <c r="IQ208" s="65"/>
      <c r="IR208" s="65"/>
      <c r="IS208" s="65"/>
      <c r="IT208" s="65"/>
      <c r="IU208" s="65"/>
    </row>
    <row r="209" spans="1:255" s="65" customFormat="1" ht="18" customHeight="1" x14ac:dyDescent="0.25">
      <c r="A209" s="111" t="s">
        <v>194</v>
      </c>
      <c r="B209" s="86">
        <v>37091</v>
      </c>
      <c r="C209" s="149" t="s">
        <v>185</v>
      </c>
      <c r="D209" s="91">
        <f>I209/0.015</f>
        <v>24174.666666666668</v>
      </c>
      <c r="E209" s="84">
        <v>410.1</v>
      </c>
      <c r="F209" s="72">
        <v>-47.48</v>
      </c>
      <c r="G209" s="72">
        <v>0</v>
      </c>
      <c r="H209" s="72"/>
      <c r="I209" s="85">
        <f>SUM(E209:H209)</f>
        <v>362.62</v>
      </c>
      <c r="J209" s="149" t="s">
        <v>69</v>
      </c>
      <c r="M209" s="110"/>
      <c r="T209" s="534">
        <f t="shared" si="18"/>
        <v>1.4999999999999999E-2</v>
      </c>
    </row>
    <row r="210" spans="1:255" s="65" customFormat="1" ht="18" customHeight="1" x14ac:dyDescent="0.25">
      <c r="A210" s="111" t="s">
        <v>195</v>
      </c>
      <c r="B210" s="86">
        <v>37091</v>
      </c>
      <c r="C210" s="149" t="s">
        <v>183</v>
      </c>
      <c r="D210" s="83">
        <v>6359.6030000000001</v>
      </c>
      <c r="E210" s="84">
        <v>788.65599999999995</v>
      </c>
      <c r="F210" s="72">
        <v>-100.381</v>
      </c>
      <c r="G210" s="72">
        <v>0</v>
      </c>
      <c r="H210" s="72">
        <v>0</v>
      </c>
      <c r="I210" s="85">
        <f>SUM(E210:H210)</f>
        <v>688.27499999999998</v>
      </c>
      <c r="J210" s="149" t="s">
        <v>113</v>
      </c>
      <c r="M210" s="110"/>
      <c r="T210" s="534">
        <f t="shared" si="18"/>
        <v>0.10822609524525351</v>
      </c>
    </row>
    <row r="211" spans="1:255" s="65" customFormat="1" ht="15.75" x14ac:dyDescent="0.25">
      <c r="A211" s="111" t="s">
        <v>196</v>
      </c>
      <c r="B211" s="86">
        <v>37098</v>
      </c>
      <c r="C211" s="149" t="s">
        <v>185</v>
      </c>
      <c r="D211" s="91">
        <f>I211/0.03</f>
        <v>-12</v>
      </c>
      <c r="E211" s="84">
        <v>0</v>
      </c>
      <c r="F211" s="72">
        <v>-0.36</v>
      </c>
      <c r="G211" s="72">
        <v>0</v>
      </c>
      <c r="H211" s="72"/>
      <c r="I211" s="85">
        <f>SUM(E211:H211)</f>
        <v>-0.36</v>
      </c>
      <c r="J211" s="149" t="s">
        <v>69</v>
      </c>
      <c r="M211" s="110"/>
      <c r="T211" s="534" t="str">
        <f t="shared" ref="T211:T274" si="25">IF(D211&gt;0,(I211/D211),"")</f>
        <v/>
      </c>
    </row>
    <row r="212" spans="1:255" s="65" customFormat="1" ht="15.75" x14ac:dyDescent="0.25">
      <c r="A212" s="111" t="s">
        <v>197</v>
      </c>
      <c r="B212" s="86">
        <v>37098</v>
      </c>
      <c r="C212" s="149" t="s">
        <v>185</v>
      </c>
      <c r="D212" s="91">
        <v>0</v>
      </c>
      <c r="E212" s="84">
        <v>-628.05399999999997</v>
      </c>
      <c r="F212" s="72">
        <v>41.271999999999998</v>
      </c>
      <c r="G212" s="72">
        <v>0</v>
      </c>
      <c r="H212" s="72"/>
      <c r="I212" s="85">
        <f>SUM(E212:H212)</f>
        <v>-586.78199999999993</v>
      </c>
      <c r="J212" s="149" t="s">
        <v>69</v>
      </c>
      <c r="M212" s="110"/>
      <c r="T212" s="534" t="str">
        <f t="shared" si="25"/>
        <v/>
      </c>
    </row>
    <row r="213" spans="1:255" s="65" customFormat="1" ht="15.75" x14ac:dyDescent="0.25">
      <c r="A213" s="111" t="s">
        <v>198</v>
      </c>
      <c r="B213" s="86">
        <v>37098</v>
      </c>
      <c r="C213" s="149" t="s">
        <v>185</v>
      </c>
      <c r="D213" s="91">
        <f>I213/0.03</f>
        <v>1109.4333333333334</v>
      </c>
      <c r="E213" s="84">
        <v>36.71</v>
      </c>
      <c r="F213" s="72">
        <v>-3.427</v>
      </c>
      <c r="G213" s="72">
        <v>0</v>
      </c>
      <c r="H213" s="72"/>
      <c r="I213" s="85">
        <f>SUM(E213:H213)</f>
        <v>33.283000000000001</v>
      </c>
      <c r="J213" s="149" t="s">
        <v>69</v>
      </c>
      <c r="M213" s="110"/>
      <c r="T213" s="534">
        <f t="shared" si="25"/>
        <v>0.03</v>
      </c>
    </row>
    <row r="214" spans="1:255" s="97" customFormat="1" ht="15.75" x14ac:dyDescent="0.25">
      <c r="A214" s="111" t="s">
        <v>199</v>
      </c>
      <c r="B214" s="86">
        <v>37105</v>
      </c>
      <c r="C214" s="149" t="s">
        <v>183</v>
      </c>
      <c r="D214" s="83">
        <f>I214/0.06</f>
        <v>2625.5</v>
      </c>
      <c r="E214" s="84">
        <v>172.54599999999999</v>
      </c>
      <c r="F214" s="72">
        <v>-15.016</v>
      </c>
      <c r="G214" s="72">
        <v>0</v>
      </c>
      <c r="H214" s="72"/>
      <c r="I214" s="85">
        <v>157.53</v>
      </c>
      <c r="J214" s="149" t="s">
        <v>113</v>
      </c>
      <c r="K214" s="65"/>
      <c r="M214" s="110"/>
      <c r="N214" s="65"/>
      <c r="O214" s="65"/>
      <c r="P214" s="65"/>
      <c r="Q214" s="65"/>
      <c r="R214" s="65"/>
      <c r="S214" s="65"/>
      <c r="T214" s="534">
        <f t="shared" si="25"/>
        <v>0.06</v>
      </c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65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65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65"/>
      <c r="GO214" s="65"/>
      <c r="GP214" s="65"/>
      <c r="GQ214" s="65"/>
      <c r="GR214" s="65"/>
      <c r="GS214" s="65"/>
      <c r="GT214" s="65"/>
      <c r="GU214" s="65"/>
      <c r="GV214" s="65"/>
      <c r="GW214" s="65"/>
      <c r="GX214" s="65"/>
      <c r="GY214" s="65"/>
      <c r="GZ214" s="65"/>
      <c r="HA214" s="65"/>
      <c r="HB214" s="65"/>
      <c r="HC214" s="65"/>
      <c r="HD214" s="65"/>
      <c r="HE214" s="65"/>
      <c r="HF214" s="65"/>
      <c r="HG214" s="65"/>
      <c r="HH214" s="65"/>
      <c r="HI214" s="65"/>
      <c r="HJ214" s="65"/>
      <c r="HK214" s="65"/>
      <c r="HL214" s="65"/>
      <c r="HM214" s="65"/>
      <c r="HN214" s="65"/>
      <c r="HO214" s="65"/>
      <c r="HP214" s="65"/>
      <c r="HQ214" s="65"/>
      <c r="HR214" s="65"/>
      <c r="HS214" s="65"/>
      <c r="HT214" s="65"/>
      <c r="HU214" s="65"/>
      <c r="HV214" s="65"/>
      <c r="HW214" s="65"/>
      <c r="HX214" s="65"/>
      <c r="HY214" s="65"/>
      <c r="HZ214" s="65"/>
      <c r="IA214" s="65"/>
      <c r="IB214" s="65"/>
      <c r="IC214" s="65"/>
      <c r="ID214" s="65"/>
      <c r="IE214" s="65"/>
      <c r="IF214" s="65"/>
      <c r="IG214" s="65"/>
      <c r="IH214" s="65"/>
      <c r="II214" s="65"/>
      <c r="IJ214" s="65"/>
      <c r="IK214" s="65"/>
      <c r="IL214" s="65"/>
      <c r="IM214" s="65"/>
      <c r="IN214" s="65"/>
      <c r="IO214" s="65"/>
      <c r="IP214" s="65"/>
      <c r="IQ214" s="65"/>
      <c r="IR214" s="65"/>
      <c r="IS214" s="65"/>
      <c r="IT214" s="65"/>
      <c r="IU214" s="65"/>
    </row>
    <row r="215" spans="1:255" s="97" customFormat="1" ht="15.75" x14ac:dyDescent="0.25">
      <c r="A215" s="111" t="s">
        <v>200</v>
      </c>
      <c r="B215" s="86">
        <v>37105</v>
      </c>
      <c r="C215" s="149" t="s">
        <v>183</v>
      </c>
      <c r="D215" s="173">
        <v>446.6</v>
      </c>
      <c r="E215" s="84">
        <v>68.593999999999994</v>
      </c>
      <c r="F215" s="72">
        <v>-13.856999999999999</v>
      </c>
      <c r="G215" s="72">
        <v>0</v>
      </c>
      <c r="H215" s="72"/>
      <c r="I215" s="85">
        <v>54.736999999999995</v>
      </c>
      <c r="J215" s="149" t="s">
        <v>113</v>
      </c>
      <c r="K215" s="65"/>
      <c r="M215" s="110"/>
      <c r="N215" s="65"/>
      <c r="O215" s="65"/>
      <c r="P215" s="65"/>
      <c r="Q215" s="65"/>
      <c r="R215" s="65"/>
      <c r="S215" s="65"/>
      <c r="T215" s="534">
        <f t="shared" si="25"/>
        <v>0.12256381549484996</v>
      </c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5"/>
      <c r="EC215" s="65"/>
      <c r="ED215" s="65"/>
      <c r="EE215" s="65"/>
      <c r="EF215" s="65"/>
      <c r="EG215" s="65"/>
      <c r="EH215" s="65"/>
      <c r="EI215" s="65"/>
      <c r="EJ215" s="65"/>
      <c r="EK215" s="65"/>
      <c r="EL215" s="65"/>
      <c r="EM215" s="65"/>
      <c r="EN215" s="65"/>
      <c r="EO215" s="65"/>
      <c r="EP215" s="65"/>
      <c r="EQ215" s="65"/>
      <c r="ER215" s="65"/>
      <c r="ES215" s="65"/>
      <c r="ET215" s="65"/>
      <c r="EU215" s="65"/>
      <c r="EV215" s="65"/>
      <c r="EW215" s="65"/>
      <c r="EX215" s="65"/>
      <c r="EY215" s="65"/>
      <c r="EZ215" s="65"/>
      <c r="FA215" s="65"/>
      <c r="FB215" s="65"/>
      <c r="FC215" s="65"/>
      <c r="FD215" s="65"/>
      <c r="FE215" s="65"/>
      <c r="FF215" s="65"/>
      <c r="FG215" s="65"/>
      <c r="FH215" s="65"/>
      <c r="FI215" s="65"/>
      <c r="FJ215" s="65"/>
      <c r="FK215" s="65"/>
      <c r="FL215" s="65"/>
      <c r="FM215" s="65"/>
      <c r="FN215" s="65"/>
      <c r="FO215" s="65"/>
      <c r="FP215" s="65"/>
      <c r="FQ215" s="65"/>
      <c r="FR215" s="65"/>
      <c r="FS215" s="65"/>
      <c r="FT215" s="65"/>
      <c r="FU215" s="65"/>
      <c r="FV215" s="65"/>
      <c r="FW215" s="65"/>
      <c r="FX215" s="65"/>
      <c r="FY215" s="65"/>
      <c r="FZ215" s="65"/>
      <c r="GA215" s="65"/>
      <c r="GB215" s="65"/>
      <c r="GC215" s="65"/>
      <c r="GD215" s="65"/>
      <c r="GE215" s="65"/>
      <c r="GF215" s="65"/>
      <c r="GG215" s="65"/>
      <c r="GH215" s="65"/>
      <c r="GI215" s="65"/>
      <c r="GJ215" s="65"/>
      <c r="GK215" s="65"/>
      <c r="GL215" s="65"/>
      <c r="GM215" s="65"/>
      <c r="GN215" s="65"/>
      <c r="GO215" s="65"/>
      <c r="GP215" s="65"/>
      <c r="GQ215" s="65"/>
      <c r="GR215" s="65"/>
      <c r="GS215" s="65"/>
      <c r="GT215" s="65"/>
      <c r="GU215" s="65"/>
      <c r="GV215" s="65"/>
      <c r="GW215" s="65"/>
      <c r="GX215" s="65"/>
      <c r="GY215" s="65"/>
      <c r="GZ215" s="65"/>
      <c r="HA215" s="65"/>
      <c r="HB215" s="65"/>
      <c r="HC215" s="65"/>
      <c r="HD215" s="65"/>
      <c r="HE215" s="65"/>
      <c r="HF215" s="65"/>
      <c r="HG215" s="65"/>
      <c r="HH215" s="65"/>
      <c r="HI215" s="65"/>
      <c r="HJ215" s="65"/>
      <c r="HK215" s="65"/>
      <c r="HL215" s="65"/>
      <c r="HM215" s="65"/>
      <c r="HN215" s="65"/>
      <c r="HO215" s="65"/>
      <c r="HP215" s="65"/>
      <c r="HQ215" s="65"/>
      <c r="HR215" s="65"/>
      <c r="HS215" s="65"/>
      <c r="HT215" s="65"/>
      <c r="HU215" s="65"/>
      <c r="HV215" s="65"/>
      <c r="HW215" s="65"/>
      <c r="HX215" s="65"/>
      <c r="HY215" s="65"/>
      <c r="HZ215" s="65"/>
      <c r="IA215" s="65"/>
      <c r="IB215" s="65"/>
      <c r="IC215" s="65"/>
      <c r="ID215" s="65"/>
      <c r="IE215" s="65"/>
      <c r="IF215" s="65"/>
      <c r="IG215" s="65"/>
      <c r="IH215" s="65"/>
      <c r="II215" s="65"/>
      <c r="IJ215" s="65"/>
      <c r="IK215" s="65"/>
      <c r="IL215" s="65"/>
      <c r="IM215" s="65"/>
      <c r="IN215" s="65"/>
      <c r="IO215" s="65"/>
      <c r="IP215" s="65"/>
      <c r="IQ215" s="65"/>
      <c r="IR215" s="65"/>
      <c r="IS215" s="65"/>
      <c r="IT215" s="65"/>
      <c r="IU215" s="65"/>
    </row>
    <row r="216" spans="1:255" s="97" customFormat="1" ht="15.75" x14ac:dyDescent="0.25">
      <c r="A216" s="111" t="s">
        <v>201</v>
      </c>
      <c r="B216" s="86"/>
      <c r="C216" s="149"/>
      <c r="D216" s="173">
        <f>I216/0.04</f>
        <v>0</v>
      </c>
      <c r="E216" s="84">
        <v>0</v>
      </c>
      <c r="F216" s="72">
        <v>0</v>
      </c>
      <c r="G216" s="72">
        <v>0</v>
      </c>
      <c r="H216" s="72">
        <v>0</v>
      </c>
      <c r="I216" s="85">
        <f>SUM(E216:H216)</f>
        <v>0</v>
      </c>
      <c r="J216" s="149" t="s">
        <v>18</v>
      </c>
      <c r="K216" s="65"/>
      <c r="M216" s="215"/>
      <c r="N216" s="341"/>
      <c r="O216" s="65"/>
      <c r="P216" s="65"/>
      <c r="Q216" s="65"/>
      <c r="R216" s="65"/>
      <c r="S216" s="65"/>
      <c r="T216" s="534" t="str">
        <f t="shared" si="25"/>
        <v/>
      </c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65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/>
      <c r="EL216" s="65"/>
      <c r="EM216" s="65"/>
      <c r="EN216" s="65"/>
      <c r="EO216" s="65"/>
      <c r="EP216" s="65"/>
      <c r="EQ216" s="65"/>
      <c r="ER216" s="65"/>
      <c r="ES216" s="65"/>
      <c r="ET216" s="65"/>
      <c r="EU216" s="65"/>
      <c r="EV216" s="65"/>
      <c r="EW216" s="65"/>
      <c r="EX216" s="65"/>
      <c r="EY216" s="65"/>
      <c r="EZ216" s="65"/>
      <c r="FA216" s="65"/>
      <c r="FB216" s="65"/>
      <c r="FC216" s="65"/>
      <c r="FD216" s="65"/>
      <c r="FE216" s="65"/>
      <c r="FF216" s="65"/>
      <c r="FG216" s="65"/>
      <c r="FH216" s="65"/>
      <c r="FI216" s="65"/>
      <c r="FJ216" s="65"/>
      <c r="FK216" s="65"/>
      <c r="FL216" s="65"/>
      <c r="FM216" s="65"/>
      <c r="FN216" s="65"/>
      <c r="FO216" s="65"/>
      <c r="FP216" s="65"/>
      <c r="FQ216" s="65"/>
      <c r="FR216" s="65"/>
      <c r="FS216" s="65"/>
      <c r="FT216" s="65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/>
      <c r="GF216" s="65"/>
      <c r="GG216" s="65"/>
      <c r="GH216" s="65"/>
      <c r="GI216" s="65"/>
      <c r="GJ216" s="65"/>
      <c r="GK216" s="65"/>
      <c r="GL216" s="65"/>
      <c r="GM216" s="65"/>
      <c r="GN216" s="65"/>
      <c r="GO216" s="65"/>
      <c r="GP216" s="65"/>
      <c r="GQ216" s="65"/>
      <c r="GR216" s="65"/>
      <c r="GS216" s="65"/>
      <c r="GT216" s="65"/>
      <c r="GU216" s="65"/>
      <c r="GV216" s="65"/>
      <c r="GW216" s="65"/>
      <c r="GX216" s="65"/>
      <c r="GY216" s="65"/>
      <c r="GZ216" s="65"/>
      <c r="HA216" s="65"/>
      <c r="HB216" s="65"/>
      <c r="HC216" s="65"/>
      <c r="HD216" s="65"/>
      <c r="HE216" s="65"/>
      <c r="HF216" s="65"/>
      <c r="HG216" s="65"/>
      <c r="HH216" s="65"/>
      <c r="HI216" s="65"/>
      <c r="HJ216" s="65"/>
      <c r="HK216" s="65"/>
      <c r="HL216" s="65"/>
      <c r="HM216" s="65"/>
      <c r="HN216" s="65"/>
      <c r="HO216" s="65"/>
      <c r="HP216" s="65"/>
      <c r="HQ216" s="65"/>
      <c r="HR216" s="65"/>
      <c r="HS216" s="65"/>
      <c r="HT216" s="65"/>
      <c r="HU216" s="65"/>
      <c r="HV216" s="65"/>
      <c r="HW216" s="65"/>
      <c r="HX216" s="65"/>
      <c r="HY216" s="65"/>
      <c r="HZ216" s="65"/>
      <c r="IA216" s="65"/>
      <c r="IB216" s="65"/>
      <c r="IC216" s="65"/>
      <c r="ID216" s="65"/>
      <c r="IE216" s="65"/>
      <c r="IF216" s="65"/>
      <c r="IG216" s="65"/>
      <c r="IH216" s="65"/>
      <c r="II216" s="65"/>
      <c r="IJ216" s="65"/>
      <c r="IK216" s="65"/>
      <c r="IL216" s="65"/>
      <c r="IM216" s="65"/>
      <c r="IN216" s="65"/>
      <c r="IO216" s="65"/>
      <c r="IP216" s="65"/>
      <c r="IQ216" s="65"/>
      <c r="IR216" s="65"/>
      <c r="IS216" s="65"/>
      <c r="IT216" s="65"/>
      <c r="IU216" s="65"/>
    </row>
    <row r="217" spans="1:255" s="65" customFormat="1" ht="15.75" x14ac:dyDescent="0.25">
      <c r="A217" s="111" t="s">
        <v>202</v>
      </c>
      <c r="B217" s="86"/>
      <c r="C217" s="174"/>
      <c r="D217" s="83">
        <f>I217/0.08</f>
        <v>-211636.02199999994</v>
      </c>
      <c r="E217" s="175">
        <f>+D797/1000</f>
        <v>-16930.881759999997</v>
      </c>
      <c r="F217" s="72">
        <v>0</v>
      </c>
      <c r="G217" s="72">
        <v>0</v>
      </c>
      <c r="H217" s="72">
        <v>0</v>
      </c>
      <c r="I217" s="85">
        <f>SUM(E217:H217)</f>
        <v>-16930.881759999997</v>
      </c>
      <c r="J217" s="149"/>
      <c r="T217" s="534" t="str">
        <f t="shared" si="25"/>
        <v/>
      </c>
    </row>
    <row r="218" spans="1:255" s="65" customFormat="1" ht="15.75" x14ac:dyDescent="0.25">
      <c r="A218" s="128" t="s">
        <v>203</v>
      </c>
      <c r="B218" s="176"/>
      <c r="C218" s="130"/>
      <c r="D218" s="76"/>
      <c r="E218" s="177">
        <v>2.2919999999999998</v>
      </c>
      <c r="F218" s="78">
        <v>0</v>
      </c>
      <c r="G218" s="78">
        <v>0</v>
      </c>
      <c r="H218" s="78">
        <v>0</v>
      </c>
      <c r="I218" s="79">
        <f>SUM(E218:H218)</f>
        <v>2.2919999999999998</v>
      </c>
      <c r="J218" s="149" t="s">
        <v>18</v>
      </c>
      <c r="T218" s="534" t="str">
        <f t="shared" si="25"/>
        <v/>
      </c>
    </row>
    <row r="219" spans="1:255" s="65" customFormat="1" ht="15.75" x14ac:dyDescent="0.25">
      <c r="A219" s="128" t="s">
        <v>204</v>
      </c>
      <c r="B219" s="176"/>
      <c r="C219" s="130"/>
      <c r="D219" s="76"/>
      <c r="E219" s="177">
        <f>-(2.777+78.154+27.469+27.822)</f>
        <v>-136.22200000000001</v>
      </c>
      <c r="F219" s="78">
        <v>0</v>
      </c>
      <c r="G219" s="78">
        <v>0</v>
      </c>
      <c r="H219" s="78"/>
      <c r="I219" s="79">
        <f>SUM(E219:G219)</f>
        <v>-136.22200000000001</v>
      </c>
      <c r="J219" s="149"/>
      <c r="T219" s="534" t="str">
        <f t="shared" si="25"/>
        <v/>
      </c>
    </row>
    <row r="220" spans="1:255" s="65" customFormat="1" ht="15.75" x14ac:dyDescent="0.25">
      <c r="A220" s="111" t="s">
        <v>205</v>
      </c>
      <c r="B220" s="81"/>
      <c r="C220" s="149" t="s">
        <v>183</v>
      </c>
      <c r="D220" s="87">
        <f>I220/0.04</f>
        <v>12147.974999999999</v>
      </c>
      <c r="E220" s="84">
        <v>485.91899999999998</v>
      </c>
      <c r="F220" s="72">
        <v>0</v>
      </c>
      <c r="G220" s="72">
        <v>0</v>
      </c>
      <c r="H220" s="72">
        <v>0</v>
      </c>
      <c r="I220" s="85">
        <f>SUM(E220:H220)</f>
        <v>485.91899999999998</v>
      </c>
      <c r="J220" s="350" t="s">
        <v>18</v>
      </c>
      <c r="T220" s="534">
        <f t="shared" si="25"/>
        <v>0.04</v>
      </c>
    </row>
    <row r="221" spans="1:255" s="88" customFormat="1" ht="15" x14ac:dyDescent="0.2">
      <c r="A221" s="111" t="s">
        <v>206</v>
      </c>
      <c r="B221" s="81"/>
      <c r="C221" s="149" t="s">
        <v>181</v>
      </c>
      <c r="D221" s="126">
        <f>I221/0.04</f>
        <v>101418.41899999991</v>
      </c>
      <c r="E221" s="178">
        <f>-12874.145-E217</f>
        <v>4056.7367599999961</v>
      </c>
      <c r="F221" s="123">
        <v>0</v>
      </c>
      <c r="G221" s="123">
        <v>0</v>
      </c>
      <c r="H221" s="123">
        <v>0</v>
      </c>
      <c r="I221" s="124">
        <f>SUM(E221:H221)</f>
        <v>4056.7367599999961</v>
      </c>
      <c r="J221" s="149" t="s">
        <v>18</v>
      </c>
      <c r="T221" s="534">
        <f t="shared" si="25"/>
        <v>0.04</v>
      </c>
    </row>
    <row r="222" spans="1:255" s="88" customFormat="1" ht="15" x14ac:dyDescent="0.2">
      <c r="A222" s="179" t="s">
        <v>207</v>
      </c>
      <c r="B222" s="180"/>
      <c r="C222" s="174"/>
      <c r="D222" s="83">
        <f t="shared" ref="D222:I222" si="26">SUM(D157:D221)</f>
        <v>46272.989623418303</v>
      </c>
      <c r="E222" s="84">
        <f t="shared" si="26"/>
        <v>-4272.5590000000011</v>
      </c>
      <c r="F222" s="72">
        <f t="shared" si="26"/>
        <v>-1694.9199999999994</v>
      </c>
      <c r="G222" s="72">
        <f t="shared" si="26"/>
        <v>0</v>
      </c>
      <c r="H222" s="72">
        <f t="shared" si="26"/>
        <v>0</v>
      </c>
      <c r="I222" s="85">
        <f t="shared" si="26"/>
        <v>-5967.4790000000012</v>
      </c>
      <c r="J222" s="149"/>
      <c r="T222" s="534">
        <f t="shared" si="25"/>
        <v>-0.12896246921940654</v>
      </c>
    </row>
    <row r="223" spans="1:255" s="88" customFormat="1" ht="15" x14ac:dyDescent="0.2">
      <c r="A223" s="181"/>
      <c r="B223" s="180"/>
      <c r="C223" s="174"/>
      <c r="D223" s="83"/>
      <c r="E223" s="84"/>
      <c r="F223" s="72"/>
      <c r="G223" s="72"/>
      <c r="H223" s="72"/>
      <c r="I223" s="85"/>
      <c r="J223" s="149"/>
      <c r="T223" s="534" t="str">
        <f t="shared" si="25"/>
        <v/>
      </c>
    </row>
    <row r="224" spans="1:255" s="184" customFormat="1" ht="15" x14ac:dyDescent="0.2">
      <c r="A224" s="182" t="s">
        <v>208</v>
      </c>
      <c r="B224" s="183"/>
      <c r="C224" s="174"/>
      <c r="D224" s="83"/>
      <c r="E224" s="84"/>
      <c r="F224" s="72"/>
      <c r="G224" s="72"/>
      <c r="H224" s="72"/>
      <c r="I224" s="85"/>
      <c r="J224" s="149"/>
      <c r="K224" s="88"/>
      <c r="M224" s="88"/>
      <c r="N224" s="88"/>
      <c r="O224" s="88"/>
      <c r="P224" s="88"/>
      <c r="Q224" s="88"/>
      <c r="R224" s="88"/>
      <c r="S224" s="88"/>
      <c r="T224" s="534" t="str">
        <f t="shared" si="25"/>
        <v/>
      </c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</row>
    <row r="225" spans="1:73" s="184" customFormat="1" ht="6.75" customHeight="1" x14ac:dyDescent="0.2">
      <c r="A225" s="185"/>
      <c r="B225" s="183"/>
      <c r="C225" s="174"/>
      <c r="D225" s="83"/>
      <c r="E225" s="84"/>
      <c r="F225" s="72"/>
      <c r="G225" s="72"/>
      <c r="H225" s="72"/>
      <c r="I225" s="85"/>
      <c r="J225" s="149"/>
      <c r="K225" s="88"/>
      <c r="M225" s="88"/>
      <c r="N225" s="88"/>
      <c r="O225" s="88"/>
      <c r="P225" s="88"/>
      <c r="Q225" s="88"/>
      <c r="R225" s="88"/>
      <c r="S225" s="88"/>
      <c r="T225" s="534" t="str">
        <f t="shared" si="25"/>
        <v/>
      </c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  <c r="BR225" s="88"/>
      <c r="BS225" s="88"/>
      <c r="BT225" s="88"/>
      <c r="BU225" s="88"/>
    </row>
    <row r="226" spans="1:73" s="110" customFormat="1" ht="18" x14ac:dyDescent="0.25">
      <c r="A226" s="104" t="s">
        <v>209</v>
      </c>
      <c r="B226" s="105"/>
      <c r="C226" s="106"/>
      <c r="D226" s="107">
        <f>I226/0.015</f>
        <v>6561.4000000000005</v>
      </c>
      <c r="E226" s="108">
        <f>100494/1000</f>
        <v>100.494</v>
      </c>
      <c r="F226" s="108">
        <v>-2.073</v>
      </c>
      <c r="G226" s="108"/>
      <c r="H226" s="108"/>
      <c r="I226" s="109">
        <f>SUM(E226:G226)</f>
        <v>98.421000000000006</v>
      </c>
      <c r="J226" s="149" t="s">
        <v>21</v>
      </c>
      <c r="T226" s="534">
        <f t="shared" si="25"/>
        <v>1.4999999999999999E-2</v>
      </c>
    </row>
    <row r="227" spans="1:73" s="110" customFormat="1" ht="18" x14ac:dyDescent="0.25">
      <c r="A227" s="104" t="s">
        <v>210</v>
      </c>
      <c r="B227" s="105"/>
      <c r="C227" s="106"/>
      <c r="D227" s="107">
        <v>454.32113046660953</v>
      </c>
      <c r="E227" s="108">
        <f>85020/1000</f>
        <v>85.02</v>
      </c>
      <c r="F227" s="108">
        <v>-3.5670000000000002</v>
      </c>
      <c r="G227" s="108"/>
      <c r="H227" s="108"/>
      <c r="I227" s="109">
        <f>SUM(E227:G227)</f>
        <v>81.453000000000003</v>
      </c>
      <c r="J227" s="149" t="s">
        <v>21</v>
      </c>
      <c r="T227" s="534">
        <f t="shared" si="25"/>
        <v>0.17928507951268716</v>
      </c>
    </row>
    <row r="228" spans="1:73" s="168" customFormat="1" ht="18" x14ac:dyDescent="0.25">
      <c r="A228" s="104" t="s">
        <v>211</v>
      </c>
      <c r="B228" s="164"/>
      <c r="C228" s="165"/>
      <c r="D228" s="166">
        <v>533.37400000000002</v>
      </c>
      <c r="E228" s="96">
        <f>114726/1000</f>
        <v>114.726</v>
      </c>
      <c r="F228" s="96">
        <v>-19.100000000000001</v>
      </c>
      <c r="G228" s="96"/>
      <c r="H228" s="96"/>
      <c r="I228" s="167">
        <f t="shared" ref="I228:I242" si="27">SUM(E228:G228)</f>
        <v>95.626000000000005</v>
      </c>
      <c r="J228" s="149" t="s">
        <v>104</v>
      </c>
      <c r="M228" s="110"/>
      <c r="T228" s="534">
        <f t="shared" si="25"/>
        <v>0.17928507951268716</v>
      </c>
    </row>
    <row r="229" spans="1:73" s="65" customFormat="1" ht="18" x14ac:dyDescent="0.25">
      <c r="A229" s="104" t="s">
        <v>212</v>
      </c>
      <c r="B229" s="59"/>
      <c r="C229" s="163"/>
      <c r="D229" s="61">
        <v>837.59799999999996</v>
      </c>
      <c r="E229" s="63">
        <f>110805/1000</f>
        <v>110.80500000000001</v>
      </c>
      <c r="F229" s="63">
        <f>-40700/1000</f>
        <v>-40.700000000000003</v>
      </c>
      <c r="G229" s="63"/>
      <c r="H229" s="63"/>
      <c r="I229" s="64">
        <f t="shared" si="27"/>
        <v>70.105000000000004</v>
      </c>
      <c r="J229" s="149" t="s">
        <v>104</v>
      </c>
      <c r="M229" s="110"/>
      <c r="T229" s="534">
        <f t="shared" si="25"/>
        <v>8.369766881009745E-2</v>
      </c>
    </row>
    <row r="230" spans="1:73" s="65" customFormat="1" ht="18" x14ac:dyDescent="0.25">
      <c r="A230" s="104" t="s">
        <v>213</v>
      </c>
      <c r="B230" s="59"/>
      <c r="C230" s="163"/>
      <c r="D230" s="61">
        <v>2568.6179999999999</v>
      </c>
      <c r="E230" s="63">
        <f>562615/1000</f>
        <v>562.61500000000001</v>
      </c>
      <c r="F230" s="63">
        <f>-156300/1000</f>
        <v>-156.30000000000001</v>
      </c>
      <c r="G230" s="63"/>
      <c r="H230" s="63"/>
      <c r="I230" s="64">
        <f t="shared" si="27"/>
        <v>406.315</v>
      </c>
      <c r="J230" s="149" t="s">
        <v>104</v>
      </c>
      <c r="M230" s="110"/>
      <c r="T230" s="534">
        <f t="shared" si="25"/>
        <v>0.15818428431164153</v>
      </c>
    </row>
    <row r="231" spans="1:73" s="65" customFormat="1" ht="18" x14ac:dyDescent="0.25">
      <c r="A231" s="104" t="s">
        <v>214</v>
      </c>
      <c r="B231" s="59"/>
      <c r="C231" s="163"/>
      <c r="D231" s="61">
        <f>I231/0.06</f>
        <v>104.85000000000001</v>
      </c>
      <c r="E231" s="63">
        <f>6955/1000</f>
        <v>6.9550000000000001</v>
      </c>
      <c r="F231" s="63">
        <v>-0.66400000000000003</v>
      </c>
      <c r="G231" s="63"/>
      <c r="H231" s="63"/>
      <c r="I231" s="64">
        <f t="shared" si="27"/>
        <v>6.2910000000000004</v>
      </c>
      <c r="J231" s="149" t="s">
        <v>104</v>
      </c>
      <c r="M231" s="110"/>
      <c r="T231" s="534">
        <f t="shared" si="25"/>
        <v>0.06</v>
      </c>
    </row>
    <row r="232" spans="1:73" s="65" customFormat="1" ht="18" x14ac:dyDescent="0.25">
      <c r="A232" s="104" t="s">
        <v>215</v>
      </c>
      <c r="B232" s="59"/>
      <c r="C232" s="163"/>
      <c r="D232" s="61">
        <f>I232/0.06</f>
        <v>7885.5</v>
      </c>
      <c r="E232" s="63">
        <f>497701/1000</f>
        <v>497.70100000000002</v>
      </c>
      <c r="F232" s="63">
        <v>-24.571000000000002</v>
      </c>
      <c r="G232" s="63"/>
      <c r="H232" s="63"/>
      <c r="I232" s="64">
        <f t="shared" si="27"/>
        <v>473.13</v>
      </c>
      <c r="J232" s="149" t="s">
        <v>104</v>
      </c>
      <c r="M232" s="110"/>
      <c r="T232" s="534">
        <f t="shared" si="25"/>
        <v>0.06</v>
      </c>
    </row>
    <row r="233" spans="1:73" s="65" customFormat="1" ht="18" x14ac:dyDescent="0.25">
      <c r="A233" s="104" t="s">
        <v>216</v>
      </c>
      <c r="B233" s="59"/>
      <c r="C233" s="163"/>
      <c r="D233" s="61">
        <f>I233/0.06</f>
        <v>191.23333333333335</v>
      </c>
      <c r="E233" s="63">
        <f>12408/1000</f>
        <v>12.407999999999999</v>
      </c>
      <c r="F233" s="63">
        <v>-0.93400000000000005</v>
      </c>
      <c r="G233" s="63"/>
      <c r="H233" s="63"/>
      <c r="I233" s="64">
        <f t="shared" si="27"/>
        <v>11.474</v>
      </c>
      <c r="J233" s="149" t="s">
        <v>104</v>
      </c>
      <c r="M233" s="110"/>
      <c r="T233" s="534">
        <f t="shared" si="25"/>
        <v>0.06</v>
      </c>
    </row>
    <row r="234" spans="1:73" s="65" customFormat="1" ht="18" x14ac:dyDescent="0.25">
      <c r="A234" s="104" t="s">
        <v>217</v>
      </c>
      <c r="B234" s="59"/>
      <c r="C234" s="163"/>
      <c r="D234" s="61">
        <f>I234/0.06</f>
        <v>45.266666666666673</v>
      </c>
      <c r="E234" s="63">
        <f>3060/1000</f>
        <v>3.06</v>
      </c>
      <c r="F234" s="63">
        <v>-0.34399999999999997</v>
      </c>
      <c r="G234" s="63"/>
      <c r="H234" s="63"/>
      <c r="I234" s="64">
        <f t="shared" si="27"/>
        <v>2.7160000000000002</v>
      </c>
      <c r="J234" s="149" t="s">
        <v>104</v>
      </c>
      <c r="M234" s="110"/>
      <c r="T234" s="534">
        <f t="shared" si="25"/>
        <v>0.06</v>
      </c>
    </row>
    <row r="235" spans="1:73" s="65" customFormat="1" ht="18" x14ac:dyDescent="0.25">
      <c r="A235" s="104" t="s">
        <v>218</v>
      </c>
      <c r="B235" s="59"/>
      <c r="C235" s="163"/>
      <c r="D235" s="61">
        <v>3810.0410000000002</v>
      </c>
      <c r="E235" s="63">
        <f>559949/1000</f>
        <v>559.94899999999996</v>
      </c>
      <c r="F235" s="63">
        <f>-90780/1000</f>
        <v>-90.78</v>
      </c>
      <c r="G235" s="63"/>
      <c r="H235" s="63"/>
      <c r="I235" s="64">
        <f t="shared" si="27"/>
        <v>469.16899999999998</v>
      </c>
      <c r="J235" s="149" t="s">
        <v>113</v>
      </c>
      <c r="M235" s="110"/>
      <c r="T235" s="534">
        <f t="shared" si="25"/>
        <v>0.12314014468610704</v>
      </c>
    </row>
    <row r="236" spans="1:73" s="65" customFormat="1" ht="18" x14ac:dyDescent="0.25">
      <c r="A236" s="104" t="s">
        <v>219</v>
      </c>
      <c r="B236" s="59"/>
      <c r="C236" s="163"/>
      <c r="D236" s="61">
        <v>13195.696</v>
      </c>
      <c r="E236" s="63">
        <f>2231116/1000</f>
        <v>2231.116</v>
      </c>
      <c r="F236" s="63">
        <f>-279000/1000</f>
        <v>-279</v>
      </c>
      <c r="G236" s="63"/>
      <c r="H236" s="63"/>
      <c r="I236" s="64">
        <f t="shared" si="27"/>
        <v>1952.116</v>
      </c>
      <c r="J236" s="149" t="s">
        <v>113</v>
      </c>
      <c r="M236" s="110"/>
      <c r="T236" s="534">
        <f t="shared" si="25"/>
        <v>0.1479358117980287</v>
      </c>
    </row>
    <row r="237" spans="1:73" s="65" customFormat="1" ht="18" x14ac:dyDescent="0.25">
      <c r="A237" s="104" t="s">
        <v>220</v>
      </c>
      <c r="B237" s="59"/>
      <c r="C237" s="163"/>
      <c r="D237" s="61">
        <v>1300.077</v>
      </c>
      <c r="E237" s="63">
        <f>191548/1000</f>
        <v>191.548</v>
      </c>
      <c r="F237" s="63">
        <v>-24.625</v>
      </c>
      <c r="G237" s="63"/>
      <c r="H237" s="63"/>
      <c r="I237" s="64">
        <f t="shared" si="27"/>
        <v>166.923</v>
      </c>
      <c r="J237" s="149" t="s">
        <v>113</v>
      </c>
      <c r="M237" s="110"/>
      <c r="T237" s="534">
        <f t="shared" si="25"/>
        <v>0.12839470277529716</v>
      </c>
    </row>
    <row r="238" spans="1:73" s="65" customFormat="1" ht="18" x14ac:dyDescent="0.25">
      <c r="A238" s="104" t="s">
        <v>221</v>
      </c>
      <c r="B238" s="59"/>
      <c r="C238" s="163"/>
      <c r="D238" s="61">
        <v>652.26900000000001</v>
      </c>
      <c r="E238" s="63">
        <f>88944/1000</f>
        <v>88.944000000000003</v>
      </c>
      <c r="F238" s="63">
        <v>-8.1549999999999994</v>
      </c>
      <c r="G238" s="63"/>
      <c r="H238" s="63"/>
      <c r="I238" s="64">
        <f t="shared" si="27"/>
        <v>80.789000000000001</v>
      </c>
      <c r="J238" s="149" t="s">
        <v>113</v>
      </c>
      <c r="M238" s="110"/>
      <c r="T238" s="534">
        <f t="shared" si="25"/>
        <v>0.12385840811076412</v>
      </c>
    </row>
    <row r="239" spans="1:73" s="65" customFormat="1" ht="18" x14ac:dyDescent="0.25">
      <c r="A239" s="104" t="s">
        <v>222</v>
      </c>
      <c r="B239" s="59"/>
      <c r="C239" s="163"/>
      <c r="D239" s="61">
        <v>190.90299999999999</v>
      </c>
      <c r="E239" s="63">
        <f>33319/1000</f>
        <v>33.319000000000003</v>
      </c>
      <c r="F239" s="63">
        <v>-10.5</v>
      </c>
      <c r="G239" s="63"/>
      <c r="H239" s="63"/>
      <c r="I239" s="64">
        <f t="shared" si="27"/>
        <v>22.819000000000003</v>
      </c>
      <c r="J239" s="149" t="s">
        <v>113</v>
      </c>
      <c r="M239" s="110"/>
      <c r="T239" s="534">
        <f t="shared" si="25"/>
        <v>0.11953190887518794</v>
      </c>
    </row>
    <row r="240" spans="1:73" s="65" customFormat="1" ht="18" x14ac:dyDescent="0.25">
      <c r="A240" s="104" t="s">
        <v>223</v>
      </c>
      <c r="B240" s="59"/>
      <c r="C240" s="163"/>
      <c r="D240" s="61">
        <v>401.30599999999998</v>
      </c>
      <c r="E240" s="63">
        <f>41416/1000</f>
        <v>41.415999999999997</v>
      </c>
      <c r="F240" s="63">
        <v>-10</v>
      </c>
      <c r="G240" s="63"/>
      <c r="H240" s="63"/>
      <c r="I240" s="64">
        <f t="shared" si="27"/>
        <v>31.415999999999997</v>
      </c>
      <c r="J240" s="149" t="s">
        <v>113</v>
      </c>
      <c r="M240" s="110"/>
      <c r="T240" s="534">
        <f t="shared" si="25"/>
        <v>7.8284401429333225E-2</v>
      </c>
    </row>
    <row r="241" spans="1:20" s="65" customFormat="1" ht="18" x14ac:dyDescent="0.25">
      <c r="A241" s="104" t="s">
        <v>224</v>
      </c>
      <c r="B241" s="59"/>
      <c r="C241" s="163"/>
      <c r="D241" s="61">
        <v>607.58900000000006</v>
      </c>
      <c r="E241" s="63">
        <f>54892/1000</f>
        <v>54.892000000000003</v>
      </c>
      <c r="F241" s="63">
        <v>-13.4</v>
      </c>
      <c r="G241" s="63"/>
      <c r="H241" s="63"/>
      <c r="I241" s="64">
        <f t="shared" si="27"/>
        <v>41.492000000000004</v>
      </c>
      <c r="J241" s="149" t="s">
        <v>225</v>
      </c>
      <c r="M241" s="110"/>
      <c r="T241" s="534">
        <f t="shared" si="25"/>
        <v>6.8289583912809482E-2</v>
      </c>
    </row>
    <row r="242" spans="1:20" s="65" customFormat="1" ht="18" x14ac:dyDescent="0.25">
      <c r="A242" s="104" t="s">
        <v>226</v>
      </c>
      <c r="B242" s="59"/>
      <c r="C242" s="163"/>
      <c r="D242" s="61">
        <v>582.298</v>
      </c>
      <c r="E242" s="63">
        <f>59633/1000</f>
        <v>59.633000000000003</v>
      </c>
      <c r="F242" s="63">
        <v>-9.0749999999999993</v>
      </c>
      <c r="G242" s="63"/>
      <c r="H242" s="63"/>
      <c r="I242" s="64">
        <f t="shared" si="27"/>
        <v>50.558000000000007</v>
      </c>
      <c r="J242" s="149" t="s">
        <v>225</v>
      </c>
      <c r="M242" s="110"/>
      <c r="T242" s="534">
        <f t="shared" si="25"/>
        <v>8.6824959041590405E-2</v>
      </c>
    </row>
    <row r="243" spans="1:20" s="65" customFormat="1" ht="18" x14ac:dyDescent="0.25">
      <c r="A243" s="169" t="s">
        <v>227</v>
      </c>
      <c r="B243" s="170"/>
      <c r="C243" s="171"/>
      <c r="D243" s="83">
        <f>I243/0.06</f>
        <v>4740.55</v>
      </c>
      <c r="E243" s="84">
        <f>296592/1000</f>
        <v>296.59199999999998</v>
      </c>
      <c r="F243" s="72">
        <v>-12.159000000000001</v>
      </c>
      <c r="G243" s="72"/>
      <c r="H243" s="72"/>
      <c r="I243" s="85">
        <f>F243+E243</f>
        <v>284.43299999999999</v>
      </c>
      <c r="J243" s="149" t="s">
        <v>21</v>
      </c>
      <c r="M243" s="110"/>
      <c r="T243" s="534">
        <f t="shared" si="25"/>
        <v>0.06</v>
      </c>
    </row>
    <row r="244" spans="1:20" s="65" customFormat="1" ht="18" x14ac:dyDescent="0.25">
      <c r="A244" s="169" t="s">
        <v>228</v>
      </c>
      <c r="B244" s="170"/>
      <c r="C244" s="171"/>
      <c r="D244" s="83">
        <f>I244/0.06</f>
        <v>1786.5833333333333</v>
      </c>
      <c r="E244" s="84">
        <f>110029/1000</f>
        <v>110.029</v>
      </c>
      <c r="F244" s="72">
        <v>-2.8340000000000001</v>
      </c>
      <c r="G244" s="72"/>
      <c r="H244" s="72"/>
      <c r="I244" s="85">
        <f>F244+E244</f>
        <v>107.19499999999999</v>
      </c>
      <c r="J244" s="149" t="s">
        <v>21</v>
      </c>
      <c r="M244" s="110"/>
      <c r="T244" s="534">
        <f t="shared" si="25"/>
        <v>0.06</v>
      </c>
    </row>
    <row r="245" spans="1:20" s="65" customFormat="1" ht="18" x14ac:dyDescent="0.25">
      <c r="A245" s="169" t="s">
        <v>229</v>
      </c>
      <c r="B245" s="170"/>
      <c r="C245" s="171"/>
      <c r="D245" s="83">
        <v>560.47400000000005</v>
      </c>
      <c r="E245" s="84">
        <f>95730/1000</f>
        <v>95.73</v>
      </c>
      <c r="F245" s="72">
        <v>-29.5</v>
      </c>
      <c r="G245" s="72"/>
      <c r="H245" s="72"/>
      <c r="I245" s="85">
        <f>F245+E245</f>
        <v>66.23</v>
      </c>
      <c r="J245" s="149" t="s">
        <v>104</v>
      </c>
      <c r="M245" s="110"/>
      <c r="T245" s="534">
        <f t="shared" si="25"/>
        <v>0.11816783650981133</v>
      </c>
    </row>
    <row r="246" spans="1:20" s="65" customFormat="1" ht="15.75" x14ac:dyDescent="0.25">
      <c r="A246" s="111" t="s">
        <v>230</v>
      </c>
      <c r="B246" s="81"/>
      <c r="C246" s="171"/>
      <c r="D246" s="83">
        <f>I246/0.015</f>
        <v>12989.466666666665</v>
      </c>
      <c r="E246" s="84">
        <v>200.21199999999999</v>
      </c>
      <c r="F246" s="72">
        <v>-5.37</v>
      </c>
      <c r="G246" s="72"/>
      <c r="H246" s="72"/>
      <c r="I246" s="85">
        <f>SUM(E246:H246)</f>
        <v>194.84199999999998</v>
      </c>
      <c r="J246" s="149" t="s">
        <v>21</v>
      </c>
      <c r="M246" s="110"/>
      <c r="T246" s="534">
        <f t="shared" si="25"/>
        <v>1.5000000000000001E-2</v>
      </c>
    </row>
    <row r="247" spans="1:20" s="65" customFormat="1" ht="15.75" x14ac:dyDescent="0.25">
      <c r="A247" s="111" t="s">
        <v>231</v>
      </c>
      <c r="B247" s="81"/>
      <c r="C247" s="171"/>
      <c r="D247" s="83">
        <v>330</v>
      </c>
      <c r="E247" s="84">
        <v>28.908999999999999</v>
      </c>
      <c r="F247" s="72">
        <v>-9</v>
      </c>
      <c r="G247" s="72"/>
      <c r="H247" s="72"/>
      <c r="I247" s="85">
        <f t="shared" ref="I247:I253" si="28">SUM(E247:G247)</f>
        <v>19.908999999999999</v>
      </c>
      <c r="J247" s="149" t="s">
        <v>225</v>
      </c>
      <c r="M247" s="110"/>
      <c r="T247" s="534">
        <f t="shared" si="25"/>
        <v>6.0330303030303026E-2</v>
      </c>
    </row>
    <row r="248" spans="1:20" s="65" customFormat="1" ht="15.75" x14ac:dyDescent="0.25">
      <c r="A248" s="111" t="s">
        <v>232</v>
      </c>
      <c r="B248" s="81"/>
      <c r="C248" s="171"/>
      <c r="D248" s="83">
        <f>I248/0.06</f>
        <v>8701.2833333333328</v>
      </c>
      <c r="E248" s="84">
        <v>536.33399999999995</v>
      </c>
      <c r="F248" s="72">
        <v>-14.257</v>
      </c>
      <c r="G248" s="72"/>
      <c r="H248" s="72"/>
      <c r="I248" s="85">
        <f t="shared" si="28"/>
        <v>522.077</v>
      </c>
      <c r="J248" s="149" t="s">
        <v>21</v>
      </c>
      <c r="M248" s="110"/>
      <c r="T248" s="534">
        <f t="shared" si="25"/>
        <v>6.0000000000000005E-2</v>
      </c>
    </row>
    <row r="249" spans="1:20" s="65" customFormat="1" ht="15.75" x14ac:dyDescent="0.25">
      <c r="A249" s="111" t="s">
        <v>233</v>
      </c>
      <c r="B249" s="81"/>
      <c r="C249" s="171"/>
      <c r="D249" s="83">
        <v>191</v>
      </c>
      <c r="E249" s="84">
        <v>28.93</v>
      </c>
      <c r="F249" s="72">
        <v>-3.2</v>
      </c>
      <c r="G249" s="72"/>
      <c r="H249" s="72"/>
      <c r="I249" s="85">
        <f t="shared" si="28"/>
        <v>25.73</v>
      </c>
      <c r="J249" s="149" t="s">
        <v>104</v>
      </c>
      <c r="M249" s="110"/>
      <c r="T249" s="534">
        <f t="shared" si="25"/>
        <v>0.13471204188481675</v>
      </c>
    </row>
    <row r="250" spans="1:20" s="65" customFormat="1" ht="15.75" x14ac:dyDescent="0.25">
      <c r="A250" s="111" t="s">
        <v>234</v>
      </c>
      <c r="B250" s="81"/>
      <c r="C250" s="171"/>
      <c r="D250" s="83">
        <f>I250/0.06</f>
        <v>1356.3666666666668</v>
      </c>
      <c r="E250" s="84">
        <v>82.863</v>
      </c>
      <c r="F250" s="72">
        <v>-1.4810000000000001</v>
      </c>
      <c r="G250" s="72"/>
      <c r="H250" s="72"/>
      <c r="I250" s="85">
        <f t="shared" si="28"/>
        <v>81.382000000000005</v>
      </c>
      <c r="J250" s="149" t="s">
        <v>21</v>
      </c>
      <c r="M250" s="110"/>
      <c r="T250" s="534">
        <f t="shared" si="25"/>
        <v>0.06</v>
      </c>
    </row>
    <row r="251" spans="1:20" s="65" customFormat="1" ht="15.75" x14ac:dyDescent="0.25">
      <c r="A251" s="111" t="s">
        <v>235</v>
      </c>
      <c r="B251" s="81"/>
      <c r="C251" s="171"/>
      <c r="D251" s="83">
        <f>I251/0.06</f>
        <v>381.7</v>
      </c>
      <c r="E251" s="84">
        <v>23.408999999999999</v>
      </c>
      <c r="F251" s="72">
        <v>-0.50700000000000001</v>
      </c>
      <c r="G251" s="72"/>
      <c r="H251" s="72"/>
      <c r="I251" s="85">
        <f t="shared" si="28"/>
        <v>22.901999999999997</v>
      </c>
      <c r="J251" s="149" t="s">
        <v>21</v>
      </c>
      <c r="M251" s="110"/>
      <c r="T251" s="534">
        <f t="shared" si="25"/>
        <v>0.06</v>
      </c>
    </row>
    <row r="252" spans="1:20" s="65" customFormat="1" ht="15.75" x14ac:dyDescent="0.25">
      <c r="A252" s="111" t="s">
        <v>236</v>
      </c>
      <c r="B252" s="119"/>
      <c r="C252" s="120" t="s">
        <v>106</v>
      </c>
      <c r="D252" s="83">
        <v>7938.7349999999997</v>
      </c>
      <c r="E252" s="84">
        <v>1302.6610000000001</v>
      </c>
      <c r="F252" s="72">
        <v>-210.5</v>
      </c>
      <c r="G252" s="72"/>
      <c r="H252" s="72"/>
      <c r="I252" s="85">
        <f t="shared" si="28"/>
        <v>1092.1610000000001</v>
      </c>
      <c r="J252" s="149" t="s">
        <v>21</v>
      </c>
      <c r="M252" s="110"/>
      <c r="T252" s="534">
        <f t="shared" si="25"/>
        <v>0.13757368144924853</v>
      </c>
    </row>
    <row r="253" spans="1:20" s="65" customFormat="1" ht="15.75" x14ac:dyDescent="0.25">
      <c r="A253" s="111" t="s">
        <v>237</v>
      </c>
      <c r="B253" s="113"/>
      <c r="C253" s="120" t="s">
        <v>238</v>
      </c>
      <c r="D253" s="173">
        <f>I253/0.04</f>
        <v>39986.224999999999</v>
      </c>
      <c r="E253" s="84">
        <v>1599.4490000000001</v>
      </c>
      <c r="F253" s="72">
        <v>0</v>
      </c>
      <c r="G253" s="72"/>
      <c r="H253" s="72"/>
      <c r="I253" s="85">
        <f t="shared" si="28"/>
        <v>1599.4490000000001</v>
      </c>
      <c r="J253" s="149" t="s">
        <v>18</v>
      </c>
      <c r="M253" s="110"/>
      <c r="T253" s="534">
        <f t="shared" si="25"/>
        <v>0.04</v>
      </c>
    </row>
    <row r="254" spans="1:20" s="65" customFormat="1" ht="15.75" x14ac:dyDescent="0.25">
      <c r="A254" s="111" t="s">
        <v>239</v>
      </c>
      <c r="B254" s="86">
        <v>37083</v>
      </c>
      <c r="C254" s="174" t="s">
        <v>106</v>
      </c>
      <c r="D254" s="83">
        <v>1700</v>
      </c>
      <c r="E254" s="84">
        <v>411.80700000000002</v>
      </c>
      <c r="F254" s="72">
        <v>-10.647</v>
      </c>
      <c r="G254" s="72">
        <v>0</v>
      </c>
      <c r="H254" s="72">
        <v>0</v>
      </c>
      <c r="I254" s="85">
        <f>SUM(E254:H254)</f>
        <v>401.16</v>
      </c>
      <c r="J254" s="149" t="s">
        <v>21</v>
      </c>
      <c r="M254" s="110"/>
      <c r="T254" s="534">
        <f t="shared" si="25"/>
        <v>0.23597647058823532</v>
      </c>
    </row>
    <row r="255" spans="1:20" s="65" customFormat="1" ht="15.75" x14ac:dyDescent="0.25">
      <c r="A255" s="111" t="s">
        <v>240</v>
      </c>
      <c r="B255" s="86">
        <v>37083</v>
      </c>
      <c r="C255" s="149" t="s">
        <v>241</v>
      </c>
      <c r="D255" s="83">
        <v>15000</v>
      </c>
      <c r="E255" s="84">
        <v>1730.6690000000001</v>
      </c>
      <c r="F255" s="72">
        <v>-150</v>
      </c>
      <c r="G255" s="72">
        <v>0</v>
      </c>
      <c r="H255" s="72">
        <v>0</v>
      </c>
      <c r="I255" s="85">
        <f>SUM(E255:H255)</f>
        <v>1580.6690000000001</v>
      </c>
      <c r="J255" s="149" t="s">
        <v>242</v>
      </c>
      <c r="M255" s="110"/>
      <c r="T255" s="534">
        <f t="shared" si="25"/>
        <v>0.10537793333333334</v>
      </c>
    </row>
    <row r="256" spans="1:20" s="65" customFormat="1" ht="15.75" x14ac:dyDescent="0.25">
      <c r="A256" s="111" t="s">
        <v>243</v>
      </c>
      <c r="B256" s="86">
        <v>37083</v>
      </c>
      <c r="C256" s="149" t="s">
        <v>241</v>
      </c>
      <c r="D256" s="83">
        <f>I256/0.015</f>
        <v>7050.4666666666672</v>
      </c>
      <c r="E256" s="84">
        <v>118.589</v>
      </c>
      <c r="F256" s="72">
        <v>-12.832000000000001</v>
      </c>
      <c r="G256" s="72">
        <v>0</v>
      </c>
      <c r="H256" s="72">
        <v>0</v>
      </c>
      <c r="I256" s="85">
        <f>SUM(E256:H256)</f>
        <v>105.75700000000001</v>
      </c>
      <c r="J256" s="149" t="s">
        <v>242</v>
      </c>
      <c r="M256" s="110"/>
      <c r="T256" s="534">
        <f t="shared" si="25"/>
        <v>1.4999999999999999E-2</v>
      </c>
    </row>
    <row r="257" spans="1:255" s="97" customFormat="1" ht="15.75" x14ac:dyDescent="0.25">
      <c r="A257" s="111" t="s">
        <v>244</v>
      </c>
      <c r="B257" s="86">
        <v>37105</v>
      </c>
      <c r="C257" s="149" t="s">
        <v>238</v>
      </c>
      <c r="D257" s="83">
        <f>I257/0.015</f>
        <v>12580.800000000001</v>
      </c>
      <c r="E257" s="84">
        <v>191.85400000000001</v>
      </c>
      <c r="F257" s="72">
        <v>-3.1419999999999999</v>
      </c>
      <c r="G257" s="72">
        <v>0</v>
      </c>
      <c r="H257" s="72"/>
      <c r="I257" s="85">
        <v>188.71200000000002</v>
      </c>
      <c r="J257" s="149" t="s">
        <v>21</v>
      </c>
      <c r="K257" s="65"/>
      <c r="M257" s="110"/>
      <c r="N257" s="65"/>
      <c r="O257" s="65"/>
      <c r="P257" s="65"/>
      <c r="Q257" s="65"/>
      <c r="R257" s="65"/>
      <c r="S257" s="65"/>
      <c r="T257" s="534">
        <f t="shared" si="25"/>
        <v>1.4999999999999999E-2</v>
      </c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  <c r="DS257" s="65"/>
      <c r="DT257" s="65"/>
      <c r="DU257" s="65"/>
      <c r="DV257" s="65"/>
      <c r="DW257" s="65"/>
      <c r="DX257" s="65"/>
      <c r="DY257" s="65"/>
      <c r="DZ257" s="65"/>
      <c r="EA257" s="65"/>
      <c r="EB257" s="65"/>
      <c r="EC257" s="65"/>
      <c r="ED257" s="65"/>
      <c r="EE257" s="65"/>
      <c r="EF257" s="65"/>
      <c r="EG257" s="65"/>
      <c r="EH257" s="65"/>
      <c r="EI257" s="65"/>
      <c r="EJ257" s="65"/>
      <c r="EK257" s="65"/>
      <c r="EL257" s="65"/>
      <c r="EM257" s="65"/>
      <c r="EN257" s="65"/>
      <c r="EO257" s="65"/>
      <c r="EP257" s="65"/>
      <c r="EQ257" s="65"/>
      <c r="ER257" s="65"/>
      <c r="ES257" s="65"/>
      <c r="ET257" s="65"/>
      <c r="EU257" s="65"/>
      <c r="EV257" s="65"/>
      <c r="EW257" s="65"/>
      <c r="EX257" s="65"/>
      <c r="EY257" s="65"/>
      <c r="EZ257" s="65"/>
      <c r="FA257" s="65"/>
      <c r="FB257" s="65"/>
      <c r="FC257" s="65"/>
      <c r="FD257" s="65"/>
      <c r="FE257" s="65"/>
      <c r="FF257" s="65"/>
      <c r="FG257" s="65"/>
      <c r="FH257" s="65"/>
      <c r="FI257" s="65"/>
      <c r="FJ257" s="65"/>
      <c r="FK257" s="65"/>
      <c r="FL257" s="65"/>
      <c r="FM257" s="65"/>
      <c r="FN257" s="65"/>
      <c r="FO257" s="65"/>
      <c r="FP257" s="65"/>
      <c r="FQ257" s="65"/>
      <c r="FR257" s="65"/>
      <c r="FS257" s="65"/>
      <c r="FT257" s="65"/>
      <c r="FU257" s="65"/>
      <c r="FV257" s="65"/>
      <c r="FW257" s="65"/>
      <c r="FX257" s="65"/>
      <c r="FY257" s="65"/>
      <c r="FZ257" s="65"/>
      <c r="GA257" s="65"/>
      <c r="GB257" s="65"/>
      <c r="GC257" s="65"/>
      <c r="GD257" s="65"/>
      <c r="GE257" s="65"/>
      <c r="GF257" s="65"/>
      <c r="GG257" s="65"/>
      <c r="GH257" s="65"/>
      <c r="GI257" s="65"/>
      <c r="GJ257" s="65"/>
      <c r="GK257" s="65"/>
      <c r="GL257" s="65"/>
      <c r="GM257" s="65"/>
      <c r="GN257" s="65"/>
      <c r="GO257" s="65"/>
      <c r="GP257" s="65"/>
      <c r="GQ257" s="65"/>
      <c r="GR257" s="65"/>
      <c r="GS257" s="65"/>
      <c r="GT257" s="65"/>
      <c r="GU257" s="65"/>
      <c r="GV257" s="65"/>
      <c r="GW257" s="65"/>
      <c r="GX257" s="65"/>
      <c r="GY257" s="65"/>
      <c r="GZ257" s="65"/>
      <c r="HA257" s="65"/>
      <c r="HB257" s="65"/>
      <c r="HC257" s="65"/>
      <c r="HD257" s="65"/>
      <c r="HE257" s="65"/>
      <c r="HF257" s="65"/>
      <c r="HG257" s="65"/>
      <c r="HH257" s="65"/>
      <c r="HI257" s="65"/>
      <c r="HJ257" s="65"/>
      <c r="HK257" s="65"/>
      <c r="HL257" s="65"/>
      <c r="HM257" s="65"/>
      <c r="HN257" s="65"/>
      <c r="HO257" s="65"/>
      <c r="HP257" s="65"/>
      <c r="HQ257" s="65"/>
      <c r="HR257" s="65"/>
      <c r="HS257" s="65"/>
      <c r="HT257" s="65"/>
      <c r="HU257" s="65"/>
      <c r="HV257" s="65"/>
      <c r="HW257" s="65"/>
      <c r="HX257" s="65"/>
      <c r="HY257" s="65"/>
      <c r="HZ257" s="65"/>
      <c r="IA257" s="65"/>
      <c r="IB257" s="65"/>
      <c r="IC257" s="65"/>
      <c r="ID257" s="65"/>
      <c r="IE257" s="65"/>
      <c r="IF257" s="65"/>
      <c r="IG257" s="65"/>
      <c r="IH257" s="65"/>
      <c r="II257" s="65"/>
      <c r="IJ257" s="65"/>
      <c r="IK257" s="65"/>
      <c r="IL257" s="65"/>
      <c r="IM257" s="65"/>
      <c r="IN257" s="65"/>
      <c r="IO257" s="65"/>
      <c r="IP257" s="65"/>
      <c r="IQ257" s="65"/>
      <c r="IR257" s="65"/>
      <c r="IS257" s="65"/>
      <c r="IT257" s="65"/>
      <c r="IU257" s="65"/>
    </row>
    <row r="258" spans="1:255" s="97" customFormat="1" ht="15.75" x14ac:dyDescent="0.25">
      <c r="A258" s="111" t="s">
        <v>245</v>
      </c>
      <c r="B258" s="86">
        <v>37105</v>
      </c>
      <c r="C258" s="149" t="s">
        <v>238</v>
      </c>
      <c r="D258" s="173">
        <v>2000</v>
      </c>
      <c r="E258" s="84">
        <v>109.925</v>
      </c>
      <c r="F258" s="72">
        <v>-3.56</v>
      </c>
      <c r="G258" s="72">
        <v>0</v>
      </c>
      <c r="H258" s="72"/>
      <c r="I258" s="85">
        <v>106.36499999999999</v>
      </c>
      <c r="J258" s="149" t="s">
        <v>104</v>
      </c>
      <c r="K258" s="65"/>
      <c r="M258" s="110"/>
      <c r="N258" s="65"/>
      <c r="O258" s="65"/>
      <c r="P258" s="65"/>
      <c r="Q258" s="65"/>
      <c r="R258" s="65"/>
      <c r="S258" s="65"/>
      <c r="T258" s="534">
        <f t="shared" si="25"/>
        <v>5.3182500000000001E-2</v>
      </c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  <c r="DS258" s="65"/>
      <c r="DT258" s="65"/>
      <c r="DU258" s="65"/>
      <c r="DV258" s="65"/>
      <c r="DW258" s="65"/>
      <c r="DX258" s="65"/>
      <c r="DY258" s="65"/>
      <c r="DZ258" s="65"/>
      <c r="EA258" s="65"/>
      <c r="EB258" s="65"/>
      <c r="EC258" s="65"/>
      <c r="ED258" s="65"/>
      <c r="EE258" s="65"/>
      <c r="EF258" s="65"/>
      <c r="EG258" s="65"/>
      <c r="EH258" s="65"/>
      <c r="EI258" s="65"/>
      <c r="EJ258" s="65"/>
      <c r="EK258" s="65"/>
      <c r="EL258" s="65"/>
      <c r="EM258" s="65"/>
      <c r="EN258" s="65"/>
      <c r="EO258" s="65"/>
      <c r="EP258" s="65"/>
      <c r="EQ258" s="65"/>
      <c r="ER258" s="65"/>
      <c r="ES258" s="65"/>
      <c r="ET258" s="65"/>
      <c r="EU258" s="65"/>
      <c r="EV258" s="65"/>
      <c r="EW258" s="65"/>
      <c r="EX258" s="65"/>
      <c r="EY258" s="65"/>
      <c r="EZ258" s="65"/>
      <c r="FA258" s="65"/>
      <c r="FB258" s="65"/>
      <c r="FC258" s="65"/>
      <c r="FD258" s="65"/>
      <c r="FE258" s="65"/>
      <c r="FF258" s="65"/>
      <c r="FG258" s="65"/>
      <c r="FH258" s="65"/>
      <c r="FI258" s="65"/>
      <c r="FJ258" s="65"/>
      <c r="FK258" s="65"/>
      <c r="FL258" s="65"/>
      <c r="FM258" s="65"/>
      <c r="FN258" s="65"/>
      <c r="FO258" s="65"/>
      <c r="FP258" s="65"/>
      <c r="FQ258" s="65"/>
      <c r="FR258" s="65"/>
      <c r="FS258" s="65"/>
      <c r="FT258" s="65"/>
      <c r="FU258" s="65"/>
      <c r="FV258" s="65"/>
      <c r="FW258" s="65"/>
      <c r="FX258" s="65"/>
      <c r="FY258" s="65"/>
      <c r="FZ258" s="65"/>
      <c r="GA258" s="65"/>
      <c r="GB258" s="65"/>
      <c r="GC258" s="65"/>
      <c r="GD258" s="65"/>
      <c r="GE258" s="65"/>
      <c r="GF258" s="65"/>
      <c r="GG258" s="65"/>
      <c r="GH258" s="65"/>
      <c r="GI258" s="65"/>
      <c r="GJ258" s="65"/>
      <c r="GK258" s="65"/>
      <c r="GL258" s="65"/>
      <c r="GM258" s="65"/>
      <c r="GN258" s="65"/>
      <c r="GO258" s="65"/>
      <c r="GP258" s="65"/>
      <c r="GQ258" s="65"/>
      <c r="GR258" s="65"/>
      <c r="GS258" s="65"/>
      <c r="GT258" s="65"/>
      <c r="GU258" s="65"/>
      <c r="GV258" s="65"/>
      <c r="GW258" s="65"/>
      <c r="GX258" s="65"/>
      <c r="GY258" s="65"/>
      <c r="GZ258" s="65"/>
      <c r="HA258" s="65"/>
      <c r="HB258" s="65"/>
      <c r="HC258" s="65"/>
      <c r="HD258" s="65"/>
      <c r="HE258" s="65"/>
      <c r="HF258" s="65"/>
      <c r="HG258" s="65"/>
      <c r="HH258" s="65"/>
      <c r="HI258" s="65"/>
      <c r="HJ258" s="65"/>
      <c r="HK258" s="65"/>
      <c r="HL258" s="65"/>
      <c r="HM258" s="65"/>
      <c r="HN258" s="65"/>
      <c r="HO258" s="65"/>
      <c r="HP258" s="65"/>
      <c r="HQ258" s="65"/>
      <c r="HR258" s="65"/>
      <c r="HS258" s="65"/>
      <c r="HT258" s="65"/>
      <c r="HU258" s="65"/>
      <c r="HV258" s="65"/>
      <c r="HW258" s="65"/>
      <c r="HX258" s="65"/>
      <c r="HY258" s="65"/>
      <c r="HZ258" s="65"/>
      <c r="IA258" s="65"/>
      <c r="IB258" s="65"/>
      <c r="IC258" s="65"/>
      <c r="ID258" s="65"/>
      <c r="IE258" s="65"/>
      <c r="IF258" s="65"/>
      <c r="IG258" s="65"/>
      <c r="IH258" s="65"/>
      <c r="II258" s="65"/>
      <c r="IJ258" s="65"/>
      <c r="IK258" s="65"/>
      <c r="IL258" s="65"/>
      <c r="IM258" s="65"/>
      <c r="IN258" s="65"/>
      <c r="IO258" s="65"/>
      <c r="IP258" s="65"/>
      <c r="IQ258" s="65"/>
      <c r="IR258" s="65"/>
      <c r="IS258" s="65"/>
      <c r="IT258" s="65"/>
      <c r="IU258" s="65"/>
    </row>
    <row r="259" spans="1:255" s="97" customFormat="1" ht="15.75" x14ac:dyDescent="0.25">
      <c r="A259" s="111" t="s">
        <v>246</v>
      </c>
      <c r="B259" s="86"/>
      <c r="C259" s="149"/>
      <c r="D259" s="173">
        <f>I259/0.04</f>
        <v>71.575000000000003</v>
      </c>
      <c r="E259" s="84">
        <v>2.863</v>
      </c>
      <c r="F259" s="72">
        <v>0</v>
      </c>
      <c r="G259" s="72">
        <v>0</v>
      </c>
      <c r="H259" s="72">
        <v>0</v>
      </c>
      <c r="I259" s="85">
        <f>SUM(E259:H259)</f>
        <v>2.863</v>
      </c>
      <c r="J259" s="149" t="s">
        <v>18</v>
      </c>
      <c r="K259" s="65"/>
      <c r="M259" s="339"/>
      <c r="N259" s="341"/>
      <c r="O259" s="65"/>
      <c r="P259" s="65"/>
      <c r="Q259" s="65"/>
      <c r="R259" s="65"/>
      <c r="S259" s="65"/>
      <c r="T259" s="534">
        <f t="shared" si="25"/>
        <v>0.04</v>
      </c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  <c r="DS259" s="65"/>
      <c r="DT259" s="65"/>
      <c r="DU259" s="65"/>
      <c r="DV259" s="65"/>
      <c r="DW259" s="65"/>
      <c r="DX259" s="65"/>
      <c r="DY259" s="65"/>
      <c r="DZ259" s="65"/>
      <c r="EA259" s="65"/>
      <c r="EB259" s="65"/>
      <c r="EC259" s="65"/>
      <c r="ED259" s="65"/>
      <c r="EE259" s="65"/>
      <c r="EF259" s="65"/>
      <c r="EG259" s="65"/>
      <c r="EH259" s="65"/>
      <c r="EI259" s="65"/>
      <c r="EJ259" s="65"/>
      <c r="EK259" s="65"/>
      <c r="EL259" s="65"/>
      <c r="EM259" s="65"/>
      <c r="EN259" s="65"/>
      <c r="EO259" s="65"/>
      <c r="EP259" s="65"/>
      <c r="EQ259" s="65"/>
      <c r="ER259" s="65"/>
      <c r="ES259" s="65"/>
      <c r="ET259" s="65"/>
      <c r="EU259" s="65"/>
      <c r="EV259" s="65"/>
      <c r="EW259" s="65"/>
      <c r="EX259" s="65"/>
      <c r="EY259" s="65"/>
      <c r="EZ259" s="65"/>
      <c r="FA259" s="65"/>
      <c r="FB259" s="65"/>
      <c r="FC259" s="65"/>
      <c r="FD259" s="65"/>
      <c r="FE259" s="65"/>
      <c r="FF259" s="65"/>
      <c r="FG259" s="65"/>
      <c r="FH259" s="65"/>
      <c r="FI259" s="65"/>
      <c r="FJ259" s="65"/>
      <c r="FK259" s="65"/>
      <c r="FL259" s="65"/>
      <c r="FM259" s="65"/>
      <c r="FN259" s="65"/>
      <c r="FO259" s="65"/>
      <c r="FP259" s="65"/>
      <c r="FQ259" s="65"/>
      <c r="FR259" s="65"/>
      <c r="FS259" s="65"/>
      <c r="FT259" s="65"/>
      <c r="FU259" s="65"/>
      <c r="FV259" s="65"/>
      <c r="FW259" s="65"/>
      <c r="FX259" s="65"/>
      <c r="FY259" s="65"/>
      <c r="FZ259" s="65"/>
      <c r="GA259" s="65"/>
      <c r="GB259" s="65"/>
      <c r="GC259" s="65"/>
      <c r="GD259" s="65"/>
      <c r="GE259" s="65"/>
      <c r="GF259" s="65"/>
      <c r="GG259" s="65"/>
      <c r="GH259" s="65"/>
      <c r="GI259" s="65"/>
      <c r="GJ259" s="65"/>
      <c r="GK259" s="65"/>
      <c r="GL259" s="65"/>
      <c r="GM259" s="65"/>
      <c r="GN259" s="65"/>
      <c r="GO259" s="65"/>
      <c r="GP259" s="65"/>
      <c r="GQ259" s="65"/>
      <c r="GR259" s="65"/>
      <c r="GS259" s="65"/>
      <c r="GT259" s="65"/>
      <c r="GU259" s="65"/>
      <c r="GV259" s="65"/>
      <c r="GW259" s="65"/>
      <c r="GX259" s="65"/>
      <c r="GY259" s="65"/>
      <c r="GZ259" s="65"/>
      <c r="HA259" s="65"/>
      <c r="HB259" s="65"/>
      <c r="HC259" s="65"/>
      <c r="HD259" s="65"/>
      <c r="HE259" s="65"/>
      <c r="HF259" s="65"/>
      <c r="HG259" s="65"/>
      <c r="HH259" s="65"/>
      <c r="HI259" s="65"/>
      <c r="HJ259" s="65"/>
      <c r="HK259" s="65"/>
      <c r="HL259" s="65"/>
      <c r="HM259" s="65"/>
      <c r="HN259" s="65"/>
      <c r="HO259" s="65"/>
      <c r="HP259" s="65"/>
      <c r="HQ259" s="65"/>
      <c r="HR259" s="65"/>
      <c r="HS259" s="65"/>
      <c r="HT259" s="65"/>
      <c r="HU259" s="65"/>
      <c r="HV259" s="65"/>
      <c r="HW259" s="65"/>
      <c r="HX259" s="65"/>
      <c r="HY259" s="65"/>
      <c r="HZ259" s="65"/>
      <c r="IA259" s="65"/>
      <c r="IB259" s="65"/>
      <c r="IC259" s="65"/>
      <c r="ID259" s="65"/>
      <c r="IE259" s="65"/>
      <c r="IF259" s="65"/>
      <c r="IG259" s="65"/>
      <c r="IH259" s="65"/>
      <c r="II259" s="65"/>
      <c r="IJ259" s="65"/>
      <c r="IK259" s="65"/>
      <c r="IL259" s="65"/>
      <c r="IM259" s="65"/>
      <c r="IN259" s="65"/>
      <c r="IO259" s="65"/>
      <c r="IP259" s="65"/>
      <c r="IQ259" s="65"/>
      <c r="IR259" s="65"/>
      <c r="IS259" s="65"/>
      <c r="IT259" s="65"/>
      <c r="IU259" s="65"/>
    </row>
    <row r="260" spans="1:255" s="97" customFormat="1" ht="15.75" x14ac:dyDescent="0.25">
      <c r="A260" s="128" t="s">
        <v>204</v>
      </c>
      <c r="B260" s="176"/>
      <c r="C260" s="186"/>
      <c r="D260" s="187"/>
      <c r="E260" s="356">
        <f>-(21.691+18+2.498+1.526)</f>
        <v>-43.715000000000003</v>
      </c>
      <c r="F260" s="78">
        <v>0</v>
      </c>
      <c r="G260" s="78">
        <v>0</v>
      </c>
      <c r="H260" s="78"/>
      <c r="I260" s="79">
        <f>SUM(E260:H260)</f>
        <v>-43.715000000000003</v>
      </c>
      <c r="J260" s="149"/>
      <c r="K260" s="65"/>
      <c r="M260" s="110"/>
      <c r="N260" s="65"/>
      <c r="O260" s="65"/>
      <c r="P260" s="65"/>
      <c r="Q260" s="65"/>
      <c r="R260" s="65"/>
      <c r="S260" s="65"/>
      <c r="T260" s="534" t="str">
        <f t="shared" si="25"/>
        <v/>
      </c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  <c r="DS260" s="65"/>
      <c r="DT260" s="65"/>
      <c r="DU260" s="65"/>
      <c r="DV260" s="65"/>
      <c r="DW260" s="65"/>
      <c r="DX260" s="65"/>
      <c r="DY260" s="65"/>
      <c r="DZ260" s="65"/>
      <c r="EA260" s="65"/>
      <c r="EB260" s="65"/>
      <c r="EC260" s="65"/>
      <c r="ED260" s="65"/>
      <c r="EE260" s="65"/>
      <c r="EF260" s="65"/>
      <c r="EG260" s="65"/>
      <c r="EH260" s="65"/>
      <c r="EI260" s="65"/>
      <c r="EJ260" s="65"/>
      <c r="EK260" s="65"/>
      <c r="EL260" s="65"/>
      <c r="EM260" s="65"/>
      <c r="EN260" s="65"/>
      <c r="EO260" s="65"/>
      <c r="EP260" s="65"/>
      <c r="EQ260" s="65"/>
      <c r="ER260" s="65"/>
      <c r="ES260" s="65"/>
      <c r="ET260" s="65"/>
      <c r="EU260" s="65"/>
      <c r="EV260" s="65"/>
      <c r="EW260" s="65"/>
      <c r="EX260" s="65"/>
      <c r="EY260" s="65"/>
      <c r="EZ260" s="65"/>
      <c r="FA260" s="65"/>
      <c r="FB260" s="65"/>
      <c r="FC260" s="65"/>
      <c r="FD260" s="65"/>
      <c r="FE260" s="65"/>
      <c r="FF260" s="65"/>
      <c r="FG260" s="65"/>
      <c r="FH260" s="65"/>
      <c r="FI260" s="65"/>
      <c r="FJ260" s="65"/>
      <c r="FK260" s="65"/>
      <c r="FL260" s="65"/>
      <c r="FM260" s="65"/>
      <c r="FN260" s="65"/>
      <c r="FO260" s="65"/>
      <c r="FP260" s="65"/>
      <c r="FQ260" s="65"/>
      <c r="FR260" s="65"/>
      <c r="FS260" s="65"/>
      <c r="FT260" s="65"/>
      <c r="FU260" s="65"/>
      <c r="FV260" s="65"/>
      <c r="FW260" s="65"/>
      <c r="FX260" s="65"/>
      <c r="FY260" s="65"/>
      <c r="FZ260" s="65"/>
      <c r="GA260" s="65"/>
      <c r="GB260" s="65"/>
      <c r="GC260" s="65"/>
      <c r="GD260" s="65"/>
      <c r="GE260" s="65"/>
      <c r="GF260" s="65"/>
      <c r="GG260" s="65"/>
      <c r="GH260" s="65"/>
      <c r="GI260" s="65"/>
      <c r="GJ260" s="65"/>
      <c r="GK260" s="65"/>
      <c r="GL260" s="65"/>
      <c r="GM260" s="65"/>
      <c r="GN260" s="65"/>
      <c r="GO260" s="65"/>
      <c r="GP260" s="65"/>
      <c r="GQ260" s="65"/>
      <c r="GR260" s="65"/>
      <c r="GS260" s="65"/>
      <c r="GT260" s="65"/>
      <c r="GU260" s="65"/>
      <c r="GV260" s="65"/>
      <c r="GW260" s="65"/>
      <c r="GX260" s="65"/>
      <c r="GY260" s="65"/>
      <c r="GZ260" s="65"/>
      <c r="HA260" s="65"/>
      <c r="HB260" s="65"/>
      <c r="HC260" s="65"/>
      <c r="HD260" s="65"/>
      <c r="HE260" s="65"/>
      <c r="HF260" s="65"/>
      <c r="HG260" s="65"/>
      <c r="HH260" s="65"/>
      <c r="HI260" s="65"/>
      <c r="HJ260" s="65"/>
      <c r="HK260" s="65"/>
      <c r="HL260" s="65"/>
      <c r="HM260" s="65"/>
      <c r="HN260" s="65"/>
      <c r="HO260" s="65"/>
      <c r="HP260" s="65"/>
      <c r="HQ260" s="65"/>
      <c r="HR260" s="65"/>
      <c r="HS260" s="65"/>
      <c r="HT260" s="65"/>
      <c r="HU260" s="65"/>
      <c r="HV260" s="65"/>
      <c r="HW260" s="65"/>
      <c r="HX260" s="65"/>
      <c r="HY260" s="65"/>
      <c r="HZ260" s="65"/>
      <c r="IA260" s="65"/>
      <c r="IB260" s="65"/>
      <c r="IC260" s="65"/>
      <c r="ID260" s="65"/>
      <c r="IE260" s="65"/>
      <c r="IF260" s="65"/>
      <c r="IG260" s="65"/>
      <c r="IH260" s="65"/>
      <c r="II260" s="65"/>
      <c r="IJ260" s="65"/>
      <c r="IK260" s="65"/>
      <c r="IL260" s="65"/>
      <c r="IM260" s="65"/>
      <c r="IN260" s="65"/>
      <c r="IO260" s="65"/>
      <c r="IP260" s="65"/>
      <c r="IQ260" s="65"/>
      <c r="IR260" s="65"/>
      <c r="IS260" s="65"/>
      <c r="IT260" s="65"/>
      <c r="IU260" s="65"/>
    </row>
    <row r="261" spans="1:255" ht="15.75" x14ac:dyDescent="0.25">
      <c r="A261" s="111" t="s">
        <v>247</v>
      </c>
      <c r="B261" s="81"/>
      <c r="C261" s="149" t="s">
        <v>241</v>
      </c>
      <c r="D261" s="173">
        <f>I261/0.04</f>
        <v>60951.475000000006</v>
      </c>
      <c r="E261" s="84">
        <v>2438.0590000000002</v>
      </c>
      <c r="F261" s="72">
        <v>0</v>
      </c>
      <c r="G261" s="72">
        <v>0</v>
      </c>
      <c r="H261" s="72">
        <v>0</v>
      </c>
      <c r="I261" s="85">
        <f>SUM(E261:H261)</f>
        <v>2438.0590000000002</v>
      </c>
      <c r="J261" s="149" t="s">
        <v>18</v>
      </c>
      <c r="M261" s="110"/>
      <c r="T261" s="534">
        <f t="shared" si="25"/>
        <v>0.04</v>
      </c>
    </row>
    <row r="262" spans="1:255" s="88" customFormat="1" ht="15.75" x14ac:dyDescent="0.25">
      <c r="A262" s="111" t="s">
        <v>248</v>
      </c>
      <c r="B262" s="81"/>
      <c r="C262" s="174" t="s">
        <v>106</v>
      </c>
      <c r="D262" s="126">
        <f>I262/0.04</f>
        <v>41212.9</v>
      </c>
      <c r="E262" s="178">
        <v>1648.5160000000001</v>
      </c>
      <c r="F262" s="123">
        <v>0</v>
      </c>
      <c r="G262" s="123">
        <v>0</v>
      </c>
      <c r="H262" s="123">
        <v>0</v>
      </c>
      <c r="I262" s="124">
        <f>SUM(E262:H262)</f>
        <v>1648.5160000000001</v>
      </c>
      <c r="J262" s="149" t="s">
        <v>18</v>
      </c>
      <c r="M262" s="110"/>
      <c r="T262" s="534">
        <f t="shared" si="25"/>
        <v>0.04</v>
      </c>
    </row>
    <row r="263" spans="1:255" s="88" customFormat="1" ht="15.75" x14ac:dyDescent="0.25">
      <c r="A263" s="179" t="s">
        <v>249</v>
      </c>
      <c r="B263" s="180"/>
      <c r="C263" s="174"/>
      <c r="D263" s="83">
        <f t="shared" ref="D263:I263" si="29">SUM(D225:D262)</f>
        <v>259451.94079713328</v>
      </c>
      <c r="E263" s="357">
        <f t="shared" si="29"/>
        <v>15668.285999999996</v>
      </c>
      <c r="F263" s="188">
        <f t="shared" si="29"/>
        <v>-1162.777</v>
      </c>
      <c r="G263" s="188">
        <f t="shared" si="29"/>
        <v>0</v>
      </c>
      <c r="H263" s="188">
        <f t="shared" si="29"/>
        <v>0</v>
      </c>
      <c r="I263" s="189">
        <f t="shared" si="29"/>
        <v>14505.508999999995</v>
      </c>
      <c r="J263" s="351"/>
      <c r="M263" s="110"/>
      <c r="T263" s="534">
        <f t="shared" si="25"/>
        <v>5.590826939059948E-2</v>
      </c>
    </row>
    <row r="264" spans="1:255" s="88" customFormat="1" ht="15.75" x14ac:dyDescent="0.25">
      <c r="A264" s="190"/>
      <c r="B264" s="191"/>
      <c r="C264" s="174"/>
      <c r="D264" s="83"/>
      <c r="E264" s="84"/>
      <c r="F264" s="72"/>
      <c r="G264" s="72"/>
      <c r="H264" s="72"/>
      <c r="I264" s="85"/>
      <c r="J264" s="149"/>
      <c r="M264" s="110"/>
      <c r="T264" s="534" t="str">
        <f t="shared" si="25"/>
        <v/>
      </c>
    </row>
    <row r="265" spans="1:255" s="88" customFormat="1" ht="15.75" x14ac:dyDescent="0.25">
      <c r="A265" s="182" t="s">
        <v>250</v>
      </c>
      <c r="B265" s="192"/>
      <c r="C265" s="174"/>
      <c r="D265" s="83"/>
      <c r="E265" s="84"/>
      <c r="F265" s="72"/>
      <c r="G265" s="72"/>
      <c r="H265" s="72"/>
      <c r="I265" s="85"/>
      <c r="J265" s="149"/>
      <c r="M265" s="110"/>
      <c r="T265" s="534" t="str">
        <f t="shared" si="25"/>
        <v/>
      </c>
    </row>
    <row r="266" spans="1:255" s="88" customFormat="1" ht="4.5" customHeight="1" x14ac:dyDescent="0.25">
      <c r="A266" s="193"/>
      <c r="B266" s="192"/>
      <c r="C266" s="174"/>
      <c r="D266" s="83"/>
      <c r="E266" s="84"/>
      <c r="F266" s="72"/>
      <c r="G266" s="72"/>
      <c r="H266" s="72"/>
      <c r="I266" s="85"/>
      <c r="J266" s="149"/>
      <c r="M266" s="110"/>
      <c r="T266" s="534" t="str">
        <f t="shared" si="25"/>
        <v/>
      </c>
    </row>
    <row r="267" spans="1:255" s="88" customFormat="1" ht="15.75" x14ac:dyDescent="0.25">
      <c r="A267" s="111" t="s">
        <v>251</v>
      </c>
      <c r="B267" s="180"/>
      <c r="C267" s="174"/>
      <c r="D267" s="83">
        <f>SUM(D268:D282)</f>
        <v>17188.916666666668</v>
      </c>
      <c r="E267" s="84">
        <f>SUM(E268:E282)</f>
        <v>1144.42</v>
      </c>
      <c r="F267" s="72">
        <f>SUM(F268:F282)</f>
        <v>-113.08500000000001</v>
      </c>
      <c r="G267" s="72">
        <f>SUM(G268:G282)</f>
        <v>0</v>
      </c>
      <c r="H267" s="72">
        <f>SUM(H269:H282)</f>
        <v>0</v>
      </c>
      <c r="I267" s="85">
        <f>SUM(I269:I282)</f>
        <v>1031.335</v>
      </c>
      <c r="J267" s="149" t="s">
        <v>69</v>
      </c>
      <c r="M267" s="110"/>
      <c r="T267" s="534">
        <f t="shared" si="25"/>
        <v>0.06</v>
      </c>
    </row>
    <row r="268" spans="1:255" s="88" customFormat="1" ht="5.0999999999999996" hidden="1" customHeight="1" x14ac:dyDescent="0.25">
      <c r="A268" s="194"/>
      <c r="B268" s="195"/>
      <c r="C268" s="196"/>
      <c r="D268" s="197"/>
      <c r="E268" s="198"/>
      <c r="F268" s="199"/>
      <c r="G268" s="199"/>
      <c r="H268" s="199"/>
      <c r="I268" s="200">
        <f>SUM(E268:G268)</f>
        <v>0</v>
      </c>
      <c r="J268" s="149"/>
      <c r="M268" s="110"/>
      <c r="T268" s="534" t="str">
        <f t="shared" si="25"/>
        <v/>
      </c>
    </row>
    <row r="269" spans="1:255" s="65" customFormat="1" ht="15.75" hidden="1" x14ac:dyDescent="0.25">
      <c r="A269" s="201" t="s">
        <v>252</v>
      </c>
      <c r="B269" s="81"/>
      <c r="C269" s="171"/>
      <c r="D269" s="83">
        <f>I269/0.06</f>
        <v>825.26666666666665</v>
      </c>
      <c r="E269" s="84">
        <v>55.933999999999997</v>
      </c>
      <c r="F269" s="72">
        <v>-6.4180000000000001</v>
      </c>
      <c r="G269" s="72"/>
      <c r="H269" s="72"/>
      <c r="I269" s="85">
        <f t="shared" ref="I269:I282" si="30">SUM(E269:G269)</f>
        <v>49.515999999999998</v>
      </c>
      <c r="J269" s="149" t="s">
        <v>69</v>
      </c>
      <c r="M269" s="110"/>
      <c r="T269" s="534">
        <f t="shared" si="25"/>
        <v>0.06</v>
      </c>
    </row>
    <row r="270" spans="1:255" s="65" customFormat="1" ht="15.75" hidden="1" x14ac:dyDescent="0.25">
      <c r="A270" s="201" t="s">
        <v>253</v>
      </c>
      <c r="B270" s="81"/>
      <c r="C270" s="171"/>
      <c r="D270" s="83">
        <f t="shared" ref="D270:D282" si="31">I270/0.06</f>
        <v>631.80000000000007</v>
      </c>
      <c r="E270" s="84">
        <v>42.005000000000003</v>
      </c>
      <c r="F270" s="72">
        <v>-4.0970000000000004</v>
      </c>
      <c r="G270" s="72"/>
      <c r="H270" s="72"/>
      <c r="I270" s="85">
        <f t="shared" si="30"/>
        <v>37.908000000000001</v>
      </c>
      <c r="J270" s="149" t="s">
        <v>69</v>
      </c>
      <c r="M270" s="110"/>
      <c r="T270" s="534">
        <f t="shared" si="25"/>
        <v>0.06</v>
      </c>
    </row>
    <row r="271" spans="1:255" s="65" customFormat="1" ht="15.75" hidden="1" x14ac:dyDescent="0.25">
      <c r="A271" s="201" t="s">
        <v>254</v>
      </c>
      <c r="B271" s="81"/>
      <c r="C271" s="171"/>
      <c r="D271" s="83">
        <f t="shared" si="31"/>
        <v>955.06666666666672</v>
      </c>
      <c r="E271" s="84">
        <v>64.307000000000002</v>
      </c>
      <c r="F271" s="72">
        <v>-7.0030000000000001</v>
      </c>
      <c r="G271" s="72"/>
      <c r="H271" s="72"/>
      <c r="I271" s="85">
        <f t="shared" si="30"/>
        <v>57.304000000000002</v>
      </c>
      <c r="J271" s="149" t="s">
        <v>69</v>
      </c>
      <c r="M271" s="110"/>
      <c r="T271" s="534">
        <f t="shared" si="25"/>
        <v>0.06</v>
      </c>
    </row>
    <row r="272" spans="1:255" s="65" customFormat="1" ht="15.75" hidden="1" x14ac:dyDescent="0.25">
      <c r="A272" s="201" t="s">
        <v>255</v>
      </c>
      <c r="B272" s="81"/>
      <c r="C272" s="171"/>
      <c r="D272" s="83">
        <f t="shared" si="31"/>
        <v>1339.05</v>
      </c>
      <c r="E272" s="84">
        <v>95.88</v>
      </c>
      <c r="F272" s="72">
        <v>-15.537000000000001</v>
      </c>
      <c r="G272" s="72"/>
      <c r="H272" s="72"/>
      <c r="I272" s="85">
        <f t="shared" si="30"/>
        <v>80.342999999999989</v>
      </c>
      <c r="J272" s="149" t="s">
        <v>69</v>
      </c>
      <c r="M272" s="110"/>
      <c r="T272" s="534">
        <f t="shared" si="25"/>
        <v>5.9999999999999991E-2</v>
      </c>
    </row>
    <row r="273" spans="1:255" s="65" customFormat="1" ht="15.75" hidden="1" x14ac:dyDescent="0.25">
      <c r="A273" s="201" t="s">
        <v>256</v>
      </c>
      <c r="B273" s="81"/>
      <c r="C273" s="171"/>
      <c r="D273" s="83">
        <f t="shared" si="31"/>
        <v>449.91666666666669</v>
      </c>
      <c r="E273" s="84">
        <v>30.23</v>
      </c>
      <c r="F273" s="72">
        <v>-3.2349999999999999</v>
      </c>
      <c r="G273" s="72"/>
      <c r="H273" s="72"/>
      <c r="I273" s="85">
        <f t="shared" si="30"/>
        <v>26.995000000000001</v>
      </c>
      <c r="J273" s="149" t="s">
        <v>69</v>
      </c>
      <c r="M273" s="110"/>
      <c r="T273" s="534">
        <f t="shared" si="25"/>
        <v>0.06</v>
      </c>
    </row>
    <row r="274" spans="1:255" s="65" customFormat="1" ht="15.75" hidden="1" x14ac:dyDescent="0.25">
      <c r="A274" s="201" t="s">
        <v>257</v>
      </c>
      <c r="B274" s="81"/>
      <c r="C274" s="171"/>
      <c r="D274" s="83">
        <f t="shared" si="31"/>
        <v>5647.4500000000007</v>
      </c>
      <c r="E274" s="84">
        <v>365.07100000000003</v>
      </c>
      <c r="F274" s="72">
        <v>-26.224</v>
      </c>
      <c r="G274" s="72"/>
      <c r="H274" s="72"/>
      <c r="I274" s="85">
        <f t="shared" si="30"/>
        <v>338.84700000000004</v>
      </c>
      <c r="J274" s="149" t="s">
        <v>69</v>
      </c>
      <c r="M274" s="110"/>
      <c r="T274" s="534">
        <f t="shared" si="25"/>
        <v>0.06</v>
      </c>
    </row>
    <row r="275" spans="1:255" s="65" customFormat="1" ht="15.75" hidden="1" x14ac:dyDescent="0.25">
      <c r="A275" s="201" t="s">
        <v>258</v>
      </c>
      <c r="B275" s="81"/>
      <c r="C275" s="171"/>
      <c r="D275" s="83">
        <f t="shared" si="31"/>
        <v>153.71666666666667</v>
      </c>
      <c r="E275" s="84">
        <v>10.571</v>
      </c>
      <c r="F275" s="72">
        <v>-1.3480000000000001</v>
      </c>
      <c r="G275" s="72"/>
      <c r="H275" s="72"/>
      <c r="I275" s="85">
        <f t="shared" si="30"/>
        <v>9.222999999999999</v>
      </c>
      <c r="J275" s="149" t="s">
        <v>69</v>
      </c>
      <c r="M275" s="110"/>
      <c r="T275" s="534">
        <f t="shared" ref="T275:T338" si="32">IF(D275&gt;0,(I275/D275),"")</f>
        <v>5.9999999999999991E-2</v>
      </c>
    </row>
    <row r="276" spans="1:255" s="65" customFormat="1" ht="15.75" hidden="1" x14ac:dyDescent="0.25">
      <c r="A276" s="201" t="s">
        <v>259</v>
      </c>
      <c r="B276" s="81"/>
      <c r="C276" s="171"/>
      <c r="D276" s="83">
        <f t="shared" si="31"/>
        <v>55.31666666666667</v>
      </c>
      <c r="E276" s="84">
        <v>3.8769999999999998</v>
      </c>
      <c r="F276" s="72">
        <v>-0.55800000000000005</v>
      </c>
      <c r="G276" s="72"/>
      <c r="H276" s="72"/>
      <c r="I276" s="85">
        <f t="shared" si="30"/>
        <v>3.319</v>
      </c>
      <c r="J276" s="149" t="s">
        <v>69</v>
      </c>
      <c r="M276" s="110"/>
      <c r="T276" s="534">
        <f t="shared" si="32"/>
        <v>0.06</v>
      </c>
    </row>
    <row r="277" spans="1:255" s="65" customFormat="1" ht="15.75" hidden="1" x14ac:dyDescent="0.25">
      <c r="A277" s="201" t="s">
        <v>260</v>
      </c>
      <c r="B277" s="81"/>
      <c r="C277" s="171"/>
      <c r="D277" s="83">
        <f t="shared" si="31"/>
        <v>104.93333333333334</v>
      </c>
      <c r="E277" s="84">
        <v>7.202</v>
      </c>
      <c r="F277" s="72">
        <v>-0.90600000000000003</v>
      </c>
      <c r="G277" s="72"/>
      <c r="H277" s="72"/>
      <c r="I277" s="85">
        <f t="shared" si="30"/>
        <v>6.2960000000000003</v>
      </c>
      <c r="J277" s="149" t="s">
        <v>69</v>
      </c>
      <c r="M277" s="110"/>
      <c r="T277" s="534">
        <f t="shared" si="32"/>
        <v>0.06</v>
      </c>
    </row>
    <row r="278" spans="1:255" s="65" customFormat="1" ht="15.75" hidden="1" x14ac:dyDescent="0.25">
      <c r="A278" s="201" t="s">
        <v>261</v>
      </c>
      <c r="B278" s="81"/>
      <c r="C278" s="171"/>
      <c r="D278" s="83">
        <f t="shared" si="31"/>
        <v>1168.6000000000001</v>
      </c>
      <c r="E278" s="84">
        <v>80.325000000000003</v>
      </c>
      <c r="F278" s="72">
        <v>-10.209</v>
      </c>
      <c r="G278" s="72"/>
      <c r="H278" s="72"/>
      <c r="I278" s="85">
        <f t="shared" si="30"/>
        <v>70.116</v>
      </c>
      <c r="J278" s="149" t="s">
        <v>69</v>
      </c>
      <c r="M278" s="110"/>
      <c r="T278" s="534">
        <f t="shared" si="32"/>
        <v>5.9999999999999991E-2</v>
      </c>
    </row>
    <row r="279" spans="1:255" s="65" customFormat="1" ht="15.75" hidden="1" x14ac:dyDescent="0.25">
      <c r="A279" s="201" t="s">
        <v>262</v>
      </c>
      <c r="B279" s="81"/>
      <c r="C279" s="171"/>
      <c r="D279" s="83">
        <f t="shared" si="31"/>
        <v>568.58333333333337</v>
      </c>
      <c r="E279" s="84">
        <v>38.561</v>
      </c>
      <c r="F279" s="72">
        <v>-4.4459999999999997</v>
      </c>
      <c r="G279" s="72"/>
      <c r="H279" s="72"/>
      <c r="I279" s="85">
        <f t="shared" si="30"/>
        <v>34.115000000000002</v>
      </c>
      <c r="J279" s="149" t="s">
        <v>69</v>
      </c>
      <c r="M279" s="110"/>
      <c r="T279" s="534">
        <f t="shared" si="32"/>
        <v>0.06</v>
      </c>
    </row>
    <row r="280" spans="1:255" s="65" customFormat="1" ht="15.75" hidden="1" x14ac:dyDescent="0.25">
      <c r="A280" s="201" t="s">
        <v>263</v>
      </c>
      <c r="B280" s="81"/>
      <c r="C280" s="171"/>
      <c r="D280" s="83">
        <f t="shared" si="31"/>
        <v>844.38333333333344</v>
      </c>
      <c r="E280" s="84">
        <v>56.801000000000002</v>
      </c>
      <c r="F280" s="72">
        <v>-6.1379999999999999</v>
      </c>
      <c r="G280" s="72"/>
      <c r="H280" s="72"/>
      <c r="I280" s="85">
        <f t="shared" si="30"/>
        <v>50.663000000000004</v>
      </c>
      <c r="J280" s="149" t="s">
        <v>69</v>
      </c>
      <c r="M280" s="110"/>
      <c r="T280" s="534">
        <f t="shared" si="32"/>
        <v>0.06</v>
      </c>
    </row>
    <row r="281" spans="1:255" s="65" customFormat="1" ht="15.75" hidden="1" x14ac:dyDescent="0.25">
      <c r="A281" s="201" t="s">
        <v>264</v>
      </c>
      <c r="B281" s="81"/>
      <c r="C281" s="171"/>
      <c r="D281" s="83">
        <f t="shared" si="31"/>
        <v>2457.2833333333338</v>
      </c>
      <c r="E281" s="84">
        <v>162.446</v>
      </c>
      <c r="F281" s="72">
        <v>-15.009</v>
      </c>
      <c r="G281" s="72"/>
      <c r="H281" s="72"/>
      <c r="I281" s="85">
        <f t="shared" si="30"/>
        <v>147.43700000000001</v>
      </c>
      <c r="J281" s="149" t="s">
        <v>69</v>
      </c>
      <c r="M281" s="110"/>
      <c r="T281" s="534">
        <f t="shared" si="32"/>
        <v>0.06</v>
      </c>
    </row>
    <row r="282" spans="1:255" s="65" customFormat="1" ht="15.75" hidden="1" x14ac:dyDescent="0.25">
      <c r="A282" s="201" t="s">
        <v>265</v>
      </c>
      <c r="B282" s="81"/>
      <c r="C282" s="171"/>
      <c r="D282" s="83">
        <f t="shared" si="31"/>
        <v>1987.5500000000004</v>
      </c>
      <c r="E282" s="84">
        <v>131.21</v>
      </c>
      <c r="F282" s="72">
        <v>-11.957000000000001</v>
      </c>
      <c r="G282" s="72"/>
      <c r="H282" s="72"/>
      <c r="I282" s="85">
        <f t="shared" si="30"/>
        <v>119.25300000000001</v>
      </c>
      <c r="J282" s="149" t="s">
        <v>69</v>
      </c>
      <c r="M282" s="110"/>
      <c r="T282" s="534">
        <f t="shared" si="32"/>
        <v>0.06</v>
      </c>
    </row>
    <row r="283" spans="1:255" s="65" customFormat="1" ht="5.0999999999999996" hidden="1" customHeight="1" x14ac:dyDescent="0.25">
      <c r="A283" s="194"/>
      <c r="B283" s="202"/>
      <c r="C283" s="203"/>
      <c r="D283" s="197"/>
      <c r="E283" s="198"/>
      <c r="F283" s="199"/>
      <c r="G283" s="199"/>
      <c r="H283" s="199"/>
      <c r="I283" s="200"/>
      <c r="J283" s="149"/>
      <c r="M283" s="110"/>
      <c r="T283" s="534" t="str">
        <f t="shared" si="32"/>
        <v/>
      </c>
    </row>
    <row r="284" spans="1:255" s="65" customFormat="1" ht="15.75" x14ac:dyDescent="0.25">
      <c r="A284" s="111" t="s">
        <v>266</v>
      </c>
      <c r="B284" s="81"/>
      <c r="C284" s="171"/>
      <c r="D284" s="83">
        <f>+I284/0.03</f>
        <v>307.20000000000005</v>
      </c>
      <c r="E284" s="84">
        <v>9.5950000000000006</v>
      </c>
      <c r="F284" s="72">
        <v>-0.379</v>
      </c>
      <c r="G284" s="72"/>
      <c r="H284" s="72"/>
      <c r="I284" s="85">
        <f>SUM(E284:G284)</f>
        <v>9.2160000000000011</v>
      </c>
      <c r="J284" s="149" t="s">
        <v>21</v>
      </c>
      <c r="M284" s="110"/>
      <c r="T284" s="534">
        <f t="shared" si="32"/>
        <v>0.03</v>
      </c>
    </row>
    <row r="285" spans="1:255" s="65" customFormat="1" ht="15.75" x14ac:dyDescent="0.25">
      <c r="A285" s="111" t="s">
        <v>267</v>
      </c>
      <c r="B285" s="81"/>
      <c r="C285" s="171"/>
      <c r="D285" s="83">
        <v>8517.8880000000008</v>
      </c>
      <c r="E285" s="84">
        <v>312.79000000000002</v>
      </c>
      <c r="F285" s="72">
        <v>-110.15</v>
      </c>
      <c r="G285" s="72"/>
      <c r="H285" s="72"/>
      <c r="I285" s="85">
        <f>SUM(E285:H285)</f>
        <v>202.64000000000001</v>
      </c>
      <c r="J285" s="149" t="s">
        <v>225</v>
      </c>
      <c r="M285" s="110"/>
      <c r="T285" s="534">
        <f t="shared" si="32"/>
        <v>2.3789934781955339E-2</v>
      </c>
    </row>
    <row r="286" spans="1:255" s="97" customFormat="1" ht="15.75" x14ac:dyDescent="0.25">
      <c r="A286" s="111" t="s">
        <v>268</v>
      </c>
      <c r="B286" s="86">
        <v>37105</v>
      </c>
      <c r="C286" s="174" t="s">
        <v>269</v>
      </c>
      <c r="D286" s="83">
        <f>I286/0.06</f>
        <v>266.61666666666667</v>
      </c>
      <c r="E286" s="84">
        <v>24.311</v>
      </c>
      <c r="F286" s="72">
        <v>-8.3140000000000001</v>
      </c>
      <c r="G286" s="72">
        <v>0</v>
      </c>
      <c r="H286" s="72"/>
      <c r="I286" s="85">
        <v>15.997</v>
      </c>
      <c r="J286" s="149" t="s">
        <v>225</v>
      </c>
      <c r="K286" s="65"/>
      <c r="M286" s="110"/>
      <c r="N286" s="341"/>
      <c r="O286" s="65"/>
      <c r="P286" s="65"/>
      <c r="Q286" s="65"/>
      <c r="R286" s="65"/>
      <c r="S286" s="65"/>
      <c r="T286" s="534">
        <f t="shared" si="32"/>
        <v>0.06</v>
      </c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  <c r="DS286" s="65"/>
      <c r="DT286" s="65"/>
      <c r="DU286" s="65"/>
      <c r="DV286" s="65"/>
      <c r="DW286" s="65"/>
      <c r="DX286" s="65"/>
      <c r="DY286" s="65"/>
      <c r="DZ286" s="65"/>
      <c r="EA286" s="65"/>
      <c r="EB286" s="65"/>
      <c r="EC286" s="65"/>
      <c r="ED286" s="65"/>
      <c r="EE286" s="65"/>
      <c r="EF286" s="65"/>
      <c r="EG286" s="65"/>
      <c r="EH286" s="65"/>
      <c r="EI286" s="65"/>
      <c r="EJ286" s="65"/>
      <c r="EK286" s="65"/>
      <c r="EL286" s="65"/>
      <c r="EM286" s="65"/>
      <c r="EN286" s="65"/>
      <c r="EO286" s="65"/>
      <c r="EP286" s="65"/>
      <c r="EQ286" s="65"/>
      <c r="ER286" s="65"/>
      <c r="ES286" s="65"/>
      <c r="ET286" s="65"/>
      <c r="EU286" s="65"/>
      <c r="EV286" s="65"/>
      <c r="EW286" s="65"/>
      <c r="EX286" s="65"/>
      <c r="EY286" s="65"/>
      <c r="EZ286" s="65"/>
      <c r="FA286" s="65"/>
      <c r="FB286" s="65"/>
      <c r="FC286" s="65"/>
      <c r="FD286" s="65"/>
      <c r="FE286" s="65"/>
      <c r="FF286" s="65"/>
      <c r="FG286" s="65"/>
      <c r="FH286" s="65"/>
      <c r="FI286" s="65"/>
      <c r="FJ286" s="65"/>
      <c r="FK286" s="65"/>
      <c r="FL286" s="65"/>
      <c r="FM286" s="65"/>
      <c r="FN286" s="65"/>
      <c r="FO286" s="65"/>
      <c r="FP286" s="65"/>
      <c r="FQ286" s="65"/>
      <c r="FR286" s="65"/>
      <c r="FS286" s="65"/>
      <c r="FT286" s="65"/>
      <c r="FU286" s="65"/>
      <c r="FV286" s="65"/>
      <c r="FW286" s="65"/>
      <c r="FX286" s="65"/>
      <c r="FY286" s="65"/>
      <c r="FZ286" s="65"/>
      <c r="GA286" s="65"/>
      <c r="GB286" s="65"/>
      <c r="GC286" s="65"/>
      <c r="GD286" s="65"/>
      <c r="GE286" s="65"/>
      <c r="GF286" s="65"/>
      <c r="GG286" s="65"/>
      <c r="GH286" s="65"/>
      <c r="GI286" s="65"/>
      <c r="GJ286" s="65"/>
      <c r="GK286" s="65"/>
      <c r="GL286" s="65"/>
      <c r="GM286" s="65"/>
      <c r="GN286" s="65"/>
      <c r="GO286" s="65"/>
      <c r="GP286" s="65"/>
      <c r="GQ286" s="65"/>
      <c r="GR286" s="65"/>
      <c r="GS286" s="65"/>
      <c r="GT286" s="65"/>
      <c r="GU286" s="65"/>
      <c r="GV286" s="65"/>
      <c r="GW286" s="65"/>
      <c r="GX286" s="65"/>
      <c r="GY286" s="65"/>
      <c r="GZ286" s="65"/>
      <c r="HA286" s="65"/>
      <c r="HB286" s="65"/>
      <c r="HC286" s="65"/>
      <c r="HD286" s="65"/>
      <c r="HE286" s="65"/>
      <c r="HF286" s="65"/>
      <c r="HG286" s="65"/>
      <c r="HH286" s="65"/>
      <c r="HI286" s="65"/>
      <c r="HJ286" s="65"/>
      <c r="HK286" s="65"/>
      <c r="HL286" s="65"/>
      <c r="HM286" s="65"/>
      <c r="HN286" s="65"/>
      <c r="HO286" s="65"/>
      <c r="HP286" s="65"/>
      <c r="HQ286" s="65"/>
      <c r="HR286" s="65"/>
      <c r="HS286" s="65"/>
      <c r="HT286" s="65"/>
      <c r="HU286" s="65"/>
      <c r="HV286" s="65"/>
      <c r="HW286" s="65"/>
      <c r="HX286" s="65"/>
      <c r="HY286" s="65"/>
      <c r="HZ286" s="65"/>
      <c r="IA286" s="65"/>
      <c r="IB286" s="65"/>
      <c r="IC286" s="65"/>
      <c r="ID286" s="65"/>
      <c r="IE286" s="65"/>
      <c r="IF286" s="65"/>
      <c r="IG286" s="65"/>
      <c r="IH286" s="65"/>
      <c r="II286" s="65"/>
      <c r="IJ286" s="65"/>
      <c r="IK286" s="65"/>
      <c r="IL286" s="65"/>
      <c r="IM286" s="65"/>
      <c r="IN286" s="65"/>
      <c r="IO286" s="65"/>
      <c r="IP286" s="65"/>
      <c r="IQ286" s="65"/>
      <c r="IR286" s="65"/>
      <c r="IS286" s="65"/>
      <c r="IT286" s="65"/>
      <c r="IU286" s="65"/>
    </row>
    <row r="287" spans="1:255" s="97" customFormat="1" ht="15.75" x14ac:dyDescent="0.25">
      <c r="A287" s="111" t="s">
        <v>270</v>
      </c>
      <c r="B287" s="86">
        <v>37105</v>
      </c>
      <c r="C287" s="149" t="s">
        <v>238</v>
      </c>
      <c r="D287" s="83">
        <f>+I287/0.03</f>
        <v>656.90000000000009</v>
      </c>
      <c r="E287" s="84">
        <v>31.05</v>
      </c>
      <c r="F287" s="72">
        <v>-11.343</v>
      </c>
      <c r="G287" s="72">
        <v>0</v>
      </c>
      <c r="H287" s="72"/>
      <c r="I287" s="85">
        <v>19.707000000000001</v>
      </c>
      <c r="J287" s="149" t="s">
        <v>225</v>
      </c>
      <c r="K287" s="65"/>
      <c r="M287" s="338"/>
      <c r="N287" s="341"/>
      <c r="O287" s="65"/>
      <c r="P287" s="65"/>
      <c r="Q287" s="65"/>
      <c r="R287" s="65"/>
      <c r="S287" s="65"/>
      <c r="T287" s="534">
        <f t="shared" si="32"/>
        <v>2.9999999999999995E-2</v>
      </c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  <c r="DS287" s="65"/>
      <c r="DT287" s="65"/>
      <c r="DU287" s="65"/>
      <c r="DV287" s="65"/>
      <c r="DW287" s="65"/>
      <c r="DX287" s="65"/>
      <c r="DY287" s="65"/>
      <c r="DZ287" s="65"/>
      <c r="EA287" s="65"/>
      <c r="EB287" s="65"/>
      <c r="EC287" s="65"/>
      <c r="ED287" s="65"/>
      <c r="EE287" s="65"/>
      <c r="EF287" s="65"/>
      <c r="EG287" s="65"/>
      <c r="EH287" s="65"/>
      <c r="EI287" s="65"/>
      <c r="EJ287" s="65"/>
      <c r="EK287" s="65"/>
      <c r="EL287" s="65"/>
      <c r="EM287" s="65"/>
      <c r="EN287" s="65"/>
      <c r="EO287" s="65"/>
      <c r="EP287" s="65"/>
      <c r="EQ287" s="65"/>
      <c r="ER287" s="65"/>
      <c r="ES287" s="65"/>
      <c r="ET287" s="65"/>
      <c r="EU287" s="65"/>
      <c r="EV287" s="65"/>
      <c r="EW287" s="65"/>
      <c r="EX287" s="65"/>
      <c r="EY287" s="65"/>
      <c r="EZ287" s="65"/>
      <c r="FA287" s="65"/>
      <c r="FB287" s="65"/>
      <c r="FC287" s="65"/>
      <c r="FD287" s="65"/>
      <c r="FE287" s="65"/>
      <c r="FF287" s="65"/>
      <c r="FG287" s="65"/>
      <c r="FH287" s="65"/>
      <c r="FI287" s="65"/>
      <c r="FJ287" s="65"/>
      <c r="FK287" s="65"/>
      <c r="FL287" s="65"/>
      <c r="FM287" s="65"/>
      <c r="FN287" s="65"/>
      <c r="FO287" s="65"/>
      <c r="FP287" s="65"/>
      <c r="FQ287" s="65"/>
      <c r="FR287" s="65"/>
      <c r="FS287" s="65"/>
      <c r="FT287" s="65"/>
      <c r="FU287" s="65"/>
      <c r="FV287" s="65"/>
      <c r="FW287" s="65"/>
      <c r="FX287" s="65"/>
      <c r="FY287" s="65"/>
      <c r="FZ287" s="65"/>
      <c r="GA287" s="65"/>
      <c r="GB287" s="65"/>
      <c r="GC287" s="65"/>
      <c r="GD287" s="65"/>
      <c r="GE287" s="65"/>
      <c r="GF287" s="65"/>
      <c r="GG287" s="65"/>
      <c r="GH287" s="65"/>
      <c r="GI287" s="65"/>
      <c r="GJ287" s="65"/>
      <c r="GK287" s="65"/>
      <c r="GL287" s="65"/>
      <c r="GM287" s="65"/>
      <c r="GN287" s="65"/>
      <c r="GO287" s="65"/>
      <c r="GP287" s="65"/>
      <c r="GQ287" s="65"/>
      <c r="GR287" s="65"/>
      <c r="GS287" s="65"/>
      <c r="GT287" s="65"/>
      <c r="GU287" s="65"/>
      <c r="GV287" s="65"/>
      <c r="GW287" s="65"/>
      <c r="GX287" s="65"/>
      <c r="GY287" s="65"/>
      <c r="GZ287" s="65"/>
      <c r="HA287" s="65"/>
      <c r="HB287" s="65"/>
      <c r="HC287" s="65"/>
      <c r="HD287" s="65"/>
      <c r="HE287" s="65"/>
      <c r="HF287" s="65"/>
      <c r="HG287" s="65"/>
      <c r="HH287" s="65"/>
      <c r="HI287" s="65"/>
      <c r="HJ287" s="65"/>
      <c r="HK287" s="65"/>
      <c r="HL287" s="65"/>
      <c r="HM287" s="65"/>
      <c r="HN287" s="65"/>
      <c r="HO287" s="65"/>
      <c r="HP287" s="65"/>
      <c r="HQ287" s="65"/>
      <c r="HR287" s="65"/>
      <c r="HS287" s="65"/>
      <c r="HT287" s="65"/>
      <c r="HU287" s="65"/>
      <c r="HV287" s="65"/>
      <c r="HW287" s="65"/>
      <c r="HX287" s="65"/>
      <c r="HY287" s="65"/>
      <c r="HZ287" s="65"/>
      <c r="IA287" s="65"/>
      <c r="IB287" s="65"/>
      <c r="IC287" s="65"/>
      <c r="ID287" s="65"/>
      <c r="IE287" s="65"/>
      <c r="IF287" s="65"/>
      <c r="IG287" s="65"/>
      <c r="IH287" s="65"/>
      <c r="II287" s="65"/>
      <c r="IJ287" s="65"/>
      <c r="IK287" s="65"/>
      <c r="IL287" s="65"/>
      <c r="IM287" s="65"/>
      <c r="IN287" s="65"/>
      <c r="IO287" s="65"/>
      <c r="IP287" s="65"/>
      <c r="IQ287" s="65"/>
      <c r="IR287" s="65"/>
      <c r="IS287" s="65"/>
      <c r="IT287" s="65"/>
      <c r="IU287" s="65"/>
    </row>
    <row r="288" spans="1:255" s="65" customFormat="1" ht="15.75" x14ac:dyDescent="0.25">
      <c r="A288" s="111" t="s">
        <v>271</v>
      </c>
      <c r="B288" s="86">
        <v>37083</v>
      </c>
      <c r="C288" s="174" t="s">
        <v>272</v>
      </c>
      <c r="D288" s="83">
        <v>0</v>
      </c>
      <c r="E288" s="84">
        <v>-35.098999999999997</v>
      </c>
      <c r="F288" s="72">
        <v>0.501</v>
      </c>
      <c r="G288" s="72">
        <v>0</v>
      </c>
      <c r="H288" s="72">
        <v>0</v>
      </c>
      <c r="I288" s="85">
        <f>SUM(E288:H288)</f>
        <v>-34.597999999999999</v>
      </c>
      <c r="J288" s="149" t="s">
        <v>21</v>
      </c>
      <c r="M288" s="110"/>
      <c r="T288" s="534" t="str">
        <f t="shared" si="32"/>
        <v/>
      </c>
    </row>
    <row r="289" spans="1:20" s="65" customFormat="1" ht="15.75" x14ac:dyDescent="0.25">
      <c r="A289" s="111" t="s">
        <v>273</v>
      </c>
      <c r="B289" s="86">
        <v>37083</v>
      </c>
      <c r="C289" s="174" t="s">
        <v>272</v>
      </c>
      <c r="D289" s="83">
        <v>0</v>
      </c>
      <c r="E289" s="84">
        <v>-25.67</v>
      </c>
      <c r="F289" s="72">
        <v>0.45900000000000002</v>
      </c>
      <c r="G289" s="72">
        <v>0</v>
      </c>
      <c r="H289" s="72">
        <v>0</v>
      </c>
      <c r="I289" s="85">
        <f>SUM(E289:H289)</f>
        <v>-25.211000000000002</v>
      </c>
      <c r="J289" s="149" t="s">
        <v>21</v>
      </c>
      <c r="M289" s="110"/>
      <c r="T289" s="534" t="str">
        <f t="shared" si="32"/>
        <v/>
      </c>
    </row>
    <row r="290" spans="1:20" s="65" customFormat="1" ht="15.75" x14ac:dyDescent="0.25">
      <c r="A290" s="111" t="s">
        <v>274</v>
      </c>
      <c r="B290" s="81"/>
      <c r="C290" s="171"/>
      <c r="D290" s="83">
        <f>+I290/0.03</f>
        <v>350.40000000000003</v>
      </c>
      <c r="E290" s="84">
        <v>10.795</v>
      </c>
      <c r="F290" s="72">
        <v>-0.28299999999999997</v>
      </c>
      <c r="G290" s="72">
        <v>0</v>
      </c>
      <c r="H290" s="72"/>
      <c r="I290" s="85">
        <f>SUM(E290:G290)</f>
        <v>10.512</v>
      </c>
      <c r="J290" s="149" t="s">
        <v>21</v>
      </c>
      <c r="M290" s="110"/>
      <c r="T290" s="534">
        <f t="shared" si="32"/>
        <v>0.03</v>
      </c>
    </row>
    <row r="291" spans="1:20" s="65" customFormat="1" ht="18" customHeight="1" x14ac:dyDescent="0.25">
      <c r="A291" s="111" t="s">
        <v>275</v>
      </c>
      <c r="B291" s="86">
        <v>37083</v>
      </c>
      <c r="C291" s="174" t="s">
        <v>272</v>
      </c>
      <c r="D291" s="83">
        <v>0</v>
      </c>
      <c r="E291" s="84">
        <v>-59.41</v>
      </c>
      <c r="F291" s="72">
        <v>2.2850000000000001</v>
      </c>
      <c r="G291" s="72">
        <v>0</v>
      </c>
      <c r="H291" s="72">
        <v>0</v>
      </c>
      <c r="I291" s="85">
        <f>SUM(E291:H291)</f>
        <v>-57.125</v>
      </c>
      <c r="J291" s="149" t="s">
        <v>225</v>
      </c>
      <c r="M291" s="110"/>
      <c r="T291" s="534" t="str">
        <f t="shared" si="32"/>
        <v/>
      </c>
    </row>
    <row r="292" spans="1:20" s="88" customFormat="1" ht="4.5" hidden="1" customHeight="1" x14ac:dyDescent="0.25">
      <c r="A292" s="194"/>
      <c r="B292" s="202"/>
      <c r="C292" s="196"/>
      <c r="D292" s="197"/>
      <c r="E292" s="198"/>
      <c r="F292" s="199"/>
      <c r="G292" s="199"/>
      <c r="H292" s="199"/>
      <c r="I292" s="200"/>
      <c r="J292" s="149"/>
      <c r="M292" s="110"/>
      <c r="T292" s="534" t="str">
        <f t="shared" si="32"/>
        <v/>
      </c>
    </row>
    <row r="293" spans="1:20" s="65" customFormat="1" ht="18" hidden="1" customHeight="1" x14ac:dyDescent="0.25">
      <c r="A293" s="201" t="s">
        <v>276</v>
      </c>
      <c r="B293" s="86">
        <v>37091</v>
      </c>
      <c r="C293" s="174" t="s">
        <v>272</v>
      </c>
      <c r="D293" s="83">
        <f t="shared" ref="D293:D304" si="33">I293/0.015</f>
        <v>-4615.5999999999995</v>
      </c>
      <c r="E293" s="84">
        <v>-70.337999999999994</v>
      </c>
      <c r="F293" s="72">
        <v>1.1040000000000001</v>
      </c>
      <c r="G293" s="72">
        <v>0</v>
      </c>
      <c r="H293" s="72">
        <v>0</v>
      </c>
      <c r="I293" s="85">
        <f t="shared" ref="I293:I304" si="34">SUM(E293:H293)</f>
        <v>-69.233999999999995</v>
      </c>
      <c r="J293" s="149" t="s">
        <v>21</v>
      </c>
      <c r="M293" s="110"/>
      <c r="T293" s="534" t="str">
        <f t="shared" si="32"/>
        <v/>
      </c>
    </row>
    <row r="294" spans="1:20" s="65" customFormat="1" ht="18" hidden="1" customHeight="1" x14ac:dyDescent="0.25">
      <c r="A294" s="201" t="s">
        <v>277</v>
      </c>
      <c r="B294" s="86">
        <v>37091</v>
      </c>
      <c r="C294" s="174" t="s">
        <v>272</v>
      </c>
      <c r="D294" s="83">
        <f t="shared" si="33"/>
        <v>-1268</v>
      </c>
      <c r="E294" s="84">
        <v>-19.651</v>
      </c>
      <c r="F294" s="72">
        <v>0.63100000000000001</v>
      </c>
      <c r="G294" s="72">
        <v>0</v>
      </c>
      <c r="H294" s="72">
        <v>0</v>
      </c>
      <c r="I294" s="85">
        <f t="shared" si="34"/>
        <v>-19.02</v>
      </c>
      <c r="J294" s="149" t="s">
        <v>21</v>
      </c>
      <c r="M294" s="110"/>
      <c r="T294" s="534" t="str">
        <f t="shared" si="32"/>
        <v/>
      </c>
    </row>
    <row r="295" spans="1:20" s="65" customFormat="1" ht="18" hidden="1" customHeight="1" x14ac:dyDescent="0.25">
      <c r="A295" s="201" t="s">
        <v>278</v>
      </c>
      <c r="B295" s="86">
        <v>37091</v>
      </c>
      <c r="C295" s="174" t="s">
        <v>272</v>
      </c>
      <c r="D295" s="83">
        <f t="shared" si="33"/>
        <v>-1358.9333333333334</v>
      </c>
      <c r="E295" s="84">
        <v>-20.827999999999999</v>
      </c>
      <c r="F295" s="72">
        <v>0.44400000000000001</v>
      </c>
      <c r="G295" s="72">
        <v>0</v>
      </c>
      <c r="H295" s="72">
        <v>0</v>
      </c>
      <c r="I295" s="85">
        <f t="shared" si="34"/>
        <v>-20.384</v>
      </c>
      <c r="J295" s="149" t="s">
        <v>21</v>
      </c>
      <c r="M295" s="110"/>
      <c r="T295" s="534" t="str">
        <f t="shared" si="32"/>
        <v/>
      </c>
    </row>
    <row r="296" spans="1:20" s="65" customFormat="1" ht="18" hidden="1" customHeight="1" x14ac:dyDescent="0.25">
      <c r="A296" s="201" t="s">
        <v>279</v>
      </c>
      <c r="B296" s="86">
        <v>37091</v>
      </c>
      <c r="C296" s="174" t="s">
        <v>272</v>
      </c>
      <c r="D296" s="83">
        <f t="shared" si="33"/>
        <v>-1358.9333333333334</v>
      </c>
      <c r="E296" s="84">
        <v>-20.827999999999999</v>
      </c>
      <c r="F296" s="72">
        <v>0.44400000000000001</v>
      </c>
      <c r="G296" s="72">
        <v>0</v>
      </c>
      <c r="H296" s="72">
        <v>0</v>
      </c>
      <c r="I296" s="85">
        <f t="shared" si="34"/>
        <v>-20.384</v>
      </c>
      <c r="J296" s="149" t="s">
        <v>21</v>
      </c>
      <c r="M296" s="110"/>
      <c r="T296" s="534" t="str">
        <f t="shared" si="32"/>
        <v/>
      </c>
    </row>
    <row r="297" spans="1:20" s="65" customFormat="1" ht="18" hidden="1" customHeight="1" x14ac:dyDescent="0.25">
      <c r="A297" s="201" t="s">
        <v>280</v>
      </c>
      <c r="B297" s="86">
        <v>37091</v>
      </c>
      <c r="C297" s="174" t="s">
        <v>272</v>
      </c>
      <c r="D297" s="83">
        <f t="shared" si="33"/>
        <v>-1329.3333333333335</v>
      </c>
      <c r="E297" s="84">
        <v>-20.384</v>
      </c>
      <c r="F297" s="72">
        <v>0.44400000000000001</v>
      </c>
      <c r="G297" s="72">
        <v>0</v>
      </c>
      <c r="H297" s="72">
        <v>0</v>
      </c>
      <c r="I297" s="85">
        <f t="shared" si="34"/>
        <v>-19.940000000000001</v>
      </c>
      <c r="J297" s="149" t="s">
        <v>21</v>
      </c>
      <c r="M297" s="110"/>
      <c r="T297" s="534" t="str">
        <f t="shared" si="32"/>
        <v/>
      </c>
    </row>
    <row r="298" spans="1:20" s="65" customFormat="1" ht="18" hidden="1" customHeight="1" x14ac:dyDescent="0.25">
      <c r="A298" s="201" t="s">
        <v>281</v>
      </c>
      <c r="B298" s="86">
        <v>37091</v>
      </c>
      <c r="C298" s="174" t="s">
        <v>272</v>
      </c>
      <c r="D298" s="83">
        <f t="shared" si="33"/>
        <v>-8646.5999999999985</v>
      </c>
      <c r="E298" s="84">
        <v>-131.95699999999999</v>
      </c>
      <c r="F298" s="72">
        <v>2.258</v>
      </c>
      <c r="G298" s="72">
        <v>0</v>
      </c>
      <c r="H298" s="72">
        <v>0</v>
      </c>
      <c r="I298" s="85">
        <f t="shared" si="34"/>
        <v>-129.69899999999998</v>
      </c>
      <c r="J298" s="149" t="s">
        <v>21</v>
      </c>
      <c r="M298" s="110"/>
      <c r="T298" s="534" t="str">
        <f t="shared" si="32"/>
        <v/>
      </c>
    </row>
    <row r="299" spans="1:20" s="65" customFormat="1" ht="18" hidden="1" customHeight="1" x14ac:dyDescent="0.25">
      <c r="A299" s="201" t="s">
        <v>282</v>
      </c>
      <c r="B299" s="86">
        <v>37091</v>
      </c>
      <c r="C299" s="174" t="s">
        <v>272</v>
      </c>
      <c r="D299" s="83">
        <f t="shared" si="33"/>
        <v>-2059.7333333333336</v>
      </c>
      <c r="E299" s="84">
        <v>-31.369</v>
      </c>
      <c r="F299" s="72">
        <v>0.47299999999999998</v>
      </c>
      <c r="G299" s="72">
        <v>0</v>
      </c>
      <c r="H299" s="72">
        <v>0</v>
      </c>
      <c r="I299" s="85">
        <f t="shared" si="34"/>
        <v>-30.896000000000001</v>
      </c>
      <c r="J299" s="149" t="s">
        <v>21</v>
      </c>
      <c r="M299" s="110"/>
      <c r="T299" s="534" t="str">
        <f t="shared" si="32"/>
        <v/>
      </c>
    </row>
    <row r="300" spans="1:20" s="65" customFormat="1" ht="18" hidden="1" customHeight="1" x14ac:dyDescent="0.25">
      <c r="A300" s="201" t="s">
        <v>283</v>
      </c>
      <c r="B300" s="86">
        <v>37091</v>
      </c>
      <c r="C300" s="174" t="s">
        <v>272</v>
      </c>
      <c r="D300" s="83">
        <f t="shared" si="33"/>
        <v>-5875</v>
      </c>
      <c r="E300" s="84">
        <v>-89.585999999999999</v>
      </c>
      <c r="F300" s="72">
        <v>1.4610000000000001</v>
      </c>
      <c r="G300" s="72">
        <v>0</v>
      </c>
      <c r="H300" s="72">
        <v>0</v>
      </c>
      <c r="I300" s="85">
        <f t="shared" si="34"/>
        <v>-88.125</v>
      </c>
      <c r="J300" s="149" t="s">
        <v>21</v>
      </c>
      <c r="M300" s="110"/>
      <c r="T300" s="534" t="str">
        <f t="shared" si="32"/>
        <v/>
      </c>
    </row>
    <row r="301" spans="1:20" s="65" customFormat="1" ht="18" hidden="1" customHeight="1" x14ac:dyDescent="0.25">
      <c r="A301" s="201" t="s">
        <v>284</v>
      </c>
      <c r="B301" s="86">
        <v>37091</v>
      </c>
      <c r="C301" s="174" t="s">
        <v>272</v>
      </c>
      <c r="D301" s="83">
        <f t="shared" si="33"/>
        <v>-2039.9333333333334</v>
      </c>
      <c r="E301" s="84">
        <v>-31.120999999999999</v>
      </c>
      <c r="F301" s="72">
        <v>0.52200000000000002</v>
      </c>
      <c r="G301" s="72">
        <v>0</v>
      </c>
      <c r="H301" s="72">
        <v>0</v>
      </c>
      <c r="I301" s="85">
        <f t="shared" si="34"/>
        <v>-30.599</v>
      </c>
      <c r="J301" s="149" t="s">
        <v>21</v>
      </c>
      <c r="M301" s="110"/>
      <c r="T301" s="534" t="str">
        <f t="shared" si="32"/>
        <v/>
      </c>
    </row>
    <row r="302" spans="1:20" s="65" customFormat="1" ht="18" hidden="1" customHeight="1" x14ac:dyDescent="0.25">
      <c r="A302" s="201" t="s">
        <v>285</v>
      </c>
      <c r="B302" s="86">
        <v>37091</v>
      </c>
      <c r="C302" s="174" t="s">
        <v>272</v>
      </c>
      <c r="D302" s="83">
        <f t="shared" si="33"/>
        <v>-1329.3333333333335</v>
      </c>
      <c r="E302" s="84">
        <v>-20.384</v>
      </c>
      <c r="F302" s="72">
        <v>0.44400000000000001</v>
      </c>
      <c r="G302" s="72">
        <v>0</v>
      </c>
      <c r="H302" s="72">
        <v>0</v>
      </c>
      <c r="I302" s="85">
        <f t="shared" si="34"/>
        <v>-19.940000000000001</v>
      </c>
      <c r="J302" s="149" t="s">
        <v>21</v>
      </c>
      <c r="M302" s="110"/>
      <c r="T302" s="534" t="str">
        <f t="shared" si="32"/>
        <v/>
      </c>
    </row>
    <row r="303" spans="1:20" s="65" customFormat="1" ht="18" hidden="1" customHeight="1" x14ac:dyDescent="0.25">
      <c r="A303" s="201" t="s">
        <v>286</v>
      </c>
      <c r="B303" s="86">
        <v>37091</v>
      </c>
      <c r="C303" s="174" t="s">
        <v>272</v>
      </c>
      <c r="D303" s="83">
        <f t="shared" si="33"/>
        <v>-1329.3333333333335</v>
      </c>
      <c r="E303" s="84">
        <v>-20.384</v>
      </c>
      <c r="F303" s="72">
        <v>0.44400000000000001</v>
      </c>
      <c r="G303" s="72">
        <v>0</v>
      </c>
      <c r="H303" s="72">
        <v>0</v>
      </c>
      <c r="I303" s="85">
        <f t="shared" si="34"/>
        <v>-19.940000000000001</v>
      </c>
      <c r="J303" s="149" t="s">
        <v>21</v>
      </c>
      <c r="M303" s="110"/>
      <c r="T303" s="534" t="str">
        <f t="shared" si="32"/>
        <v/>
      </c>
    </row>
    <row r="304" spans="1:20" s="65" customFormat="1" ht="18" hidden="1" customHeight="1" x14ac:dyDescent="0.25">
      <c r="A304" s="201" t="s">
        <v>287</v>
      </c>
      <c r="B304" s="86">
        <v>37091</v>
      </c>
      <c r="C304" s="174" t="s">
        <v>272</v>
      </c>
      <c r="D304" s="83">
        <f t="shared" si="33"/>
        <v>-732.8</v>
      </c>
      <c r="E304" s="84">
        <v>-11.196</v>
      </c>
      <c r="F304" s="72">
        <v>0.20399999999999999</v>
      </c>
      <c r="G304" s="72">
        <v>0</v>
      </c>
      <c r="H304" s="72">
        <v>0</v>
      </c>
      <c r="I304" s="85">
        <f t="shared" si="34"/>
        <v>-10.991999999999999</v>
      </c>
      <c r="J304" s="149" t="s">
        <v>21</v>
      </c>
      <c r="M304" s="110"/>
      <c r="T304" s="534" t="str">
        <f t="shared" si="32"/>
        <v/>
      </c>
    </row>
    <row r="305" spans="1:20" s="65" customFormat="1" ht="5.0999999999999996" hidden="1" customHeight="1" x14ac:dyDescent="0.25">
      <c r="A305" s="194"/>
      <c r="B305" s="204"/>
      <c r="C305" s="196"/>
      <c r="D305" s="197"/>
      <c r="E305" s="198"/>
      <c r="F305" s="199"/>
      <c r="G305" s="199"/>
      <c r="H305" s="199"/>
      <c r="I305" s="200"/>
      <c r="J305" s="149"/>
      <c r="M305" s="110"/>
      <c r="T305" s="534" t="str">
        <f t="shared" si="32"/>
        <v/>
      </c>
    </row>
    <row r="306" spans="1:20" s="65" customFormat="1" ht="18" customHeight="1" x14ac:dyDescent="0.25">
      <c r="A306" s="111" t="s">
        <v>288</v>
      </c>
      <c r="B306" s="86">
        <v>37091</v>
      </c>
      <c r="C306" s="174" t="s">
        <v>269</v>
      </c>
      <c r="D306" s="83">
        <f>SUM(D307:D390)</f>
        <v>8783.2333333333354</v>
      </c>
      <c r="E306" s="84">
        <f>SUM(E307:E390)</f>
        <v>557.09099999999978</v>
      </c>
      <c r="F306" s="72">
        <f>SUM(F307:F390)</f>
        <v>-108.13799999999998</v>
      </c>
      <c r="G306" s="72">
        <f>SUM(G307:G390)</f>
        <v>0</v>
      </c>
      <c r="H306" s="72">
        <f>SUM(H317:H390)</f>
        <v>0</v>
      </c>
      <c r="I306" s="85">
        <f>SUM(I307:I390)</f>
        <v>448.95299999999992</v>
      </c>
      <c r="J306" s="149" t="s">
        <v>225</v>
      </c>
      <c r="M306" s="110"/>
      <c r="T306" s="534">
        <f t="shared" si="32"/>
        <v>5.1114775500290303E-2</v>
      </c>
    </row>
    <row r="307" spans="1:20" s="65" customFormat="1" ht="5.0999999999999996" hidden="1" customHeight="1" x14ac:dyDescent="0.25">
      <c r="A307" s="194"/>
      <c r="B307" s="204"/>
      <c r="C307" s="205"/>
      <c r="D307" s="197"/>
      <c r="E307" s="198"/>
      <c r="F307" s="199"/>
      <c r="G307" s="199"/>
      <c r="H307" s="199"/>
      <c r="I307" s="200"/>
      <c r="J307" s="149"/>
      <c r="M307" s="110"/>
      <c r="T307" s="534" t="str">
        <f t="shared" si="32"/>
        <v/>
      </c>
    </row>
    <row r="308" spans="1:20" s="65" customFormat="1" ht="18" hidden="1" x14ac:dyDescent="0.25">
      <c r="A308" s="206" t="s">
        <v>289</v>
      </c>
      <c r="B308" s="59"/>
      <c r="C308" s="163"/>
      <c r="D308" s="61">
        <f t="shared" ref="D308:D371" si="35">I308/0.06</f>
        <v>-412.06666666666666</v>
      </c>
      <c r="E308" s="63">
        <v>-26.702000000000002</v>
      </c>
      <c r="F308" s="63">
        <f>1978/1000</f>
        <v>1.978</v>
      </c>
      <c r="G308" s="63"/>
      <c r="H308" s="63"/>
      <c r="I308" s="64">
        <f t="shared" ref="I308:I316" si="36">SUM(E308:G308)</f>
        <v>-24.724</v>
      </c>
      <c r="J308" s="149" t="s">
        <v>225</v>
      </c>
      <c r="M308" s="110"/>
      <c r="T308" s="534" t="str">
        <f t="shared" si="32"/>
        <v/>
      </c>
    </row>
    <row r="309" spans="1:20" s="65" customFormat="1" ht="18" hidden="1" x14ac:dyDescent="0.25">
      <c r="A309" s="206" t="s">
        <v>290</v>
      </c>
      <c r="B309" s="59"/>
      <c r="C309" s="163"/>
      <c r="D309" s="61">
        <f t="shared" si="35"/>
        <v>-40.56666666666667</v>
      </c>
      <c r="E309" s="63">
        <v>-2.9279999999999999</v>
      </c>
      <c r="F309" s="63">
        <f>494/1000</f>
        <v>0.49399999999999999</v>
      </c>
      <c r="G309" s="63"/>
      <c r="H309" s="63"/>
      <c r="I309" s="64">
        <f t="shared" si="36"/>
        <v>-2.4340000000000002</v>
      </c>
      <c r="J309" s="149" t="s">
        <v>225</v>
      </c>
      <c r="M309" s="110"/>
      <c r="T309" s="534" t="str">
        <f t="shared" si="32"/>
        <v/>
      </c>
    </row>
    <row r="310" spans="1:20" s="65" customFormat="1" ht="18" hidden="1" x14ac:dyDescent="0.25">
      <c r="A310" s="206" t="s">
        <v>291</v>
      </c>
      <c r="B310" s="59"/>
      <c r="C310" s="163"/>
      <c r="D310" s="61">
        <f t="shared" si="35"/>
        <v>6.4833333333333334</v>
      </c>
      <c r="E310" s="63">
        <v>0.76500000000000001</v>
      </c>
      <c r="F310" s="63">
        <v>-0.376</v>
      </c>
      <c r="G310" s="63"/>
      <c r="H310" s="63"/>
      <c r="I310" s="64">
        <f t="shared" si="36"/>
        <v>0.38900000000000001</v>
      </c>
      <c r="J310" s="149" t="s">
        <v>225</v>
      </c>
      <c r="M310" s="110"/>
      <c r="T310" s="534">
        <f t="shared" si="32"/>
        <v>6.0000000000000005E-2</v>
      </c>
    </row>
    <row r="311" spans="1:20" s="65" customFormat="1" ht="18" hidden="1" x14ac:dyDescent="0.25">
      <c r="A311" s="206" t="s">
        <v>292</v>
      </c>
      <c r="B311" s="59"/>
      <c r="C311" s="163"/>
      <c r="D311" s="61">
        <f t="shared" si="35"/>
        <v>31.566666666666666</v>
      </c>
      <c r="E311" s="63">
        <f>2206/1000</f>
        <v>2.206</v>
      </c>
      <c r="F311" s="63">
        <v>-0.312</v>
      </c>
      <c r="G311" s="63"/>
      <c r="H311" s="63"/>
      <c r="I311" s="64">
        <f t="shared" si="36"/>
        <v>1.8939999999999999</v>
      </c>
      <c r="J311" s="149" t="s">
        <v>225</v>
      </c>
      <c r="M311" s="110"/>
      <c r="T311" s="534">
        <f t="shared" si="32"/>
        <v>0.06</v>
      </c>
    </row>
    <row r="312" spans="1:20" s="65" customFormat="1" ht="18" hidden="1" x14ac:dyDescent="0.25">
      <c r="A312" s="206" t="s">
        <v>293</v>
      </c>
      <c r="B312" s="59"/>
      <c r="C312" s="163"/>
      <c r="D312" s="61">
        <f t="shared" si="35"/>
        <v>115.66666666666666</v>
      </c>
      <c r="E312" s="63">
        <f>9064/1000</f>
        <v>9.0640000000000001</v>
      </c>
      <c r="F312" s="63">
        <v>-2.1240000000000001</v>
      </c>
      <c r="G312" s="63"/>
      <c r="H312" s="63"/>
      <c r="I312" s="64">
        <f t="shared" si="36"/>
        <v>6.9399999999999995</v>
      </c>
      <c r="J312" s="149" t="s">
        <v>225</v>
      </c>
      <c r="M312" s="110"/>
      <c r="T312" s="534">
        <f t="shared" si="32"/>
        <v>0.06</v>
      </c>
    </row>
    <row r="313" spans="1:20" s="65" customFormat="1" ht="18" hidden="1" x14ac:dyDescent="0.25">
      <c r="A313" s="206" t="s">
        <v>294</v>
      </c>
      <c r="B313" s="59"/>
      <c r="C313" s="163"/>
      <c r="D313" s="61">
        <f t="shared" si="35"/>
        <v>52.383333333333333</v>
      </c>
      <c r="E313" s="63">
        <f>3702/1000</f>
        <v>3.702</v>
      </c>
      <c r="F313" s="63">
        <v>-0.55900000000000005</v>
      </c>
      <c r="G313" s="63"/>
      <c r="H313" s="63"/>
      <c r="I313" s="64">
        <f t="shared" si="36"/>
        <v>3.1429999999999998</v>
      </c>
      <c r="J313" s="149" t="s">
        <v>225</v>
      </c>
      <c r="M313" s="110"/>
      <c r="T313" s="534">
        <f t="shared" si="32"/>
        <v>0.06</v>
      </c>
    </row>
    <row r="314" spans="1:20" s="65" customFormat="1" ht="18" hidden="1" x14ac:dyDescent="0.25">
      <c r="A314" s="206" t="s">
        <v>295</v>
      </c>
      <c r="B314" s="59"/>
      <c r="C314" s="163"/>
      <c r="D314" s="61">
        <f t="shared" si="35"/>
        <v>88.550000000000011</v>
      </c>
      <c r="E314" s="63">
        <f>6995/1000</f>
        <v>6.9950000000000001</v>
      </c>
      <c r="F314" s="63">
        <v>-1.6819999999999999</v>
      </c>
      <c r="G314" s="63"/>
      <c r="H314" s="63"/>
      <c r="I314" s="64">
        <f t="shared" si="36"/>
        <v>5.3130000000000006</v>
      </c>
      <c r="J314" s="149" t="s">
        <v>225</v>
      </c>
      <c r="M314" s="110"/>
      <c r="T314" s="534">
        <f t="shared" si="32"/>
        <v>0.06</v>
      </c>
    </row>
    <row r="315" spans="1:20" s="65" customFormat="1" ht="18" hidden="1" x14ac:dyDescent="0.25">
      <c r="A315" s="206" t="s">
        <v>296</v>
      </c>
      <c r="B315" s="59"/>
      <c r="C315" s="163"/>
      <c r="D315" s="61">
        <f t="shared" si="35"/>
        <v>301.90000000000003</v>
      </c>
      <c r="E315" s="63">
        <f>24265/1000</f>
        <v>24.265000000000001</v>
      </c>
      <c r="F315" s="63">
        <v>-6.1509999999999998</v>
      </c>
      <c r="G315" s="63"/>
      <c r="H315" s="63"/>
      <c r="I315" s="64">
        <f t="shared" si="36"/>
        <v>18.114000000000001</v>
      </c>
      <c r="J315" s="149" t="s">
        <v>225</v>
      </c>
      <c r="M315" s="110"/>
      <c r="T315" s="534">
        <f t="shared" si="32"/>
        <v>0.06</v>
      </c>
    </row>
    <row r="316" spans="1:20" s="65" customFormat="1" ht="18" hidden="1" x14ac:dyDescent="0.25">
      <c r="A316" s="206" t="s">
        <v>297</v>
      </c>
      <c r="B316" s="59"/>
      <c r="C316" s="163"/>
      <c r="D316" s="61">
        <f t="shared" si="35"/>
        <v>19.233333333333334</v>
      </c>
      <c r="E316" s="63">
        <f>1636/1000</f>
        <v>1.6359999999999999</v>
      </c>
      <c r="F316" s="63">
        <v>-0.48199999999999998</v>
      </c>
      <c r="G316" s="63"/>
      <c r="H316" s="63"/>
      <c r="I316" s="64">
        <f t="shared" si="36"/>
        <v>1.1539999999999999</v>
      </c>
      <c r="J316" s="149" t="s">
        <v>225</v>
      </c>
      <c r="M316" s="110"/>
      <c r="T316" s="534">
        <f t="shared" si="32"/>
        <v>5.9999999999999991E-2</v>
      </c>
    </row>
    <row r="317" spans="1:20" s="65" customFormat="1" ht="18" hidden="1" customHeight="1" x14ac:dyDescent="0.25">
      <c r="A317" s="207" t="s">
        <v>298</v>
      </c>
      <c r="B317" s="170"/>
      <c r="C317" s="171"/>
      <c r="D317" s="83">
        <f t="shared" si="35"/>
        <v>288.43333333333334</v>
      </c>
      <c r="E317" s="84">
        <f>19669/1000</f>
        <v>19.669</v>
      </c>
      <c r="F317" s="72">
        <v>-2.363</v>
      </c>
      <c r="G317" s="72"/>
      <c r="H317" s="72"/>
      <c r="I317" s="85">
        <f>F317+E317</f>
        <v>17.306000000000001</v>
      </c>
      <c r="J317" s="149" t="s">
        <v>225</v>
      </c>
      <c r="M317" s="110"/>
      <c r="T317" s="534">
        <f t="shared" si="32"/>
        <v>6.0000000000000005E-2</v>
      </c>
    </row>
    <row r="318" spans="1:20" s="65" customFormat="1" ht="18" hidden="1" customHeight="1" x14ac:dyDescent="0.25">
      <c r="A318" s="207" t="s">
        <v>299</v>
      </c>
      <c r="B318" s="170"/>
      <c r="C318" s="171"/>
      <c r="D318" s="83">
        <f t="shared" si="35"/>
        <v>159.73333333333332</v>
      </c>
      <c r="E318" s="84">
        <f>10609/1000</f>
        <v>10.609</v>
      </c>
      <c r="F318" s="72">
        <v>-1.0249999999999999</v>
      </c>
      <c r="G318" s="72"/>
      <c r="H318" s="72"/>
      <c r="I318" s="85">
        <f>F318+E318</f>
        <v>9.5839999999999996</v>
      </c>
      <c r="J318" s="149" t="s">
        <v>225</v>
      </c>
      <c r="M318" s="110"/>
      <c r="T318" s="534">
        <f t="shared" si="32"/>
        <v>6.0000000000000005E-2</v>
      </c>
    </row>
    <row r="319" spans="1:20" s="65" customFormat="1" ht="15.75" hidden="1" customHeight="1" x14ac:dyDescent="0.25">
      <c r="A319" s="201" t="s">
        <v>300</v>
      </c>
      <c r="B319" s="81"/>
      <c r="C319" s="171"/>
      <c r="D319" s="83">
        <f t="shared" si="35"/>
        <v>24.666666666666668</v>
      </c>
      <c r="E319" s="84">
        <v>1.748</v>
      </c>
      <c r="F319" s="72">
        <v>-0.26800000000000002</v>
      </c>
      <c r="G319" s="72"/>
      <c r="H319" s="72"/>
      <c r="I319" s="85">
        <f t="shared" ref="I319:I329" si="37">SUM(E319:G319)</f>
        <v>1.48</v>
      </c>
      <c r="J319" s="149" t="s">
        <v>225</v>
      </c>
      <c r="M319" s="110"/>
      <c r="T319" s="534">
        <f t="shared" si="32"/>
        <v>0.06</v>
      </c>
    </row>
    <row r="320" spans="1:20" s="65" customFormat="1" ht="15.75" hidden="1" customHeight="1" x14ac:dyDescent="0.25">
      <c r="A320" s="201" t="s">
        <v>301</v>
      </c>
      <c r="B320" s="81"/>
      <c r="C320" s="171"/>
      <c r="D320" s="83">
        <f t="shared" si="35"/>
        <v>8.1</v>
      </c>
      <c r="E320" s="84">
        <v>0.60899999999999999</v>
      </c>
      <c r="F320" s="72">
        <v>-0.123</v>
      </c>
      <c r="G320" s="72"/>
      <c r="H320" s="72"/>
      <c r="I320" s="85">
        <f t="shared" si="37"/>
        <v>0.48599999999999999</v>
      </c>
      <c r="J320" s="149" t="s">
        <v>225</v>
      </c>
      <c r="M320" s="110"/>
      <c r="T320" s="534">
        <f t="shared" si="32"/>
        <v>0.06</v>
      </c>
    </row>
    <row r="321" spans="1:20" s="65" customFormat="1" ht="15.75" hidden="1" customHeight="1" x14ac:dyDescent="0.25">
      <c r="A321" s="201" t="s">
        <v>302</v>
      </c>
      <c r="B321" s="81"/>
      <c r="C321" s="171"/>
      <c r="D321" s="83">
        <f t="shared" si="35"/>
        <v>47.5</v>
      </c>
      <c r="E321" s="84">
        <v>3.3130000000000002</v>
      </c>
      <c r="F321" s="72">
        <v>-0.46300000000000002</v>
      </c>
      <c r="G321" s="72"/>
      <c r="H321" s="72"/>
      <c r="I321" s="85">
        <f t="shared" si="37"/>
        <v>2.85</v>
      </c>
      <c r="J321" s="149" t="s">
        <v>225</v>
      </c>
      <c r="M321" s="110"/>
      <c r="T321" s="534">
        <f t="shared" si="32"/>
        <v>6.0000000000000005E-2</v>
      </c>
    </row>
    <row r="322" spans="1:20" s="65" customFormat="1" ht="15.75" hidden="1" customHeight="1" x14ac:dyDescent="0.25">
      <c r="A322" s="201" t="s">
        <v>303</v>
      </c>
      <c r="B322" s="81"/>
      <c r="C322" s="171"/>
      <c r="D322" s="83">
        <f t="shared" si="35"/>
        <v>363.18333333333328</v>
      </c>
      <c r="E322" s="84">
        <v>23.777999999999999</v>
      </c>
      <c r="F322" s="72">
        <v>-1.9870000000000001</v>
      </c>
      <c r="G322" s="72"/>
      <c r="H322" s="72"/>
      <c r="I322" s="85">
        <f t="shared" si="37"/>
        <v>21.790999999999997</v>
      </c>
      <c r="J322" s="149" t="s">
        <v>225</v>
      </c>
      <c r="M322" s="110"/>
      <c r="T322" s="534">
        <f t="shared" si="32"/>
        <v>0.06</v>
      </c>
    </row>
    <row r="323" spans="1:20" s="65" customFormat="1" ht="15.75" hidden="1" customHeight="1" x14ac:dyDescent="0.25">
      <c r="A323" s="201" t="s">
        <v>304</v>
      </c>
      <c r="B323" s="81"/>
      <c r="C323" s="171"/>
      <c r="D323" s="83">
        <f t="shared" si="35"/>
        <v>59.366666666666674</v>
      </c>
      <c r="E323" s="84">
        <v>4.181</v>
      </c>
      <c r="F323" s="72">
        <v>-0.61899999999999999</v>
      </c>
      <c r="G323" s="72"/>
      <c r="H323" s="72"/>
      <c r="I323" s="85">
        <f t="shared" si="37"/>
        <v>3.5620000000000003</v>
      </c>
      <c r="J323" s="149" t="s">
        <v>225</v>
      </c>
      <c r="M323" s="110"/>
      <c r="T323" s="534">
        <f t="shared" si="32"/>
        <v>0.06</v>
      </c>
    </row>
    <row r="324" spans="1:20" s="65" customFormat="1" ht="15.75" hidden="1" customHeight="1" x14ac:dyDescent="0.25">
      <c r="A324" s="201" t="s">
        <v>305</v>
      </c>
      <c r="B324" s="81"/>
      <c r="C324" s="171"/>
      <c r="D324" s="83">
        <f t="shared" si="35"/>
        <v>119.05000000000001</v>
      </c>
      <c r="E324" s="84">
        <v>8.4730000000000008</v>
      </c>
      <c r="F324" s="72">
        <v>-1.33</v>
      </c>
      <c r="G324" s="72"/>
      <c r="H324" s="72"/>
      <c r="I324" s="85">
        <f t="shared" si="37"/>
        <v>7.1430000000000007</v>
      </c>
      <c r="J324" s="149" t="s">
        <v>225</v>
      </c>
      <c r="M324" s="110"/>
      <c r="T324" s="534">
        <f t="shared" si="32"/>
        <v>0.06</v>
      </c>
    </row>
    <row r="325" spans="1:20" s="65" customFormat="1" ht="15.75" hidden="1" customHeight="1" x14ac:dyDescent="0.25">
      <c r="A325" s="201" t="s">
        <v>306</v>
      </c>
      <c r="B325" s="81"/>
      <c r="C325" s="171"/>
      <c r="D325" s="83">
        <f t="shared" si="35"/>
        <v>82.683333333333337</v>
      </c>
      <c r="E325" s="84">
        <v>5.6219999999999999</v>
      </c>
      <c r="F325" s="72">
        <v>-0.66100000000000003</v>
      </c>
      <c r="G325" s="72"/>
      <c r="H325" s="72"/>
      <c r="I325" s="85">
        <f t="shared" si="37"/>
        <v>4.9610000000000003</v>
      </c>
      <c r="J325" s="149" t="s">
        <v>225</v>
      </c>
      <c r="M325" s="110"/>
      <c r="T325" s="534">
        <f t="shared" si="32"/>
        <v>0.06</v>
      </c>
    </row>
    <row r="326" spans="1:20" s="65" customFormat="1" ht="15.75" hidden="1" customHeight="1" x14ac:dyDescent="0.25">
      <c r="A326" s="201" t="s">
        <v>307</v>
      </c>
      <c r="B326" s="81"/>
      <c r="C326" s="171"/>
      <c r="D326" s="83">
        <f t="shared" si="35"/>
        <v>40.466666666666669</v>
      </c>
      <c r="E326" s="84">
        <v>2.9220000000000002</v>
      </c>
      <c r="F326" s="72">
        <v>-0.49399999999999999</v>
      </c>
      <c r="G326" s="72"/>
      <c r="H326" s="72"/>
      <c r="I326" s="85">
        <f t="shared" si="37"/>
        <v>2.4279999999999999</v>
      </c>
      <c r="J326" s="149" t="s">
        <v>225</v>
      </c>
      <c r="M326" s="110"/>
      <c r="T326" s="534">
        <f t="shared" si="32"/>
        <v>0.06</v>
      </c>
    </row>
    <row r="327" spans="1:20" s="65" customFormat="1" ht="15.75" hidden="1" customHeight="1" x14ac:dyDescent="0.25">
      <c r="A327" s="201" t="s">
        <v>308</v>
      </c>
      <c r="B327" s="81"/>
      <c r="C327" s="171"/>
      <c r="D327" s="83">
        <f t="shared" si="35"/>
        <v>1282.4166666666667</v>
      </c>
      <c r="E327" s="84">
        <v>89.679000000000002</v>
      </c>
      <c r="F327" s="72">
        <v>-12.734</v>
      </c>
      <c r="G327" s="72"/>
      <c r="H327" s="72"/>
      <c r="I327" s="85">
        <f t="shared" si="37"/>
        <v>76.945000000000007</v>
      </c>
      <c r="J327" s="149" t="s">
        <v>225</v>
      </c>
      <c r="M327" s="110"/>
      <c r="T327" s="534">
        <f t="shared" si="32"/>
        <v>6.0000000000000005E-2</v>
      </c>
    </row>
    <row r="328" spans="1:20" s="65" customFormat="1" ht="15.75" hidden="1" customHeight="1" x14ac:dyDescent="0.25">
      <c r="A328" s="201" t="s">
        <v>309</v>
      </c>
      <c r="B328" s="81"/>
      <c r="C328" s="171"/>
      <c r="D328" s="83">
        <f t="shared" si="35"/>
        <v>-46.233333333333334</v>
      </c>
      <c r="E328" s="84">
        <v>-3.1920000000000002</v>
      </c>
      <c r="F328" s="72">
        <v>0.41799999999999998</v>
      </c>
      <c r="G328" s="72"/>
      <c r="H328" s="72"/>
      <c r="I328" s="85">
        <f t="shared" si="37"/>
        <v>-2.774</v>
      </c>
      <c r="J328" s="149" t="s">
        <v>225</v>
      </c>
      <c r="M328" s="110"/>
      <c r="T328" s="534" t="str">
        <f t="shared" si="32"/>
        <v/>
      </c>
    </row>
    <row r="329" spans="1:20" s="65" customFormat="1" ht="15.75" hidden="1" customHeight="1" x14ac:dyDescent="0.25">
      <c r="A329" s="201" t="s">
        <v>310</v>
      </c>
      <c r="B329" s="81"/>
      <c r="C329" s="171"/>
      <c r="D329" s="83">
        <f t="shared" si="35"/>
        <v>-9.9500000000000011</v>
      </c>
      <c r="E329" s="84">
        <v>-0.68300000000000005</v>
      </c>
      <c r="F329" s="72">
        <v>8.5999999999999993E-2</v>
      </c>
      <c r="G329" s="72"/>
      <c r="H329" s="72"/>
      <c r="I329" s="85">
        <f t="shared" si="37"/>
        <v>-0.59700000000000009</v>
      </c>
      <c r="J329" s="149" t="s">
        <v>225</v>
      </c>
      <c r="M329" s="110"/>
      <c r="T329" s="534" t="str">
        <f t="shared" si="32"/>
        <v/>
      </c>
    </row>
    <row r="330" spans="1:20" s="65" customFormat="1" ht="15.75" hidden="1" customHeight="1" x14ac:dyDescent="0.25">
      <c r="A330" s="201" t="s">
        <v>311</v>
      </c>
      <c r="B330" s="81"/>
      <c r="C330" s="171"/>
      <c r="D330" s="83">
        <f t="shared" si="35"/>
        <v>2.6500000000000004</v>
      </c>
      <c r="E330" s="84">
        <v>0.186</v>
      </c>
      <c r="F330" s="72">
        <v>-2.7E-2</v>
      </c>
      <c r="G330" s="72"/>
      <c r="H330" s="72"/>
      <c r="I330" s="85">
        <v>0.159</v>
      </c>
      <c r="J330" s="149" t="s">
        <v>225</v>
      </c>
      <c r="M330" s="110"/>
      <c r="T330" s="534">
        <f t="shared" si="32"/>
        <v>5.9999999999999991E-2</v>
      </c>
    </row>
    <row r="331" spans="1:20" s="65" customFormat="1" ht="15.75" hidden="1" customHeight="1" x14ac:dyDescent="0.25">
      <c r="A331" s="201" t="s">
        <v>312</v>
      </c>
      <c r="B331" s="81"/>
      <c r="C331" s="171"/>
      <c r="D331" s="83">
        <f t="shared" si="35"/>
        <v>4.3500000000000005</v>
      </c>
      <c r="E331" s="84">
        <v>0.314</v>
      </c>
      <c r="F331" s="72">
        <v>-5.2999999999999999E-2</v>
      </c>
      <c r="G331" s="72"/>
      <c r="H331" s="72"/>
      <c r="I331" s="85">
        <v>0.26100000000000001</v>
      </c>
      <c r="J331" s="149" t="s">
        <v>225</v>
      </c>
      <c r="M331" s="110"/>
      <c r="T331" s="534">
        <f t="shared" si="32"/>
        <v>0.06</v>
      </c>
    </row>
    <row r="332" spans="1:20" s="65" customFormat="1" ht="15.75" hidden="1" customHeight="1" x14ac:dyDescent="0.25">
      <c r="A332" s="201" t="s">
        <v>313</v>
      </c>
      <c r="B332" s="81"/>
      <c r="C332" s="171"/>
      <c r="D332" s="83">
        <f t="shared" si="35"/>
        <v>20.400000000000006</v>
      </c>
      <c r="E332" s="84">
        <v>1.8560000000000001</v>
      </c>
      <c r="F332" s="72">
        <v>-0.63200000000000001</v>
      </c>
      <c r="G332" s="72"/>
      <c r="H332" s="72"/>
      <c r="I332" s="85">
        <v>1.2240000000000002</v>
      </c>
      <c r="J332" s="149" t="s">
        <v>225</v>
      </c>
      <c r="M332" s="110"/>
      <c r="T332" s="534">
        <f t="shared" si="32"/>
        <v>5.9999999999999991E-2</v>
      </c>
    </row>
    <row r="333" spans="1:20" s="65" customFormat="1" ht="15.75" hidden="1" customHeight="1" x14ac:dyDescent="0.25">
      <c r="A333" s="201" t="s">
        <v>314</v>
      </c>
      <c r="B333" s="81"/>
      <c r="C333" s="171"/>
      <c r="D333" s="83">
        <f t="shared" si="35"/>
        <v>74.766666666666666</v>
      </c>
      <c r="E333" s="84">
        <v>6.149</v>
      </c>
      <c r="F333" s="72">
        <v>-1.663</v>
      </c>
      <c r="G333" s="72"/>
      <c r="H333" s="72"/>
      <c r="I333" s="85">
        <v>4.4859999999999998</v>
      </c>
      <c r="J333" s="149" t="s">
        <v>225</v>
      </c>
      <c r="M333" s="110"/>
      <c r="T333" s="534">
        <f t="shared" si="32"/>
        <v>0.06</v>
      </c>
    </row>
    <row r="334" spans="1:20" s="65" customFormat="1" ht="15.75" hidden="1" customHeight="1" x14ac:dyDescent="0.25">
      <c r="A334" s="201" t="s">
        <v>315</v>
      </c>
      <c r="B334" s="81"/>
      <c r="C334" s="171"/>
      <c r="D334" s="83">
        <f t="shared" si="35"/>
        <v>25.55</v>
      </c>
      <c r="E334" s="84">
        <v>2.1389999999999998</v>
      </c>
      <c r="F334" s="72">
        <v>-0.60599999999999998</v>
      </c>
      <c r="G334" s="72"/>
      <c r="H334" s="72"/>
      <c r="I334" s="85">
        <v>1.5329999999999999</v>
      </c>
      <c r="J334" s="149" t="s">
        <v>225</v>
      </c>
      <c r="M334" s="110"/>
      <c r="T334" s="534">
        <f t="shared" si="32"/>
        <v>0.06</v>
      </c>
    </row>
    <row r="335" spans="1:20" s="65" customFormat="1" ht="15.75" hidden="1" customHeight="1" x14ac:dyDescent="0.25">
      <c r="A335" s="201" t="s">
        <v>316</v>
      </c>
      <c r="B335" s="81"/>
      <c r="C335" s="171"/>
      <c r="D335" s="83">
        <f t="shared" si="35"/>
        <v>37.166666666666664</v>
      </c>
      <c r="E335" s="84">
        <v>2.677</v>
      </c>
      <c r="F335" s="72">
        <v>-0.44700000000000001</v>
      </c>
      <c r="G335" s="72"/>
      <c r="H335" s="72"/>
      <c r="I335" s="85">
        <v>2.23</v>
      </c>
      <c r="J335" s="149" t="s">
        <v>225</v>
      </c>
      <c r="M335" s="110"/>
      <c r="T335" s="534">
        <f t="shared" si="32"/>
        <v>6.0000000000000005E-2</v>
      </c>
    </row>
    <row r="336" spans="1:20" s="65" customFormat="1" ht="15.75" hidden="1" customHeight="1" x14ac:dyDescent="0.25">
      <c r="A336" s="201" t="s">
        <v>317</v>
      </c>
      <c r="B336" s="81"/>
      <c r="C336" s="171"/>
      <c r="D336" s="83">
        <f t="shared" si="35"/>
        <v>122.06666666666668</v>
      </c>
      <c r="E336" s="84">
        <v>8.5950000000000006</v>
      </c>
      <c r="F336" s="72">
        <v>-1.2709999999999999</v>
      </c>
      <c r="G336" s="72"/>
      <c r="H336" s="72"/>
      <c r="I336" s="85">
        <v>7.3240000000000007</v>
      </c>
      <c r="J336" s="149" t="s">
        <v>225</v>
      </c>
      <c r="M336" s="110"/>
      <c r="T336" s="534">
        <f t="shared" si="32"/>
        <v>0.06</v>
      </c>
    </row>
    <row r="337" spans="1:20" s="65" customFormat="1" ht="15.75" hidden="1" customHeight="1" x14ac:dyDescent="0.25">
      <c r="A337" s="201" t="s">
        <v>318</v>
      </c>
      <c r="B337" s="81"/>
      <c r="C337" s="171"/>
      <c r="D337" s="83">
        <f t="shared" si="35"/>
        <v>20.250000000000004</v>
      </c>
      <c r="E337" s="84">
        <v>1.4339999999999999</v>
      </c>
      <c r="F337" s="72">
        <v>-0.219</v>
      </c>
      <c r="G337" s="72"/>
      <c r="H337" s="72"/>
      <c r="I337" s="85">
        <v>1.2150000000000001</v>
      </c>
      <c r="J337" s="149" t="s">
        <v>225</v>
      </c>
      <c r="M337" s="110"/>
      <c r="T337" s="534">
        <f t="shared" si="32"/>
        <v>5.9999999999999991E-2</v>
      </c>
    </row>
    <row r="338" spans="1:20" s="65" customFormat="1" ht="15.75" hidden="1" customHeight="1" x14ac:dyDescent="0.25">
      <c r="A338" s="201" t="s">
        <v>319</v>
      </c>
      <c r="B338" s="81"/>
      <c r="C338" s="171"/>
      <c r="D338" s="83">
        <f t="shared" si="35"/>
        <v>23.183333333333334</v>
      </c>
      <c r="E338" s="84">
        <v>1.8480000000000001</v>
      </c>
      <c r="F338" s="72">
        <v>-0.45700000000000002</v>
      </c>
      <c r="G338" s="72"/>
      <c r="H338" s="72"/>
      <c r="I338" s="85">
        <f>SUM(E338:H338)</f>
        <v>1.391</v>
      </c>
      <c r="J338" s="149" t="s">
        <v>225</v>
      </c>
      <c r="M338" s="110"/>
      <c r="T338" s="534">
        <f t="shared" si="32"/>
        <v>0.06</v>
      </c>
    </row>
    <row r="339" spans="1:20" s="65" customFormat="1" ht="15.75" hidden="1" customHeight="1" x14ac:dyDescent="0.25">
      <c r="A339" s="201" t="s">
        <v>320</v>
      </c>
      <c r="B339" s="81"/>
      <c r="C339" s="171"/>
      <c r="D339" s="83">
        <f t="shared" si="35"/>
        <v>68.100000000000009</v>
      </c>
      <c r="E339" s="84">
        <v>5.4009999999999998</v>
      </c>
      <c r="F339" s="72">
        <v>-1.3149999999999999</v>
      </c>
      <c r="G339" s="72"/>
      <c r="H339" s="72"/>
      <c r="I339" s="85">
        <v>4.0860000000000003</v>
      </c>
      <c r="J339" s="149" t="s">
        <v>225</v>
      </c>
      <c r="M339" s="110"/>
      <c r="T339" s="534">
        <f t="shared" ref="T339:T402" si="38">IF(D339&gt;0,(I339/D339),"")</f>
        <v>0.06</v>
      </c>
    </row>
    <row r="340" spans="1:20" s="65" customFormat="1" ht="15.75" hidden="1" customHeight="1" x14ac:dyDescent="0.25">
      <c r="A340" s="201" t="s">
        <v>321</v>
      </c>
      <c r="B340" s="81"/>
      <c r="C340" s="171"/>
      <c r="D340" s="83">
        <f t="shared" si="35"/>
        <v>30.85</v>
      </c>
      <c r="E340" s="84">
        <v>2.4529999999999998</v>
      </c>
      <c r="F340" s="72">
        <v>-0.60199999999999998</v>
      </c>
      <c r="G340" s="72"/>
      <c r="H340" s="72"/>
      <c r="I340" s="85">
        <v>1.851</v>
      </c>
      <c r="J340" s="149" t="s">
        <v>225</v>
      </c>
      <c r="M340" s="110"/>
      <c r="T340" s="534">
        <f t="shared" si="38"/>
        <v>0.06</v>
      </c>
    </row>
    <row r="341" spans="1:20" s="65" customFormat="1" ht="15.75" hidden="1" customHeight="1" x14ac:dyDescent="0.25">
      <c r="A341" s="201" t="s">
        <v>322</v>
      </c>
      <c r="B341" s="81"/>
      <c r="C341" s="171"/>
      <c r="D341" s="83">
        <f t="shared" si="35"/>
        <v>37.06666666666667</v>
      </c>
      <c r="E341" s="84">
        <v>3.4820000000000002</v>
      </c>
      <c r="F341" s="72">
        <v>-1.258</v>
      </c>
      <c r="G341" s="72"/>
      <c r="H341" s="72"/>
      <c r="I341" s="85">
        <v>2.2240000000000002</v>
      </c>
      <c r="J341" s="149" t="s">
        <v>225</v>
      </c>
      <c r="M341" s="110"/>
      <c r="T341" s="534">
        <f t="shared" si="38"/>
        <v>0.06</v>
      </c>
    </row>
    <row r="342" spans="1:20" s="65" customFormat="1" ht="18" hidden="1" customHeight="1" x14ac:dyDescent="0.25">
      <c r="A342" s="201" t="s">
        <v>323</v>
      </c>
      <c r="B342" s="208"/>
      <c r="C342" s="120" t="s">
        <v>269</v>
      </c>
      <c r="D342" s="83">
        <f t="shared" si="35"/>
        <v>77.466666666666669</v>
      </c>
      <c r="E342" s="84">
        <v>5.6760000000000002</v>
      </c>
      <c r="F342" s="72">
        <v>-1.028</v>
      </c>
      <c r="G342" s="72"/>
      <c r="H342" s="72"/>
      <c r="I342" s="85">
        <f>SUM(E342:G342)</f>
        <v>4.6479999999999997</v>
      </c>
      <c r="J342" s="149" t="s">
        <v>225</v>
      </c>
      <c r="M342" s="110"/>
      <c r="T342" s="534">
        <f t="shared" si="38"/>
        <v>0.06</v>
      </c>
    </row>
    <row r="343" spans="1:20" s="65" customFormat="1" ht="18" hidden="1" customHeight="1" x14ac:dyDescent="0.25">
      <c r="A343" s="201" t="s">
        <v>324</v>
      </c>
      <c r="B343" s="208"/>
      <c r="C343" s="120" t="s">
        <v>269</v>
      </c>
      <c r="D343" s="83">
        <f t="shared" si="35"/>
        <v>170.45000000000002</v>
      </c>
      <c r="E343" s="84">
        <v>13.545</v>
      </c>
      <c r="F343" s="72">
        <v>-3.3180000000000001</v>
      </c>
      <c r="G343" s="72"/>
      <c r="H343" s="72"/>
      <c r="I343" s="85">
        <f t="shared" ref="I343:I352" si="39">SUM(E343:G343)</f>
        <v>10.227</v>
      </c>
      <c r="J343" s="149" t="s">
        <v>225</v>
      </c>
      <c r="M343" s="110"/>
      <c r="T343" s="534">
        <f t="shared" si="38"/>
        <v>0.06</v>
      </c>
    </row>
    <row r="344" spans="1:20" s="65" customFormat="1" ht="18" hidden="1" customHeight="1" x14ac:dyDescent="0.25">
      <c r="A344" s="201" t="s">
        <v>325</v>
      </c>
      <c r="B344" s="208"/>
      <c r="C344" s="120" t="s">
        <v>269</v>
      </c>
      <c r="D344" s="83">
        <f t="shared" si="35"/>
        <v>77.88333333333334</v>
      </c>
      <c r="E344" s="84">
        <v>5.6820000000000004</v>
      </c>
      <c r="F344" s="72">
        <v>-1.0089999999999999</v>
      </c>
      <c r="G344" s="72"/>
      <c r="H344" s="72"/>
      <c r="I344" s="85">
        <f t="shared" si="39"/>
        <v>4.673</v>
      </c>
      <c r="J344" s="149" t="s">
        <v>225</v>
      </c>
      <c r="M344" s="110"/>
      <c r="T344" s="534">
        <f t="shared" si="38"/>
        <v>0.06</v>
      </c>
    </row>
    <row r="345" spans="1:20" s="65" customFormat="1" ht="18" hidden="1" customHeight="1" x14ac:dyDescent="0.25">
      <c r="A345" s="201" t="s">
        <v>326</v>
      </c>
      <c r="B345" s="208"/>
      <c r="C345" s="120" t="s">
        <v>269</v>
      </c>
      <c r="D345" s="83">
        <f t="shared" si="35"/>
        <v>133.5</v>
      </c>
      <c r="E345" s="84">
        <v>10.789</v>
      </c>
      <c r="F345" s="72">
        <v>-2.7789999999999999</v>
      </c>
      <c r="G345" s="72"/>
      <c r="H345" s="72"/>
      <c r="I345" s="85">
        <f t="shared" si="39"/>
        <v>8.01</v>
      </c>
      <c r="J345" s="149" t="s">
        <v>225</v>
      </c>
      <c r="M345" s="110"/>
      <c r="T345" s="534">
        <f t="shared" si="38"/>
        <v>0.06</v>
      </c>
    </row>
    <row r="346" spans="1:20" s="65" customFormat="1" ht="18" hidden="1" customHeight="1" x14ac:dyDescent="0.25">
      <c r="A346" s="201" t="s">
        <v>327</v>
      </c>
      <c r="B346" s="208"/>
      <c r="C346" s="120" t="s">
        <v>269</v>
      </c>
      <c r="D346" s="83">
        <f t="shared" si="35"/>
        <v>89.316666666666663</v>
      </c>
      <c r="E346" s="84">
        <v>7.2649999999999997</v>
      </c>
      <c r="F346" s="72">
        <v>-1.9059999999999999</v>
      </c>
      <c r="G346" s="72"/>
      <c r="H346" s="72"/>
      <c r="I346" s="85">
        <f t="shared" si="39"/>
        <v>5.359</v>
      </c>
      <c r="J346" s="149" t="s">
        <v>225</v>
      </c>
      <c r="M346" s="110"/>
      <c r="T346" s="534">
        <f t="shared" si="38"/>
        <v>6.0000000000000005E-2</v>
      </c>
    </row>
    <row r="347" spans="1:20" s="65" customFormat="1" ht="18" hidden="1" customHeight="1" x14ac:dyDescent="0.25">
      <c r="A347" s="201" t="s">
        <v>328</v>
      </c>
      <c r="B347" s="208"/>
      <c r="C347" s="120" t="s">
        <v>269</v>
      </c>
      <c r="D347" s="83">
        <f t="shared" si="35"/>
        <v>223.78333333333333</v>
      </c>
      <c r="E347" s="84">
        <v>15.977</v>
      </c>
      <c r="F347" s="72">
        <v>-2.5499999999999998</v>
      </c>
      <c r="G347" s="72"/>
      <c r="H347" s="72"/>
      <c r="I347" s="85">
        <f t="shared" si="39"/>
        <v>13.427</v>
      </c>
      <c r="J347" s="149" t="s">
        <v>225</v>
      </c>
      <c r="M347" s="110"/>
      <c r="T347" s="534">
        <f t="shared" si="38"/>
        <v>0.06</v>
      </c>
    </row>
    <row r="348" spans="1:20" s="65" customFormat="1" ht="18" hidden="1" customHeight="1" x14ac:dyDescent="0.25">
      <c r="A348" s="201" t="s">
        <v>329</v>
      </c>
      <c r="B348" s="208"/>
      <c r="C348" s="120" t="s">
        <v>269</v>
      </c>
      <c r="D348" s="83">
        <f t="shared" si="35"/>
        <v>9.1833333333333318</v>
      </c>
      <c r="E348" s="84">
        <v>0.84799999999999998</v>
      </c>
      <c r="F348" s="72">
        <v>-0.29699999999999999</v>
      </c>
      <c r="G348" s="72"/>
      <c r="H348" s="72"/>
      <c r="I348" s="85">
        <f t="shared" si="39"/>
        <v>0.55099999999999993</v>
      </c>
      <c r="J348" s="149" t="s">
        <v>225</v>
      </c>
      <c r="M348" s="110"/>
      <c r="T348" s="534">
        <f t="shared" si="38"/>
        <v>6.0000000000000005E-2</v>
      </c>
    </row>
    <row r="349" spans="1:20" s="65" customFormat="1" ht="18" hidden="1" customHeight="1" x14ac:dyDescent="0.25">
      <c r="A349" s="201" t="s">
        <v>330</v>
      </c>
      <c r="B349" s="208"/>
      <c r="C349" s="120" t="s">
        <v>269</v>
      </c>
      <c r="D349" s="83">
        <f t="shared" si="35"/>
        <v>99.95</v>
      </c>
      <c r="E349" s="84">
        <v>7.2309999999999999</v>
      </c>
      <c r="F349" s="72">
        <v>-1.234</v>
      </c>
      <c r="G349" s="72"/>
      <c r="H349" s="72"/>
      <c r="I349" s="85">
        <f t="shared" si="39"/>
        <v>5.9969999999999999</v>
      </c>
      <c r="J349" s="149" t="s">
        <v>225</v>
      </c>
      <c r="M349" s="110"/>
      <c r="T349" s="534">
        <f t="shared" si="38"/>
        <v>0.06</v>
      </c>
    </row>
    <row r="350" spans="1:20" s="65" customFormat="1" ht="18" hidden="1" customHeight="1" x14ac:dyDescent="0.25">
      <c r="A350" s="201" t="s">
        <v>331</v>
      </c>
      <c r="B350" s="208"/>
      <c r="C350" s="120" t="s">
        <v>269</v>
      </c>
      <c r="D350" s="83">
        <f t="shared" si="35"/>
        <v>76.533333333333346</v>
      </c>
      <c r="E350" s="84">
        <v>5.798</v>
      </c>
      <c r="F350" s="72">
        <v>-1.206</v>
      </c>
      <c r="G350" s="72"/>
      <c r="H350" s="72"/>
      <c r="I350" s="85">
        <f t="shared" si="39"/>
        <v>4.5920000000000005</v>
      </c>
      <c r="J350" s="149" t="s">
        <v>225</v>
      </c>
      <c r="M350" s="110"/>
      <c r="T350" s="534">
        <f t="shared" si="38"/>
        <v>0.06</v>
      </c>
    </row>
    <row r="351" spans="1:20" s="65" customFormat="1" ht="18" hidden="1" customHeight="1" x14ac:dyDescent="0.25">
      <c r="A351" s="201" t="s">
        <v>332</v>
      </c>
      <c r="B351" s="208"/>
      <c r="C351" s="120" t="s">
        <v>269</v>
      </c>
      <c r="D351" s="83">
        <f t="shared" si="35"/>
        <v>7.9666666666666677</v>
      </c>
      <c r="E351" s="84">
        <v>0.92400000000000004</v>
      </c>
      <c r="F351" s="72">
        <v>-0.44600000000000001</v>
      </c>
      <c r="G351" s="72"/>
      <c r="H351" s="72"/>
      <c r="I351" s="85">
        <f t="shared" si="39"/>
        <v>0.47800000000000004</v>
      </c>
      <c r="J351" s="149" t="s">
        <v>225</v>
      </c>
      <c r="M351" s="110"/>
      <c r="T351" s="534">
        <f t="shared" si="38"/>
        <v>0.06</v>
      </c>
    </row>
    <row r="352" spans="1:20" s="65" customFormat="1" ht="18" hidden="1" customHeight="1" x14ac:dyDescent="0.25">
      <c r="A352" s="201" t="s">
        <v>333</v>
      </c>
      <c r="B352" s="208"/>
      <c r="C352" s="120" t="s">
        <v>269</v>
      </c>
      <c r="D352" s="83">
        <f t="shared" si="35"/>
        <v>336.91666666666669</v>
      </c>
      <c r="E352" s="84">
        <v>24.088000000000001</v>
      </c>
      <c r="F352" s="72">
        <v>-3.8730000000000002</v>
      </c>
      <c r="G352" s="72"/>
      <c r="H352" s="72"/>
      <c r="I352" s="85">
        <f t="shared" si="39"/>
        <v>20.215</v>
      </c>
      <c r="J352" s="149" t="s">
        <v>225</v>
      </c>
      <c r="M352" s="110"/>
      <c r="T352" s="534">
        <f t="shared" si="38"/>
        <v>0.06</v>
      </c>
    </row>
    <row r="353" spans="1:255" s="65" customFormat="1" ht="15.75" hidden="1" customHeight="1" x14ac:dyDescent="0.25">
      <c r="A353" s="201" t="s">
        <v>334</v>
      </c>
      <c r="B353" s="86">
        <v>37083</v>
      </c>
      <c r="C353" s="174" t="s">
        <v>335</v>
      </c>
      <c r="D353" s="83">
        <f t="shared" si="35"/>
        <v>-15.100000000000001</v>
      </c>
      <c r="E353" s="84">
        <v>-0.65500000000000003</v>
      </c>
      <c r="F353" s="72">
        <v>-0.251</v>
      </c>
      <c r="G353" s="72">
        <v>0</v>
      </c>
      <c r="H353" s="72">
        <v>0</v>
      </c>
      <c r="I353" s="85">
        <f>SUM(E353:H353)</f>
        <v>-0.90600000000000003</v>
      </c>
      <c r="J353" s="149" t="s">
        <v>225</v>
      </c>
      <c r="M353" s="110"/>
      <c r="T353" s="534" t="str">
        <f t="shared" si="38"/>
        <v/>
      </c>
    </row>
    <row r="354" spans="1:255" s="65" customFormat="1" ht="15.75" hidden="1" customHeight="1" x14ac:dyDescent="0.25">
      <c r="A354" s="201" t="s">
        <v>336</v>
      </c>
      <c r="B354" s="86">
        <v>37083</v>
      </c>
      <c r="C354" s="174" t="s">
        <v>335</v>
      </c>
      <c r="D354" s="83">
        <f t="shared" si="35"/>
        <v>62.550000000000004</v>
      </c>
      <c r="E354" s="84">
        <v>5.0339999999999998</v>
      </c>
      <c r="F354" s="72">
        <v>-1.2809999999999999</v>
      </c>
      <c r="G354" s="72">
        <v>0</v>
      </c>
      <c r="H354" s="72">
        <v>0</v>
      </c>
      <c r="I354" s="85">
        <f>SUM(E354:H354)</f>
        <v>3.7530000000000001</v>
      </c>
      <c r="J354" s="149" t="s">
        <v>225</v>
      </c>
      <c r="M354" s="110"/>
      <c r="T354" s="534">
        <f t="shared" si="38"/>
        <v>0.06</v>
      </c>
    </row>
    <row r="355" spans="1:255" s="65" customFormat="1" ht="15.75" hidden="1" customHeight="1" x14ac:dyDescent="0.25">
      <c r="A355" s="201" t="s">
        <v>337</v>
      </c>
      <c r="B355" s="86">
        <v>37083</v>
      </c>
      <c r="C355" s="174" t="s">
        <v>335</v>
      </c>
      <c r="D355" s="83">
        <f t="shared" si="35"/>
        <v>305.36666666666667</v>
      </c>
      <c r="E355" s="84">
        <v>21.850999999999999</v>
      </c>
      <c r="F355" s="72">
        <v>-3.5289999999999999</v>
      </c>
      <c r="G355" s="72">
        <v>0</v>
      </c>
      <c r="H355" s="72">
        <v>0</v>
      </c>
      <c r="I355" s="85">
        <f>SUM(E355:H355)</f>
        <v>18.321999999999999</v>
      </c>
      <c r="J355" s="149" t="s">
        <v>225</v>
      </c>
      <c r="M355" s="110"/>
      <c r="T355" s="534">
        <f t="shared" si="38"/>
        <v>0.06</v>
      </c>
    </row>
    <row r="356" spans="1:255" s="97" customFormat="1" ht="15.75" hidden="1" customHeight="1" x14ac:dyDescent="0.25">
      <c r="A356" s="201" t="s">
        <v>338</v>
      </c>
      <c r="B356" s="86"/>
      <c r="C356" s="174"/>
      <c r="D356" s="83">
        <f t="shared" si="35"/>
        <v>-454.01666666666665</v>
      </c>
      <c r="E356" s="84">
        <v>-30.815000000000001</v>
      </c>
      <c r="F356" s="72">
        <v>3.5739999999999998</v>
      </c>
      <c r="G356" s="72">
        <v>0</v>
      </c>
      <c r="H356" s="72"/>
      <c r="I356" s="85">
        <v>-27.241</v>
      </c>
      <c r="J356" s="149" t="s">
        <v>225</v>
      </c>
      <c r="K356" s="65"/>
      <c r="M356" s="110"/>
      <c r="N356" s="65"/>
      <c r="O356" s="65"/>
      <c r="P356" s="65"/>
      <c r="Q356" s="65"/>
      <c r="R356" s="65"/>
      <c r="S356" s="65"/>
      <c r="T356" s="534" t="str">
        <f t="shared" si="38"/>
        <v/>
      </c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  <c r="DS356" s="65"/>
      <c r="DT356" s="65"/>
      <c r="DU356" s="65"/>
      <c r="DV356" s="65"/>
      <c r="DW356" s="65"/>
      <c r="DX356" s="65"/>
      <c r="DY356" s="65"/>
      <c r="DZ356" s="65"/>
      <c r="EA356" s="65"/>
      <c r="EB356" s="65"/>
      <c r="EC356" s="65"/>
      <c r="ED356" s="65"/>
      <c r="EE356" s="65"/>
      <c r="EF356" s="65"/>
      <c r="EG356" s="65"/>
      <c r="EH356" s="65"/>
      <c r="EI356" s="65"/>
      <c r="EJ356" s="65"/>
      <c r="EK356" s="65"/>
      <c r="EL356" s="65"/>
      <c r="EM356" s="65"/>
      <c r="EN356" s="65"/>
      <c r="EO356" s="65"/>
      <c r="EP356" s="65"/>
      <c r="EQ356" s="65"/>
      <c r="ER356" s="65"/>
      <c r="ES356" s="65"/>
      <c r="ET356" s="65"/>
      <c r="EU356" s="65"/>
      <c r="EV356" s="65"/>
      <c r="EW356" s="65"/>
      <c r="EX356" s="65"/>
      <c r="EY356" s="65"/>
      <c r="EZ356" s="65"/>
      <c r="FA356" s="65"/>
      <c r="FB356" s="65"/>
      <c r="FC356" s="65"/>
      <c r="FD356" s="65"/>
      <c r="FE356" s="65"/>
      <c r="FF356" s="65"/>
      <c r="FG356" s="65"/>
      <c r="FH356" s="65"/>
      <c r="FI356" s="65"/>
      <c r="FJ356" s="65"/>
      <c r="FK356" s="65"/>
      <c r="FL356" s="65"/>
      <c r="FM356" s="65"/>
      <c r="FN356" s="65"/>
      <c r="FO356" s="65"/>
      <c r="FP356" s="65"/>
      <c r="FQ356" s="65"/>
      <c r="FR356" s="65"/>
      <c r="FS356" s="65"/>
      <c r="FT356" s="65"/>
      <c r="FU356" s="65"/>
      <c r="FV356" s="65"/>
      <c r="FW356" s="65"/>
      <c r="FX356" s="65"/>
      <c r="FY356" s="65"/>
      <c r="FZ356" s="65"/>
      <c r="GA356" s="65"/>
      <c r="GB356" s="65"/>
      <c r="GC356" s="65"/>
      <c r="GD356" s="65"/>
      <c r="GE356" s="65"/>
      <c r="GF356" s="65"/>
      <c r="GG356" s="65"/>
      <c r="GH356" s="65"/>
      <c r="GI356" s="65"/>
      <c r="GJ356" s="65"/>
      <c r="GK356" s="65"/>
      <c r="GL356" s="65"/>
      <c r="GM356" s="65"/>
      <c r="GN356" s="65"/>
      <c r="GO356" s="65"/>
      <c r="GP356" s="65"/>
      <c r="GQ356" s="65"/>
      <c r="GR356" s="65"/>
      <c r="GS356" s="65"/>
      <c r="GT356" s="65"/>
      <c r="GU356" s="65"/>
      <c r="GV356" s="65"/>
      <c r="GW356" s="65"/>
      <c r="GX356" s="65"/>
      <c r="GY356" s="65"/>
      <c r="GZ356" s="65"/>
      <c r="HA356" s="65"/>
      <c r="HB356" s="65"/>
      <c r="HC356" s="65"/>
      <c r="HD356" s="65"/>
      <c r="HE356" s="65"/>
      <c r="HF356" s="65"/>
      <c r="HG356" s="65"/>
      <c r="HH356" s="65"/>
      <c r="HI356" s="65"/>
      <c r="HJ356" s="65"/>
      <c r="HK356" s="65"/>
      <c r="HL356" s="65"/>
      <c r="HM356" s="65"/>
      <c r="HN356" s="65"/>
      <c r="HO356" s="65"/>
      <c r="HP356" s="65"/>
      <c r="HQ356" s="65"/>
      <c r="HR356" s="65"/>
      <c r="HS356" s="65"/>
      <c r="HT356" s="65"/>
      <c r="HU356" s="65"/>
      <c r="HV356" s="65"/>
      <c r="HW356" s="65"/>
      <c r="HX356" s="65"/>
      <c r="HY356" s="65"/>
      <c r="HZ356" s="65"/>
      <c r="IA356" s="65"/>
      <c r="IB356" s="65"/>
      <c r="IC356" s="65"/>
      <c r="ID356" s="65"/>
      <c r="IE356" s="65"/>
      <c r="IF356" s="65"/>
      <c r="IG356" s="65"/>
      <c r="IH356" s="65"/>
      <c r="II356" s="65"/>
      <c r="IJ356" s="65"/>
      <c r="IK356" s="65"/>
      <c r="IL356" s="65"/>
      <c r="IM356" s="65"/>
      <c r="IN356" s="65"/>
      <c r="IO356" s="65"/>
      <c r="IP356" s="65"/>
      <c r="IQ356" s="65"/>
      <c r="IR356" s="65"/>
      <c r="IS356" s="65"/>
      <c r="IT356" s="65"/>
      <c r="IU356" s="65"/>
    </row>
    <row r="357" spans="1:255" s="97" customFormat="1" ht="15.75" hidden="1" customHeight="1" x14ac:dyDescent="0.25">
      <c r="A357" s="201" t="s">
        <v>339</v>
      </c>
      <c r="B357" s="86"/>
      <c r="C357" s="174"/>
      <c r="D357" s="83">
        <f t="shared" si="35"/>
        <v>-3.2166666666666677</v>
      </c>
      <c r="E357" s="84">
        <v>-0.89300000000000002</v>
      </c>
      <c r="F357" s="72">
        <v>0.7</v>
      </c>
      <c r="G357" s="72">
        <v>0</v>
      </c>
      <c r="H357" s="72"/>
      <c r="I357" s="85">
        <v>-0.19300000000000006</v>
      </c>
      <c r="J357" s="149" t="s">
        <v>225</v>
      </c>
      <c r="K357" s="65"/>
      <c r="M357" s="110"/>
      <c r="N357" s="65"/>
      <c r="O357" s="65"/>
      <c r="P357" s="65"/>
      <c r="Q357" s="65"/>
      <c r="R357" s="65"/>
      <c r="S357" s="65"/>
      <c r="T357" s="534" t="str">
        <f t="shared" si="38"/>
        <v/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  <c r="DS357" s="65"/>
      <c r="DT357" s="65"/>
      <c r="DU357" s="65"/>
      <c r="DV357" s="65"/>
      <c r="DW357" s="65"/>
      <c r="DX357" s="65"/>
      <c r="DY357" s="65"/>
      <c r="DZ357" s="65"/>
      <c r="EA357" s="65"/>
      <c r="EB357" s="65"/>
      <c r="EC357" s="65"/>
      <c r="ED357" s="65"/>
      <c r="EE357" s="65"/>
      <c r="EF357" s="65"/>
      <c r="EG357" s="65"/>
      <c r="EH357" s="65"/>
      <c r="EI357" s="65"/>
      <c r="EJ357" s="65"/>
      <c r="EK357" s="65"/>
      <c r="EL357" s="65"/>
      <c r="EM357" s="65"/>
      <c r="EN357" s="65"/>
      <c r="EO357" s="65"/>
      <c r="EP357" s="65"/>
      <c r="EQ357" s="65"/>
      <c r="ER357" s="65"/>
      <c r="ES357" s="65"/>
      <c r="ET357" s="65"/>
      <c r="EU357" s="65"/>
      <c r="EV357" s="65"/>
      <c r="EW357" s="65"/>
      <c r="EX357" s="65"/>
      <c r="EY357" s="65"/>
      <c r="EZ357" s="65"/>
      <c r="FA357" s="65"/>
      <c r="FB357" s="65"/>
      <c r="FC357" s="65"/>
      <c r="FD357" s="65"/>
      <c r="FE357" s="65"/>
      <c r="FF357" s="65"/>
      <c r="FG357" s="65"/>
      <c r="FH357" s="65"/>
      <c r="FI357" s="65"/>
      <c r="FJ357" s="65"/>
      <c r="FK357" s="65"/>
      <c r="FL357" s="65"/>
      <c r="FM357" s="65"/>
      <c r="FN357" s="65"/>
      <c r="FO357" s="65"/>
      <c r="FP357" s="65"/>
      <c r="FQ357" s="65"/>
      <c r="FR357" s="65"/>
      <c r="FS357" s="65"/>
      <c r="FT357" s="65"/>
      <c r="FU357" s="65"/>
      <c r="FV357" s="65"/>
      <c r="FW357" s="65"/>
      <c r="FX357" s="65"/>
      <c r="FY357" s="65"/>
      <c r="FZ357" s="65"/>
      <c r="GA357" s="65"/>
      <c r="GB357" s="65"/>
      <c r="GC357" s="65"/>
      <c r="GD357" s="65"/>
      <c r="GE357" s="65"/>
      <c r="GF357" s="65"/>
      <c r="GG357" s="65"/>
      <c r="GH357" s="65"/>
      <c r="GI357" s="65"/>
      <c r="GJ357" s="65"/>
      <c r="GK357" s="65"/>
      <c r="GL357" s="65"/>
      <c r="GM357" s="65"/>
      <c r="GN357" s="65"/>
      <c r="GO357" s="65"/>
      <c r="GP357" s="65"/>
      <c r="GQ357" s="65"/>
      <c r="GR357" s="65"/>
      <c r="GS357" s="65"/>
      <c r="GT357" s="65"/>
      <c r="GU357" s="65"/>
      <c r="GV357" s="65"/>
      <c r="GW357" s="65"/>
      <c r="GX357" s="65"/>
      <c r="GY357" s="65"/>
      <c r="GZ357" s="65"/>
      <c r="HA357" s="65"/>
      <c r="HB357" s="65"/>
      <c r="HC357" s="65"/>
      <c r="HD357" s="65"/>
      <c r="HE357" s="65"/>
      <c r="HF357" s="65"/>
      <c r="HG357" s="65"/>
      <c r="HH357" s="65"/>
      <c r="HI357" s="65"/>
      <c r="HJ357" s="65"/>
      <c r="HK357" s="65"/>
      <c r="HL357" s="65"/>
      <c r="HM357" s="65"/>
      <c r="HN357" s="65"/>
      <c r="HO357" s="65"/>
      <c r="HP357" s="65"/>
      <c r="HQ357" s="65"/>
      <c r="HR357" s="65"/>
      <c r="HS357" s="65"/>
      <c r="HT357" s="65"/>
      <c r="HU357" s="65"/>
      <c r="HV357" s="65"/>
      <c r="HW357" s="65"/>
      <c r="HX357" s="65"/>
      <c r="HY357" s="65"/>
      <c r="HZ357" s="65"/>
      <c r="IA357" s="65"/>
      <c r="IB357" s="65"/>
      <c r="IC357" s="65"/>
      <c r="ID357" s="65"/>
      <c r="IE357" s="65"/>
      <c r="IF357" s="65"/>
      <c r="IG357" s="65"/>
      <c r="IH357" s="65"/>
      <c r="II357" s="65"/>
      <c r="IJ357" s="65"/>
      <c r="IK357" s="65"/>
      <c r="IL357" s="65"/>
      <c r="IM357" s="65"/>
      <c r="IN357" s="65"/>
      <c r="IO357" s="65"/>
      <c r="IP357" s="65"/>
      <c r="IQ357" s="65"/>
      <c r="IR357" s="65"/>
      <c r="IS357" s="65"/>
      <c r="IT357" s="65"/>
      <c r="IU357" s="65"/>
    </row>
    <row r="358" spans="1:255" s="97" customFormat="1" ht="15.75" hidden="1" customHeight="1" x14ac:dyDescent="0.25">
      <c r="A358" s="201" t="s">
        <v>340</v>
      </c>
      <c r="B358" s="86"/>
      <c r="C358" s="174"/>
      <c r="D358" s="83">
        <f t="shared" si="35"/>
        <v>-224.91666666666666</v>
      </c>
      <c r="E358" s="84">
        <v>-15.071</v>
      </c>
      <c r="F358" s="72">
        <v>1.5760000000000001</v>
      </c>
      <c r="G358" s="72">
        <v>0</v>
      </c>
      <c r="H358" s="72"/>
      <c r="I358" s="85">
        <v>-13.494999999999999</v>
      </c>
      <c r="J358" s="149" t="s">
        <v>225</v>
      </c>
      <c r="K358" s="65"/>
      <c r="M358" s="110"/>
      <c r="N358" s="65"/>
      <c r="O358" s="65"/>
      <c r="P358" s="65"/>
      <c r="Q358" s="65"/>
      <c r="R358" s="65"/>
      <c r="S358" s="65"/>
      <c r="T358" s="534" t="str">
        <f t="shared" si="38"/>
        <v/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  <c r="DS358" s="65"/>
      <c r="DT358" s="65"/>
      <c r="DU358" s="65"/>
      <c r="DV358" s="65"/>
      <c r="DW358" s="65"/>
      <c r="DX358" s="65"/>
      <c r="DY358" s="65"/>
      <c r="DZ358" s="65"/>
      <c r="EA358" s="65"/>
      <c r="EB358" s="65"/>
      <c r="EC358" s="65"/>
      <c r="ED358" s="65"/>
      <c r="EE358" s="65"/>
      <c r="EF358" s="65"/>
      <c r="EG358" s="65"/>
      <c r="EH358" s="65"/>
      <c r="EI358" s="65"/>
      <c r="EJ358" s="65"/>
      <c r="EK358" s="65"/>
      <c r="EL358" s="65"/>
      <c r="EM358" s="65"/>
      <c r="EN358" s="65"/>
      <c r="EO358" s="65"/>
      <c r="EP358" s="65"/>
      <c r="EQ358" s="65"/>
      <c r="ER358" s="65"/>
      <c r="ES358" s="65"/>
      <c r="ET358" s="65"/>
      <c r="EU358" s="65"/>
      <c r="EV358" s="65"/>
      <c r="EW358" s="65"/>
      <c r="EX358" s="65"/>
      <c r="EY358" s="65"/>
      <c r="EZ358" s="65"/>
      <c r="FA358" s="65"/>
      <c r="FB358" s="65"/>
      <c r="FC358" s="65"/>
      <c r="FD358" s="65"/>
      <c r="FE358" s="65"/>
      <c r="FF358" s="65"/>
      <c r="FG358" s="65"/>
      <c r="FH358" s="65"/>
      <c r="FI358" s="65"/>
      <c r="FJ358" s="65"/>
      <c r="FK358" s="65"/>
      <c r="FL358" s="65"/>
      <c r="FM358" s="65"/>
      <c r="FN358" s="65"/>
      <c r="FO358" s="65"/>
      <c r="FP358" s="65"/>
      <c r="FQ358" s="65"/>
      <c r="FR358" s="65"/>
      <c r="FS358" s="65"/>
      <c r="FT358" s="65"/>
      <c r="FU358" s="65"/>
      <c r="FV358" s="65"/>
      <c r="FW358" s="65"/>
      <c r="FX358" s="65"/>
      <c r="FY358" s="65"/>
      <c r="FZ358" s="65"/>
      <c r="GA358" s="65"/>
      <c r="GB358" s="65"/>
      <c r="GC358" s="65"/>
      <c r="GD358" s="65"/>
      <c r="GE358" s="65"/>
      <c r="GF358" s="65"/>
      <c r="GG358" s="65"/>
      <c r="GH358" s="65"/>
      <c r="GI358" s="65"/>
      <c r="GJ358" s="65"/>
      <c r="GK358" s="65"/>
      <c r="GL358" s="65"/>
      <c r="GM358" s="65"/>
      <c r="GN358" s="65"/>
      <c r="GO358" s="65"/>
      <c r="GP358" s="65"/>
      <c r="GQ358" s="65"/>
      <c r="GR358" s="65"/>
      <c r="GS358" s="65"/>
      <c r="GT358" s="65"/>
      <c r="GU358" s="65"/>
      <c r="GV358" s="65"/>
      <c r="GW358" s="65"/>
      <c r="GX358" s="65"/>
      <c r="GY358" s="65"/>
      <c r="GZ358" s="65"/>
      <c r="HA358" s="65"/>
      <c r="HB358" s="65"/>
      <c r="HC358" s="65"/>
      <c r="HD358" s="65"/>
      <c r="HE358" s="65"/>
      <c r="HF358" s="65"/>
      <c r="HG358" s="65"/>
      <c r="HH358" s="65"/>
      <c r="HI358" s="65"/>
      <c r="HJ358" s="65"/>
      <c r="HK358" s="65"/>
      <c r="HL358" s="65"/>
      <c r="HM358" s="65"/>
      <c r="HN358" s="65"/>
      <c r="HO358" s="65"/>
      <c r="HP358" s="65"/>
      <c r="HQ358" s="65"/>
      <c r="HR358" s="65"/>
      <c r="HS358" s="65"/>
      <c r="HT358" s="65"/>
      <c r="HU358" s="65"/>
      <c r="HV358" s="65"/>
      <c r="HW358" s="65"/>
      <c r="HX358" s="65"/>
      <c r="HY358" s="65"/>
      <c r="HZ358" s="65"/>
      <c r="IA358" s="65"/>
      <c r="IB358" s="65"/>
      <c r="IC358" s="65"/>
      <c r="ID358" s="65"/>
      <c r="IE358" s="65"/>
      <c r="IF358" s="65"/>
      <c r="IG358" s="65"/>
      <c r="IH358" s="65"/>
      <c r="II358" s="65"/>
      <c r="IJ358" s="65"/>
      <c r="IK358" s="65"/>
      <c r="IL358" s="65"/>
      <c r="IM358" s="65"/>
      <c r="IN358" s="65"/>
      <c r="IO358" s="65"/>
      <c r="IP358" s="65"/>
      <c r="IQ358" s="65"/>
      <c r="IR358" s="65"/>
      <c r="IS358" s="65"/>
      <c r="IT358" s="65"/>
      <c r="IU358" s="65"/>
    </row>
    <row r="359" spans="1:255" s="97" customFormat="1" ht="15.75" hidden="1" customHeight="1" x14ac:dyDescent="0.25">
      <c r="A359" s="201" t="s">
        <v>341</v>
      </c>
      <c r="B359" s="86"/>
      <c r="C359" s="174"/>
      <c r="D359" s="83">
        <f t="shared" si="35"/>
        <v>130.38333333333335</v>
      </c>
      <c r="E359" s="84">
        <v>9.3680000000000003</v>
      </c>
      <c r="F359" s="72">
        <v>-1.5449999999999999</v>
      </c>
      <c r="G359" s="72">
        <v>0</v>
      </c>
      <c r="H359" s="72"/>
      <c r="I359" s="85">
        <v>7.8230000000000004</v>
      </c>
      <c r="J359" s="149" t="s">
        <v>225</v>
      </c>
      <c r="K359" s="65"/>
      <c r="M359" s="110"/>
      <c r="N359" s="65"/>
      <c r="O359" s="65"/>
      <c r="P359" s="65"/>
      <c r="Q359" s="65"/>
      <c r="R359" s="65"/>
      <c r="S359" s="65"/>
      <c r="T359" s="534">
        <f t="shared" si="38"/>
        <v>5.9999999999999991E-2</v>
      </c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  <c r="DS359" s="65"/>
      <c r="DT359" s="65"/>
      <c r="DU359" s="65"/>
      <c r="DV359" s="65"/>
      <c r="DW359" s="65"/>
      <c r="DX359" s="65"/>
      <c r="DY359" s="65"/>
      <c r="DZ359" s="65"/>
      <c r="EA359" s="65"/>
      <c r="EB359" s="65"/>
      <c r="EC359" s="65"/>
      <c r="ED359" s="65"/>
      <c r="EE359" s="65"/>
      <c r="EF359" s="65"/>
      <c r="EG359" s="65"/>
      <c r="EH359" s="65"/>
      <c r="EI359" s="65"/>
      <c r="EJ359" s="65"/>
      <c r="EK359" s="65"/>
      <c r="EL359" s="65"/>
      <c r="EM359" s="65"/>
      <c r="EN359" s="65"/>
      <c r="EO359" s="65"/>
      <c r="EP359" s="65"/>
      <c r="EQ359" s="65"/>
      <c r="ER359" s="65"/>
      <c r="ES359" s="65"/>
      <c r="ET359" s="65"/>
      <c r="EU359" s="65"/>
      <c r="EV359" s="65"/>
      <c r="EW359" s="65"/>
      <c r="EX359" s="65"/>
      <c r="EY359" s="65"/>
      <c r="EZ359" s="65"/>
      <c r="FA359" s="65"/>
      <c r="FB359" s="65"/>
      <c r="FC359" s="65"/>
      <c r="FD359" s="65"/>
      <c r="FE359" s="65"/>
      <c r="FF359" s="65"/>
      <c r="FG359" s="65"/>
      <c r="FH359" s="65"/>
      <c r="FI359" s="65"/>
      <c r="FJ359" s="65"/>
      <c r="FK359" s="65"/>
      <c r="FL359" s="65"/>
      <c r="FM359" s="65"/>
      <c r="FN359" s="65"/>
      <c r="FO359" s="65"/>
      <c r="FP359" s="65"/>
      <c r="FQ359" s="65"/>
      <c r="FR359" s="65"/>
      <c r="FS359" s="65"/>
      <c r="FT359" s="65"/>
      <c r="FU359" s="65"/>
      <c r="FV359" s="65"/>
      <c r="FW359" s="65"/>
      <c r="FX359" s="65"/>
      <c r="FY359" s="65"/>
      <c r="FZ359" s="65"/>
      <c r="GA359" s="65"/>
      <c r="GB359" s="65"/>
      <c r="GC359" s="65"/>
      <c r="GD359" s="65"/>
      <c r="GE359" s="65"/>
      <c r="GF359" s="65"/>
      <c r="GG359" s="65"/>
      <c r="GH359" s="65"/>
      <c r="GI359" s="65"/>
      <c r="GJ359" s="65"/>
      <c r="GK359" s="65"/>
      <c r="GL359" s="65"/>
      <c r="GM359" s="65"/>
      <c r="GN359" s="65"/>
      <c r="GO359" s="65"/>
      <c r="GP359" s="65"/>
      <c r="GQ359" s="65"/>
      <c r="GR359" s="65"/>
      <c r="GS359" s="65"/>
      <c r="GT359" s="65"/>
      <c r="GU359" s="65"/>
      <c r="GV359" s="65"/>
      <c r="GW359" s="65"/>
      <c r="GX359" s="65"/>
      <c r="GY359" s="65"/>
      <c r="GZ359" s="65"/>
      <c r="HA359" s="65"/>
      <c r="HB359" s="65"/>
      <c r="HC359" s="65"/>
      <c r="HD359" s="65"/>
      <c r="HE359" s="65"/>
      <c r="HF359" s="65"/>
      <c r="HG359" s="65"/>
      <c r="HH359" s="65"/>
      <c r="HI359" s="65"/>
      <c r="HJ359" s="65"/>
      <c r="HK359" s="65"/>
      <c r="HL359" s="65"/>
      <c r="HM359" s="65"/>
      <c r="HN359" s="65"/>
      <c r="HO359" s="65"/>
      <c r="HP359" s="65"/>
      <c r="HQ359" s="65"/>
      <c r="HR359" s="65"/>
      <c r="HS359" s="65"/>
      <c r="HT359" s="65"/>
      <c r="HU359" s="65"/>
      <c r="HV359" s="65"/>
      <c r="HW359" s="65"/>
      <c r="HX359" s="65"/>
      <c r="HY359" s="65"/>
      <c r="HZ359" s="65"/>
      <c r="IA359" s="65"/>
      <c r="IB359" s="65"/>
      <c r="IC359" s="65"/>
      <c r="ID359" s="65"/>
      <c r="IE359" s="65"/>
      <c r="IF359" s="65"/>
      <c r="IG359" s="65"/>
      <c r="IH359" s="65"/>
      <c r="II359" s="65"/>
      <c r="IJ359" s="65"/>
      <c r="IK359" s="65"/>
      <c r="IL359" s="65"/>
      <c r="IM359" s="65"/>
      <c r="IN359" s="65"/>
      <c r="IO359" s="65"/>
      <c r="IP359" s="65"/>
      <c r="IQ359" s="65"/>
      <c r="IR359" s="65"/>
      <c r="IS359" s="65"/>
      <c r="IT359" s="65"/>
      <c r="IU359" s="65"/>
    </row>
    <row r="360" spans="1:255" s="97" customFormat="1" ht="15.75" hidden="1" customHeight="1" x14ac:dyDescent="0.25">
      <c r="A360" s="201" t="s">
        <v>342</v>
      </c>
      <c r="B360" s="86"/>
      <c r="C360" s="174"/>
      <c r="D360" s="83">
        <f t="shared" si="35"/>
        <v>140.88333333333335</v>
      </c>
      <c r="E360" s="84">
        <v>10.473000000000001</v>
      </c>
      <c r="F360" s="72">
        <v>-2.02</v>
      </c>
      <c r="G360" s="72">
        <v>0</v>
      </c>
      <c r="H360" s="72"/>
      <c r="I360" s="85">
        <v>8.4530000000000012</v>
      </c>
      <c r="J360" s="149" t="s">
        <v>225</v>
      </c>
      <c r="K360" s="65"/>
      <c r="M360" s="110"/>
      <c r="N360" s="65"/>
      <c r="O360" s="65"/>
      <c r="P360" s="65"/>
      <c r="Q360" s="65"/>
      <c r="R360" s="65"/>
      <c r="S360" s="65"/>
      <c r="T360" s="534">
        <f t="shared" si="38"/>
        <v>0.06</v>
      </c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  <c r="DS360" s="65"/>
      <c r="DT360" s="65"/>
      <c r="DU360" s="65"/>
      <c r="DV360" s="65"/>
      <c r="DW360" s="65"/>
      <c r="DX360" s="65"/>
      <c r="DY360" s="65"/>
      <c r="DZ360" s="65"/>
      <c r="EA360" s="65"/>
      <c r="EB360" s="65"/>
      <c r="EC360" s="65"/>
      <c r="ED360" s="65"/>
      <c r="EE360" s="65"/>
      <c r="EF360" s="65"/>
      <c r="EG360" s="65"/>
      <c r="EH360" s="65"/>
      <c r="EI360" s="65"/>
      <c r="EJ360" s="65"/>
      <c r="EK360" s="65"/>
      <c r="EL360" s="65"/>
      <c r="EM360" s="65"/>
      <c r="EN360" s="65"/>
      <c r="EO360" s="65"/>
      <c r="EP360" s="65"/>
      <c r="EQ360" s="65"/>
      <c r="ER360" s="65"/>
      <c r="ES360" s="65"/>
      <c r="ET360" s="65"/>
      <c r="EU360" s="65"/>
      <c r="EV360" s="65"/>
      <c r="EW360" s="65"/>
      <c r="EX360" s="65"/>
      <c r="EY360" s="65"/>
      <c r="EZ360" s="65"/>
      <c r="FA360" s="65"/>
      <c r="FB360" s="65"/>
      <c r="FC360" s="65"/>
      <c r="FD360" s="65"/>
      <c r="FE360" s="65"/>
      <c r="FF360" s="65"/>
      <c r="FG360" s="65"/>
      <c r="FH360" s="65"/>
      <c r="FI360" s="65"/>
      <c r="FJ360" s="65"/>
      <c r="FK360" s="65"/>
      <c r="FL360" s="65"/>
      <c r="FM360" s="65"/>
      <c r="FN360" s="65"/>
      <c r="FO360" s="65"/>
      <c r="FP360" s="65"/>
      <c r="FQ360" s="65"/>
      <c r="FR360" s="65"/>
      <c r="FS360" s="65"/>
      <c r="FT360" s="65"/>
      <c r="FU360" s="65"/>
      <c r="FV360" s="65"/>
      <c r="FW360" s="65"/>
      <c r="FX360" s="65"/>
      <c r="FY360" s="65"/>
      <c r="FZ360" s="65"/>
      <c r="GA360" s="65"/>
      <c r="GB360" s="65"/>
      <c r="GC360" s="65"/>
      <c r="GD360" s="65"/>
      <c r="GE360" s="65"/>
      <c r="GF360" s="65"/>
      <c r="GG360" s="65"/>
      <c r="GH360" s="65"/>
      <c r="GI360" s="65"/>
      <c r="GJ360" s="65"/>
      <c r="GK360" s="65"/>
      <c r="GL360" s="65"/>
      <c r="GM360" s="65"/>
      <c r="GN360" s="65"/>
      <c r="GO360" s="65"/>
      <c r="GP360" s="65"/>
      <c r="GQ360" s="65"/>
      <c r="GR360" s="65"/>
      <c r="GS360" s="65"/>
      <c r="GT360" s="65"/>
      <c r="GU360" s="65"/>
      <c r="GV360" s="65"/>
      <c r="GW360" s="65"/>
      <c r="GX360" s="65"/>
      <c r="GY360" s="65"/>
      <c r="GZ360" s="65"/>
      <c r="HA360" s="65"/>
      <c r="HB360" s="65"/>
      <c r="HC360" s="65"/>
      <c r="HD360" s="65"/>
      <c r="HE360" s="65"/>
      <c r="HF360" s="65"/>
      <c r="HG360" s="65"/>
      <c r="HH360" s="65"/>
      <c r="HI360" s="65"/>
      <c r="HJ360" s="65"/>
      <c r="HK360" s="65"/>
      <c r="HL360" s="65"/>
      <c r="HM360" s="65"/>
      <c r="HN360" s="65"/>
      <c r="HO360" s="65"/>
      <c r="HP360" s="65"/>
      <c r="HQ360" s="65"/>
      <c r="HR360" s="65"/>
      <c r="HS360" s="65"/>
      <c r="HT360" s="65"/>
      <c r="HU360" s="65"/>
      <c r="HV360" s="65"/>
      <c r="HW360" s="65"/>
      <c r="HX360" s="65"/>
      <c r="HY360" s="65"/>
      <c r="HZ360" s="65"/>
      <c r="IA360" s="65"/>
      <c r="IB360" s="65"/>
      <c r="IC360" s="65"/>
      <c r="ID360" s="65"/>
      <c r="IE360" s="65"/>
      <c r="IF360" s="65"/>
      <c r="IG360" s="65"/>
      <c r="IH360" s="65"/>
      <c r="II360" s="65"/>
      <c r="IJ360" s="65"/>
      <c r="IK360" s="65"/>
      <c r="IL360" s="65"/>
      <c r="IM360" s="65"/>
      <c r="IN360" s="65"/>
      <c r="IO360" s="65"/>
      <c r="IP360" s="65"/>
      <c r="IQ360" s="65"/>
      <c r="IR360" s="65"/>
      <c r="IS360" s="65"/>
      <c r="IT360" s="65"/>
      <c r="IU360" s="65"/>
    </row>
    <row r="361" spans="1:255" s="97" customFormat="1" ht="15.75" hidden="1" customHeight="1" x14ac:dyDescent="0.25">
      <c r="A361" s="201" t="s">
        <v>343</v>
      </c>
      <c r="B361" s="86"/>
      <c r="C361" s="174"/>
      <c r="D361" s="83">
        <f t="shared" si="35"/>
        <v>203.18333333333334</v>
      </c>
      <c r="E361" s="84">
        <v>15.087999999999999</v>
      </c>
      <c r="F361" s="72">
        <v>-2.8969999999999998</v>
      </c>
      <c r="G361" s="72">
        <v>0</v>
      </c>
      <c r="H361" s="72"/>
      <c r="I361" s="85">
        <v>12.190999999999999</v>
      </c>
      <c r="J361" s="149" t="s">
        <v>225</v>
      </c>
      <c r="K361" s="65"/>
      <c r="M361" s="110"/>
      <c r="N361" s="65"/>
      <c r="O361" s="65"/>
      <c r="P361" s="65"/>
      <c r="Q361" s="65"/>
      <c r="R361" s="65"/>
      <c r="S361" s="65"/>
      <c r="T361" s="534">
        <f t="shared" si="38"/>
        <v>5.9999999999999991E-2</v>
      </c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  <c r="DS361" s="65"/>
      <c r="DT361" s="65"/>
      <c r="DU361" s="65"/>
      <c r="DV361" s="65"/>
      <c r="DW361" s="65"/>
      <c r="DX361" s="65"/>
      <c r="DY361" s="65"/>
      <c r="DZ361" s="65"/>
      <c r="EA361" s="65"/>
      <c r="EB361" s="65"/>
      <c r="EC361" s="65"/>
      <c r="ED361" s="65"/>
      <c r="EE361" s="65"/>
      <c r="EF361" s="65"/>
      <c r="EG361" s="65"/>
      <c r="EH361" s="65"/>
      <c r="EI361" s="65"/>
      <c r="EJ361" s="65"/>
      <c r="EK361" s="65"/>
      <c r="EL361" s="65"/>
      <c r="EM361" s="65"/>
      <c r="EN361" s="65"/>
      <c r="EO361" s="65"/>
      <c r="EP361" s="65"/>
      <c r="EQ361" s="65"/>
      <c r="ER361" s="65"/>
      <c r="ES361" s="65"/>
      <c r="ET361" s="65"/>
      <c r="EU361" s="65"/>
      <c r="EV361" s="65"/>
      <c r="EW361" s="65"/>
      <c r="EX361" s="65"/>
      <c r="EY361" s="65"/>
      <c r="EZ361" s="65"/>
      <c r="FA361" s="65"/>
      <c r="FB361" s="65"/>
      <c r="FC361" s="65"/>
      <c r="FD361" s="65"/>
      <c r="FE361" s="65"/>
      <c r="FF361" s="65"/>
      <c r="FG361" s="65"/>
      <c r="FH361" s="65"/>
      <c r="FI361" s="65"/>
      <c r="FJ361" s="65"/>
      <c r="FK361" s="65"/>
      <c r="FL361" s="65"/>
      <c r="FM361" s="65"/>
      <c r="FN361" s="65"/>
      <c r="FO361" s="65"/>
      <c r="FP361" s="65"/>
      <c r="FQ361" s="65"/>
      <c r="FR361" s="65"/>
      <c r="FS361" s="65"/>
      <c r="FT361" s="65"/>
      <c r="FU361" s="65"/>
      <c r="FV361" s="65"/>
      <c r="FW361" s="65"/>
      <c r="FX361" s="65"/>
      <c r="FY361" s="65"/>
      <c r="FZ361" s="65"/>
      <c r="GA361" s="65"/>
      <c r="GB361" s="65"/>
      <c r="GC361" s="65"/>
      <c r="GD361" s="65"/>
      <c r="GE361" s="65"/>
      <c r="GF361" s="65"/>
      <c r="GG361" s="65"/>
      <c r="GH361" s="65"/>
      <c r="GI361" s="65"/>
      <c r="GJ361" s="65"/>
      <c r="GK361" s="65"/>
      <c r="GL361" s="65"/>
      <c r="GM361" s="65"/>
      <c r="GN361" s="65"/>
      <c r="GO361" s="65"/>
      <c r="GP361" s="65"/>
      <c r="GQ361" s="65"/>
      <c r="GR361" s="65"/>
      <c r="GS361" s="65"/>
      <c r="GT361" s="65"/>
      <c r="GU361" s="65"/>
      <c r="GV361" s="65"/>
      <c r="GW361" s="65"/>
      <c r="GX361" s="65"/>
      <c r="GY361" s="65"/>
      <c r="GZ361" s="65"/>
      <c r="HA361" s="65"/>
      <c r="HB361" s="65"/>
      <c r="HC361" s="65"/>
      <c r="HD361" s="65"/>
      <c r="HE361" s="65"/>
      <c r="HF361" s="65"/>
      <c r="HG361" s="65"/>
      <c r="HH361" s="65"/>
      <c r="HI361" s="65"/>
      <c r="HJ361" s="65"/>
      <c r="HK361" s="65"/>
      <c r="HL361" s="65"/>
      <c r="HM361" s="65"/>
      <c r="HN361" s="65"/>
      <c r="HO361" s="65"/>
      <c r="HP361" s="65"/>
      <c r="HQ361" s="65"/>
      <c r="HR361" s="65"/>
      <c r="HS361" s="65"/>
      <c r="HT361" s="65"/>
      <c r="HU361" s="65"/>
      <c r="HV361" s="65"/>
      <c r="HW361" s="65"/>
      <c r="HX361" s="65"/>
      <c r="HY361" s="65"/>
      <c r="HZ361" s="65"/>
      <c r="IA361" s="65"/>
      <c r="IB361" s="65"/>
      <c r="IC361" s="65"/>
      <c r="ID361" s="65"/>
      <c r="IE361" s="65"/>
      <c r="IF361" s="65"/>
      <c r="IG361" s="65"/>
      <c r="IH361" s="65"/>
      <c r="II361" s="65"/>
      <c r="IJ361" s="65"/>
      <c r="IK361" s="65"/>
      <c r="IL361" s="65"/>
      <c r="IM361" s="65"/>
      <c r="IN361" s="65"/>
      <c r="IO361" s="65"/>
      <c r="IP361" s="65"/>
      <c r="IQ361" s="65"/>
      <c r="IR361" s="65"/>
      <c r="IS361" s="65"/>
      <c r="IT361" s="65"/>
      <c r="IU361" s="65"/>
    </row>
    <row r="362" spans="1:255" s="97" customFormat="1" ht="15.75" hidden="1" customHeight="1" x14ac:dyDescent="0.25">
      <c r="A362" s="201" t="s">
        <v>344</v>
      </c>
      <c r="B362" s="86"/>
      <c r="C362" s="174"/>
      <c r="D362" s="83">
        <f t="shared" si="35"/>
        <v>518.81666666666661</v>
      </c>
      <c r="E362" s="84">
        <v>36.777999999999999</v>
      </c>
      <c r="F362" s="72">
        <v>-5.649</v>
      </c>
      <c r="G362" s="72">
        <v>0</v>
      </c>
      <c r="H362" s="72"/>
      <c r="I362" s="85">
        <v>31.128999999999998</v>
      </c>
      <c r="J362" s="149" t="s">
        <v>225</v>
      </c>
      <c r="K362" s="65"/>
      <c r="M362" s="110"/>
      <c r="N362" s="65"/>
      <c r="O362" s="65"/>
      <c r="P362" s="65"/>
      <c r="Q362" s="65"/>
      <c r="R362" s="65"/>
      <c r="S362" s="65"/>
      <c r="T362" s="534">
        <f t="shared" si="38"/>
        <v>6.0000000000000005E-2</v>
      </c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  <c r="DS362" s="65"/>
      <c r="DT362" s="65"/>
      <c r="DU362" s="65"/>
      <c r="DV362" s="65"/>
      <c r="DW362" s="65"/>
      <c r="DX362" s="65"/>
      <c r="DY362" s="65"/>
      <c r="DZ362" s="65"/>
      <c r="EA362" s="65"/>
      <c r="EB362" s="65"/>
      <c r="EC362" s="65"/>
      <c r="ED362" s="65"/>
      <c r="EE362" s="65"/>
      <c r="EF362" s="65"/>
      <c r="EG362" s="65"/>
      <c r="EH362" s="65"/>
      <c r="EI362" s="65"/>
      <c r="EJ362" s="65"/>
      <c r="EK362" s="65"/>
      <c r="EL362" s="65"/>
      <c r="EM362" s="65"/>
      <c r="EN362" s="65"/>
      <c r="EO362" s="65"/>
      <c r="EP362" s="65"/>
      <c r="EQ362" s="65"/>
      <c r="ER362" s="65"/>
      <c r="ES362" s="65"/>
      <c r="ET362" s="65"/>
      <c r="EU362" s="65"/>
      <c r="EV362" s="65"/>
      <c r="EW362" s="65"/>
      <c r="EX362" s="65"/>
      <c r="EY362" s="65"/>
      <c r="EZ362" s="65"/>
      <c r="FA362" s="65"/>
      <c r="FB362" s="65"/>
      <c r="FC362" s="65"/>
      <c r="FD362" s="65"/>
      <c r="FE362" s="65"/>
      <c r="FF362" s="65"/>
      <c r="FG362" s="65"/>
      <c r="FH362" s="65"/>
      <c r="FI362" s="65"/>
      <c r="FJ362" s="65"/>
      <c r="FK362" s="65"/>
      <c r="FL362" s="65"/>
      <c r="FM362" s="65"/>
      <c r="FN362" s="65"/>
      <c r="FO362" s="65"/>
      <c r="FP362" s="65"/>
      <c r="FQ362" s="65"/>
      <c r="FR362" s="65"/>
      <c r="FS362" s="65"/>
      <c r="FT362" s="65"/>
      <c r="FU362" s="65"/>
      <c r="FV362" s="65"/>
      <c r="FW362" s="65"/>
      <c r="FX362" s="65"/>
      <c r="FY362" s="65"/>
      <c r="FZ362" s="65"/>
      <c r="GA362" s="65"/>
      <c r="GB362" s="65"/>
      <c r="GC362" s="65"/>
      <c r="GD362" s="65"/>
      <c r="GE362" s="65"/>
      <c r="GF362" s="65"/>
      <c r="GG362" s="65"/>
      <c r="GH362" s="65"/>
      <c r="GI362" s="65"/>
      <c r="GJ362" s="65"/>
      <c r="GK362" s="65"/>
      <c r="GL362" s="65"/>
      <c r="GM362" s="65"/>
      <c r="GN362" s="65"/>
      <c r="GO362" s="65"/>
      <c r="GP362" s="65"/>
      <c r="GQ362" s="65"/>
      <c r="GR362" s="65"/>
      <c r="GS362" s="65"/>
      <c r="GT362" s="65"/>
      <c r="GU362" s="65"/>
      <c r="GV362" s="65"/>
      <c r="GW362" s="65"/>
      <c r="GX362" s="65"/>
      <c r="GY362" s="65"/>
      <c r="GZ362" s="65"/>
      <c r="HA362" s="65"/>
      <c r="HB362" s="65"/>
      <c r="HC362" s="65"/>
      <c r="HD362" s="65"/>
      <c r="HE362" s="65"/>
      <c r="HF362" s="65"/>
      <c r="HG362" s="65"/>
      <c r="HH362" s="65"/>
      <c r="HI362" s="65"/>
      <c r="HJ362" s="65"/>
      <c r="HK362" s="65"/>
      <c r="HL362" s="65"/>
      <c r="HM362" s="65"/>
      <c r="HN362" s="65"/>
      <c r="HO362" s="65"/>
      <c r="HP362" s="65"/>
      <c r="HQ362" s="65"/>
      <c r="HR362" s="65"/>
      <c r="HS362" s="65"/>
      <c r="HT362" s="65"/>
      <c r="HU362" s="65"/>
      <c r="HV362" s="65"/>
      <c r="HW362" s="65"/>
      <c r="HX362" s="65"/>
      <c r="HY362" s="65"/>
      <c r="HZ362" s="65"/>
      <c r="IA362" s="65"/>
      <c r="IB362" s="65"/>
      <c r="IC362" s="65"/>
      <c r="ID362" s="65"/>
      <c r="IE362" s="65"/>
      <c r="IF362" s="65"/>
      <c r="IG362" s="65"/>
      <c r="IH362" s="65"/>
      <c r="II362" s="65"/>
      <c r="IJ362" s="65"/>
      <c r="IK362" s="65"/>
      <c r="IL362" s="65"/>
      <c r="IM362" s="65"/>
      <c r="IN362" s="65"/>
      <c r="IO362" s="65"/>
      <c r="IP362" s="65"/>
      <c r="IQ362" s="65"/>
      <c r="IR362" s="65"/>
      <c r="IS362" s="65"/>
      <c r="IT362" s="65"/>
      <c r="IU362" s="65"/>
    </row>
    <row r="363" spans="1:255" s="97" customFormat="1" ht="15.75" hidden="1" customHeight="1" x14ac:dyDescent="0.25">
      <c r="A363" s="201" t="s">
        <v>345</v>
      </c>
      <c r="B363" s="86"/>
      <c r="C363" s="174"/>
      <c r="D363" s="83">
        <f t="shared" si="35"/>
        <v>-2.9333333333333331</v>
      </c>
      <c r="E363" s="84">
        <v>1E-3</v>
      </c>
      <c r="F363" s="72">
        <v>-0.17699999999999999</v>
      </c>
      <c r="G363" s="72">
        <v>0</v>
      </c>
      <c r="H363" s="72"/>
      <c r="I363" s="85">
        <v>-0.17599999999999999</v>
      </c>
      <c r="J363" s="149" t="s">
        <v>225</v>
      </c>
      <c r="K363" s="65"/>
      <c r="M363" s="110"/>
      <c r="N363" s="65"/>
      <c r="O363" s="65"/>
      <c r="P363" s="65"/>
      <c r="Q363" s="65"/>
      <c r="R363" s="65"/>
      <c r="S363" s="65"/>
      <c r="T363" s="534" t="str">
        <f t="shared" si="38"/>
        <v/>
      </c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  <c r="DS363" s="65"/>
      <c r="DT363" s="65"/>
      <c r="DU363" s="65"/>
      <c r="DV363" s="65"/>
      <c r="DW363" s="65"/>
      <c r="DX363" s="65"/>
      <c r="DY363" s="65"/>
      <c r="DZ363" s="65"/>
      <c r="EA363" s="65"/>
      <c r="EB363" s="65"/>
      <c r="EC363" s="65"/>
      <c r="ED363" s="65"/>
      <c r="EE363" s="65"/>
      <c r="EF363" s="65"/>
      <c r="EG363" s="65"/>
      <c r="EH363" s="65"/>
      <c r="EI363" s="65"/>
      <c r="EJ363" s="65"/>
      <c r="EK363" s="65"/>
      <c r="EL363" s="65"/>
      <c r="EM363" s="65"/>
      <c r="EN363" s="65"/>
      <c r="EO363" s="65"/>
      <c r="EP363" s="65"/>
      <c r="EQ363" s="65"/>
      <c r="ER363" s="65"/>
      <c r="ES363" s="65"/>
      <c r="ET363" s="65"/>
      <c r="EU363" s="65"/>
      <c r="EV363" s="65"/>
      <c r="EW363" s="65"/>
      <c r="EX363" s="65"/>
      <c r="EY363" s="65"/>
      <c r="EZ363" s="65"/>
      <c r="FA363" s="65"/>
      <c r="FB363" s="65"/>
      <c r="FC363" s="65"/>
      <c r="FD363" s="65"/>
      <c r="FE363" s="65"/>
      <c r="FF363" s="65"/>
      <c r="FG363" s="65"/>
      <c r="FH363" s="65"/>
      <c r="FI363" s="65"/>
      <c r="FJ363" s="65"/>
      <c r="FK363" s="65"/>
      <c r="FL363" s="65"/>
      <c r="FM363" s="65"/>
      <c r="FN363" s="65"/>
      <c r="FO363" s="65"/>
      <c r="FP363" s="65"/>
      <c r="FQ363" s="65"/>
      <c r="FR363" s="65"/>
      <c r="FS363" s="65"/>
      <c r="FT363" s="65"/>
      <c r="FU363" s="65"/>
      <c r="FV363" s="65"/>
      <c r="FW363" s="65"/>
      <c r="FX363" s="65"/>
      <c r="FY363" s="65"/>
      <c r="FZ363" s="65"/>
      <c r="GA363" s="65"/>
      <c r="GB363" s="65"/>
      <c r="GC363" s="65"/>
      <c r="GD363" s="65"/>
      <c r="GE363" s="65"/>
      <c r="GF363" s="65"/>
      <c r="GG363" s="65"/>
      <c r="GH363" s="65"/>
      <c r="GI363" s="65"/>
      <c r="GJ363" s="65"/>
      <c r="GK363" s="65"/>
      <c r="GL363" s="65"/>
      <c r="GM363" s="65"/>
      <c r="GN363" s="65"/>
      <c r="GO363" s="65"/>
      <c r="GP363" s="65"/>
      <c r="GQ363" s="65"/>
      <c r="GR363" s="65"/>
      <c r="GS363" s="65"/>
      <c r="GT363" s="65"/>
      <c r="GU363" s="65"/>
      <c r="GV363" s="65"/>
      <c r="GW363" s="65"/>
      <c r="GX363" s="65"/>
      <c r="GY363" s="65"/>
      <c r="GZ363" s="65"/>
      <c r="HA363" s="65"/>
      <c r="HB363" s="65"/>
      <c r="HC363" s="65"/>
      <c r="HD363" s="65"/>
      <c r="HE363" s="65"/>
      <c r="HF363" s="65"/>
      <c r="HG363" s="65"/>
      <c r="HH363" s="65"/>
      <c r="HI363" s="65"/>
      <c r="HJ363" s="65"/>
      <c r="HK363" s="65"/>
      <c r="HL363" s="65"/>
      <c r="HM363" s="65"/>
      <c r="HN363" s="65"/>
      <c r="HO363" s="65"/>
      <c r="HP363" s="65"/>
      <c r="HQ363" s="65"/>
      <c r="HR363" s="65"/>
      <c r="HS363" s="65"/>
      <c r="HT363" s="65"/>
      <c r="HU363" s="65"/>
      <c r="HV363" s="65"/>
      <c r="HW363" s="65"/>
      <c r="HX363" s="65"/>
      <c r="HY363" s="65"/>
      <c r="HZ363" s="65"/>
      <c r="IA363" s="65"/>
      <c r="IB363" s="65"/>
      <c r="IC363" s="65"/>
      <c r="ID363" s="65"/>
      <c r="IE363" s="65"/>
      <c r="IF363" s="65"/>
      <c r="IG363" s="65"/>
      <c r="IH363" s="65"/>
      <c r="II363" s="65"/>
      <c r="IJ363" s="65"/>
      <c r="IK363" s="65"/>
      <c r="IL363" s="65"/>
      <c r="IM363" s="65"/>
      <c r="IN363" s="65"/>
      <c r="IO363" s="65"/>
      <c r="IP363" s="65"/>
      <c r="IQ363" s="65"/>
      <c r="IR363" s="65"/>
      <c r="IS363" s="65"/>
      <c r="IT363" s="65"/>
      <c r="IU363" s="65"/>
    </row>
    <row r="364" spans="1:255" s="97" customFormat="1" ht="15.75" hidden="1" customHeight="1" x14ac:dyDescent="0.25">
      <c r="A364" s="201" t="s">
        <v>346</v>
      </c>
      <c r="B364" s="86"/>
      <c r="C364" s="174"/>
      <c r="D364" s="83">
        <f t="shared" si="35"/>
        <v>127.50000000000001</v>
      </c>
      <c r="E364" s="84">
        <v>10.032</v>
      </c>
      <c r="F364" s="72">
        <v>-2.3820000000000001</v>
      </c>
      <c r="G364" s="72">
        <v>0</v>
      </c>
      <c r="H364" s="72"/>
      <c r="I364" s="85">
        <v>7.65</v>
      </c>
      <c r="J364" s="149" t="s">
        <v>225</v>
      </c>
      <c r="K364" s="65"/>
      <c r="M364" s="110"/>
      <c r="N364" s="65"/>
      <c r="O364" s="65"/>
      <c r="P364" s="65"/>
      <c r="Q364" s="65"/>
      <c r="R364" s="65"/>
      <c r="S364" s="65"/>
      <c r="T364" s="534">
        <f t="shared" si="38"/>
        <v>0.06</v>
      </c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  <c r="DS364" s="65"/>
      <c r="DT364" s="65"/>
      <c r="DU364" s="65"/>
      <c r="DV364" s="65"/>
      <c r="DW364" s="65"/>
      <c r="DX364" s="65"/>
      <c r="DY364" s="65"/>
      <c r="DZ364" s="65"/>
      <c r="EA364" s="65"/>
      <c r="EB364" s="65"/>
      <c r="EC364" s="65"/>
      <c r="ED364" s="65"/>
      <c r="EE364" s="65"/>
      <c r="EF364" s="65"/>
      <c r="EG364" s="65"/>
      <c r="EH364" s="65"/>
      <c r="EI364" s="65"/>
      <c r="EJ364" s="65"/>
      <c r="EK364" s="65"/>
      <c r="EL364" s="65"/>
      <c r="EM364" s="65"/>
      <c r="EN364" s="65"/>
      <c r="EO364" s="65"/>
      <c r="EP364" s="65"/>
      <c r="EQ364" s="65"/>
      <c r="ER364" s="65"/>
      <c r="ES364" s="65"/>
      <c r="ET364" s="65"/>
      <c r="EU364" s="65"/>
      <c r="EV364" s="65"/>
      <c r="EW364" s="65"/>
      <c r="EX364" s="65"/>
      <c r="EY364" s="65"/>
      <c r="EZ364" s="65"/>
      <c r="FA364" s="65"/>
      <c r="FB364" s="65"/>
      <c r="FC364" s="65"/>
      <c r="FD364" s="65"/>
      <c r="FE364" s="65"/>
      <c r="FF364" s="65"/>
      <c r="FG364" s="65"/>
      <c r="FH364" s="65"/>
      <c r="FI364" s="65"/>
      <c r="FJ364" s="65"/>
      <c r="FK364" s="65"/>
      <c r="FL364" s="65"/>
      <c r="FM364" s="65"/>
      <c r="FN364" s="65"/>
      <c r="FO364" s="65"/>
      <c r="FP364" s="65"/>
      <c r="FQ364" s="65"/>
      <c r="FR364" s="65"/>
      <c r="FS364" s="65"/>
      <c r="FT364" s="65"/>
      <c r="FU364" s="65"/>
      <c r="FV364" s="65"/>
      <c r="FW364" s="65"/>
      <c r="FX364" s="65"/>
      <c r="FY364" s="65"/>
      <c r="FZ364" s="65"/>
      <c r="GA364" s="65"/>
      <c r="GB364" s="65"/>
      <c r="GC364" s="65"/>
      <c r="GD364" s="65"/>
      <c r="GE364" s="65"/>
      <c r="GF364" s="65"/>
      <c r="GG364" s="65"/>
      <c r="GH364" s="65"/>
      <c r="GI364" s="65"/>
      <c r="GJ364" s="65"/>
      <c r="GK364" s="65"/>
      <c r="GL364" s="65"/>
      <c r="GM364" s="65"/>
      <c r="GN364" s="65"/>
      <c r="GO364" s="65"/>
      <c r="GP364" s="65"/>
      <c r="GQ364" s="65"/>
      <c r="GR364" s="65"/>
      <c r="GS364" s="65"/>
      <c r="GT364" s="65"/>
      <c r="GU364" s="65"/>
      <c r="GV364" s="65"/>
      <c r="GW364" s="65"/>
      <c r="GX364" s="65"/>
      <c r="GY364" s="65"/>
      <c r="GZ364" s="65"/>
      <c r="HA364" s="65"/>
      <c r="HB364" s="65"/>
      <c r="HC364" s="65"/>
      <c r="HD364" s="65"/>
      <c r="HE364" s="65"/>
      <c r="HF364" s="65"/>
      <c r="HG364" s="65"/>
      <c r="HH364" s="65"/>
      <c r="HI364" s="65"/>
      <c r="HJ364" s="65"/>
      <c r="HK364" s="65"/>
      <c r="HL364" s="65"/>
      <c r="HM364" s="65"/>
      <c r="HN364" s="65"/>
      <c r="HO364" s="65"/>
      <c r="HP364" s="65"/>
      <c r="HQ364" s="65"/>
      <c r="HR364" s="65"/>
      <c r="HS364" s="65"/>
      <c r="HT364" s="65"/>
      <c r="HU364" s="65"/>
      <c r="HV364" s="65"/>
      <c r="HW364" s="65"/>
      <c r="HX364" s="65"/>
      <c r="HY364" s="65"/>
      <c r="HZ364" s="65"/>
      <c r="IA364" s="65"/>
      <c r="IB364" s="65"/>
      <c r="IC364" s="65"/>
      <c r="ID364" s="65"/>
      <c r="IE364" s="65"/>
      <c r="IF364" s="65"/>
      <c r="IG364" s="65"/>
      <c r="IH364" s="65"/>
      <c r="II364" s="65"/>
      <c r="IJ364" s="65"/>
      <c r="IK364" s="65"/>
      <c r="IL364" s="65"/>
      <c r="IM364" s="65"/>
      <c r="IN364" s="65"/>
      <c r="IO364" s="65"/>
      <c r="IP364" s="65"/>
      <c r="IQ364" s="65"/>
      <c r="IR364" s="65"/>
      <c r="IS364" s="65"/>
      <c r="IT364" s="65"/>
      <c r="IU364" s="65"/>
    </row>
    <row r="365" spans="1:255" s="97" customFormat="1" ht="15.75" hidden="1" customHeight="1" x14ac:dyDescent="0.25">
      <c r="A365" s="201" t="s">
        <v>347</v>
      </c>
      <c r="B365" s="86"/>
      <c r="C365" s="174"/>
      <c r="D365" s="83">
        <f t="shared" si="35"/>
        <v>355.48333333333335</v>
      </c>
      <c r="E365" s="84">
        <v>25.178000000000001</v>
      </c>
      <c r="F365" s="72">
        <v>-3.8490000000000002</v>
      </c>
      <c r="G365" s="72">
        <v>0</v>
      </c>
      <c r="H365" s="72"/>
      <c r="I365" s="85">
        <v>21.329000000000001</v>
      </c>
      <c r="J365" s="149" t="s">
        <v>225</v>
      </c>
      <c r="K365" s="65"/>
      <c r="M365" s="110"/>
      <c r="N365" s="65"/>
      <c r="O365" s="65"/>
      <c r="P365" s="65"/>
      <c r="Q365" s="65"/>
      <c r="R365" s="65"/>
      <c r="S365" s="65"/>
      <c r="T365" s="534">
        <f t="shared" si="38"/>
        <v>0.06</v>
      </c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  <c r="DS365" s="65"/>
      <c r="DT365" s="65"/>
      <c r="DU365" s="65"/>
      <c r="DV365" s="65"/>
      <c r="DW365" s="65"/>
      <c r="DX365" s="65"/>
      <c r="DY365" s="65"/>
      <c r="DZ365" s="65"/>
      <c r="EA365" s="65"/>
      <c r="EB365" s="65"/>
      <c r="EC365" s="65"/>
      <c r="ED365" s="65"/>
      <c r="EE365" s="65"/>
      <c r="EF365" s="65"/>
      <c r="EG365" s="65"/>
      <c r="EH365" s="65"/>
      <c r="EI365" s="65"/>
      <c r="EJ365" s="65"/>
      <c r="EK365" s="65"/>
      <c r="EL365" s="65"/>
      <c r="EM365" s="65"/>
      <c r="EN365" s="65"/>
      <c r="EO365" s="65"/>
      <c r="EP365" s="65"/>
      <c r="EQ365" s="65"/>
      <c r="ER365" s="65"/>
      <c r="ES365" s="65"/>
      <c r="ET365" s="65"/>
      <c r="EU365" s="65"/>
      <c r="EV365" s="65"/>
      <c r="EW365" s="65"/>
      <c r="EX365" s="65"/>
      <c r="EY365" s="65"/>
      <c r="EZ365" s="65"/>
      <c r="FA365" s="65"/>
      <c r="FB365" s="65"/>
      <c r="FC365" s="65"/>
      <c r="FD365" s="65"/>
      <c r="FE365" s="65"/>
      <c r="FF365" s="65"/>
      <c r="FG365" s="65"/>
      <c r="FH365" s="65"/>
      <c r="FI365" s="65"/>
      <c r="FJ365" s="65"/>
      <c r="FK365" s="65"/>
      <c r="FL365" s="65"/>
      <c r="FM365" s="65"/>
      <c r="FN365" s="65"/>
      <c r="FO365" s="65"/>
      <c r="FP365" s="65"/>
      <c r="FQ365" s="65"/>
      <c r="FR365" s="65"/>
      <c r="FS365" s="65"/>
      <c r="FT365" s="65"/>
      <c r="FU365" s="65"/>
      <c r="FV365" s="65"/>
      <c r="FW365" s="65"/>
      <c r="FX365" s="65"/>
      <c r="FY365" s="65"/>
      <c r="FZ365" s="65"/>
      <c r="GA365" s="65"/>
      <c r="GB365" s="65"/>
      <c r="GC365" s="65"/>
      <c r="GD365" s="65"/>
      <c r="GE365" s="65"/>
      <c r="GF365" s="65"/>
      <c r="GG365" s="65"/>
      <c r="GH365" s="65"/>
      <c r="GI365" s="65"/>
      <c r="GJ365" s="65"/>
      <c r="GK365" s="65"/>
      <c r="GL365" s="65"/>
      <c r="GM365" s="65"/>
      <c r="GN365" s="65"/>
      <c r="GO365" s="65"/>
      <c r="GP365" s="65"/>
      <c r="GQ365" s="65"/>
      <c r="GR365" s="65"/>
      <c r="GS365" s="65"/>
      <c r="GT365" s="65"/>
      <c r="GU365" s="65"/>
      <c r="GV365" s="65"/>
      <c r="GW365" s="65"/>
      <c r="GX365" s="65"/>
      <c r="GY365" s="65"/>
      <c r="GZ365" s="65"/>
      <c r="HA365" s="65"/>
      <c r="HB365" s="65"/>
      <c r="HC365" s="65"/>
      <c r="HD365" s="65"/>
      <c r="HE365" s="65"/>
      <c r="HF365" s="65"/>
      <c r="HG365" s="65"/>
      <c r="HH365" s="65"/>
      <c r="HI365" s="65"/>
      <c r="HJ365" s="65"/>
      <c r="HK365" s="65"/>
      <c r="HL365" s="65"/>
      <c r="HM365" s="65"/>
      <c r="HN365" s="65"/>
      <c r="HO365" s="65"/>
      <c r="HP365" s="65"/>
      <c r="HQ365" s="65"/>
      <c r="HR365" s="65"/>
      <c r="HS365" s="65"/>
      <c r="HT365" s="65"/>
      <c r="HU365" s="65"/>
      <c r="HV365" s="65"/>
      <c r="HW365" s="65"/>
      <c r="HX365" s="65"/>
      <c r="HY365" s="65"/>
      <c r="HZ365" s="65"/>
      <c r="IA365" s="65"/>
      <c r="IB365" s="65"/>
      <c r="IC365" s="65"/>
      <c r="ID365" s="65"/>
      <c r="IE365" s="65"/>
      <c r="IF365" s="65"/>
      <c r="IG365" s="65"/>
      <c r="IH365" s="65"/>
      <c r="II365" s="65"/>
      <c r="IJ365" s="65"/>
      <c r="IK365" s="65"/>
      <c r="IL365" s="65"/>
      <c r="IM365" s="65"/>
      <c r="IN365" s="65"/>
      <c r="IO365" s="65"/>
      <c r="IP365" s="65"/>
      <c r="IQ365" s="65"/>
      <c r="IR365" s="65"/>
      <c r="IS365" s="65"/>
      <c r="IT365" s="65"/>
      <c r="IU365" s="65"/>
    </row>
    <row r="366" spans="1:255" s="97" customFormat="1" ht="15.75" hidden="1" customHeight="1" x14ac:dyDescent="0.25">
      <c r="A366" s="201" t="s">
        <v>348</v>
      </c>
      <c r="B366" s="86"/>
      <c r="C366" s="174"/>
      <c r="D366" s="83">
        <f t="shared" si="35"/>
        <v>107.64999999999999</v>
      </c>
      <c r="E366" s="84">
        <v>7.9020000000000001</v>
      </c>
      <c r="F366" s="72">
        <v>-1.4430000000000001</v>
      </c>
      <c r="G366" s="72">
        <v>0</v>
      </c>
      <c r="H366" s="72"/>
      <c r="I366" s="85">
        <v>6.4589999999999996</v>
      </c>
      <c r="J366" s="149" t="s">
        <v>225</v>
      </c>
      <c r="K366" s="65"/>
      <c r="M366" s="110"/>
      <c r="N366" s="65"/>
      <c r="O366" s="65"/>
      <c r="P366" s="65"/>
      <c r="Q366" s="65"/>
      <c r="R366" s="65"/>
      <c r="S366" s="65"/>
      <c r="T366" s="534">
        <f t="shared" si="38"/>
        <v>6.0000000000000005E-2</v>
      </c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  <c r="DS366" s="65"/>
      <c r="DT366" s="65"/>
      <c r="DU366" s="65"/>
      <c r="DV366" s="65"/>
      <c r="DW366" s="65"/>
      <c r="DX366" s="65"/>
      <c r="DY366" s="65"/>
      <c r="DZ366" s="65"/>
      <c r="EA366" s="65"/>
      <c r="EB366" s="65"/>
      <c r="EC366" s="65"/>
      <c r="ED366" s="65"/>
      <c r="EE366" s="65"/>
      <c r="EF366" s="65"/>
      <c r="EG366" s="65"/>
      <c r="EH366" s="65"/>
      <c r="EI366" s="65"/>
      <c r="EJ366" s="65"/>
      <c r="EK366" s="65"/>
      <c r="EL366" s="65"/>
      <c r="EM366" s="65"/>
      <c r="EN366" s="65"/>
      <c r="EO366" s="65"/>
      <c r="EP366" s="65"/>
      <c r="EQ366" s="65"/>
      <c r="ER366" s="65"/>
      <c r="ES366" s="65"/>
      <c r="ET366" s="65"/>
      <c r="EU366" s="65"/>
      <c r="EV366" s="65"/>
      <c r="EW366" s="65"/>
      <c r="EX366" s="65"/>
      <c r="EY366" s="65"/>
      <c r="EZ366" s="65"/>
      <c r="FA366" s="65"/>
      <c r="FB366" s="65"/>
      <c r="FC366" s="65"/>
      <c r="FD366" s="65"/>
      <c r="FE366" s="65"/>
      <c r="FF366" s="65"/>
      <c r="FG366" s="65"/>
      <c r="FH366" s="65"/>
      <c r="FI366" s="65"/>
      <c r="FJ366" s="65"/>
      <c r="FK366" s="65"/>
      <c r="FL366" s="65"/>
      <c r="FM366" s="65"/>
      <c r="FN366" s="65"/>
      <c r="FO366" s="65"/>
      <c r="FP366" s="65"/>
      <c r="FQ366" s="65"/>
      <c r="FR366" s="65"/>
      <c r="FS366" s="65"/>
      <c r="FT366" s="65"/>
      <c r="FU366" s="65"/>
      <c r="FV366" s="65"/>
      <c r="FW366" s="65"/>
      <c r="FX366" s="65"/>
      <c r="FY366" s="65"/>
      <c r="FZ366" s="65"/>
      <c r="GA366" s="65"/>
      <c r="GB366" s="65"/>
      <c r="GC366" s="65"/>
      <c r="GD366" s="65"/>
      <c r="GE366" s="65"/>
      <c r="GF366" s="65"/>
      <c r="GG366" s="65"/>
      <c r="GH366" s="65"/>
      <c r="GI366" s="65"/>
      <c r="GJ366" s="65"/>
      <c r="GK366" s="65"/>
      <c r="GL366" s="65"/>
      <c r="GM366" s="65"/>
      <c r="GN366" s="65"/>
      <c r="GO366" s="65"/>
      <c r="GP366" s="65"/>
      <c r="GQ366" s="65"/>
      <c r="GR366" s="65"/>
      <c r="GS366" s="65"/>
      <c r="GT366" s="65"/>
      <c r="GU366" s="65"/>
      <c r="GV366" s="65"/>
      <c r="GW366" s="65"/>
      <c r="GX366" s="65"/>
      <c r="GY366" s="65"/>
      <c r="GZ366" s="65"/>
      <c r="HA366" s="65"/>
      <c r="HB366" s="65"/>
      <c r="HC366" s="65"/>
      <c r="HD366" s="65"/>
      <c r="HE366" s="65"/>
      <c r="HF366" s="65"/>
      <c r="HG366" s="65"/>
      <c r="HH366" s="65"/>
      <c r="HI366" s="65"/>
      <c r="HJ366" s="65"/>
      <c r="HK366" s="65"/>
      <c r="HL366" s="65"/>
      <c r="HM366" s="65"/>
      <c r="HN366" s="65"/>
      <c r="HO366" s="65"/>
      <c r="HP366" s="65"/>
      <c r="HQ366" s="65"/>
      <c r="HR366" s="65"/>
      <c r="HS366" s="65"/>
      <c r="HT366" s="65"/>
      <c r="HU366" s="65"/>
      <c r="HV366" s="65"/>
      <c r="HW366" s="65"/>
      <c r="HX366" s="65"/>
      <c r="HY366" s="65"/>
      <c r="HZ366" s="65"/>
      <c r="IA366" s="65"/>
      <c r="IB366" s="65"/>
      <c r="IC366" s="65"/>
      <c r="ID366" s="65"/>
      <c r="IE366" s="65"/>
      <c r="IF366" s="65"/>
      <c r="IG366" s="65"/>
      <c r="IH366" s="65"/>
      <c r="II366" s="65"/>
      <c r="IJ366" s="65"/>
      <c r="IK366" s="65"/>
      <c r="IL366" s="65"/>
      <c r="IM366" s="65"/>
      <c r="IN366" s="65"/>
      <c r="IO366" s="65"/>
      <c r="IP366" s="65"/>
      <c r="IQ366" s="65"/>
      <c r="IR366" s="65"/>
      <c r="IS366" s="65"/>
      <c r="IT366" s="65"/>
      <c r="IU366" s="65"/>
    </row>
    <row r="367" spans="1:255" s="97" customFormat="1" ht="15.75" hidden="1" customHeight="1" x14ac:dyDescent="0.25">
      <c r="A367" s="201" t="s">
        <v>349</v>
      </c>
      <c r="B367" s="86"/>
      <c r="C367" s="174"/>
      <c r="D367" s="83">
        <f t="shared" si="35"/>
        <v>64.983333333333334</v>
      </c>
      <c r="E367" s="84">
        <v>4.9930000000000003</v>
      </c>
      <c r="F367" s="72">
        <v>-1.0940000000000001</v>
      </c>
      <c r="G367" s="72">
        <v>0</v>
      </c>
      <c r="H367" s="72"/>
      <c r="I367" s="85">
        <v>3.899</v>
      </c>
      <c r="J367" s="149" t="s">
        <v>225</v>
      </c>
      <c r="K367" s="65"/>
      <c r="M367" s="110"/>
      <c r="N367" s="65"/>
      <c r="O367" s="65"/>
      <c r="P367" s="65"/>
      <c r="Q367" s="65"/>
      <c r="R367" s="65"/>
      <c r="S367" s="65"/>
      <c r="T367" s="534">
        <f t="shared" si="38"/>
        <v>0.06</v>
      </c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  <c r="DS367" s="65"/>
      <c r="DT367" s="65"/>
      <c r="DU367" s="65"/>
      <c r="DV367" s="65"/>
      <c r="DW367" s="65"/>
      <c r="DX367" s="65"/>
      <c r="DY367" s="65"/>
      <c r="DZ367" s="65"/>
      <c r="EA367" s="65"/>
      <c r="EB367" s="65"/>
      <c r="EC367" s="65"/>
      <c r="ED367" s="65"/>
      <c r="EE367" s="65"/>
      <c r="EF367" s="65"/>
      <c r="EG367" s="65"/>
      <c r="EH367" s="65"/>
      <c r="EI367" s="65"/>
      <c r="EJ367" s="65"/>
      <c r="EK367" s="65"/>
      <c r="EL367" s="65"/>
      <c r="EM367" s="65"/>
      <c r="EN367" s="65"/>
      <c r="EO367" s="65"/>
      <c r="EP367" s="65"/>
      <c r="EQ367" s="65"/>
      <c r="ER367" s="65"/>
      <c r="ES367" s="65"/>
      <c r="ET367" s="65"/>
      <c r="EU367" s="65"/>
      <c r="EV367" s="65"/>
      <c r="EW367" s="65"/>
      <c r="EX367" s="65"/>
      <c r="EY367" s="65"/>
      <c r="EZ367" s="65"/>
      <c r="FA367" s="65"/>
      <c r="FB367" s="65"/>
      <c r="FC367" s="65"/>
      <c r="FD367" s="65"/>
      <c r="FE367" s="65"/>
      <c r="FF367" s="65"/>
      <c r="FG367" s="65"/>
      <c r="FH367" s="65"/>
      <c r="FI367" s="65"/>
      <c r="FJ367" s="65"/>
      <c r="FK367" s="65"/>
      <c r="FL367" s="65"/>
      <c r="FM367" s="65"/>
      <c r="FN367" s="65"/>
      <c r="FO367" s="65"/>
      <c r="FP367" s="65"/>
      <c r="FQ367" s="65"/>
      <c r="FR367" s="65"/>
      <c r="FS367" s="65"/>
      <c r="FT367" s="65"/>
      <c r="FU367" s="65"/>
      <c r="FV367" s="65"/>
      <c r="FW367" s="65"/>
      <c r="FX367" s="65"/>
      <c r="FY367" s="65"/>
      <c r="FZ367" s="65"/>
      <c r="GA367" s="65"/>
      <c r="GB367" s="65"/>
      <c r="GC367" s="65"/>
      <c r="GD367" s="65"/>
      <c r="GE367" s="65"/>
      <c r="GF367" s="65"/>
      <c r="GG367" s="65"/>
      <c r="GH367" s="65"/>
      <c r="GI367" s="65"/>
      <c r="GJ367" s="65"/>
      <c r="GK367" s="65"/>
      <c r="GL367" s="65"/>
      <c r="GM367" s="65"/>
      <c r="GN367" s="65"/>
      <c r="GO367" s="65"/>
      <c r="GP367" s="65"/>
      <c r="GQ367" s="65"/>
      <c r="GR367" s="65"/>
      <c r="GS367" s="65"/>
      <c r="GT367" s="65"/>
      <c r="GU367" s="65"/>
      <c r="GV367" s="65"/>
      <c r="GW367" s="65"/>
      <c r="GX367" s="65"/>
      <c r="GY367" s="65"/>
      <c r="GZ367" s="65"/>
      <c r="HA367" s="65"/>
      <c r="HB367" s="65"/>
      <c r="HC367" s="65"/>
      <c r="HD367" s="65"/>
      <c r="HE367" s="65"/>
      <c r="HF367" s="65"/>
      <c r="HG367" s="65"/>
      <c r="HH367" s="65"/>
      <c r="HI367" s="65"/>
      <c r="HJ367" s="65"/>
      <c r="HK367" s="65"/>
      <c r="HL367" s="65"/>
      <c r="HM367" s="65"/>
      <c r="HN367" s="65"/>
      <c r="HO367" s="65"/>
      <c r="HP367" s="65"/>
      <c r="HQ367" s="65"/>
      <c r="HR367" s="65"/>
      <c r="HS367" s="65"/>
      <c r="HT367" s="65"/>
      <c r="HU367" s="65"/>
      <c r="HV367" s="65"/>
      <c r="HW367" s="65"/>
      <c r="HX367" s="65"/>
      <c r="HY367" s="65"/>
      <c r="HZ367" s="65"/>
      <c r="IA367" s="65"/>
      <c r="IB367" s="65"/>
      <c r="IC367" s="65"/>
      <c r="ID367" s="65"/>
      <c r="IE367" s="65"/>
      <c r="IF367" s="65"/>
      <c r="IG367" s="65"/>
      <c r="IH367" s="65"/>
      <c r="II367" s="65"/>
      <c r="IJ367" s="65"/>
      <c r="IK367" s="65"/>
      <c r="IL367" s="65"/>
      <c r="IM367" s="65"/>
      <c r="IN367" s="65"/>
      <c r="IO367" s="65"/>
      <c r="IP367" s="65"/>
      <c r="IQ367" s="65"/>
      <c r="IR367" s="65"/>
      <c r="IS367" s="65"/>
      <c r="IT367" s="65"/>
      <c r="IU367" s="65"/>
    </row>
    <row r="368" spans="1:255" s="97" customFormat="1" ht="15.75" hidden="1" customHeight="1" x14ac:dyDescent="0.25">
      <c r="A368" s="201" t="s">
        <v>350</v>
      </c>
      <c r="B368" s="86"/>
      <c r="C368" s="174"/>
      <c r="D368" s="83">
        <f t="shared" si="35"/>
        <v>56.183333333333344</v>
      </c>
      <c r="E368" s="84">
        <v>4.2590000000000003</v>
      </c>
      <c r="F368" s="72">
        <v>-0.88800000000000001</v>
      </c>
      <c r="G368" s="72">
        <v>0</v>
      </c>
      <c r="H368" s="72"/>
      <c r="I368" s="85">
        <v>3.3710000000000004</v>
      </c>
      <c r="J368" s="149" t="s">
        <v>225</v>
      </c>
      <c r="K368" s="65"/>
      <c r="M368" s="110"/>
      <c r="N368" s="65"/>
      <c r="O368" s="65"/>
      <c r="P368" s="65"/>
      <c r="Q368" s="65"/>
      <c r="R368" s="65"/>
      <c r="S368" s="65"/>
      <c r="T368" s="534">
        <f t="shared" si="38"/>
        <v>0.06</v>
      </c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  <c r="DS368" s="65"/>
      <c r="DT368" s="65"/>
      <c r="DU368" s="65"/>
      <c r="DV368" s="65"/>
      <c r="DW368" s="65"/>
      <c r="DX368" s="65"/>
      <c r="DY368" s="65"/>
      <c r="DZ368" s="65"/>
      <c r="EA368" s="65"/>
      <c r="EB368" s="65"/>
      <c r="EC368" s="65"/>
      <c r="ED368" s="65"/>
      <c r="EE368" s="65"/>
      <c r="EF368" s="65"/>
      <c r="EG368" s="65"/>
      <c r="EH368" s="65"/>
      <c r="EI368" s="65"/>
      <c r="EJ368" s="65"/>
      <c r="EK368" s="65"/>
      <c r="EL368" s="65"/>
      <c r="EM368" s="65"/>
      <c r="EN368" s="65"/>
      <c r="EO368" s="65"/>
      <c r="EP368" s="65"/>
      <c r="EQ368" s="65"/>
      <c r="ER368" s="65"/>
      <c r="ES368" s="65"/>
      <c r="ET368" s="65"/>
      <c r="EU368" s="65"/>
      <c r="EV368" s="65"/>
      <c r="EW368" s="65"/>
      <c r="EX368" s="65"/>
      <c r="EY368" s="65"/>
      <c r="EZ368" s="65"/>
      <c r="FA368" s="65"/>
      <c r="FB368" s="65"/>
      <c r="FC368" s="65"/>
      <c r="FD368" s="65"/>
      <c r="FE368" s="65"/>
      <c r="FF368" s="65"/>
      <c r="FG368" s="65"/>
      <c r="FH368" s="65"/>
      <c r="FI368" s="65"/>
      <c r="FJ368" s="65"/>
      <c r="FK368" s="65"/>
      <c r="FL368" s="65"/>
      <c r="FM368" s="65"/>
      <c r="FN368" s="65"/>
      <c r="FO368" s="65"/>
      <c r="FP368" s="65"/>
      <c r="FQ368" s="65"/>
      <c r="FR368" s="65"/>
      <c r="FS368" s="65"/>
      <c r="FT368" s="65"/>
      <c r="FU368" s="65"/>
      <c r="FV368" s="65"/>
      <c r="FW368" s="65"/>
      <c r="FX368" s="65"/>
      <c r="FY368" s="65"/>
      <c r="FZ368" s="65"/>
      <c r="GA368" s="65"/>
      <c r="GB368" s="65"/>
      <c r="GC368" s="65"/>
      <c r="GD368" s="65"/>
      <c r="GE368" s="65"/>
      <c r="GF368" s="65"/>
      <c r="GG368" s="65"/>
      <c r="GH368" s="65"/>
      <c r="GI368" s="65"/>
      <c r="GJ368" s="65"/>
      <c r="GK368" s="65"/>
      <c r="GL368" s="65"/>
      <c r="GM368" s="65"/>
      <c r="GN368" s="65"/>
      <c r="GO368" s="65"/>
      <c r="GP368" s="65"/>
      <c r="GQ368" s="65"/>
      <c r="GR368" s="65"/>
      <c r="GS368" s="65"/>
      <c r="GT368" s="65"/>
      <c r="GU368" s="65"/>
      <c r="GV368" s="65"/>
      <c r="GW368" s="65"/>
      <c r="GX368" s="65"/>
      <c r="GY368" s="65"/>
      <c r="GZ368" s="65"/>
      <c r="HA368" s="65"/>
      <c r="HB368" s="65"/>
      <c r="HC368" s="65"/>
      <c r="HD368" s="65"/>
      <c r="HE368" s="65"/>
      <c r="HF368" s="65"/>
      <c r="HG368" s="65"/>
      <c r="HH368" s="65"/>
      <c r="HI368" s="65"/>
      <c r="HJ368" s="65"/>
      <c r="HK368" s="65"/>
      <c r="HL368" s="65"/>
      <c r="HM368" s="65"/>
      <c r="HN368" s="65"/>
      <c r="HO368" s="65"/>
      <c r="HP368" s="65"/>
      <c r="HQ368" s="65"/>
      <c r="HR368" s="65"/>
      <c r="HS368" s="65"/>
      <c r="HT368" s="65"/>
      <c r="HU368" s="65"/>
      <c r="HV368" s="65"/>
      <c r="HW368" s="65"/>
      <c r="HX368" s="65"/>
      <c r="HY368" s="65"/>
      <c r="HZ368" s="65"/>
      <c r="IA368" s="65"/>
      <c r="IB368" s="65"/>
      <c r="IC368" s="65"/>
      <c r="ID368" s="65"/>
      <c r="IE368" s="65"/>
      <c r="IF368" s="65"/>
      <c r="IG368" s="65"/>
      <c r="IH368" s="65"/>
      <c r="II368" s="65"/>
      <c r="IJ368" s="65"/>
      <c r="IK368" s="65"/>
      <c r="IL368" s="65"/>
      <c r="IM368" s="65"/>
      <c r="IN368" s="65"/>
      <c r="IO368" s="65"/>
      <c r="IP368" s="65"/>
      <c r="IQ368" s="65"/>
      <c r="IR368" s="65"/>
      <c r="IS368" s="65"/>
      <c r="IT368" s="65"/>
      <c r="IU368" s="65"/>
    </row>
    <row r="369" spans="1:255" s="97" customFormat="1" ht="15.75" hidden="1" customHeight="1" x14ac:dyDescent="0.25">
      <c r="A369" s="201" t="s">
        <v>351</v>
      </c>
      <c r="B369" s="86"/>
      <c r="C369" s="174"/>
      <c r="D369" s="83">
        <f t="shared" si="35"/>
        <v>324.96666666666664</v>
      </c>
      <c r="E369" s="84">
        <v>23.550999999999998</v>
      </c>
      <c r="F369" s="72">
        <v>-4.0529999999999999</v>
      </c>
      <c r="G369" s="72">
        <v>0</v>
      </c>
      <c r="H369" s="72"/>
      <c r="I369" s="85">
        <v>19.497999999999998</v>
      </c>
      <c r="J369" s="149" t="s">
        <v>225</v>
      </c>
      <c r="K369" s="65"/>
      <c r="M369" s="110"/>
      <c r="N369" s="65"/>
      <c r="O369" s="65"/>
      <c r="P369" s="65"/>
      <c r="Q369" s="65"/>
      <c r="R369" s="65"/>
      <c r="S369" s="65"/>
      <c r="T369" s="534">
        <f t="shared" si="38"/>
        <v>0.06</v>
      </c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  <c r="DS369" s="65"/>
      <c r="DT369" s="65"/>
      <c r="DU369" s="65"/>
      <c r="DV369" s="65"/>
      <c r="DW369" s="65"/>
      <c r="DX369" s="65"/>
      <c r="DY369" s="65"/>
      <c r="DZ369" s="65"/>
      <c r="EA369" s="65"/>
      <c r="EB369" s="65"/>
      <c r="EC369" s="65"/>
      <c r="ED369" s="65"/>
      <c r="EE369" s="65"/>
      <c r="EF369" s="65"/>
      <c r="EG369" s="65"/>
      <c r="EH369" s="65"/>
      <c r="EI369" s="65"/>
      <c r="EJ369" s="65"/>
      <c r="EK369" s="65"/>
      <c r="EL369" s="65"/>
      <c r="EM369" s="65"/>
      <c r="EN369" s="65"/>
      <c r="EO369" s="65"/>
      <c r="EP369" s="65"/>
      <c r="EQ369" s="65"/>
      <c r="ER369" s="65"/>
      <c r="ES369" s="65"/>
      <c r="ET369" s="65"/>
      <c r="EU369" s="65"/>
      <c r="EV369" s="65"/>
      <c r="EW369" s="65"/>
      <c r="EX369" s="65"/>
      <c r="EY369" s="65"/>
      <c r="EZ369" s="65"/>
      <c r="FA369" s="65"/>
      <c r="FB369" s="65"/>
      <c r="FC369" s="65"/>
      <c r="FD369" s="65"/>
      <c r="FE369" s="65"/>
      <c r="FF369" s="65"/>
      <c r="FG369" s="65"/>
      <c r="FH369" s="65"/>
      <c r="FI369" s="65"/>
      <c r="FJ369" s="65"/>
      <c r="FK369" s="65"/>
      <c r="FL369" s="65"/>
      <c r="FM369" s="65"/>
      <c r="FN369" s="65"/>
      <c r="FO369" s="65"/>
      <c r="FP369" s="65"/>
      <c r="FQ369" s="65"/>
      <c r="FR369" s="65"/>
      <c r="FS369" s="65"/>
      <c r="FT369" s="65"/>
      <c r="FU369" s="65"/>
      <c r="FV369" s="65"/>
      <c r="FW369" s="65"/>
      <c r="FX369" s="65"/>
      <c r="FY369" s="65"/>
      <c r="FZ369" s="65"/>
      <c r="GA369" s="65"/>
      <c r="GB369" s="65"/>
      <c r="GC369" s="65"/>
      <c r="GD369" s="65"/>
      <c r="GE369" s="65"/>
      <c r="GF369" s="65"/>
      <c r="GG369" s="65"/>
      <c r="GH369" s="65"/>
      <c r="GI369" s="65"/>
      <c r="GJ369" s="65"/>
      <c r="GK369" s="65"/>
      <c r="GL369" s="65"/>
      <c r="GM369" s="65"/>
      <c r="GN369" s="65"/>
      <c r="GO369" s="65"/>
      <c r="GP369" s="65"/>
      <c r="GQ369" s="65"/>
      <c r="GR369" s="65"/>
      <c r="GS369" s="65"/>
      <c r="GT369" s="65"/>
      <c r="GU369" s="65"/>
      <c r="GV369" s="65"/>
      <c r="GW369" s="65"/>
      <c r="GX369" s="65"/>
      <c r="GY369" s="65"/>
      <c r="GZ369" s="65"/>
      <c r="HA369" s="65"/>
      <c r="HB369" s="65"/>
      <c r="HC369" s="65"/>
      <c r="HD369" s="65"/>
      <c r="HE369" s="65"/>
      <c r="HF369" s="65"/>
      <c r="HG369" s="65"/>
      <c r="HH369" s="65"/>
      <c r="HI369" s="65"/>
      <c r="HJ369" s="65"/>
      <c r="HK369" s="65"/>
      <c r="HL369" s="65"/>
      <c r="HM369" s="65"/>
      <c r="HN369" s="65"/>
      <c r="HO369" s="65"/>
      <c r="HP369" s="65"/>
      <c r="HQ369" s="65"/>
      <c r="HR369" s="65"/>
      <c r="HS369" s="65"/>
      <c r="HT369" s="65"/>
      <c r="HU369" s="65"/>
      <c r="HV369" s="65"/>
      <c r="HW369" s="65"/>
      <c r="HX369" s="65"/>
      <c r="HY369" s="65"/>
      <c r="HZ369" s="65"/>
      <c r="IA369" s="65"/>
      <c r="IB369" s="65"/>
      <c r="IC369" s="65"/>
      <c r="ID369" s="65"/>
      <c r="IE369" s="65"/>
      <c r="IF369" s="65"/>
      <c r="IG369" s="65"/>
      <c r="IH369" s="65"/>
      <c r="II369" s="65"/>
      <c r="IJ369" s="65"/>
      <c r="IK369" s="65"/>
      <c r="IL369" s="65"/>
      <c r="IM369" s="65"/>
      <c r="IN369" s="65"/>
      <c r="IO369" s="65"/>
      <c r="IP369" s="65"/>
      <c r="IQ369" s="65"/>
      <c r="IR369" s="65"/>
      <c r="IS369" s="65"/>
      <c r="IT369" s="65"/>
      <c r="IU369" s="65"/>
    </row>
    <row r="370" spans="1:255" s="97" customFormat="1" ht="15.75" hidden="1" customHeight="1" x14ac:dyDescent="0.25">
      <c r="A370" s="201" t="s">
        <v>352</v>
      </c>
      <c r="B370" s="86"/>
      <c r="C370" s="174"/>
      <c r="D370" s="83">
        <f t="shared" si="35"/>
        <v>277.13333333333333</v>
      </c>
      <c r="E370" s="84">
        <v>20.579000000000001</v>
      </c>
      <c r="F370" s="72">
        <v>-3.9510000000000001</v>
      </c>
      <c r="G370" s="72">
        <v>0</v>
      </c>
      <c r="H370" s="72"/>
      <c r="I370" s="85">
        <v>16.628</v>
      </c>
      <c r="J370" s="149" t="s">
        <v>225</v>
      </c>
      <c r="K370" s="65"/>
      <c r="M370" s="110"/>
      <c r="N370" s="65"/>
      <c r="O370" s="65"/>
      <c r="P370" s="65"/>
      <c r="Q370" s="65"/>
      <c r="R370" s="65"/>
      <c r="S370" s="65"/>
      <c r="T370" s="534">
        <f t="shared" si="38"/>
        <v>6.0000000000000005E-2</v>
      </c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  <c r="DS370" s="65"/>
      <c r="DT370" s="65"/>
      <c r="DU370" s="65"/>
      <c r="DV370" s="65"/>
      <c r="DW370" s="65"/>
      <c r="DX370" s="65"/>
      <c r="DY370" s="65"/>
      <c r="DZ370" s="65"/>
      <c r="EA370" s="65"/>
      <c r="EB370" s="65"/>
      <c r="EC370" s="65"/>
      <c r="ED370" s="65"/>
      <c r="EE370" s="65"/>
      <c r="EF370" s="65"/>
      <c r="EG370" s="65"/>
      <c r="EH370" s="65"/>
      <c r="EI370" s="65"/>
      <c r="EJ370" s="65"/>
      <c r="EK370" s="65"/>
      <c r="EL370" s="65"/>
      <c r="EM370" s="65"/>
      <c r="EN370" s="65"/>
      <c r="EO370" s="65"/>
      <c r="EP370" s="65"/>
      <c r="EQ370" s="65"/>
      <c r="ER370" s="65"/>
      <c r="ES370" s="65"/>
      <c r="ET370" s="65"/>
      <c r="EU370" s="65"/>
      <c r="EV370" s="65"/>
      <c r="EW370" s="65"/>
      <c r="EX370" s="65"/>
      <c r="EY370" s="65"/>
      <c r="EZ370" s="65"/>
      <c r="FA370" s="65"/>
      <c r="FB370" s="65"/>
      <c r="FC370" s="65"/>
      <c r="FD370" s="65"/>
      <c r="FE370" s="65"/>
      <c r="FF370" s="65"/>
      <c r="FG370" s="65"/>
      <c r="FH370" s="65"/>
      <c r="FI370" s="65"/>
      <c r="FJ370" s="65"/>
      <c r="FK370" s="65"/>
      <c r="FL370" s="65"/>
      <c r="FM370" s="65"/>
      <c r="FN370" s="65"/>
      <c r="FO370" s="65"/>
      <c r="FP370" s="65"/>
      <c r="FQ370" s="65"/>
      <c r="FR370" s="65"/>
      <c r="FS370" s="65"/>
      <c r="FT370" s="65"/>
      <c r="FU370" s="65"/>
      <c r="FV370" s="65"/>
      <c r="FW370" s="65"/>
      <c r="FX370" s="65"/>
      <c r="FY370" s="65"/>
      <c r="FZ370" s="65"/>
      <c r="GA370" s="65"/>
      <c r="GB370" s="65"/>
      <c r="GC370" s="65"/>
      <c r="GD370" s="65"/>
      <c r="GE370" s="65"/>
      <c r="GF370" s="65"/>
      <c r="GG370" s="65"/>
      <c r="GH370" s="65"/>
      <c r="GI370" s="65"/>
      <c r="GJ370" s="65"/>
      <c r="GK370" s="65"/>
      <c r="GL370" s="65"/>
      <c r="GM370" s="65"/>
      <c r="GN370" s="65"/>
      <c r="GO370" s="65"/>
      <c r="GP370" s="65"/>
      <c r="GQ370" s="65"/>
      <c r="GR370" s="65"/>
      <c r="GS370" s="65"/>
      <c r="GT370" s="65"/>
      <c r="GU370" s="65"/>
      <c r="GV370" s="65"/>
      <c r="GW370" s="65"/>
      <c r="GX370" s="65"/>
      <c r="GY370" s="65"/>
      <c r="GZ370" s="65"/>
      <c r="HA370" s="65"/>
      <c r="HB370" s="65"/>
      <c r="HC370" s="65"/>
      <c r="HD370" s="65"/>
      <c r="HE370" s="65"/>
      <c r="HF370" s="65"/>
      <c r="HG370" s="65"/>
      <c r="HH370" s="65"/>
      <c r="HI370" s="65"/>
      <c r="HJ370" s="65"/>
      <c r="HK370" s="65"/>
      <c r="HL370" s="65"/>
      <c r="HM370" s="65"/>
      <c r="HN370" s="65"/>
      <c r="HO370" s="65"/>
      <c r="HP370" s="65"/>
      <c r="HQ370" s="65"/>
      <c r="HR370" s="65"/>
      <c r="HS370" s="65"/>
      <c r="HT370" s="65"/>
      <c r="HU370" s="65"/>
      <c r="HV370" s="65"/>
      <c r="HW370" s="65"/>
      <c r="HX370" s="65"/>
      <c r="HY370" s="65"/>
      <c r="HZ370" s="65"/>
      <c r="IA370" s="65"/>
      <c r="IB370" s="65"/>
      <c r="IC370" s="65"/>
      <c r="ID370" s="65"/>
      <c r="IE370" s="65"/>
      <c r="IF370" s="65"/>
      <c r="IG370" s="65"/>
      <c r="IH370" s="65"/>
      <c r="II370" s="65"/>
      <c r="IJ370" s="65"/>
      <c r="IK370" s="65"/>
      <c r="IL370" s="65"/>
      <c r="IM370" s="65"/>
      <c r="IN370" s="65"/>
      <c r="IO370" s="65"/>
      <c r="IP370" s="65"/>
      <c r="IQ370" s="65"/>
      <c r="IR370" s="65"/>
      <c r="IS370" s="65"/>
      <c r="IT370" s="65"/>
      <c r="IU370" s="65"/>
    </row>
    <row r="371" spans="1:255" s="97" customFormat="1" ht="15.75" hidden="1" customHeight="1" x14ac:dyDescent="0.25">
      <c r="A371" s="201" t="s">
        <v>353</v>
      </c>
      <c r="B371" s="86"/>
      <c r="C371" s="174"/>
      <c r="D371" s="83">
        <f t="shared" si="35"/>
        <v>340.45</v>
      </c>
      <c r="E371" s="84">
        <v>24.882000000000001</v>
      </c>
      <c r="F371" s="72">
        <v>-4.4550000000000001</v>
      </c>
      <c r="G371" s="72">
        <v>0</v>
      </c>
      <c r="H371" s="72"/>
      <c r="I371" s="85">
        <v>20.427</v>
      </c>
      <c r="J371" s="149" t="s">
        <v>225</v>
      </c>
      <c r="K371" s="65"/>
      <c r="M371" s="110"/>
      <c r="N371" s="65"/>
      <c r="O371" s="65"/>
      <c r="P371" s="65"/>
      <c r="Q371" s="65"/>
      <c r="R371" s="65"/>
      <c r="S371" s="65"/>
      <c r="T371" s="534">
        <f t="shared" si="38"/>
        <v>0.06</v>
      </c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  <c r="DS371" s="65"/>
      <c r="DT371" s="65"/>
      <c r="DU371" s="65"/>
      <c r="DV371" s="65"/>
      <c r="DW371" s="65"/>
      <c r="DX371" s="65"/>
      <c r="DY371" s="65"/>
      <c r="DZ371" s="65"/>
      <c r="EA371" s="65"/>
      <c r="EB371" s="65"/>
      <c r="EC371" s="65"/>
      <c r="ED371" s="65"/>
      <c r="EE371" s="65"/>
      <c r="EF371" s="65"/>
      <c r="EG371" s="65"/>
      <c r="EH371" s="65"/>
      <c r="EI371" s="65"/>
      <c r="EJ371" s="65"/>
      <c r="EK371" s="65"/>
      <c r="EL371" s="65"/>
      <c r="EM371" s="65"/>
      <c r="EN371" s="65"/>
      <c r="EO371" s="65"/>
      <c r="EP371" s="65"/>
      <c r="EQ371" s="65"/>
      <c r="ER371" s="65"/>
      <c r="ES371" s="65"/>
      <c r="ET371" s="65"/>
      <c r="EU371" s="65"/>
      <c r="EV371" s="65"/>
      <c r="EW371" s="65"/>
      <c r="EX371" s="65"/>
      <c r="EY371" s="65"/>
      <c r="EZ371" s="65"/>
      <c r="FA371" s="65"/>
      <c r="FB371" s="65"/>
      <c r="FC371" s="65"/>
      <c r="FD371" s="65"/>
      <c r="FE371" s="65"/>
      <c r="FF371" s="65"/>
      <c r="FG371" s="65"/>
      <c r="FH371" s="65"/>
      <c r="FI371" s="65"/>
      <c r="FJ371" s="65"/>
      <c r="FK371" s="65"/>
      <c r="FL371" s="65"/>
      <c r="FM371" s="65"/>
      <c r="FN371" s="65"/>
      <c r="FO371" s="65"/>
      <c r="FP371" s="65"/>
      <c r="FQ371" s="65"/>
      <c r="FR371" s="65"/>
      <c r="FS371" s="65"/>
      <c r="FT371" s="65"/>
      <c r="FU371" s="65"/>
      <c r="FV371" s="65"/>
      <c r="FW371" s="65"/>
      <c r="FX371" s="65"/>
      <c r="FY371" s="65"/>
      <c r="FZ371" s="65"/>
      <c r="GA371" s="65"/>
      <c r="GB371" s="65"/>
      <c r="GC371" s="65"/>
      <c r="GD371" s="65"/>
      <c r="GE371" s="65"/>
      <c r="GF371" s="65"/>
      <c r="GG371" s="65"/>
      <c r="GH371" s="65"/>
      <c r="GI371" s="65"/>
      <c r="GJ371" s="65"/>
      <c r="GK371" s="65"/>
      <c r="GL371" s="65"/>
      <c r="GM371" s="65"/>
      <c r="GN371" s="65"/>
      <c r="GO371" s="65"/>
      <c r="GP371" s="65"/>
      <c r="GQ371" s="65"/>
      <c r="GR371" s="65"/>
      <c r="GS371" s="65"/>
      <c r="GT371" s="65"/>
      <c r="GU371" s="65"/>
      <c r="GV371" s="65"/>
      <c r="GW371" s="65"/>
      <c r="GX371" s="65"/>
      <c r="GY371" s="65"/>
      <c r="GZ371" s="65"/>
      <c r="HA371" s="65"/>
      <c r="HB371" s="65"/>
      <c r="HC371" s="65"/>
      <c r="HD371" s="65"/>
      <c r="HE371" s="65"/>
      <c r="HF371" s="65"/>
      <c r="HG371" s="65"/>
      <c r="HH371" s="65"/>
      <c r="HI371" s="65"/>
      <c r="HJ371" s="65"/>
      <c r="HK371" s="65"/>
      <c r="HL371" s="65"/>
      <c r="HM371" s="65"/>
      <c r="HN371" s="65"/>
      <c r="HO371" s="65"/>
      <c r="HP371" s="65"/>
      <c r="HQ371" s="65"/>
      <c r="HR371" s="65"/>
      <c r="HS371" s="65"/>
      <c r="HT371" s="65"/>
      <c r="HU371" s="65"/>
      <c r="HV371" s="65"/>
      <c r="HW371" s="65"/>
      <c r="HX371" s="65"/>
      <c r="HY371" s="65"/>
      <c r="HZ371" s="65"/>
      <c r="IA371" s="65"/>
      <c r="IB371" s="65"/>
      <c r="IC371" s="65"/>
      <c r="ID371" s="65"/>
      <c r="IE371" s="65"/>
      <c r="IF371" s="65"/>
      <c r="IG371" s="65"/>
      <c r="IH371" s="65"/>
      <c r="II371" s="65"/>
      <c r="IJ371" s="65"/>
      <c r="IK371" s="65"/>
      <c r="IL371" s="65"/>
      <c r="IM371" s="65"/>
      <c r="IN371" s="65"/>
      <c r="IO371" s="65"/>
      <c r="IP371" s="65"/>
      <c r="IQ371" s="65"/>
      <c r="IR371" s="65"/>
      <c r="IS371" s="65"/>
      <c r="IT371" s="65"/>
      <c r="IU371" s="65"/>
    </row>
    <row r="372" spans="1:255" s="97" customFormat="1" ht="15.75" hidden="1" customHeight="1" x14ac:dyDescent="0.25">
      <c r="A372" s="201" t="s">
        <v>354</v>
      </c>
      <c r="B372" s="86"/>
      <c r="C372" s="174"/>
      <c r="D372" s="83">
        <f>I372/0.06</f>
        <v>67.483333333333334</v>
      </c>
      <c r="E372" s="84">
        <v>5.1269999999999998</v>
      </c>
      <c r="F372" s="72">
        <v>-1.0780000000000001</v>
      </c>
      <c r="G372" s="72">
        <v>0</v>
      </c>
      <c r="H372" s="72"/>
      <c r="I372" s="85">
        <v>4.0489999999999995</v>
      </c>
      <c r="J372" s="149" t="s">
        <v>225</v>
      </c>
      <c r="K372" s="65"/>
      <c r="M372" s="110"/>
      <c r="N372" s="65"/>
      <c r="O372" s="65"/>
      <c r="P372" s="65"/>
      <c r="Q372" s="65"/>
      <c r="R372" s="65"/>
      <c r="S372" s="65"/>
      <c r="T372" s="534">
        <f t="shared" si="38"/>
        <v>5.9999999999999991E-2</v>
      </c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  <c r="DS372" s="65"/>
      <c r="DT372" s="65"/>
      <c r="DU372" s="65"/>
      <c r="DV372" s="65"/>
      <c r="DW372" s="65"/>
      <c r="DX372" s="65"/>
      <c r="DY372" s="65"/>
      <c r="DZ372" s="65"/>
      <c r="EA372" s="65"/>
      <c r="EB372" s="65"/>
      <c r="EC372" s="65"/>
      <c r="ED372" s="65"/>
      <c r="EE372" s="65"/>
      <c r="EF372" s="65"/>
      <c r="EG372" s="65"/>
      <c r="EH372" s="65"/>
      <c r="EI372" s="65"/>
      <c r="EJ372" s="65"/>
      <c r="EK372" s="65"/>
      <c r="EL372" s="65"/>
      <c r="EM372" s="65"/>
      <c r="EN372" s="65"/>
      <c r="EO372" s="65"/>
      <c r="EP372" s="65"/>
      <c r="EQ372" s="65"/>
      <c r="ER372" s="65"/>
      <c r="ES372" s="65"/>
      <c r="ET372" s="65"/>
      <c r="EU372" s="65"/>
      <c r="EV372" s="65"/>
      <c r="EW372" s="65"/>
      <c r="EX372" s="65"/>
      <c r="EY372" s="65"/>
      <c r="EZ372" s="65"/>
      <c r="FA372" s="65"/>
      <c r="FB372" s="65"/>
      <c r="FC372" s="65"/>
      <c r="FD372" s="65"/>
      <c r="FE372" s="65"/>
      <c r="FF372" s="65"/>
      <c r="FG372" s="65"/>
      <c r="FH372" s="65"/>
      <c r="FI372" s="65"/>
      <c r="FJ372" s="65"/>
      <c r="FK372" s="65"/>
      <c r="FL372" s="65"/>
      <c r="FM372" s="65"/>
      <c r="FN372" s="65"/>
      <c r="FO372" s="65"/>
      <c r="FP372" s="65"/>
      <c r="FQ372" s="65"/>
      <c r="FR372" s="65"/>
      <c r="FS372" s="65"/>
      <c r="FT372" s="65"/>
      <c r="FU372" s="65"/>
      <c r="FV372" s="65"/>
      <c r="FW372" s="65"/>
      <c r="FX372" s="65"/>
      <c r="FY372" s="65"/>
      <c r="FZ372" s="65"/>
      <c r="GA372" s="65"/>
      <c r="GB372" s="65"/>
      <c r="GC372" s="65"/>
      <c r="GD372" s="65"/>
      <c r="GE372" s="65"/>
      <c r="GF372" s="65"/>
      <c r="GG372" s="65"/>
      <c r="GH372" s="65"/>
      <c r="GI372" s="65"/>
      <c r="GJ372" s="65"/>
      <c r="GK372" s="65"/>
      <c r="GL372" s="65"/>
      <c r="GM372" s="65"/>
      <c r="GN372" s="65"/>
      <c r="GO372" s="65"/>
      <c r="GP372" s="65"/>
      <c r="GQ372" s="65"/>
      <c r="GR372" s="65"/>
      <c r="GS372" s="65"/>
      <c r="GT372" s="65"/>
      <c r="GU372" s="65"/>
      <c r="GV372" s="65"/>
      <c r="GW372" s="65"/>
      <c r="GX372" s="65"/>
      <c r="GY372" s="65"/>
      <c r="GZ372" s="65"/>
      <c r="HA372" s="65"/>
      <c r="HB372" s="65"/>
      <c r="HC372" s="65"/>
      <c r="HD372" s="65"/>
      <c r="HE372" s="65"/>
      <c r="HF372" s="65"/>
      <c r="HG372" s="65"/>
      <c r="HH372" s="65"/>
      <c r="HI372" s="65"/>
      <c r="HJ372" s="65"/>
      <c r="HK372" s="65"/>
      <c r="HL372" s="65"/>
      <c r="HM372" s="65"/>
      <c r="HN372" s="65"/>
      <c r="HO372" s="65"/>
      <c r="HP372" s="65"/>
      <c r="HQ372" s="65"/>
      <c r="HR372" s="65"/>
      <c r="HS372" s="65"/>
      <c r="HT372" s="65"/>
      <c r="HU372" s="65"/>
      <c r="HV372" s="65"/>
      <c r="HW372" s="65"/>
      <c r="HX372" s="65"/>
      <c r="HY372" s="65"/>
      <c r="HZ372" s="65"/>
      <c r="IA372" s="65"/>
      <c r="IB372" s="65"/>
      <c r="IC372" s="65"/>
      <c r="ID372" s="65"/>
      <c r="IE372" s="65"/>
      <c r="IF372" s="65"/>
      <c r="IG372" s="65"/>
      <c r="IH372" s="65"/>
      <c r="II372" s="65"/>
      <c r="IJ372" s="65"/>
      <c r="IK372" s="65"/>
      <c r="IL372" s="65"/>
      <c r="IM372" s="65"/>
      <c r="IN372" s="65"/>
      <c r="IO372" s="65"/>
      <c r="IP372" s="65"/>
      <c r="IQ372" s="65"/>
      <c r="IR372" s="65"/>
      <c r="IS372" s="65"/>
      <c r="IT372" s="65"/>
      <c r="IU372" s="65"/>
    </row>
    <row r="373" spans="1:255" s="97" customFormat="1" ht="15.75" hidden="1" customHeight="1" x14ac:dyDescent="0.25">
      <c r="A373" s="201" t="s">
        <v>355</v>
      </c>
      <c r="B373" s="86"/>
      <c r="C373" s="174"/>
      <c r="D373" s="83">
        <f>I373/0.06</f>
        <v>93.13333333333334</v>
      </c>
      <c r="E373" s="84">
        <v>6.9690000000000003</v>
      </c>
      <c r="F373" s="72">
        <v>-1.381</v>
      </c>
      <c r="G373" s="72">
        <v>0</v>
      </c>
      <c r="H373" s="72"/>
      <c r="I373" s="85">
        <v>5.5880000000000001</v>
      </c>
      <c r="J373" s="149" t="s">
        <v>225</v>
      </c>
      <c r="K373" s="65"/>
      <c r="M373" s="110"/>
      <c r="N373" s="65"/>
      <c r="O373" s="65"/>
      <c r="P373" s="65"/>
      <c r="Q373" s="65"/>
      <c r="R373" s="65"/>
      <c r="S373" s="65"/>
      <c r="T373" s="534">
        <f t="shared" si="38"/>
        <v>0.06</v>
      </c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  <c r="DS373" s="65"/>
      <c r="DT373" s="65"/>
      <c r="DU373" s="65"/>
      <c r="DV373" s="65"/>
      <c r="DW373" s="65"/>
      <c r="DX373" s="65"/>
      <c r="DY373" s="65"/>
      <c r="DZ373" s="65"/>
      <c r="EA373" s="65"/>
      <c r="EB373" s="65"/>
      <c r="EC373" s="65"/>
      <c r="ED373" s="65"/>
      <c r="EE373" s="65"/>
      <c r="EF373" s="65"/>
      <c r="EG373" s="65"/>
      <c r="EH373" s="65"/>
      <c r="EI373" s="65"/>
      <c r="EJ373" s="65"/>
      <c r="EK373" s="65"/>
      <c r="EL373" s="65"/>
      <c r="EM373" s="65"/>
      <c r="EN373" s="65"/>
      <c r="EO373" s="65"/>
      <c r="EP373" s="65"/>
      <c r="EQ373" s="65"/>
      <c r="ER373" s="65"/>
      <c r="ES373" s="65"/>
      <c r="ET373" s="65"/>
      <c r="EU373" s="65"/>
      <c r="EV373" s="65"/>
      <c r="EW373" s="65"/>
      <c r="EX373" s="65"/>
      <c r="EY373" s="65"/>
      <c r="EZ373" s="65"/>
      <c r="FA373" s="65"/>
      <c r="FB373" s="65"/>
      <c r="FC373" s="65"/>
      <c r="FD373" s="65"/>
      <c r="FE373" s="65"/>
      <c r="FF373" s="65"/>
      <c r="FG373" s="65"/>
      <c r="FH373" s="65"/>
      <c r="FI373" s="65"/>
      <c r="FJ373" s="65"/>
      <c r="FK373" s="65"/>
      <c r="FL373" s="65"/>
      <c r="FM373" s="65"/>
      <c r="FN373" s="65"/>
      <c r="FO373" s="65"/>
      <c r="FP373" s="65"/>
      <c r="FQ373" s="65"/>
      <c r="FR373" s="65"/>
      <c r="FS373" s="65"/>
      <c r="FT373" s="65"/>
      <c r="FU373" s="65"/>
      <c r="FV373" s="65"/>
      <c r="FW373" s="65"/>
      <c r="FX373" s="65"/>
      <c r="FY373" s="65"/>
      <c r="FZ373" s="65"/>
      <c r="GA373" s="65"/>
      <c r="GB373" s="65"/>
      <c r="GC373" s="65"/>
      <c r="GD373" s="65"/>
      <c r="GE373" s="65"/>
      <c r="GF373" s="65"/>
      <c r="GG373" s="65"/>
      <c r="GH373" s="65"/>
      <c r="GI373" s="65"/>
      <c r="GJ373" s="65"/>
      <c r="GK373" s="65"/>
      <c r="GL373" s="65"/>
      <c r="GM373" s="65"/>
      <c r="GN373" s="65"/>
      <c r="GO373" s="65"/>
      <c r="GP373" s="65"/>
      <c r="GQ373" s="65"/>
      <c r="GR373" s="65"/>
      <c r="GS373" s="65"/>
      <c r="GT373" s="65"/>
      <c r="GU373" s="65"/>
      <c r="GV373" s="65"/>
      <c r="GW373" s="65"/>
      <c r="GX373" s="65"/>
      <c r="GY373" s="65"/>
      <c r="GZ373" s="65"/>
      <c r="HA373" s="65"/>
      <c r="HB373" s="65"/>
      <c r="HC373" s="65"/>
      <c r="HD373" s="65"/>
      <c r="HE373" s="65"/>
      <c r="HF373" s="65"/>
      <c r="HG373" s="65"/>
      <c r="HH373" s="65"/>
      <c r="HI373" s="65"/>
      <c r="HJ373" s="65"/>
      <c r="HK373" s="65"/>
      <c r="HL373" s="65"/>
      <c r="HM373" s="65"/>
      <c r="HN373" s="65"/>
      <c r="HO373" s="65"/>
      <c r="HP373" s="65"/>
      <c r="HQ373" s="65"/>
      <c r="HR373" s="65"/>
      <c r="HS373" s="65"/>
      <c r="HT373" s="65"/>
      <c r="HU373" s="65"/>
      <c r="HV373" s="65"/>
      <c r="HW373" s="65"/>
      <c r="HX373" s="65"/>
      <c r="HY373" s="65"/>
      <c r="HZ373" s="65"/>
      <c r="IA373" s="65"/>
      <c r="IB373" s="65"/>
      <c r="IC373" s="65"/>
      <c r="ID373" s="65"/>
      <c r="IE373" s="65"/>
      <c r="IF373" s="65"/>
      <c r="IG373" s="65"/>
      <c r="IH373" s="65"/>
      <c r="II373" s="65"/>
      <c r="IJ373" s="65"/>
      <c r="IK373" s="65"/>
      <c r="IL373" s="65"/>
      <c r="IM373" s="65"/>
      <c r="IN373" s="65"/>
      <c r="IO373" s="65"/>
      <c r="IP373" s="65"/>
      <c r="IQ373" s="65"/>
      <c r="IR373" s="65"/>
      <c r="IS373" s="65"/>
      <c r="IT373" s="65"/>
      <c r="IU373" s="65"/>
    </row>
    <row r="374" spans="1:255" s="97" customFormat="1" ht="15.75" hidden="1" customHeight="1" x14ac:dyDescent="0.25">
      <c r="A374" s="201" t="s">
        <v>356</v>
      </c>
      <c r="B374" s="86"/>
      <c r="C374" s="174"/>
      <c r="D374" s="83">
        <f>I374/0.06</f>
        <v>35.116666666666667</v>
      </c>
      <c r="E374" s="84">
        <v>2.7719999999999998</v>
      </c>
      <c r="F374" s="72">
        <v>-0.66500000000000004</v>
      </c>
      <c r="G374" s="72">
        <v>0</v>
      </c>
      <c r="H374" s="72"/>
      <c r="I374" s="85">
        <v>2.1069999999999998</v>
      </c>
      <c r="J374" s="149" t="s">
        <v>225</v>
      </c>
      <c r="K374" s="65"/>
      <c r="M374" s="110"/>
      <c r="N374" s="65"/>
      <c r="O374" s="65"/>
      <c r="P374" s="65"/>
      <c r="Q374" s="65"/>
      <c r="R374" s="65"/>
      <c r="S374" s="65"/>
      <c r="T374" s="534">
        <f t="shared" si="38"/>
        <v>5.9999999999999991E-2</v>
      </c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  <c r="DS374" s="65"/>
      <c r="DT374" s="65"/>
      <c r="DU374" s="65"/>
      <c r="DV374" s="65"/>
      <c r="DW374" s="65"/>
      <c r="DX374" s="65"/>
      <c r="DY374" s="65"/>
      <c r="DZ374" s="65"/>
      <c r="EA374" s="65"/>
      <c r="EB374" s="65"/>
      <c r="EC374" s="65"/>
      <c r="ED374" s="65"/>
      <c r="EE374" s="65"/>
      <c r="EF374" s="65"/>
      <c r="EG374" s="65"/>
      <c r="EH374" s="65"/>
      <c r="EI374" s="65"/>
      <c r="EJ374" s="65"/>
      <c r="EK374" s="65"/>
      <c r="EL374" s="65"/>
      <c r="EM374" s="65"/>
      <c r="EN374" s="65"/>
      <c r="EO374" s="65"/>
      <c r="EP374" s="65"/>
      <c r="EQ374" s="65"/>
      <c r="ER374" s="65"/>
      <c r="ES374" s="65"/>
      <c r="ET374" s="65"/>
      <c r="EU374" s="65"/>
      <c r="EV374" s="65"/>
      <c r="EW374" s="65"/>
      <c r="EX374" s="65"/>
      <c r="EY374" s="65"/>
      <c r="EZ374" s="65"/>
      <c r="FA374" s="65"/>
      <c r="FB374" s="65"/>
      <c r="FC374" s="65"/>
      <c r="FD374" s="65"/>
      <c r="FE374" s="65"/>
      <c r="FF374" s="65"/>
      <c r="FG374" s="65"/>
      <c r="FH374" s="65"/>
      <c r="FI374" s="65"/>
      <c r="FJ374" s="65"/>
      <c r="FK374" s="65"/>
      <c r="FL374" s="65"/>
      <c r="FM374" s="65"/>
      <c r="FN374" s="65"/>
      <c r="FO374" s="65"/>
      <c r="FP374" s="65"/>
      <c r="FQ374" s="65"/>
      <c r="FR374" s="65"/>
      <c r="FS374" s="65"/>
      <c r="FT374" s="65"/>
      <c r="FU374" s="65"/>
      <c r="FV374" s="65"/>
      <c r="FW374" s="65"/>
      <c r="FX374" s="65"/>
      <c r="FY374" s="65"/>
      <c r="FZ374" s="65"/>
      <c r="GA374" s="65"/>
      <c r="GB374" s="65"/>
      <c r="GC374" s="65"/>
      <c r="GD374" s="65"/>
      <c r="GE374" s="65"/>
      <c r="GF374" s="65"/>
      <c r="GG374" s="65"/>
      <c r="GH374" s="65"/>
      <c r="GI374" s="65"/>
      <c r="GJ374" s="65"/>
      <c r="GK374" s="65"/>
      <c r="GL374" s="65"/>
      <c r="GM374" s="65"/>
      <c r="GN374" s="65"/>
      <c r="GO374" s="65"/>
      <c r="GP374" s="65"/>
      <c r="GQ374" s="65"/>
      <c r="GR374" s="65"/>
      <c r="GS374" s="65"/>
      <c r="GT374" s="65"/>
      <c r="GU374" s="65"/>
      <c r="GV374" s="65"/>
      <c r="GW374" s="65"/>
      <c r="GX374" s="65"/>
      <c r="GY374" s="65"/>
      <c r="GZ374" s="65"/>
      <c r="HA374" s="65"/>
      <c r="HB374" s="65"/>
      <c r="HC374" s="65"/>
      <c r="HD374" s="65"/>
      <c r="HE374" s="65"/>
      <c r="HF374" s="65"/>
      <c r="HG374" s="65"/>
      <c r="HH374" s="65"/>
      <c r="HI374" s="65"/>
      <c r="HJ374" s="65"/>
      <c r="HK374" s="65"/>
      <c r="HL374" s="65"/>
      <c r="HM374" s="65"/>
      <c r="HN374" s="65"/>
      <c r="HO374" s="65"/>
      <c r="HP374" s="65"/>
      <c r="HQ374" s="65"/>
      <c r="HR374" s="65"/>
      <c r="HS374" s="65"/>
      <c r="HT374" s="65"/>
      <c r="HU374" s="65"/>
      <c r="HV374" s="65"/>
      <c r="HW374" s="65"/>
      <c r="HX374" s="65"/>
      <c r="HY374" s="65"/>
      <c r="HZ374" s="65"/>
      <c r="IA374" s="65"/>
      <c r="IB374" s="65"/>
      <c r="IC374" s="65"/>
      <c r="ID374" s="65"/>
      <c r="IE374" s="65"/>
      <c r="IF374" s="65"/>
      <c r="IG374" s="65"/>
      <c r="IH374" s="65"/>
      <c r="II374" s="65"/>
      <c r="IJ374" s="65"/>
      <c r="IK374" s="65"/>
      <c r="IL374" s="65"/>
      <c r="IM374" s="65"/>
      <c r="IN374" s="65"/>
      <c r="IO374" s="65"/>
      <c r="IP374" s="65"/>
      <c r="IQ374" s="65"/>
      <c r="IR374" s="65"/>
      <c r="IS374" s="65"/>
      <c r="IT374" s="65"/>
      <c r="IU374" s="65"/>
    </row>
    <row r="375" spans="1:255" s="65" customFormat="1" ht="15.75" hidden="1" customHeight="1" x14ac:dyDescent="0.25">
      <c r="A375" s="201" t="s">
        <v>357</v>
      </c>
      <c r="B375" s="86">
        <v>37083</v>
      </c>
      <c r="C375" s="174" t="s">
        <v>335</v>
      </c>
      <c r="D375" s="83">
        <f t="shared" ref="D375:D387" si="40">I375/0.015</f>
        <v>-203.66666666666666</v>
      </c>
      <c r="E375" s="84">
        <v>-2.36</v>
      </c>
      <c r="F375" s="72">
        <v>-0.69499999999999995</v>
      </c>
      <c r="G375" s="72">
        <v>0</v>
      </c>
      <c r="H375" s="72">
        <v>0</v>
      </c>
      <c r="I375" s="85">
        <f t="shared" ref="I375:I390" si="41">SUM(E375:H375)</f>
        <v>-3.0549999999999997</v>
      </c>
      <c r="J375" s="149" t="s">
        <v>225</v>
      </c>
      <c r="M375" s="110"/>
      <c r="T375" s="534" t="str">
        <f t="shared" si="38"/>
        <v/>
      </c>
    </row>
    <row r="376" spans="1:255" s="65" customFormat="1" ht="15.75" hidden="1" customHeight="1" x14ac:dyDescent="0.25">
      <c r="A376" s="201" t="s">
        <v>358</v>
      </c>
      <c r="B376" s="86">
        <v>37091</v>
      </c>
      <c r="C376" s="174" t="s">
        <v>335</v>
      </c>
      <c r="D376" s="83">
        <f t="shared" si="40"/>
        <v>-455.06666666666672</v>
      </c>
      <c r="E376" s="84">
        <v>-7.36</v>
      </c>
      <c r="F376" s="72">
        <v>0.53400000000000003</v>
      </c>
      <c r="G376" s="72">
        <v>0</v>
      </c>
      <c r="H376" s="72">
        <v>0</v>
      </c>
      <c r="I376" s="85">
        <f t="shared" si="41"/>
        <v>-6.8260000000000005</v>
      </c>
      <c r="J376" s="149" t="s">
        <v>225</v>
      </c>
      <c r="M376" s="110"/>
      <c r="T376" s="534" t="str">
        <f t="shared" si="38"/>
        <v/>
      </c>
    </row>
    <row r="377" spans="1:255" s="65" customFormat="1" ht="15.75" hidden="1" customHeight="1" x14ac:dyDescent="0.25">
      <c r="A377" s="201" t="s">
        <v>359</v>
      </c>
      <c r="B377" s="86">
        <v>37091</v>
      </c>
      <c r="C377" s="174" t="s">
        <v>335</v>
      </c>
      <c r="D377" s="83">
        <f t="shared" si="40"/>
        <v>1693.3333333333333</v>
      </c>
      <c r="E377" s="84">
        <v>29.009</v>
      </c>
      <c r="F377" s="72">
        <v>-3.609</v>
      </c>
      <c r="G377" s="72">
        <v>0</v>
      </c>
      <c r="H377" s="72">
        <v>0</v>
      </c>
      <c r="I377" s="85">
        <f t="shared" si="41"/>
        <v>25.4</v>
      </c>
      <c r="J377" s="149" t="s">
        <v>225</v>
      </c>
      <c r="M377" s="110"/>
      <c r="T377" s="534">
        <f t="shared" si="38"/>
        <v>1.4999999999999999E-2</v>
      </c>
    </row>
    <row r="378" spans="1:255" s="65" customFormat="1" ht="15.75" hidden="1" customHeight="1" x14ac:dyDescent="0.25">
      <c r="A378" s="201" t="s">
        <v>360</v>
      </c>
      <c r="B378" s="86">
        <v>37091</v>
      </c>
      <c r="C378" s="174" t="s">
        <v>335</v>
      </c>
      <c r="D378" s="83">
        <f t="shared" si="40"/>
        <v>138.4</v>
      </c>
      <c r="E378" s="84">
        <v>2.4470000000000001</v>
      </c>
      <c r="F378" s="72">
        <v>-0.371</v>
      </c>
      <c r="G378" s="72">
        <v>0</v>
      </c>
      <c r="H378" s="72">
        <v>0</v>
      </c>
      <c r="I378" s="85">
        <f t="shared" si="41"/>
        <v>2.0760000000000001</v>
      </c>
      <c r="J378" s="149" t="s">
        <v>225</v>
      </c>
      <c r="M378" s="110"/>
      <c r="T378" s="534">
        <f t="shared" si="38"/>
        <v>1.4999999999999999E-2</v>
      </c>
    </row>
    <row r="379" spans="1:255" s="65" customFormat="1" ht="15.75" hidden="1" customHeight="1" x14ac:dyDescent="0.25">
      <c r="A379" s="201" t="s">
        <v>361</v>
      </c>
      <c r="B379" s="86">
        <v>37091</v>
      </c>
      <c r="C379" s="174" t="s">
        <v>335</v>
      </c>
      <c r="D379" s="83">
        <f t="shared" si="40"/>
        <v>334.06666666666666</v>
      </c>
      <c r="E379" s="84">
        <v>6.0060000000000002</v>
      </c>
      <c r="F379" s="72">
        <v>-0.995</v>
      </c>
      <c r="G379" s="72">
        <v>0</v>
      </c>
      <c r="H379" s="72">
        <v>0</v>
      </c>
      <c r="I379" s="85">
        <f t="shared" si="41"/>
        <v>5.0110000000000001</v>
      </c>
      <c r="J379" s="149" t="s">
        <v>225</v>
      </c>
      <c r="M379" s="110"/>
      <c r="T379" s="534">
        <f t="shared" si="38"/>
        <v>1.5000000000000001E-2</v>
      </c>
    </row>
    <row r="380" spans="1:255" s="65" customFormat="1" ht="15.75" hidden="1" customHeight="1" x14ac:dyDescent="0.25">
      <c r="A380" s="201" t="s">
        <v>362</v>
      </c>
      <c r="B380" s="86">
        <v>37091</v>
      </c>
      <c r="C380" s="174" t="s">
        <v>335</v>
      </c>
      <c r="D380" s="83">
        <f t="shared" si="40"/>
        <v>1557.0666666666668</v>
      </c>
      <c r="E380" s="84">
        <v>28.273</v>
      </c>
      <c r="F380" s="72">
        <v>-4.9169999999999998</v>
      </c>
      <c r="G380" s="72">
        <v>0</v>
      </c>
      <c r="H380" s="72">
        <v>0</v>
      </c>
      <c r="I380" s="85">
        <f t="shared" si="41"/>
        <v>23.356000000000002</v>
      </c>
      <c r="J380" s="149" t="s">
        <v>225</v>
      </c>
      <c r="M380" s="110"/>
      <c r="T380" s="534">
        <f t="shared" si="38"/>
        <v>1.4999999999999999E-2</v>
      </c>
    </row>
    <row r="381" spans="1:255" s="65" customFormat="1" ht="15.75" hidden="1" customHeight="1" x14ac:dyDescent="0.25">
      <c r="A381" s="201" t="s">
        <v>363</v>
      </c>
      <c r="B381" s="86">
        <v>37091</v>
      </c>
      <c r="C381" s="174" t="s">
        <v>335</v>
      </c>
      <c r="D381" s="83">
        <f t="shared" si="40"/>
        <v>980.86666666666667</v>
      </c>
      <c r="E381" s="84">
        <v>18.27</v>
      </c>
      <c r="F381" s="72">
        <v>-3.5569999999999999</v>
      </c>
      <c r="G381" s="72">
        <v>0</v>
      </c>
      <c r="H381" s="72">
        <v>0</v>
      </c>
      <c r="I381" s="85">
        <f t="shared" si="41"/>
        <v>14.712999999999999</v>
      </c>
      <c r="J381" s="149" t="s">
        <v>225</v>
      </c>
      <c r="M381" s="110"/>
      <c r="T381" s="534">
        <f t="shared" si="38"/>
        <v>1.4999999999999999E-2</v>
      </c>
    </row>
    <row r="382" spans="1:255" s="65" customFormat="1" ht="15.75" hidden="1" customHeight="1" x14ac:dyDescent="0.25">
      <c r="A382" s="201" t="s">
        <v>364</v>
      </c>
      <c r="B382" s="86">
        <v>37091</v>
      </c>
      <c r="C382" s="174" t="s">
        <v>335</v>
      </c>
      <c r="D382" s="83">
        <f t="shared" si="40"/>
        <v>327.33333333333337</v>
      </c>
      <c r="E382" s="84">
        <v>6.2080000000000002</v>
      </c>
      <c r="F382" s="72">
        <v>-1.298</v>
      </c>
      <c r="G382" s="72">
        <v>0</v>
      </c>
      <c r="H382" s="72">
        <v>0</v>
      </c>
      <c r="I382" s="85">
        <f t="shared" si="41"/>
        <v>4.91</v>
      </c>
      <c r="J382" s="149" t="s">
        <v>225</v>
      </c>
      <c r="M382" s="110"/>
      <c r="T382" s="534">
        <f t="shared" si="38"/>
        <v>1.4999999999999999E-2</v>
      </c>
    </row>
    <row r="383" spans="1:255" s="65" customFormat="1" ht="15.75" hidden="1" customHeight="1" x14ac:dyDescent="0.25">
      <c r="A383" s="201" t="s">
        <v>365</v>
      </c>
      <c r="B383" s="86">
        <v>37091</v>
      </c>
      <c r="C383" s="174" t="s">
        <v>335</v>
      </c>
      <c r="D383" s="83">
        <f t="shared" si="40"/>
        <v>-0.73333333333333406</v>
      </c>
      <c r="E383" s="84">
        <v>0.24399999999999999</v>
      </c>
      <c r="F383" s="72">
        <v>-0.255</v>
      </c>
      <c r="G383" s="72">
        <v>0</v>
      </c>
      <c r="H383" s="72">
        <v>0</v>
      </c>
      <c r="I383" s="85">
        <f t="shared" si="41"/>
        <v>-1.100000000000001E-2</v>
      </c>
      <c r="J383" s="149" t="s">
        <v>225</v>
      </c>
      <c r="M383" s="110"/>
      <c r="T383" s="534" t="str">
        <f t="shared" si="38"/>
        <v/>
      </c>
    </row>
    <row r="384" spans="1:255" s="65" customFormat="1" ht="15.75" hidden="1" customHeight="1" x14ac:dyDescent="0.25">
      <c r="A384" s="201" t="s">
        <v>366</v>
      </c>
      <c r="B384" s="86">
        <v>37091</v>
      </c>
      <c r="C384" s="174" t="s">
        <v>335</v>
      </c>
      <c r="D384" s="83">
        <f t="shared" si="40"/>
        <v>333.33333333333337</v>
      </c>
      <c r="E384" s="84">
        <v>5.9779999999999998</v>
      </c>
      <c r="F384" s="72">
        <v>-0.97799999999999998</v>
      </c>
      <c r="G384" s="72">
        <v>0</v>
      </c>
      <c r="H384" s="72">
        <v>0</v>
      </c>
      <c r="I384" s="85">
        <f t="shared" si="41"/>
        <v>5</v>
      </c>
      <c r="J384" s="149" t="s">
        <v>225</v>
      </c>
      <c r="M384" s="110"/>
      <c r="T384" s="534">
        <f t="shared" si="38"/>
        <v>1.4999999999999998E-2</v>
      </c>
    </row>
    <row r="385" spans="1:20" s="65" customFormat="1" ht="15.75" hidden="1" customHeight="1" x14ac:dyDescent="0.25">
      <c r="A385" s="201" t="s">
        <v>367</v>
      </c>
      <c r="B385" s="86">
        <v>37091</v>
      </c>
      <c r="C385" s="174" t="s">
        <v>335</v>
      </c>
      <c r="D385" s="83">
        <f t="shared" si="40"/>
        <v>464.53333333333336</v>
      </c>
      <c r="E385" s="84">
        <v>8.3330000000000002</v>
      </c>
      <c r="F385" s="72">
        <v>-1.365</v>
      </c>
      <c r="G385" s="72">
        <v>0</v>
      </c>
      <c r="H385" s="72">
        <v>0</v>
      </c>
      <c r="I385" s="85">
        <f t="shared" si="41"/>
        <v>6.968</v>
      </c>
      <c r="J385" s="149" t="s">
        <v>225</v>
      </c>
      <c r="M385" s="110"/>
      <c r="T385" s="534">
        <f t="shared" si="38"/>
        <v>1.4999999999999999E-2</v>
      </c>
    </row>
    <row r="386" spans="1:20" s="65" customFormat="1" ht="15.75" hidden="1" customHeight="1" x14ac:dyDescent="0.25">
      <c r="A386" s="201" t="s">
        <v>368</v>
      </c>
      <c r="B386" s="86">
        <v>37091</v>
      </c>
      <c r="C386" s="174" t="s">
        <v>335</v>
      </c>
      <c r="D386" s="83">
        <f t="shared" si="40"/>
        <v>-460.66666666666669</v>
      </c>
      <c r="E386" s="84">
        <v>-8.1950000000000003</v>
      </c>
      <c r="F386" s="72">
        <v>1.2849999999999999</v>
      </c>
      <c r="G386" s="72">
        <v>0</v>
      </c>
      <c r="H386" s="72">
        <v>0</v>
      </c>
      <c r="I386" s="85">
        <f t="shared" si="41"/>
        <v>-6.91</v>
      </c>
      <c r="J386" s="149" t="s">
        <v>225</v>
      </c>
      <c r="M386" s="110"/>
      <c r="T386" s="534" t="str">
        <f t="shared" si="38"/>
        <v/>
      </c>
    </row>
    <row r="387" spans="1:20" s="65" customFormat="1" ht="15.75" hidden="1" customHeight="1" x14ac:dyDescent="0.25">
      <c r="A387" s="201" t="s">
        <v>369</v>
      </c>
      <c r="B387" s="86">
        <v>37091</v>
      </c>
      <c r="C387" s="174" t="s">
        <v>335</v>
      </c>
      <c r="D387" s="83">
        <f t="shared" si="40"/>
        <v>-106.66666666666667</v>
      </c>
      <c r="E387" s="84">
        <v>-1.851</v>
      </c>
      <c r="F387" s="72">
        <v>0.251</v>
      </c>
      <c r="G387" s="72">
        <v>0</v>
      </c>
      <c r="H387" s="72">
        <v>0</v>
      </c>
      <c r="I387" s="85">
        <f t="shared" si="41"/>
        <v>-1.6</v>
      </c>
      <c r="J387" s="149" t="s">
        <v>225</v>
      </c>
      <c r="M387" s="110"/>
      <c r="T387" s="534" t="str">
        <f t="shared" si="38"/>
        <v/>
      </c>
    </row>
    <row r="388" spans="1:20" s="65" customFormat="1" ht="15.75" hidden="1" customHeight="1" x14ac:dyDescent="0.25">
      <c r="A388" s="201" t="s">
        <v>370</v>
      </c>
      <c r="B388" s="86">
        <v>37098</v>
      </c>
      <c r="C388" s="149" t="s">
        <v>272</v>
      </c>
      <c r="D388" s="91">
        <v>-1693</v>
      </c>
      <c r="E388" s="84">
        <v>-29.009</v>
      </c>
      <c r="F388" s="72">
        <v>3.609</v>
      </c>
      <c r="G388" s="72"/>
      <c r="H388" s="72"/>
      <c r="I388" s="85">
        <f t="shared" si="41"/>
        <v>-25.4</v>
      </c>
      <c r="J388" s="149" t="s">
        <v>225</v>
      </c>
      <c r="M388" s="110"/>
      <c r="T388" s="534" t="str">
        <f t="shared" si="38"/>
        <v/>
      </c>
    </row>
    <row r="389" spans="1:20" s="65" customFormat="1" ht="15.75" hidden="1" customHeight="1" x14ac:dyDescent="0.25">
      <c r="A389" s="201" t="s">
        <v>371</v>
      </c>
      <c r="B389" s="86">
        <v>37098</v>
      </c>
      <c r="C389" s="149" t="s">
        <v>272</v>
      </c>
      <c r="D389" s="91">
        <f>I389/0.03</f>
        <v>558.30000000000007</v>
      </c>
      <c r="E389" s="84">
        <v>20.358000000000001</v>
      </c>
      <c r="F389" s="72">
        <v>-3.609</v>
      </c>
      <c r="G389" s="72"/>
      <c r="H389" s="72"/>
      <c r="I389" s="85">
        <f t="shared" si="41"/>
        <v>16.749000000000002</v>
      </c>
      <c r="J389" s="149" t="s">
        <v>225</v>
      </c>
      <c r="M389" s="110"/>
      <c r="T389" s="534">
        <f t="shared" si="38"/>
        <v>0.03</v>
      </c>
    </row>
    <row r="390" spans="1:20" s="65" customFormat="1" ht="15.75" hidden="1" customHeight="1" x14ac:dyDescent="0.25">
      <c r="A390" s="201" t="s">
        <v>372</v>
      </c>
      <c r="B390" s="86">
        <v>37091</v>
      </c>
      <c r="C390" s="174" t="s">
        <v>335</v>
      </c>
      <c r="D390" s="83">
        <f>I390/0.015</f>
        <v>-1547.2000000000003</v>
      </c>
      <c r="E390" s="84">
        <v>-26.751000000000001</v>
      </c>
      <c r="F390" s="72">
        <v>3.5430000000000001</v>
      </c>
      <c r="G390" s="72">
        <v>0</v>
      </c>
      <c r="H390" s="72">
        <v>0</v>
      </c>
      <c r="I390" s="85">
        <f t="shared" si="41"/>
        <v>-23.208000000000002</v>
      </c>
      <c r="J390" s="149" t="s">
        <v>225</v>
      </c>
      <c r="M390" s="110"/>
      <c r="T390" s="534" t="str">
        <f t="shared" si="38"/>
        <v/>
      </c>
    </row>
    <row r="391" spans="1:20" s="65" customFormat="1" ht="5.0999999999999996" hidden="1" customHeight="1" x14ac:dyDescent="0.25">
      <c r="A391" s="209"/>
      <c r="B391" s="204"/>
      <c r="C391" s="196"/>
      <c r="D391" s="197"/>
      <c r="E391" s="198"/>
      <c r="F391" s="199"/>
      <c r="G391" s="199"/>
      <c r="H391" s="199"/>
      <c r="I391" s="200"/>
      <c r="J391" s="149"/>
      <c r="M391" s="110"/>
      <c r="T391" s="534" t="str">
        <f t="shared" si="38"/>
        <v/>
      </c>
    </row>
    <row r="392" spans="1:20" s="88" customFormat="1" ht="15.75" x14ac:dyDescent="0.25">
      <c r="A392" s="111" t="s">
        <v>373</v>
      </c>
      <c r="B392" s="86">
        <v>37091</v>
      </c>
      <c r="C392" s="174" t="s">
        <v>272</v>
      </c>
      <c r="D392" s="83">
        <f t="shared" ref="D392:I392" si="42">SUM(D293:D304)</f>
        <v>-31943.533333333333</v>
      </c>
      <c r="E392" s="84">
        <f t="shared" si="42"/>
        <v>-488.02600000000007</v>
      </c>
      <c r="F392" s="72">
        <f t="shared" si="42"/>
        <v>8.8730000000000029</v>
      </c>
      <c r="G392" s="72">
        <f t="shared" si="42"/>
        <v>0</v>
      </c>
      <c r="H392" s="72">
        <f t="shared" si="42"/>
        <v>0</v>
      </c>
      <c r="I392" s="85">
        <f t="shared" si="42"/>
        <v>-479.15299999999996</v>
      </c>
      <c r="J392" s="149" t="s">
        <v>21</v>
      </c>
      <c r="M392" s="110"/>
      <c r="T392" s="534" t="str">
        <f t="shared" si="38"/>
        <v/>
      </c>
    </row>
    <row r="393" spans="1:20" s="88" customFormat="1" ht="5.0999999999999996" hidden="1" customHeight="1" x14ac:dyDescent="0.25">
      <c r="A393" s="194"/>
      <c r="B393" s="204"/>
      <c r="C393" s="196"/>
      <c r="D393" s="197"/>
      <c r="E393" s="198"/>
      <c r="F393" s="199"/>
      <c r="G393" s="199"/>
      <c r="H393" s="199"/>
      <c r="I393" s="200"/>
      <c r="J393" s="149"/>
      <c r="M393" s="110"/>
      <c r="T393" s="534" t="str">
        <f t="shared" si="38"/>
        <v/>
      </c>
    </row>
    <row r="394" spans="1:20" s="65" customFormat="1" ht="18" hidden="1" customHeight="1" x14ac:dyDescent="0.25">
      <c r="A394" s="201" t="s">
        <v>374</v>
      </c>
      <c r="B394" s="86">
        <v>37091</v>
      </c>
      <c r="C394" s="174" t="s">
        <v>272</v>
      </c>
      <c r="D394" s="83">
        <f t="shared" ref="D394:D412" si="43">I394/0.015</f>
        <v>-14239.6</v>
      </c>
      <c r="E394" s="84">
        <v>-216.42699999999999</v>
      </c>
      <c r="F394" s="72">
        <v>2.8330000000000002</v>
      </c>
      <c r="G394" s="72">
        <v>0</v>
      </c>
      <c r="H394" s="72">
        <v>0</v>
      </c>
      <c r="I394" s="85">
        <f t="shared" ref="I394:I412" si="44">SUM(E394:H394)</f>
        <v>-213.59399999999999</v>
      </c>
      <c r="J394" s="149" t="s">
        <v>21</v>
      </c>
      <c r="M394" s="110"/>
      <c r="T394" s="534" t="str">
        <f t="shared" si="38"/>
        <v/>
      </c>
    </row>
    <row r="395" spans="1:20" s="65" customFormat="1" ht="18" hidden="1" customHeight="1" x14ac:dyDescent="0.25">
      <c r="A395" s="201" t="s">
        <v>375</v>
      </c>
      <c r="B395" s="86">
        <v>37091</v>
      </c>
      <c r="C395" s="174" t="s">
        <v>272</v>
      </c>
      <c r="D395" s="83">
        <f t="shared" si="43"/>
        <v>-1543.1333333333332</v>
      </c>
      <c r="E395" s="84">
        <v>-23.58</v>
      </c>
      <c r="F395" s="72">
        <v>0.433</v>
      </c>
      <c r="G395" s="72">
        <v>0</v>
      </c>
      <c r="H395" s="72">
        <v>0</v>
      </c>
      <c r="I395" s="85">
        <f t="shared" si="44"/>
        <v>-23.146999999999998</v>
      </c>
      <c r="J395" s="149" t="s">
        <v>21</v>
      </c>
      <c r="M395" s="110"/>
      <c r="T395" s="534" t="str">
        <f t="shared" si="38"/>
        <v/>
      </c>
    </row>
    <row r="396" spans="1:20" s="65" customFormat="1" ht="18" hidden="1" customHeight="1" x14ac:dyDescent="0.25">
      <c r="A396" s="201" t="s">
        <v>376</v>
      </c>
      <c r="B396" s="86">
        <v>37091</v>
      </c>
      <c r="C396" s="174" t="s">
        <v>272</v>
      </c>
      <c r="D396" s="83">
        <f t="shared" si="43"/>
        <v>-3942.733333333334</v>
      </c>
      <c r="E396" s="84">
        <v>-60.087000000000003</v>
      </c>
      <c r="F396" s="72">
        <v>0.94599999999999995</v>
      </c>
      <c r="G396" s="72">
        <v>0</v>
      </c>
      <c r="H396" s="72">
        <v>0</v>
      </c>
      <c r="I396" s="85">
        <f t="shared" si="44"/>
        <v>-59.141000000000005</v>
      </c>
      <c r="J396" s="149" t="s">
        <v>21</v>
      </c>
      <c r="M396" s="110"/>
      <c r="T396" s="534" t="str">
        <f t="shared" si="38"/>
        <v/>
      </c>
    </row>
    <row r="397" spans="1:20" s="65" customFormat="1" ht="18" hidden="1" customHeight="1" x14ac:dyDescent="0.25">
      <c r="A397" s="201" t="s">
        <v>377</v>
      </c>
      <c r="B397" s="86">
        <v>37091</v>
      </c>
      <c r="C397" s="174" t="s">
        <v>272</v>
      </c>
      <c r="D397" s="83">
        <f t="shared" si="43"/>
        <v>-3801.0666666666666</v>
      </c>
      <c r="E397" s="84">
        <v>-58.116</v>
      </c>
      <c r="F397" s="72">
        <v>1.1000000000000001</v>
      </c>
      <c r="G397" s="72">
        <v>0</v>
      </c>
      <c r="H397" s="72">
        <v>0</v>
      </c>
      <c r="I397" s="85">
        <f t="shared" si="44"/>
        <v>-57.015999999999998</v>
      </c>
      <c r="J397" s="149" t="s">
        <v>21</v>
      </c>
      <c r="M397" s="110"/>
      <c r="T397" s="534" t="str">
        <f t="shared" si="38"/>
        <v/>
      </c>
    </row>
    <row r="398" spans="1:20" s="65" customFormat="1" ht="18" hidden="1" customHeight="1" x14ac:dyDescent="0.25">
      <c r="A398" s="201" t="s">
        <v>378</v>
      </c>
      <c r="B398" s="86">
        <v>37091</v>
      </c>
      <c r="C398" s="174" t="s">
        <v>272</v>
      </c>
      <c r="D398" s="83">
        <f t="shared" si="43"/>
        <v>-1048.1333333333334</v>
      </c>
      <c r="E398" s="84">
        <v>-16.045999999999999</v>
      </c>
      <c r="F398" s="72">
        <v>0.32400000000000001</v>
      </c>
      <c r="G398" s="72">
        <v>0</v>
      </c>
      <c r="H398" s="72">
        <v>0</v>
      </c>
      <c r="I398" s="85">
        <f t="shared" si="44"/>
        <v>-15.722</v>
      </c>
      <c r="J398" s="149" t="s">
        <v>21</v>
      </c>
      <c r="M398" s="110"/>
      <c r="T398" s="534" t="str">
        <f t="shared" si="38"/>
        <v/>
      </c>
    </row>
    <row r="399" spans="1:20" s="65" customFormat="1" ht="18" hidden="1" customHeight="1" x14ac:dyDescent="0.25">
      <c r="A399" s="201" t="s">
        <v>379</v>
      </c>
      <c r="B399" s="86">
        <v>37091</v>
      </c>
      <c r="C399" s="174" t="s">
        <v>272</v>
      </c>
      <c r="D399" s="83">
        <f t="shared" si="43"/>
        <v>-1563.4666666666667</v>
      </c>
      <c r="E399" s="84">
        <v>-23.786999999999999</v>
      </c>
      <c r="F399" s="72">
        <v>0.33500000000000002</v>
      </c>
      <c r="G399" s="72">
        <v>0</v>
      </c>
      <c r="H399" s="72">
        <v>0</v>
      </c>
      <c r="I399" s="85">
        <f t="shared" si="44"/>
        <v>-23.451999999999998</v>
      </c>
      <c r="J399" s="149" t="s">
        <v>21</v>
      </c>
      <c r="M399" s="110"/>
      <c r="T399" s="534" t="str">
        <f t="shared" si="38"/>
        <v/>
      </c>
    </row>
    <row r="400" spans="1:20" s="65" customFormat="1" ht="18" hidden="1" customHeight="1" x14ac:dyDescent="0.25">
      <c r="A400" s="201" t="s">
        <v>380</v>
      </c>
      <c r="B400" s="86">
        <v>37091</v>
      </c>
      <c r="C400" s="174" t="s">
        <v>272</v>
      </c>
      <c r="D400" s="83">
        <f t="shared" si="43"/>
        <v>-2016.9333333333334</v>
      </c>
      <c r="E400" s="84">
        <v>-30.68</v>
      </c>
      <c r="F400" s="72">
        <v>0.42599999999999999</v>
      </c>
      <c r="G400" s="72">
        <v>0</v>
      </c>
      <c r="H400" s="72">
        <v>0</v>
      </c>
      <c r="I400" s="85">
        <f t="shared" si="44"/>
        <v>-30.254000000000001</v>
      </c>
      <c r="J400" s="149" t="s">
        <v>21</v>
      </c>
      <c r="M400" s="110"/>
      <c r="T400" s="534" t="str">
        <f t="shared" si="38"/>
        <v/>
      </c>
    </row>
    <row r="401" spans="1:20" s="65" customFormat="1" ht="18" hidden="1" customHeight="1" x14ac:dyDescent="0.25">
      <c r="A401" s="201" t="s">
        <v>381</v>
      </c>
      <c r="B401" s="86">
        <v>37091</v>
      </c>
      <c r="C401" s="174" t="s">
        <v>272</v>
      </c>
      <c r="D401" s="83">
        <f t="shared" si="43"/>
        <v>-1010.4000000000001</v>
      </c>
      <c r="E401" s="84">
        <v>-15.598000000000001</v>
      </c>
      <c r="F401" s="72">
        <v>0.442</v>
      </c>
      <c r="G401" s="72">
        <v>0</v>
      </c>
      <c r="H401" s="72">
        <v>0</v>
      </c>
      <c r="I401" s="85">
        <f t="shared" si="44"/>
        <v>-15.156000000000001</v>
      </c>
      <c r="J401" s="149" t="s">
        <v>21</v>
      </c>
      <c r="M401" s="110"/>
      <c r="T401" s="534" t="str">
        <f t="shared" si="38"/>
        <v/>
      </c>
    </row>
    <row r="402" spans="1:20" s="65" customFormat="1" ht="18" hidden="1" customHeight="1" x14ac:dyDescent="0.25">
      <c r="A402" s="201" t="s">
        <v>382</v>
      </c>
      <c r="B402" s="86">
        <v>37091</v>
      </c>
      <c r="C402" s="174" t="s">
        <v>272</v>
      </c>
      <c r="D402" s="83">
        <f t="shared" si="43"/>
        <v>-1942.9333333333336</v>
      </c>
      <c r="E402" s="84">
        <v>-29.652000000000001</v>
      </c>
      <c r="F402" s="72">
        <v>0.50800000000000001</v>
      </c>
      <c r="G402" s="72">
        <v>0</v>
      </c>
      <c r="H402" s="72">
        <v>0</v>
      </c>
      <c r="I402" s="85">
        <f t="shared" si="44"/>
        <v>-29.144000000000002</v>
      </c>
      <c r="J402" s="149" t="s">
        <v>21</v>
      </c>
      <c r="M402" s="110"/>
      <c r="T402" s="534" t="str">
        <f t="shared" si="38"/>
        <v/>
      </c>
    </row>
    <row r="403" spans="1:20" s="65" customFormat="1" ht="18" hidden="1" customHeight="1" x14ac:dyDescent="0.25">
      <c r="A403" s="201" t="s">
        <v>383</v>
      </c>
      <c r="B403" s="86">
        <v>37091</v>
      </c>
      <c r="C403" s="174" t="s">
        <v>272</v>
      </c>
      <c r="D403" s="83">
        <f t="shared" si="43"/>
        <v>-1785.0000000000002</v>
      </c>
      <c r="E403" s="84">
        <v>-27.114000000000001</v>
      </c>
      <c r="F403" s="72">
        <v>0.33900000000000002</v>
      </c>
      <c r="G403" s="72">
        <v>0</v>
      </c>
      <c r="H403" s="72">
        <v>0</v>
      </c>
      <c r="I403" s="85">
        <f t="shared" si="44"/>
        <v>-26.775000000000002</v>
      </c>
      <c r="J403" s="149" t="s">
        <v>21</v>
      </c>
      <c r="M403" s="110"/>
      <c r="T403" s="534" t="str">
        <f t="shared" ref="T403:T466" si="45">IF(D403&gt;0,(I403/D403),"")</f>
        <v/>
      </c>
    </row>
    <row r="404" spans="1:20" s="65" customFormat="1" ht="18" hidden="1" customHeight="1" x14ac:dyDescent="0.25">
      <c r="A404" s="201" t="s">
        <v>384</v>
      </c>
      <c r="B404" s="86">
        <v>37091</v>
      </c>
      <c r="C404" s="174" t="s">
        <v>272</v>
      </c>
      <c r="D404" s="83">
        <f t="shared" si="43"/>
        <v>-1999.5333333333333</v>
      </c>
      <c r="E404" s="84">
        <v>-30.393999999999998</v>
      </c>
      <c r="F404" s="72">
        <v>0.40100000000000002</v>
      </c>
      <c r="G404" s="72">
        <v>0</v>
      </c>
      <c r="H404" s="72">
        <v>0</v>
      </c>
      <c r="I404" s="85">
        <f t="shared" si="44"/>
        <v>-29.992999999999999</v>
      </c>
      <c r="J404" s="149" t="s">
        <v>21</v>
      </c>
      <c r="M404" s="110"/>
      <c r="T404" s="534" t="str">
        <f t="shared" si="45"/>
        <v/>
      </c>
    </row>
    <row r="405" spans="1:20" s="65" customFormat="1" ht="18" hidden="1" customHeight="1" x14ac:dyDescent="0.25">
      <c r="A405" s="201" t="s">
        <v>385</v>
      </c>
      <c r="B405" s="86">
        <v>37091</v>
      </c>
      <c r="C405" s="174" t="s">
        <v>272</v>
      </c>
      <c r="D405" s="83">
        <f t="shared" si="43"/>
        <v>-1711.8</v>
      </c>
      <c r="E405" s="84">
        <v>-26.207000000000001</v>
      </c>
      <c r="F405" s="72">
        <v>0.53</v>
      </c>
      <c r="G405" s="72">
        <v>0</v>
      </c>
      <c r="H405" s="72">
        <v>0</v>
      </c>
      <c r="I405" s="85">
        <f t="shared" si="44"/>
        <v>-25.677</v>
      </c>
      <c r="J405" s="149" t="s">
        <v>21</v>
      </c>
      <c r="M405" s="110"/>
      <c r="T405" s="534" t="str">
        <f t="shared" si="45"/>
        <v/>
      </c>
    </row>
    <row r="406" spans="1:20" s="65" customFormat="1" ht="18" hidden="1" customHeight="1" x14ac:dyDescent="0.25">
      <c r="A406" s="201" t="s">
        <v>386</v>
      </c>
      <c r="B406" s="86">
        <v>37091</v>
      </c>
      <c r="C406" s="174" t="s">
        <v>272</v>
      </c>
      <c r="D406" s="83">
        <f t="shared" si="43"/>
        <v>-1797</v>
      </c>
      <c r="E406" s="84">
        <v>-27.315999999999999</v>
      </c>
      <c r="F406" s="72">
        <v>0.36099999999999999</v>
      </c>
      <c r="G406" s="72">
        <v>0</v>
      </c>
      <c r="H406" s="72">
        <v>0</v>
      </c>
      <c r="I406" s="85">
        <f t="shared" si="44"/>
        <v>-26.954999999999998</v>
      </c>
      <c r="J406" s="149" t="s">
        <v>21</v>
      </c>
      <c r="M406" s="110"/>
      <c r="T406" s="534" t="str">
        <f t="shared" si="45"/>
        <v/>
      </c>
    </row>
    <row r="407" spans="1:20" s="65" customFormat="1" ht="18" hidden="1" customHeight="1" x14ac:dyDescent="0.25">
      <c r="A407" s="201" t="s">
        <v>387</v>
      </c>
      <c r="B407" s="86">
        <v>37091</v>
      </c>
      <c r="C407" s="174" t="s">
        <v>272</v>
      </c>
      <c r="D407" s="83">
        <f t="shared" si="43"/>
        <v>-1092.0000000000002</v>
      </c>
      <c r="E407" s="84">
        <v>-16.655000000000001</v>
      </c>
      <c r="F407" s="72">
        <v>0.27500000000000002</v>
      </c>
      <c r="G407" s="72">
        <v>0</v>
      </c>
      <c r="H407" s="72">
        <v>0</v>
      </c>
      <c r="I407" s="85">
        <f t="shared" si="44"/>
        <v>-16.380000000000003</v>
      </c>
      <c r="J407" s="149" t="s">
        <v>21</v>
      </c>
      <c r="M407" s="110"/>
      <c r="T407" s="534" t="str">
        <f t="shared" si="45"/>
        <v/>
      </c>
    </row>
    <row r="408" spans="1:20" s="65" customFormat="1" ht="18" hidden="1" customHeight="1" x14ac:dyDescent="0.25">
      <c r="A408" s="201" t="s">
        <v>388</v>
      </c>
      <c r="B408" s="86">
        <v>37091</v>
      </c>
      <c r="C408" s="174" t="s">
        <v>272</v>
      </c>
      <c r="D408" s="83">
        <f t="shared" si="43"/>
        <v>-346.86666666666662</v>
      </c>
      <c r="E408" s="84">
        <v>-5.2519999999999998</v>
      </c>
      <c r="F408" s="72">
        <v>4.9000000000000002E-2</v>
      </c>
      <c r="G408" s="72">
        <v>0</v>
      </c>
      <c r="H408" s="72">
        <v>0</v>
      </c>
      <c r="I408" s="85">
        <f t="shared" si="44"/>
        <v>-5.2029999999999994</v>
      </c>
      <c r="J408" s="149" t="s">
        <v>21</v>
      </c>
      <c r="M408" s="110"/>
      <c r="T408" s="534" t="str">
        <f t="shared" si="45"/>
        <v/>
      </c>
    </row>
    <row r="409" spans="1:20" s="65" customFormat="1" ht="18" hidden="1" customHeight="1" x14ac:dyDescent="0.25">
      <c r="A409" s="201" t="s">
        <v>389</v>
      </c>
      <c r="B409" s="86">
        <v>37091</v>
      </c>
      <c r="C409" s="174" t="s">
        <v>272</v>
      </c>
      <c r="D409" s="83">
        <f t="shared" si="43"/>
        <v>-2421.3333333333335</v>
      </c>
      <c r="E409" s="84">
        <v>-36.869</v>
      </c>
      <c r="F409" s="72">
        <v>0.54900000000000004</v>
      </c>
      <c r="G409" s="72">
        <v>0</v>
      </c>
      <c r="H409" s="72">
        <v>0</v>
      </c>
      <c r="I409" s="85">
        <f t="shared" si="44"/>
        <v>-36.32</v>
      </c>
      <c r="J409" s="149" t="s">
        <v>21</v>
      </c>
      <c r="M409" s="110"/>
      <c r="T409" s="534" t="str">
        <f t="shared" si="45"/>
        <v/>
      </c>
    </row>
    <row r="410" spans="1:20" s="65" customFormat="1" ht="18" hidden="1" customHeight="1" x14ac:dyDescent="0.25">
      <c r="A410" s="201" t="s">
        <v>390</v>
      </c>
      <c r="B410" s="86">
        <v>37091</v>
      </c>
      <c r="C410" s="174" t="s">
        <v>272</v>
      </c>
      <c r="D410" s="83">
        <f t="shared" si="43"/>
        <v>-522.26666666666665</v>
      </c>
      <c r="E410" s="84">
        <v>-8.0559999999999992</v>
      </c>
      <c r="F410" s="72">
        <v>0.222</v>
      </c>
      <c r="G410" s="72">
        <v>0</v>
      </c>
      <c r="H410" s="72">
        <v>0</v>
      </c>
      <c r="I410" s="85">
        <f t="shared" si="44"/>
        <v>-7.8339999999999987</v>
      </c>
      <c r="J410" s="149" t="s">
        <v>21</v>
      </c>
      <c r="M410" s="110"/>
      <c r="T410" s="534" t="str">
        <f t="shared" si="45"/>
        <v/>
      </c>
    </row>
    <row r="411" spans="1:20" s="65" customFormat="1" ht="18" hidden="1" customHeight="1" x14ac:dyDescent="0.25">
      <c r="A411" s="201" t="s">
        <v>391</v>
      </c>
      <c r="B411" s="86">
        <v>37091</v>
      </c>
      <c r="C411" s="174" t="s">
        <v>272</v>
      </c>
      <c r="D411" s="83">
        <f t="shared" si="43"/>
        <v>-2169.1333333333332</v>
      </c>
      <c r="E411" s="84">
        <v>-32.954999999999998</v>
      </c>
      <c r="F411" s="72">
        <v>0.41799999999999998</v>
      </c>
      <c r="G411" s="72">
        <v>0</v>
      </c>
      <c r="H411" s="72">
        <v>0</v>
      </c>
      <c r="I411" s="85">
        <f t="shared" si="44"/>
        <v>-32.536999999999999</v>
      </c>
      <c r="J411" s="149" t="s">
        <v>21</v>
      </c>
      <c r="M411" s="110"/>
      <c r="T411" s="534" t="str">
        <f t="shared" si="45"/>
        <v/>
      </c>
    </row>
    <row r="412" spans="1:20" s="65" customFormat="1" ht="18" hidden="1" customHeight="1" x14ac:dyDescent="0.25">
      <c r="A412" s="201" t="s">
        <v>392</v>
      </c>
      <c r="B412" s="86">
        <v>37091</v>
      </c>
      <c r="C412" s="174" t="s">
        <v>272</v>
      </c>
      <c r="D412" s="83">
        <f t="shared" si="43"/>
        <v>-2182.5333333333333</v>
      </c>
      <c r="E412" s="84">
        <v>-33.182000000000002</v>
      </c>
      <c r="F412" s="72">
        <v>0.44400000000000001</v>
      </c>
      <c r="G412" s="72">
        <v>0</v>
      </c>
      <c r="H412" s="72">
        <v>0</v>
      </c>
      <c r="I412" s="85">
        <f t="shared" si="44"/>
        <v>-32.738</v>
      </c>
      <c r="J412" s="149" t="s">
        <v>21</v>
      </c>
      <c r="M412" s="110"/>
      <c r="T412" s="534" t="str">
        <f t="shared" si="45"/>
        <v/>
      </c>
    </row>
    <row r="413" spans="1:20" s="65" customFormat="1" ht="5.0999999999999996" hidden="1" customHeight="1" x14ac:dyDescent="0.25">
      <c r="A413" s="194"/>
      <c r="B413" s="204"/>
      <c r="C413" s="196"/>
      <c r="D413" s="197"/>
      <c r="E413" s="198"/>
      <c r="F413" s="199"/>
      <c r="G413" s="199"/>
      <c r="H413" s="199"/>
      <c r="I413" s="200"/>
      <c r="J413" s="149"/>
      <c r="M413" s="110"/>
      <c r="T413" s="534" t="str">
        <f t="shared" si="45"/>
        <v/>
      </c>
    </row>
    <row r="414" spans="1:20" s="65" customFormat="1" ht="15.75" x14ac:dyDescent="0.25">
      <c r="A414" s="111" t="s">
        <v>393</v>
      </c>
      <c r="B414" s="86">
        <v>37091</v>
      </c>
      <c r="C414" s="174" t="s">
        <v>272</v>
      </c>
      <c r="D414" s="83">
        <f t="shared" ref="D414:I414" si="46">SUM(D394:D412)</f>
        <v>-47135.866666666683</v>
      </c>
      <c r="E414" s="84">
        <f t="shared" si="46"/>
        <v>-717.97299999999996</v>
      </c>
      <c r="F414" s="72">
        <f t="shared" si="46"/>
        <v>10.934999999999999</v>
      </c>
      <c r="G414" s="72">
        <f t="shared" si="46"/>
        <v>0</v>
      </c>
      <c r="H414" s="72">
        <f t="shared" si="46"/>
        <v>0</v>
      </c>
      <c r="I414" s="85">
        <f t="shared" si="46"/>
        <v>-707.03800000000001</v>
      </c>
      <c r="J414" s="149" t="s">
        <v>21</v>
      </c>
      <c r="M414" s="110"/>
      <c r="T414" s="534" t="str">
        <f t="shared" si="45"/>
        <v/>
      </c>
    </row>
    <row r="415" spans="1:20" s="65" customFormat="1" ht="15.75" x14ac:dyDescent="0.25">
      <c r="A415" s="128" t="s">
        <v>204</v>
      </c>
      <c r="B415" s="176"/>
      <c r="C415" s="130"/>
      <c r="D415" s="76"/>
      <c r="E415" s="77">
        <f>-(11.788+0.033)</f>
        <v>-11.821</v>
      </c>
      <c r="F415" s="78">
        <v>0</v>
      </c>
      <c r="G415" s="78">
        <v>0</v>
      </c>
      <c r="H415" s="78"/>
      <c r="I415" s="79">
        <f>SUM(E415:H415)</f>
        <v>-11.821</v>
      </c>
      <c r="J415" s="149"/>
      <c r="M415" s="110"/>
      <c r="T415" s="534" t="str">
        <f t="shared" si="45"/>
        <v/>
      </c>
    </row>
    <row r="416" spans="1:20" s="65" customFormat="1" ht="18" customHeight="1" x14ac:dyDescent="0.25">
      <c r="A416" s="111" t="s">
        <v>394</v>
      </c>
      <c r="B416" s="86">
        <v>37105</v>
      </c>
      <c r="C416" s="174" t="s">
        <v>269</v>
      </c>
      <c r="D416" s="83"/>
      <c r="E416" s="84"/>
      <c r="F416" s="72">
        <v>0</v>
      </c>
      <c r="G416" s="72">
        <f>SUM(G306:G389)</f>
        <v>0</v>
      </c>
      <c r="H416" s="72">
        <f>SUM(H306:H389)</f>
        <v>0</v>
      </c>
      <c r="I416" s="85">
        <f>SUM(E416:H416)</f>
        <v>0</v>
      </c>
      <c r="J416" s="350" t="s">
        <v>18</v>
      </c>
      <c r="M416" s="110"/>
      <c r="T416" s="534" t="str">
        <f t="shared" si="45"/>
        <v/>
      </c>
    </row>
    <row r="417" spans="1:255" s="65" customFormat="1" ht="15.75" x14ac:dyDescent="0.25">
      <c r="A417" s="111" t="s">
        <v>395</v>
      </c>
      <c r="B417" s="86"/>
      <c r="C417" s="174"/>
      <c r="D417" s="126"/>
      <c r="E417" s="122">
        <v>13.689</v>
      </c>
      <c r="F417" s="123">
        <v>0</v>
      </c>
      <c r="G417" s="123">
        <v>0</v>
      </c>
      <c r="H417" s="123"/>
      <c r="I417" s="124">
        <f>SUM(E417:G417)</f>
        <v>13.689</v>
      </c>
      <c r="J417" s="149" t="s">
        <v>18</v>
      </c>
      <c r="M417" s="110"/>
      <c r="T417" s="534" t="str">
        <f t="shared" si="45"/>
        <v/>
      </c>
    </row>
    <row r="418" spans="1:255" s="88" customFormat="1" ht="15.75" x14ac:dyDescent="0.25">
      <c r="A418" s="179" t="s">
        <v>396</v>
      </c>
      <c r="B418" s="180"/>
      <c r="C418" s="174"/>
      <c r="D418" s="83">
        <f t="shared" ref="D418:I418" si="47">SUM(D266:D417)-D414-D306-D392-D267</f>
        <v>-43008.24533333334</v>
      </c>
      <c r="E418" s="84">
        <f t="shared" si="47"/>
        <v>765.74200000000042</v>
      </c>
      <c r="F418" s="72">
        <f t="shared" si="47"/>
        <v>-328.63900000000012</v>
      </c>
      <c r="G418" s="72">
        <f t="shared" si="47"/>
        <v>0</v>
      </c>
      <c r="H418" s="72">
        <f t="shared" si="47"/>
        <v>0</v>
      </c>
      <c r="I418" s="72">
        <f t="shared" si="47"/>
        <v>437.10300000000029</v>
      </c>
      <c r="J418" s="149"/>
      <c r="M418" s="110"/>
      <c r="T418" s="534" t="str">
        <f t="shared" si="45"/>
        <v/>
      </c>
    </row>
    <row r="419" spans="1:255" s="88" customFormat="1" ht="15.75" x14ac:dyDescent="0.25">
      <c r="A419" s="181"/>
      <c r="B419" s="180"/>
      <c r="C419" s="174"/>
      <c r="D419" s="83"/>
      <c r="E419" s="84"/>
      <c r="F419" s="72"/>
      <c r="G419" s="72"/>
      <c r="H419" s="72"/>
      <c r="I419" s="85"/>
      <c r="J419" s="149"/>
      <c r="M419" s="110"/>
      <c r="T419" s="534" t="str">
        <f t="shared" si="45"/>
        <v/>
      </c>
    </row>
    <row r="420" spans="1:255" s="88" customFormat="1" ht="15.75" x14ac:dyDescent="0.25">
      <c r="A420" s="181"/>
      <c r="B420" s="180"/>
      <c r="C420" s="174"/>
      <c r="D420" s="83"/>
      <c r="E420" s="84"/>
      <c r="F420" s="72"/>
      <c r="G420" s="72"/>
      <c r="H420" s="72"/>
      <c r="I420" s="85"/>
      <c r="J420" s="149"/>
      <c r="M420" s="110"/>
      <c r="T420" s="534" t="str">
        <f t="shared" si="45"/>
        <v/>
      </c>
    </row>
    <row r="421" spans="1:255" s="88" customFormat="1" ht="15.75" x14ac:dyDescent="0.25">
      <c r="A421" s="210" t="s">
        <v>397</v>
      </c>
      <c r="B421" s="180"/>
      <c r="C421" s="174"/>
      <c r="D421" s="83"/>
      <c r="E421" s="84"/>
      <c r="F421" s="72"/>
      <c r="G421" s="72"/>
      <c r="H421" s="72"/>
      <c r="I421" s="85"/>
      <c r="J421" s="149"/>
      <c r="M421" s="110"/>
      <c r="T421" s="534" t="str">
        <f t="shared" si="45"/>
        <v/>
      </c>
    </row>
    <row r="422" spans="1:255" s="184" customFormat="1" ht="6" customHeight="1" x14ac:dyDescent="0.25">
      <c r="A422" s="211"/>
      <c r="B422" s="192"/>
      <c r="C422" s="149"/>
      <c r="D422" s="83"/>
      <c r="E422" s="84"/>
      <c r="F422" s="72"/>
      <c r="G422" s="72"/>
      <c r="H422" s="72"/>
      <c r="I422" s="85"/>
      <c r="J422" s="149"/>
      <c r="K422" s="88"/>
      <c r="M422" s="110"/>
      <c r="N422" s="88"/>
      <c r="O422" s="88"/>
      <c r="P422" s="88"/>
      <c r="Q422" s="88"/>
      <c r="R422" s="88"/>
      <c r="S422" s="88"/>
      <c r="T422" s="534" t="str">
        <f t="shared" si="45"/>
        <v/>
      </c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</row>
    <row r="423" spans="1:255" s="65" customFormat="1" ht="15.75" x14ac:dyDescent="0.25">
      <c r="A423" s="111" t="s">
        <v>398</v>
      </c>
      <c r="B423" s="81"/>
      <c r="C423" s="171"/>
      <c r="D423" s="83"/>
      <c r="E423" s="84">
        <v>555.53399999999999</v>
      </c>
      <c r="F423" s="72">
        <v>0</v>
      </c>
      <c r="G423" s="72">
        <v>0</v>
      </c>
      <c r="H423" s="72"/>
      <c r="I423" s="85">
        <f>SUM(E423:G423)</f>
        <v>555.53399999999999</v>
      </c>
      <c r="J423" s="149"/>
      <c r="M423" s="110"/>
      <c r="T423" s="534" t="str">
        <f t="shared" si="45"/>
        <v/>
      </c>
    </row>
    <row r="424" spans="1:255" s="65" customFormat="1" ht="15.75" x14ac:dyDescent="0.25">
      <c r="A424" s="128" t="s">
        <v>204</v>
      </c>
      <c r="B424" s="74"/>
      <c r="C424" s="212"/>
      <c r="D424" s="76"/>
      <c r="E424" s="77">
        <v>-743.22400000000005</v>
      </c>
      <c r="F424" s="78">
        <v>0</v>
      </c>
      <c r="G424" s="78">
        <v>0</v>
      </c>
      <c r="H424" s="78"/>
      <c r="I424" s="79">
        <f>SUM(E424:G424)</f>
        <v>-743.22400000000005</v>
      </c>
      <c r="J424" s="149"/>
      <c r="M424" s="110"/>
      <c r="T424" s="534" t="str">
        <f t="shared" si="45"/>
        <v/>
      </c>
    </row>
    <row r="425" spans="1:255" s="65" customFormat="1" ht="15.75" x14ac:dyDescent="0.25">
      <c r="A425" s="111" t="s">
        <v>399</v>
      </c>
      <c r="B425" s="81"/>
      <c r="C425" s="171"/>
      <c r="D425" s="83">
        <v>83</v>
      </c>
      <c r="E425" s="84">
        <v>6.6429999999999998</v>
      </c>
      <c r="F425" s="72">
        <v>-1.33</v>
      </c>
      <c r="G425" s="72">
        <v>0</v>
      </c>
      <c r="H425" s="72"/>
      <c r="I425" s="85">
        <f>SUM(E425:G425)</f>
        <v>5.3129999999999997</v>
      </c>
      <c r="J425" s="149" t="s">
        <v>225</v>
      </c>
      <c r="M425" s="110"/>
      <c r="T425" s="534">
        <f t="shared" si="45"/>
        <v>6.4012048192771079E-2</v>
      </c>
    </row>
    <row r="426" spans="1:255" s="65" customFormat="1" ht="15.75" x14ac:dyDescent="0.25">
      <c r="A426" s="111" t="s">
        <v>400</v>
      </c>
      <c r="B426" s="81"/>
      <c r="C426" s="171"/>
      <c r="D426" s="83">
        <v>283</v>
      </c>
      <c r="E426" s="84">
        <v>29.527999999999999</v>
      </c>
      <c r="F426" s="72">
        <v>-4.8499999999999996</v>
      </c>
      <c r="G426" s="72">
        <v>0</v>
      </c>
      <c r="H426" s="72"/>
      <c r="I426" s="85">
        <f>SUM(E426:G426)</f>
        <v>24.677999999999997</v>
      </c>
      <c r="J426" s="149" t="s">
        <v>225</v>
      </c>
      <c r="M426" s="110"/>
      <c r="T426" s="534">
        <f t="shared" si="45"/>
        <v>8.7201413427561825E-2</v>
      </c>
    </row>
    <row r="427" spans="1:255" s="97" customFormat="1" ht="15.75" x14ac:dyDescent="0.25">
      <c r="A427" s="111" t="s">
        <v>401</v>
      </c>
      <c r="B427" s="86">
        <v>37105</v>
      </c>
      <c r="C427" s="149" t="s">
        <v>335</v>
      </c>
      <c r="D427" s="213">
        <v>240</v>
      </c>
      <c r="E427" s="122">
        <v>16.594000000000001</v>
      </c>
      <c r="F427" s="123">
        <v>-4.3609999999999998</v>
      </c>
      <c r="G427" s="123">
        <v>0</v>
      </c>
      <c r="H427" s="123"/>
      <c r="I427" s="124">
        <v>12.233000000000001</v>
      </c>
      <c r="J427" s="149" t="s">
        <v>21</v>
      </c>
      <c r="K427" s="65"/>
      <c r="M427" s="110"/>
      <c r="N427" s="65"/>
      <c r="O427" s="65"/>
      <c r="P427" s="65"/>
      <c r="Q427" s="65"/>
      <c r="R427" s="65"/>
      <c r="S427" s="65"/>
      <c r="T427" s="534">
        <f t="shared" si="45"/>
        <v>5.0970833333333333E-2</v>
      </c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  <c r="DS427" s="65"/>
      <c r="DT427" s="65"/>
      <c r="DU427" s="65"/>
      <c r="DV427" s="65"/>
      <c r="DW427" s="65"/>
      <c r="DX427" s="65"/>
      <c r="DY427" s="65"/>
      <c r="DZ427" s="65"/>
      <c r="EA427" s="65"/>
      <c r="EB427" s="65"/>
      <c r="EC427" s="65"/>
      <c r="ED427" s="65"/>
      <c r="EE427" s="65"/>
      <c r="EF427" s="65"/>
      <c r="EG427" s="65"/>
      <c r="EH427" s="65"/>
      <c r="EI427" s="65"/>
      <c r="EJ427" s="65"/>
      <c r="EK427" s="65"/>
      <c r="EL427" s="65"/>
      <c r="EM427" s="65"/>
      <c r="EN427" s="65"/>
      <c r="EO427" s="65"/>
      <c r="EP427" s="65"/>
      <c r="EQ427" s="65"/>
      <c r="ER427" s="65"/>
      <c r="ES427" s="65"/>
      <c r="ET427" s="65"/>
      <c r="EU427" s="65"/>
      <c r="EV427" s="65"/>
      <c r="EW427" s="65"/>
      <c r="EX427" s="65"/>
      <c r="EY427" s="65"/>
      <c r="EZ427" s="65"/>
      <c r="FA427" s="65"/>
      <c r="FB427" s="65"/>
      <c r="FC427" s="65"/>
      <c r="FD427" s="65"/>
      <c r="FE427" s="65"/>
      <c r="FF427" s="65"/>
      <c r="FG427" s="65"/>
      <c r="FH427" s="65"/>
      <c r="FI427" s="65"/>
      <c r="FJ427" s="65"/>
      <c r="FK427" s="65"/>
      <c r="FL427" s="65"/>
      <c r="FM427" s="65"/>
      <c r="FN427" s="65"/>
      <c r="FO427" s="65"/>
      <c r="FP427" s="65"/>
      <c r="FQ427" s="65"/>
      <c r="FR427" s="65"/>
      <c r="FS427" s="65"/>
      <c r="FT427" s="65"/>
      <c r="FU427" s="65"/>
      <c r="FV427" s="65"/>
      <c r="FW427" s="65"/>
      <c r="FX427" s="65"/>
      <c r="FY427" s="65"/>
      <c r="FZ427" s="65"/>
      <c r="GA427" s="65"/>
      <c r="GB427" s="65"/>
      <c r="GC427" s="65"/>
      <c r="GD427" s="65"/>
      <c r="GE427" s="65"/>
      <c r="GF427" s="65"/>
      <c r="GG427" s="65"/>
      <c r="GH427" s="65"/>
      <c r="GI427" s="65"/>
      <c r="GJ427" s="65"/>
      <c r="GK427" s="65"/>
      <c r="GL427" s="65"/>
      <c r="GM427" s="65"/>
      <c r="GN427" s="65"/>
      <c r="GO427" s="65"/>
      <c r="GP427" s="65"/>
      <c r="GQ427" s="65"/>
      <c r="GR427" s="65"/>
      <c r="GS427" s="65"/>
      <c r="GT427" s="65"/>
      <c r="GU427" s="65"/>
      <c r="GV427" s="65"/>
      <c r="GW427" s="65"/>
      <c r="GX427" s="65"/>
      <c r="GY427" s="65"/>
      <c r="GZ427" s="65"/>
      <c r="HA427" s="65"/>
      <c r="HB427" s="65"/>
      <c r="HC427" s="65"/>
      <c r="HD427" s="65"/>
      <c r="HE427" s="65"/>
      <c r="HF427" s="65"/>
      <c r="HG427" s="65"/>
      <c r="HH427" s="65"/>
      <c r="HI427" s="65"/>
      <c r="HJ427" s="65"/>
      <c r="HK427" s="65"/>
      <c r="HL427" s="65"/>
      <c r="HM427" s="65"/>
      <c r="HN427" s="65"/>
      <c r="HO427" s="65"/>
      <c r="HP427" s="65"/>
      <c r="HQ427" s="65"/>
      <c r="HR427" s="65"/>
      <c r="HS427" s="65"/>
      <c r="HT427" s="65"/>
      <c r="HU427" s="65"/>
      <c r="HV427" s="65"/>
      <c r="HW427" s="65"/>
      <c r="HX427" s="65"/>
      <c r="HY427" s="65"/>
      <c r="HZ427" s="65"/>
      <c r="IA427" s="65"/>
      <c r="IB427" s="65"/>
      <c r="IC427" s="65"/>
      <c r="ID427" s="65"/>
      <c r="IE427" s="65"/>
      <c r="IF427" s="65"/>
      <c r="IG427" s="65"/>
      <c r="IH427" s="65"/>
      <c r="II427" s="65"/>
      <c r="IJ427" s="65"/>
      <c r="IK427" s="65"/>
      <c r="IL427" s="65"/>
      <c r="IM427" s="65"/>
      <c r="IN427" s="65"/>
      <c r="IO427" s="65"/>
      <c r="IP427" s="65"/>
      <c r="IQ427" s="65"/>
      <c r="IR427" s="65"/>
      <c r="IS427" s="65"/>
      <c r="IT427" s="65"/>
      <c r="IU427" s="65"/>
    </row>
    <row r="428" spans="1:255" s="97" customFormat="1" ht="15.75" x14ac:dyDescent="0.25">
      <c r="A428" s="181" t="s">
        <v>402</v>
      </c>
      <c r="B428" s="86"/>
      <c r="C428" s="149"/>
      <c r="D428" s="173">
        <f t="shared" ref="D428:I428" si="48">SUM(D421:D427)</f>
        <v>606</v>
      </c>
      <c r="E428" s="84">
        <f t="shared" si="48"/>
        <v>-134.92500000000007</v>
      </c>
      <c r="F428" s="72">
        <f t="shared" si="48"/>
        <v>-10.541</v>
      </c>
      <c r="G428" s="72">
        <f t="shared" si="48"/>
        <v>0</v>
      </c>
      <c r="H428" s="72">
        <f t="shared" si="48"/>
        <v>0</v>
      </c>
      <c r="I428" s="85">
        <f t="shared" si="48"/>
        <v>-145.46600000000007</v>
      </c>
      <c r="J428" s="149"/>
      <c r="K428" s="65"/>
      <c r="M428" s="110"/>
      <c r="N428" s="65"/>
      <c r="O428" s="65"/>
      <c r="P428" s="65"/>
      <c r="Q428" s="65"/>
      <c r="R428" s="65"/>
      <c r="S428" s="65"/>
      <c r="T428" s="534">
        <f t="shared" si="45"/>
        <v>-0.24004290429042915</v>
      </c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  <c r="DS428" s="65"/>
      <c r="DT428" s="65"/>
      <c r="DU428" s="65"/>
      <c r="DV428" s="65"/>
      <c r="DW428" s="65"/>
      <c r="DX428" s="65"/>
      <c r="DY428" s="65"/>
      <c r="DZ428" s="65"/>
      <c r="EA428" s="65"/>
      <c r="EB428" s="65"/>
      <c r="EC428" s="65"/>
      <c r="ED428" s="65"/>
      <c r="EE428" s="65"/>
      <c r="EF428" s="65"/>
      <c r="EG428" s="65"/>
      <c r="EH428" s="65"/>
      <c r="EI428" s="65"/>
      <c r="EJ428" s="65"/>
      <c r="EK428" s="65"/>
      <c r="EL428" s="65"/>
      <c r="EM428" s="65"/>
      <c r="EN428" s="65"/>
      <c r="EO428" s="65"/>
      <c r="EP428" s="65"/>
      <c r="EQ428" s="65"/>
      <c r="ER428" s="65"/>
      <c r="ES428" s="65"/>
      <c r="ET428" s="65"/>
      <c r="EU428" s="65"/>
      <c r="EV428" s="65"/>
      <c r="EW428" s="65"/>
      <c r="EX428" s="65"/>
      <c r="EY428" s="65"/>
      <c r="EZ428" s="65"/>
      <c r="FA428" s="65"/>
      <c r="FB428" s="65"/>
      <c r="FC428" s="65"/>
      <c r="FD428" s="65"/>
      <c r="FE428" s="65"/>
      <c r="FF428" s="65"/>
      <c r="FG428" s="65"/>
      <c r="FH428" s="65"/>
      <c r="FI428" s="65"/>
      <c r="FJ428" s="65"/>
      <c r="FK428" s="65"/>
      <c r="FL428" s="65"/>
      <c r="FM428" s="65"/>
      <c r="FN428" s="65"/>
      <c r="FO428" s="65"/>
      <c r="FP428" s="65"/>
      <c r="FQ428" s="65"/>
      <c r="FR428" s="65"/>
      <c r="FS428" s="65"/>
      <c r="FT428" s="65"/>
      <c r="FU428" s="65"/>
      <c r="FV428" s="65"/>
      <c r="FW428" s="65"/>
      <c r="FX428" s="65"/>
      <c r="FY428" s="65"/>
      <c r="FZ428" s="65"/>
      <c r="GA428" s="65"/>
      <c r="GB428" s="65"/>
      <c r="GC428" s="65"/>
      <c r="GD428" s="65"/>
      <c r="GE428" s="65"/>
      <c r="GF428" s="65"/>
      <c r="GG428" s="65"/>
      <c r="GH428" s="65"/>
      <c r="GI428" s="65"/>
      <c r="GJ428" s="65"/>
      <c r="GK428" s="65"/>
      <c r="GL428" s="65"/>
      <c r="GM428" s="65"/>
      <c r="GN428" s="65"/>
      <c r="GO428" s="65"/>
      <c r="GP428" s="65"/>
      <c r="GQ428" s="65"/>
      <c r="GR428" s="65"/>
      <c r="GS428" s="65"/>
      <c r="GT428" s="65"/>
      <c r="GU428" s="65"/>
      <c r="GV428" s="65"/>
      <c r="GW428" s="65"/>
      <c r="GX428" s="65"/>
      <c r="GY428" s="65"/>
      <c r="GZ428" s="65"/>
      <c r="HA428" s="65"/>
      <c r="HB428" s="65"/>
      <c r="HC428" s="65"/>
      <c r="HD428" s="65"/>
      <c r="HE428" s="65"/>
      <c r="HF428" s="65"/>
      <c r="HG428" s="65"/>
      <c r="HH428" s="65"/>
      <c r="HI428" s="65"/>
      <c r="HJ428" s="65"/>
      <c r="HK428" s="65"/>
      <c r="HL428" s="65"/>
      <c r="HM428" s="65"/>
      <c r="HN428" s="65"/>
      <c r="HO428" s="65"/>
      <c r="HP428" s="65"/>
      <c r="HQ428" s="65"/>
      <c r="HR428" s="65"/>
      <c r="HS428" s="65"/>
      <c r="HT428" s="65"/>
      <c r="HU428" s="65"/>
      <c r="HV428" s="65"/>
      <c r="HW428" s="65"/>
      <c r="HX428" s="65"/>
      <c r="HY428" s="65"/>
      <c r="HZ428" s="65"/>
      <c r="IA428" s="65"/>
      <c r="IB428" s="65"/>
      <c r="IC428" s="65"/>
      <c r="ID428" s="65"/>
      <c r="IE428" s="65"/>
      <c r="IF428" s="65"/>
      <c r="IG428" s="65"/>
      <c r="IH428" s="65"/>
      <c r="II428" s="65"/>
      <c r="IJ428" s="65"/>
      <c r="IK428" s="65"/>
      <c r="IL428" s="65"/>
      <c r="IM428" s="65"/>
      <c r="IN428" s="65"/>
      <c r="IO428" s="65"/>
      <c r="IP428" s="65"/>
      <c r="IQ428" s="65"/>
      <c r="IR428" s="65"/>
      <c r="IS428" s="65"/>
      <c r="IT428" s="65"/>
      <c r="IU428" s="65"/>
    </row>
    <row r="429" spans="1:255" s="97" customFormat="1" ht="15.75" x14ac:dyDescent="0.25">
      <c r="A429" s="111"/>
      <c r="B429" s="86"/>
      <c r="C429" s="149"/>
      <c r="D429" s="173"/>
      <c r="E429" s="84"/>
      <c r="F429" s="72"/>
      <c r="G429" s="72"/>
      <c r="H429" s="72"/>
      <c r="I429" s="85"/>
      <c r="J429" s="149"/>
      <c r="K429" s="65"/>
      <c r="M429" s="110"/>
      <c r="N429" s="65"/>
      <c r="O429" s="65"/>
      <c r="P429" s="65"/>
      <c r="Q429" s="65"/>
      <c r="R429" s="65"/>
      <c r="S429" s="65"/>
      <c r="T429" s="534" t="str">
        <f t="shared" si="45"/>
        <v/>
      </c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  <c r="DS429" s="65"/>
      <c r="DT429" s="65"/>
      <c r="DU429" s="65"/>
      <c r="DV429" s="65"/>
      <c r="DW429" s="65"/>
      <c r="DX429" s="65"/>
      <c r="DY429" s="65"/>
      <c r="DZ429" s="65"/>
      <c r="EA429" s="65"/>
      <c r="EB429" s="65"/>
      <c r="EC429" s="65"/>
      <c r="ED429" s="65"/>
      <c r="EE429" s="65"/>
      <c r="EF429" s="65"/>
      <c r="EG429" s="65"/>
      <c r="EH429" s="65"/>
      <c r="EI429" s="65"/>
      <c r="EJ429" s="65"/>
      <c r="EK429" s="65"/>
      <c r="EL429" s="65"/>
      <c r="EM429" s="65"/>
      <c r="EN429" s="65"/>
      <c r="EO429" s="65"/>
      <c r="EP429" s="65"/>
      <c r="EQ429" s="65"/>
      <c r="ER429" s="65"/>
      <c r="ES429" s="65"/>
      <c r="ET429" s="65"/>
      <c r="EU429" s="65"/>
      <c r="EV429" s="65"/>
      <c r="EW429" s="65"/>
      <c r="EX429" s="65"/>
      <c r="EY429" s="65"/>
      <c r="EZ429" s="65"/>
      <c r="FA429" s="65"/>
      <c r="FB429" s="65"/>
      <c r="FC429" s="65"/>
      <c r="FD429" s="65"/>
      <c r="FE429" s="65"/>
      <c r="FF429" s="65"/>
      <c r="FG429" s="65"/>
      <c r="FH429" s="65"/>
      <c r="FI429" s="65"/>
      <c r="FJ429" s="65"/>
      <c r="FK429" s="65"/>
      <c r="FL429" s="65"/>
      <c r="FM429" s="65"/>
      <c r="FN429" s="65"/>
      <c r="FO429" s="65"/>
      <c r="FP429" s="65"/>
      <c r="FQ429" s="65"/>
      <c r="FR429" s="65"/>
      <c r="FS429" s="65"/>
      <c r="FT429" s="65"/>
      <c r="FU429" s="65"/>
      <c r="FV429" s="65"/>
      <c r="FW429" s="65"/>
      <c r="FX429" s="65"/>
      <c r="FY429" s="65"/>
      <c r="FZ429" s="65"/>
      <c r="GA429" s="65"/>
      <c r="GB429" s="65"/>
      <c r="GC429" s="65"/>
      <c r="GD429" s="65"/>
      <c r="GE429" s="65"/>
      <c r="GF429" s="65"/>
      <c r="GG429" s="65"/>
      <c r="GH429" s="65"/>
      <c r="GI429" s="65"/>
      <c r="GJ429" s="65"/>
      <c r="GK429" s="65"/>
      <c r="GL429" s="65"/>
      <c r="GM429" s="65"/>
      <c r="GN429" s="65"/>
      <c r="GO429" s="65"/>
      <c r="GP429" s="65"/>
      <c r="GQ429" s="65"/>
      <c r="GR429" s="65"/>
      <c r="GS429" s="65"/>
      <c r="GT429" s="65"/>
      <c r="GU429" s="65"/>
      <c r="GV429" s="65"/>
      <c r="GW429" s="65"/>
      <c r="GX429" s="65"/>
      <c r="GY429" s="65"/>
      <c r="GZ429" s="65"/>
      <c r="HA429" s="65"/>
      <c r="HB429" s="65"/>
      <c r="HC429" s="65"/>
      <c r="HD429" s="65"/>
      <c r="HE429" s="65"/>
      <c r="HF429" s="65"/>
      <c r="HG429" s="65"/>
      <c r="HH429" s="65"/>
      <c r="HI429" s="65"/>
      <c r="HJ429" s="65"/>
      <c r="HK429" s="65"/>
      <c r="HL429" s="65"/>
      <c r="HM429" s="65"/>
      <c r="HN429" s="65"/>
      <c r="HO429" s="65"/>
      <c r="HP429" s="65"/>
      <c r="HQ429" s="65"/>
      <c r="HR429" s="65"/>
      <c r="HS429" s="65"/>
      <c r="HT429" s="65"/>
      <c r="HU429" s="65"/>
      <c r="HV429" s="65"/>
      <c r="HW429" s="65"/>
      <c r="HX429" s="65"/>
      <c r="HY429" s="65"/>
      <c r="HZ429" s="65"/>
      <c r="IA429" s="65"/>
      <c r="IB429" s="65"/>
      <c r="IC429" s="65"/>
      <c r="ID429" s="65"/>
      <c r="IE429" s="65"/>
      <c r="IF429" s="65"/>
      <c r="IG429" s="65"/>
      <c r="IH429" s="65"/>
      <c r="II429" s="65"/>
      <c r="IJ429" s="65"/>
      <c r="IK429" s="65"/>
      <c r="IL429" s="65"/>
      <c r="IM429" s="65"/>
      <c r="IN429" s="65"/>
      <c r="IO429" s="65"/>
      <c r="IP429" s="65"/>
      <c r="IQ429" s="65"/>
      <c r="IR429" s="65"/>
      <c r="IS429" s="65"/>
      <c r="IT429" s="65"/>
      <c r="IU429" s="65"/>
    </row>
    <row r="430" spans="1:255" s="97" customFormat="1" ht="15.75" x14ac:dyDescent="0.25">
      <c r="A430" s="210" t="s">
        <v>403</v>
      </c>
      <c r="B430" s="86"/>
      <c r="C430" s="149"/>
      <c r="D430" s="173"/>
      <c r="E430" s="84"/>
      <c r="F430" s="72"/>
      <c r="G430" s="72"/>
      <c r="H430" s="72"/>
      <c r="I430" s="85"/>
      <c r="J430" s="149"/>
      <c r="K430" s="65"/>
      <c r="M430" s="110"/>
      <c r="N430" s="65"/>
      <c r="O430" s="65"/>
      <c r="P430" s="65"/>
      <c r="Q430" s="65"/>
      <c r="R430" s="65"/>
      <c r="S430" s="65"/>
      <c r="T430" s="534" t="str">
        <f t="shared" si="45"/>
        <v/>
      </c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  <c r="DS430" s="65"/>
      <c r="DT430" s="65"/>
      <c r="DU430" s="65"/>
      <c r="DV430" s="65"/>
      <c r="DW430" s="65"/>
      <c r="DX430" s="65"/>
      <c r="DY430" s="65"/>
      <c r="DZ430" s="65"/>
      <c r="EA430" s="65"/>
      <c r="EB430" s="65"/>
      <c r="EC430" s="65"/>
      <c r="ED430" s="65"/>
      <c r="EE430" s="65"/>
      <c r="EF430" s="65"/>
      <c r="EG430" s="65"/>
      <c r="EH430" s="65"/>
      <c r="EI430" s="65"/>
      <c r="EJ430" s="65"/>
      <c r="EK430" s="65"/>
      <c r="EL430" s="65"/>
      <c r="EM430" s="65"/>
      <c r="EN430" s="65"/>
      <c r="EO430" s="65"/>
      <c r="EP430" s="65"/>
      <c r="EQ430" s="65"/>
      <c r="ER430" s="65"/>
      <c r="ES430" s="65"/>
      <c r="ET430" s="65"/>
      <c r="EU430" s="65"/>
      <c r="EV430" s="65"/>
      <c r="EW430" s="65"/>
      <c r="EX430" s="65"/>
      <c r="EY430" s="65"/>
      <c r="EZ430" s="65"/>
      <c r="FA430" s="65"/>
      <c r="FB430" s="65"/>
      <c r="FC430" s="65"/>
      <c r="FD430" s="65"/>
      <c r="FE430" s="65"/>
      <c r="FF430" s="65"/>
      <c r="FG430" s="65"/>
      <c r="FH430" s="65"/>
      <c r="FI430" s="65"/>
      <c r="FJ430" s="65"/>
      <c r="FK430" s="65"/>
      <c r="FL430" s="65"/>
      <c r="FM430" s="65"/>
      <c r="FN430" s="65"/>
      <c r="FO430" s="65"/>
      <c r="FP430" s="65"/>
      <c r="FQ430" s="65"/>
      <c r="FR430" s="65"/>
      <c r="FS430" s="65"/>
      <c r="FT430" s="65"/>
      <c r="FU430" s="65"/>
      <c r="FV430" s="65"/>
      <c r="FW430" s="65"/>
      <c r="FX430" s="65"/>
      <c r="FY430" s="65"/>
      <c r="FZ430" s="65"/>
      <c r="GA430" s="65"/>
      <c r="GB430" s="65"/>
      <c r="GC430" s="65"/>
      <c r="GD430" s="65"/>
      <c r="GE430" s="65"/>
      <c r="GF430" s="65"/>
      <c r="GG430" s="65"/>
      <c r="GH430" s="65"/>
      <c r="GI430" s="65"/>
      <c r="GJ430" s="65"/>
      <c r="GK430" s="65"/>
      <c r="GL430" s="65"/>
      <c r="GM430" s="65"/>
      <c r="GN430" s="65"/>
      <c r="GO430" s="65"/>
      <c r="GP430" s="65"/>
      <c r="GQ430" s="65"/>
      <c r="GR430" s="65"/>
      <c r="GS430" s="65"/>
      <c r="GT430" s="65"/>
      <c r="GU430" s="65"/>
      <c r="GV430" s="65"/>
      <c r="GW430" s="65"/>
      <c r="GX430" s="65"/>
      <c r="GY430" s="65"/>
      <c r="GZ430" s="65"/>
      <c r="HA430" s="65"/>
      <c r="HB430" s="65"/>
      <c r="HC430" s="65"/>
      <c r="HD430" s="65"/>
      <c r="HE430" s="65"/>
      <c r="HF430" s="65"/>
      <c r="HG430" s="65"/>
      <c r="HH430" s="65"/>
      <c r="HI430" s="65"/>
      <c r="HJ430" s="65"/>
      <c r="HK430" s="65"/>
      <c r="HL430" s="65"/>
      <c r="HM430" s="65"/>
      <c r="HN430" s="65"/>
      <c r="HO430" s="65"/>
      <c r="HP430" s="65"/>
      <c r="HQ430" s="65"/>
      <c r="HR430" s="65"/>
      <c r="HS430" s="65"/>
      <c r="HT430" s="65"/>
      <c r="HU430" s="65"/>
      <c r="HV430" s="65"/>
      <c r="HW430" s="65"/>
      <c r="HX430" s="65"/>
      <c r="HY430" s="65"/>
      <c r="HZ430" s="65"/>
      <c r="IA430" s="65"/>
      <c r="IB430" s="65"/>
      <c r="IC430" s="65"/>
      <c r="ID430" s="65"/>
      <c r="IE430" s="65"/>
      <c r="IF430" s="65"/>
      <c r="IG430" s="65"/>
      <c r="IH430" s="65"/>
      <c r="II430" s="65"/>
      <c r="IJ430" s="65"/>
      <c r="IK430" s="65"/>
      <c r="IL430" s="65"/>
      <c r="IM430" s="65"/>
      <c r="IN430" s="65"/>
      <c r="IO430" s="65"/>
      <c r="IP430" s="65"/>
      <c r="IQ430" s="65"/>
      <c r="IR430" s="65"/>
      <c r="IS430" s="65"/>
      <c r="IT430" s="65"/>
      <c r="IU430" s="65"/>
    </row>
    <row r="431" spans="1:255" s="65" customFormat="1" ht="15.75" customHeight="1" x14ac:dyDescent="0.25">
      <c r="A431" s="201"/>
      <c r="B431" s="86"/>
      <c r="C431" s="174"/>
      <c r="D431" s="83"/>
      <c r="E431" s="84"/>
      <c r="F431" s="72"/>
      <c r="G431" s="72"/>
      <c r="H431" s="72"/>
      <c r="I431" s="85"/>
      <c r="J431" s="149"/>
      <c r="M431" s="110"/>
      <c r="T431" s="534" t="str">
        <f t="shared" si="45"/>
        <v/>
      </c>
    </row>
    <row r="432" spans="1:255" s="65" customFormat="1" ht="15.75" customHeight="1" x14ac:dyDescent="0.25">
      <c r="A432" s="111" t="s">
        <v>404</v>
      </c>
      <c r="B432" s="86"/>
      <c r="C432" s="174"/>
      <c r="D432" s="83">
        <f t="shared" ref="D432:I432" si="49">SUM(D433:D471)</f>
        <v>146815.13333333333</v>
      </c>
      <c r="E432" s="84">
        <f t="shared" si="49"/>
        <v>5973.3989999999976</v>
      </c>
      <c r="F432" s="72">
        <f t="shared" si="49"/>
        <v>-1568.9450000000002</v>
      </c>
      <c r="G432" s="72">
        <f t="shared" si="49"/>
        <v>0</v>
      </c>
      <c r="H432" s="72">
        <f t="shared" si="49"/>
        <v>0</v>
      </c>
      <c r="I432" s="85">
        <f t="shared" si="49"/>
        <v>4404.4539999999997</v>
      </c>
      <c r="J432" s="149"/>
      <c r="M432" s="110"/>
      <c r="T432" s="534">
        <f t="shared" si="45"/>
        <v>0.03</v>
      </c>
    </row>
    <row r="433" spans="1:20" s="65" customFormat="1" ht="6" hidden="1" customHeight="1" x14ac:dyDescent="0.25">
      <c r="A433" s="194"/>
      <c r="B433" s="204"/>
      <c r="C433" s="196"/>
      <c r="D433" s="197"/>
      <c r="E433" s="198"/>
      <c r="F433" s="199"/>
      <c r="G433" s="199"/>
      <c r="H433" s="199"/>
      <c r="I433" s="199">
        <f>F433+E433</f>
        <v>0</v>
      </c>
      <c r="J433" s="149"/>
      <c r="M433" s="110"/>
      <c r="T433" s="534" t="str">
        <f t="shared" si="45"/>
        <v/>
      </c>
    </row>
    <row r="434" spans="1:20" s="65" customFormat="1" ht="18" hidden="1" x14ac:dyDescent="0.25">
      <c r="A434" s="214" t="s">
        <v>405</v>
      </c>
      <c r="B434" s="59"/>
      <c r="C434" s="163"/>
      <c r="D434" s="61">
        <f t="shared" ref="D434:D469" si="50">I434/0.03</f>
        <v>246.66666666666666</v>
      </c>
      <c r="E434" s="63">
        <f>10113/1000</f>
        <v>10.113</v>
      </c>
      <c r="F434" s="63">
        <v>-2.7130000000000001</v>
      </c>
      <c r="G434" s="63">
        <v>0</v>
      </c>
      <c r="H434" s="63"/>
      <c r="I434" s="64">
        <f>SUM(E434:G434)</f>
        <v>7.3999999999999995</v>
      </c>
      <c r="J434" s="149" t="s">
        <v>69</v>
      </c>
      <c r="M434" s="110"/>
      <c r="T434" s="534">
        <f t="shared" si="45"/>
        <v>0.03</v>
      </c>
    </row>
    <row r="435" spans="1:20" s="110" customFormat="1" ht="18" hidden="1" customHeight="1" x14ac:dyDescent="0.25">
      <c r="A435" s="214" t="s">
        <v>406</v>
      </c>
      <c r="B435" s="105"/>
      <c r="C435" s="106"/>
      <c r="D435" s="107">
        <f t="shared" si="50"/>
        <v>3698.7666666666664</v>
      </c>
      <c r="E435" s="108">
        <f>151548/1000</f>
        <v>151.548</v>
      </c>
      <c r="F435" s="108">
        <f>-40585/1000</f>
        <v>-40.585000000000001</v>
      </c>
      <c r="G435" s="108"/>
      <c r="H435" s="108"/>
      <c r="I435" s="109">
        <f t="shared" ref="I435:I458" si="51">SUM(E435:G435)</f>
        <v>110.96299999999999</v>
      </c>
      <c r="J435" s="149" t="s">
        <v>69</v>
      </c>
      <c r="T435" s="534">
        <f t="shared" si="45"/>
        <v>0.03</v>
      </c>
    </row>
    <row r="436" spans="1:20" s="110" customFormat="1" ht="18" hidden="1" customHeight="1" x14ac:dyDescent="0.25">
      <c r="A436" s="214" t="s">
        <v>407</v>
      </c>
      <c r="B436" s="105"/>
      <c r="C436" s="106"/>
      <c r="D436" s="107">
        <f t="shared" si="50"/>
        <v>5965.3666666666668</v>
      </c>
      <c r="E436" s="108">
        <f>243629/1000</f>
        <v>243.62899999999999</v>
      </c>
      <c r="F436" s="108">
        <f>-64668/1000</f>
        <v>-64.668000000000006</v>
      </c>
      <c r="G436" s="108"/>
      <c r="H436" s="108"/>
      <c r="I436" s="109">
        <f t="shared" si="51"/>
        <v>178.96099999999998</v>
      </c>
      <c r="J436" s="149" t="s">
        <v>69</v>
      </c>
      <c r="T436" s="534">
        <f t="shared" si="45"/>
        <v>2.9999999999999995E-2</v>
      </c>
    </row>
    <row r="437" spans="1:20" s="110" customFormat="1" ht="18" hidden="1" customHeight="1" x14ac:dyDescent="0.25">
      <c r="A437" s="214" t="s">
        <v>408</v>
      </c>
      <c r="B437" s="105"/>
      <c r="C437" s="106"/>
      <c r="D437" s="107">
        <f t="shared" si="50"/>
        <v>5831.6333333333341</v>
      </c>
      <c r="E437" s="108">
        <f>238149/1000</f>
        <v>238.149</v>
      </c>
      <c r="F437" s="108">
        <f>-63200/1000</f>
        <v>-63.2</v>
      </c>
      <c r="G437" s="108"/>
      <c r="H437" s="108"/>
      <c r="I437" s="109">
        <f t="shared" si="51"/>
        <v>174.94900000000001</v>
      </c>
      <c r="J437" s="149" t="s">
        <v>69</v>
      </c>
      <c r="T437" s="534">
        <f t="shared" si="45"/>
        <v>0.03</v>
      </c>
    </row>
    <row r="438" spans="1:20" s="110" customFormat="1" ht="18" hidden="1" customHeight="1" x14ac:dyDescent="0.25">
      <c r="A438" s="214" t="s">
        <v>409</v>
      </c>
      <c r="B438" s="105"/>
      <c r="C438" s="106"/>
      <c r="D438" s="107">
        <f t="shared" si="50"/>
        <v>8712.2000000000007</v>
      </c>
      <c r="E438" s="108">
        <f>342943/1000</f>
        <v>342.94299999999998</v>
      </c>
      <c r="F438" s="108">
        <f>-81577/1000</f>
        <v>-81.576999999999998</v>
      </c>
      <c r="G438" s="108"/>
      <c r="H438" s="108"/>
      <c r="I438" s="109">
        <f t="shared" si="51"/>
        <v>261.36599999999999</v>
      </c>
      <c r="J438" s="149" t="s">
        <v>69</v>
      </c>
      <c r="T438" s="534">
        <f t="shared" si="45"/>
        <v>2.9999999999999995E-2</v>
      </c>
    </row>
    <row r="439" spans="1:20" s="110" customFormat="1" ht="18" hidden="1" customHeight="1" x14ac:dyDescent="0.25">
      <c r="A439" s="214" t="s">
        <v>410</v>
      </c>
      <c r="B439" s="105"/>
      <c r="C439" s="106"/>
      <c r="D439" s="107">
        <f t="shared" si="50"/>
        <v>12837.1</v>
      </c>
      <c r="E439" s="108">
        <f>517063/1000</f>
        <v>517.06299999999999</v>
      </c>
      <c r="F439" s="108">
        <f>-131950/1000</f>
        <v>-131.94999999999999</v>
      </c>
      <c r="G439" s="108"/>
      <c r="H439" s="108"/>
      <c r="I439" s="109">
        <f t="shared" si="51"/>
        <v>385.113</v>
      </c>
      <c r="J439" s="149" t="s">
        <v>69</v>
      </c>
      <c r="T439" s="534">
        <f t="shared" si="45"/>
        <v>0.03</v>
      </c>
    </row>
    <row r="440" spans="1:20" s="110" customFormat="1" ht="18" hidden="1" customHeight="1" x14ac:dyDescent="0.25">
      <c r="A440" s="214" t="s">
        <v>411</v>
      </c>
      <c r="B440" s="105"/>
      <c r="C440" s="106"/>
      <c r="D440" s="107">
        <f t="shared" si="50"/>
        <v>7740.5333333333338</v>
      </c>
      <c r="E440" s="108">
        <f>312314/1000</f>
        <v>312.31400000000002</v>
      </c>
      <c r="F440" s="108">
        <f>-80098/1000</f>
        <v>-80.097999999999999</v>
      </c>
      <c r="G440" s="108"/>
      <c r="H440" s="108"/>
      <c r="I440" s="109">
        <f t="shared" si="51"/>
        <v>232.21600000000001</v>
      </c>
      <c r="J440" s="149" t="s">
        <v>69</v>
      </c>
      <c r="T440" s="534">
        <f t="shared" si="45"/>
        <v>0.03</v>
      </c>
    </row>
    <row r="441" spans="1:20" s="110" customFormat="1" ht="18" hidden="1" customHeight="1" x14ac:dyDescent="0.25">
      <c r="A441" s="214" t="s">
        <v>412</v>
      </c>
      <c r="B441" s="105"/>
      <c r="C441" s="106"/>
      <c r="D441" s="107">
        <f t="shared" si="50"/>
        <v>10060</v>
      </c>
      <c r="E441" s="108">
        <f>410752/1000</f>
        <v>410.75200000000001</v>
      </c>
      <c r="F441" s="108">
        <f>-108952/1000</f>
        <v>-108.952</v>
      </c>
      <c r="G441" s="108"/>
      <c r="H441" s="108"/>
      <c r="I441" s="109">
        <f t="shared" si="51"/>
        <v>301.8</v>
      </c>
      <c r="J441" s="149" t="s">
        <v>69</v>
      </c>
      <c r="T441" s="534">
        <f t="shared" si="45"/>
        <v>3.0000000000000002E-2</v>
      </c>
    </row>
    <row r="442" spans="1:20" s="110" customFormat="1" ht="18" hidden="1" customHeight="1" x14ac:dyDescent="0.25">
      <c r="A442" s="214" t="s">
        <v>413</v>
      </c>
      <c r="B442" s="105"/>
      <c r="C442" s="106"/>
      <c r="D442" s="107">
        <f t="shared" si="50"/>
        <v>9511.0333333333347</v>
      </c>
      <c r="E442" s="108">
        <f>386535/1000</f>
        <v>386.53500000000003</v>
      </c>
      <c r="F442" s="108">
        <f>-101204/1000</f>
        <v>-101.20399999999999</v>
      </c>
      <c r="G442" s="108"/>
      <c r="H442" s="108"/>
      <c r="I442" s="109">
        <f t="shared" si="51"/>
        <v>285.33100000000002</v>
      </c>
      <c r="J442" s="149" t="s">
        <v>69</v>
      </c>
      <c r="T442" s="534">
        <f t="shared" si="45"/>
        <v>0.03</v>
      </c>
    </row>
    <row r="443" spans="1:20" s="110" customFormat="1" ht="18" hidden="1" customHeight="1" x14ac:dyDescent="0.25">
      <c r="A443" s="214" t="s">
        <v>414</v>
      </c>
      <c r="B443" s="105"/>
      <c r="C443" s="106"/>
      <c r="D443" s="107">
        <f t="shared" si="50"/>
        <v>1036.5333333333333</v>
      </c>
      <c r="E443" s="108">
        <f>41894/1000</f>
        <v>41.893999999999998</v>
      </c>
      <c r="F443" s="108">
        <v>-10.798</v>
      </c>
      <c r="G443" s="108"/>
      <c r="H443" s="108"/>
      <c r="I443" s="109">
        <f t="shared" si="51"/>
        <v>31.095999999999997</v>
      </c>
      <c r="J443" s="149" t="s">
        <v>69</v>
      </c>
      <c r="T443" s="534">
        <f t="shared" si="45"/>
        <v>0.03</v>
      </c>
    </row>
    <row r="444" spans="1:20" s="110" customFormat="1" ht="18" hidden="1" customHeight="1" x14ac:dyDescent="0.25">
      <c r="A444" s="214" t="s">
        <v>415</v>
      </c>
      <c r="B444" s="105"/>
      <c r="C444" s="106"/>
      <c r="D444" s="107">
        <f t="shared" si="50"/>
        <v>2859.9666666666672</v>
      </c>
      <c r="E444" s="108">
        <f>115555/1000</f>
        <v>115.55500000000001</v>
      </c>
      <c r="F444" s="108">
        <v>-29.756</v>
      </c>
      <c r="G444" s="108"/>
      <c r="H444" s="108"/>
      <c r="I444" s="109">
        <f t="shared" si="51"/>
        <v>85.799000000000007</v>
      </c>
      <c r="J444" s="149" t="s">
        <v>69</v>
      </c>
      <c r="T444" s="534">
        <f t="shared" si="45"/>
        <v>0.03</v>
      </c>
    </row>
    <row r="445" spans="1:20" s="110" customFormat="1" ht="18" hidden="1" customHeight="1" x14ac:dyDescent="0.25">
      <c r="A445" s="214" t="s">
        <v>416</v>
      </c>
      <c r="B445" s="105"/>
      <c r="C445" s="106"/>
      <c r="D445" s="107">
        <f t="shared" si="50"/>
        <v>1481.3999999999999</v>
      </c>
      <c r="E445" s="108">
        <f>60041/1000</f>
        <v>60.040999999999997</v>
      </c>
      <c r="F445" s="108">
        <v>-15.599</v>
      </c>
      <c r="G445" s="108"/>
      <c r="H445" s="108"/>
      <c r="I445" s="109">
        <f t="shared" si="51"/>
        <v>44.441999999999993</v>
      </c>
      <c r="J445" s="149" t="s">
        <v>69</v>
      </c>
      <c r="T445" s="534">
        <f t="shared" si="45"/>
        <v>0.03</v>
      </c>
    </row>
    <row r="446" spans="1:20" s="110" customFormat="1" ht="18" hidden="1" customHeight="1" x14ac:dyDescent="0.25">
      <c r="A446" s="214" t="s">
        <v>417</v>
      </c>
      <c r="B446" s="105"/>
      <c r="C446" s="106"/>
      <c r="D446" s="107">
        <f t="shared" si="50"/>
        <v>390.63333333333333</v>
      </c>
      <c r="E446" s="108">
        <f>15808/1000</f>
        <v>15.808</v>
      </c>
      <c r="F446" s="108">
        <v>-4.0890000000000004</v>
      </c>
      <c r="G446" s="108"/>
      <c r="H446" s="108"/>
      <c r="I446" s="109">
        <f t="shared" si="51"/>
        <v>11.718999999999999</v>
      </c>
      <c r="J446" s="149" t="s">
        <v>69</v>
      </c>
      <c r="T446" s="534">
        <f t="shared" si="45"/>
        <v>0.03</v>
      </c>
    </row>
    <row r="447" spans="1:20" s="110" customFormat="1" ht="18" hidden="1" customHeight="1" x14ac:dyDescent="0.25">
      <c r="A447" s="214" t="s">
        <v>418</v>
      </c>
      <c r="B447" s="105"/>
      <c r="C447" s="106"/>
      <c r="D447" s="107">
        <f t="shared" si="50"/>
        <v>2426.5</v>
      </c>
      <c r="E447" s="108">
        <f>98187/1000</f>
        <v>98.186999999999998</v>
      </c>
      <c r="F447" s="108">
        <v>-25.391999999999999</v>
      </c>
      <c r="G447" s="108"/>
      <c r="H447" s="108"/>
      <c r="I447" s="109">
        <f t="shared" si="51"/>
        <v>72.795000000000002</v>
      </c>
      <c r="J447" s="149" t="s">
        <v>69</v>
      </c>
      <c r="T447" s="534">
        <f t="shared" si="45"/>
        <v>3.0000000000000002E-2</v>
      </c>
    </row>
    <row r="448" spans="1:20" s="110" customFormat="1" ht="18" hidden="1" customHeight="1" x14ac:dyDescent="0.25">
      <c r="A448" s="214" t="s">
        <v>419</v>
      </c>
      <c r="B448" s="105"/>
      <c r="C448" s="106"/>
      <c r="D448" s="107">
        <f t="shared" si="50"/>
        <v>197.86666666666667</v>
      </c>
      <c r="E448" s="108">
        <f>7999/1000</f>
        <v>7.9989999999999997</v>
      </c>
      <c r="F448" s="108">
        <v>-2.0630000000000002</v>
      </c>
      <c r="G448" s="108"/>
      <c r="H448" s="108"/>
      <c r="I448" s="109">
        <f t="shared" si="51"/>
        <v>5.9359999999999999</v>
      </c>
      <c r="J448" s="149" t="s">
        <v>69</v>
      </c>
      <c r="T448" s="534">
        <f t="shared" si="45"/>
        <v>0.03</v>
      </c>
    </row>
    <row r="449" spans="1:20" s="110" customFormat="1" ht="18" hidden="1" customHeight="1" x14ac:dyDescent="0.25">
      <c r="A449" s="214" t="s">
        <v>420</v>
      </c>
      <c r="B449" s="105"/>
      <c r="C449" s="106"/>
      <c r="D449" s="107">
        <f t="shared" si="50"/>
        <v>3292.1666666666674</v>
      </c>
      <c r="E449" s="108">
        <f>135217/1000</f>
        <v>135.21700000000001</v>
      </c>
      <c r="F449" s="108">
        <f>-36452/1000</f>
        <v>-36.451999999999998</v>
      </c>
      <c r="G449" s="108"/>
      <c r="H449" s="108"/>
      <c r="I449" s="109">
        <f t="shared" si="51"/>
        <v>98.765000000000015</v>
      </c>
      <c r="J449" s="149" t="s">
        <v>69</v>
      </c>
      <c r="T449" s="534">
        <f t="shared" si="45"/>
        <v>0.03</v>
      </c>
    </row>
    <row r="450" spans="1:20" s="110" customFormat="1" ht="18" hidden="1" customHeight="1" x14ac:dyDescent="0.25">
      <c r="A450" s="214" t="s">
        <v>421</v>
      </c>
      <c r="B450" s="105"/>
      <c r="C450" s="106"/>
      <c r="D450" s="107">
        <f t="shared" si="50"/>
        <v>4447.3333333333339</v>
      </c>
      <c r="E450" s="108">
        <f>181941/1000</f>
        <v>181.941</v>
      </c>
      <c r="F450" s="108">
        <f>-48521/1000</f>
        <v>-48.521000000000001</v>
      </c>
      <c r="G450" s="108"/>
      <c r="H450" s="108"/>
      <c r="I450" s="109">
        <f t="shared" si="51"/>
        <v>133.42000000000002</v>
      </c>
      <c r="J450" s="149" t="s">
        <v>69</v>
      </c>
      <c r="T450" s="534">
        <f t="shared" si="45"/>
        <v>0.03</v>
      </c>
    </row>
    <row r="451" spans="1:20" s="110" customFormat="1" ht="18" hidden="1" customHeight="1" x14ac:dyDescent="0.25">
      <c r="A451" s="214" t="s">
        <v>422</v>
      </c>
      <c r="B451" s="105"/>
      <c r="C451" s="106"/>
      <c r="D451" s="107">
        <f t="shared" si="50"/>
        <v>7064.2000000000007</v>
      </c>
      <c r="E451" s="108">
        <f>289836/1000</f>
        <v>289.83600000000001</v>
      </c>
      <c r="F451" s="108">
        <f>-77910/1000</f>
        <v>-77.91</v>
      </c>
      <c r="G451" s="108"/>
      <c r="H451" s="108"/>
      <c r="I451" s="109">
        <f t="shared" si="51"/>
        <v>211.92600000000002</v>
      </c>
      <c r="J451" s="149" t="s">
        <v>69</v>
      </c>
      <c r="T451" s="534">
        <f t="shared" si="45"/>
        <v>0.03</v>
      </c>
    </row>
    <row r="452" spans="1:20" s="110" customFormat="1" ht="18" hidden="1" customHeight="1" x14ac:dyDescent="0.25">
      <c r="A452" s="214" t="s">
        <v>423</v>
      </c>
      <c r="B452" s="105"/>
      <c r="C452" s="106"/>
      <c r="D452" s="107">
        <f t="shared" si="50"/>
        <v>6644.8</v>
      </c>
      <c r="E452" s="108">
        <f>272425/1000</f>
        <v>272.42500000000001</v>
      </c>
      <c r="F452" s="108">
        <f>-73081/1000</f>
        <v>-73.081000000000003</v>
      </c>
      <c r="G452" s="108"/>
      <c r="H452" s="108"/>
      <c r="I452" s="109">
        <f t="shared" si="51"/>
        <v>199.34399999999999</v>
      </c>
      <c r="J452" s="149" t="s">
        <v>69</v>
      </c>
      <c r="T452" s="534">
        <f t="shared" si="45"/>
        <v>0.03</v>
      </c>
    </row>
    <row r="453" spans="1:20" s="110" customFormat="1" ht="18" hidden="1" customHeight="1" x14ac:dyDescent="0.25">
      <c r="A453" s="214" t="s">
        <v>424</v>
      </c>
      <c r="B453" s="105"/>
      <c r="C453" s="106"/>
      <c r="D453" s="107">
        <f t="shared" si="50"/>
        <v>7439.4666666666681</v>
      </c>
      <c r="E453" s="108">
        <f>303857/1000</f>
        <v>303.85700000000003</v>
      </c>
      <c r="F453" s="108">
        <f>-80673/1000</f>
        <v>-80.673000000000002</v>
      </c>
      <c r="G453" s="108"/>
      <c r="H453" s="108"/>
      <c r="I453" s="109">
        <f t="shared" si="51"/>
        <v>223.18400000000003</v>
      </c>
      <c r="J453" s="149" t="s">
        <v>69</v>
      </c>
      <c r="T453" s="534">
        <f t="shared" si="45"/>
        <v>0.03</v>
      </c>
    </row>
    <row r="454" spans="1:20" s="110" customFormat="1" ht="18" hidden="1" customHeight="1" x14ac:dyDescent="0.25">
      <c r="A454" s="214" t="s">
        <v>425</v>
      </c>
      <c r="B454" s="105"/>
      <c r="C454" s="106"/>
      <c r="D454" s="107">
        <f t="shared" si="50"/>
        <v>3191.9333333333329</v>
      </c>
      <c r="E454" s="108">
        <f>131766/1000</f>
        <v>131.76599999999999</v>
      </c>
      <c r="F454" s="108">
        <f>-36008/1000</f>
        <v>-36.008000000000003</v>
      </c>
      <c r="G454" s="108"/>
      <c r="H454" s="108"/>
      <c r="I454" s="109">
        <f t="shared" si="51"/>
        <v>95.757999999999981</v>
      </c>
      <c r="J454" s="149" t="s">
        <v>69</v>
      </c>
      <c r="T454" s="534">
        <f t="shared" si="45"/>
        <v>0.03</v>
      </c>
    </row>
    <row r="455" spans="1:20" s="110" customFormat="1" ht="18" hidden="1" customHeight="1" x14ac:dyDescent="0.25">
      <c r="A455" s="214" t="s">
        <v>426</v>
      </c>
      <c r="B455" s="105"/>
      <c r="C455" s="106"/>
      <c r="D455" s="107">
        <f t="shared" si="50"/>
        <v>3575.4333333333329</v>
      </c>
      <c r="E455" s="108">
        <f>146629/1000</f>
        <v>146.62899999999999</v>
      </c>
      <c r="F455" s="108">
        <f>-39366/1000</f>
        <v>-39.366</v>
      </c>
      <c r="G455" s="108"/>
      <c r="H455" s="108"/>
      <c r="I455" s="109">
        <f t="shared" si="51"/>
        <v>107.26299999999999</v>
      </c>
      <c r="J455" s="149" t="s">
        <v>69</v>
      </c>
      <c r="T455" s="534">
        <f t="shared" si="45"/>
        <v>3.0000000000000002E-2</v>
      </c>
    </row>
    <row r="456" spans="1:20" s="110" customFormat="1" ht="18" hidden="1" customHeight="1" x14ac:dyDescent="0.25">
      <c r="A456" s="214" t="s">
        <v>427</v>
      </c>
      <c r="B456" s="105"/>
      <c r="C456" s="106"/>
      <c r="D456" s="107">
        <f t="shared" si="50"/>
        <v>5704.7000000000007</v>
      </c>
      <c r="E456" s="108">
        <f>234859/1000</f>
        <v>234.85900000000001</v>
      </c>
      <c r="F456" s="108">
        <f>-63718/1000</f>
        <v>-63.718000000000004</v>
      </c>
      <c r="G456" s="108"/>
      <c r="H456" s="108"/>
      <c r="I456" s="109">
        <f t="shared" si="51"/>
        <v>171.14100000000002</v>
      </c>
      <c r="J456" s="149" t="s">
        <v>69</v>
      </c>
      <c r="T456" s="534">
        <f t="shared" si="45"/>
        <v>0.03</v>
      </c>
    </row>
    <row r="457" spans="1:20" s="110" customFormat="1" ht="18" hidden="1" customHeight="1" x14ac:dyDescent="0.25">
      <c r="A457" s="214" t="s">
        <v>428</v>
      </c>
      <c r="B457" s="105"/>
      <c r="C457" s="106"/>
      <c r="D457" s="107">
        <f t="shared" si="50"/>
        <v>5761.8333333333339</v>
      </c>
      <c r="E457" s="108">
        <f>229978/1000</f>
        <v>229.97800000000001</v>
      </c>
      <c r="F457" s="108">
        <f>-57123/1000</f>
        <v>-57.122999999999998</v>
      </c>
      <c r="G457" s="108"/>
      <c r="H457" s="108"/>
      <c r="I457" s="109">
        <f t="shared" si="51"/>
        <v>172.85500000000002</v>
      </c>
      <c r="J457" s="149" t="s">
        <v>69</v>
      </c>
      <c r="T457" s="534">
        <f t="shared" si="45"/>
        <v>0.03</v>
      </c>
    </row>
    <row r="458" spans="1:20" s="110" customFormat="1" ht="18" hidden="1" customHeight="1" x14ac:dyDescent="0.25">
      <c r="A458" s="214" t="s">
        <v>429</v>
      </c>
      <c r="B458" s="105"/>
      <c r="C458" s="106"/>
      <c r="D458" s="107">
        <f t="shared" si="50"/>
        <v>772.86666666666667</v>
      </c>
      <c r="E458" s="108">
        <f>31231/1000</f>
        <v>31.231000000000002</v>
      </c>
      <c r="F458" s="108">
        <v>-8.0449999999999999</v>
      </c>
      <c r="G458" s="108"/>
      <c r="H458" s="108"/>
      <c r="I458" s="109">
        <f t="shared" si="51"/>
        <v>23.186</v>
      </c>
      <c r="J458" s="149" t="s">
        <v>69</v>
      </c>
      <c r="T458" s="534">
        <f t="shared" si="45"/>
        <v>0.03</v>
      </c>
    </row>
    <row r="459" spans="1:20" s="65" customFormat="1" ht="18" hidden="1" customHeight="1" x14ac:dyDescent="0.25">
      <c r="A459" s="207" t="s">
        <v>430</v>
      </c>
      <c r="B459" s="170"/>
      <c r="C459" s="171"/>
      <c r="D459" s="87">
        <f t="shared" si="50"/>
        <v>2470.8666666666668</v>
      </c>
      <c r="E459" s="84">
        <f>100967/1000</f>
        <v>100.967</v>
      </c>
      <c r="F459" s="72">
        <v>-26.841000000000001</v>
      </c>
      <c r="G459" s="72"/>
      <c r="H459" s="72"/>
      <c r="I459" s="85">
        <f t="shared" ref="I459:I464" si="52">F459+E459</f>
        <v>74.126000000000005</v>
      </c>
      <c r="J459" s="149" t="s">
        <v>69</v>
      </c>
      <c r="M459" s="110"/>
      <c r="T459" s="534">
        <f t="shared" si="45"/>
        <v>0.03</v>
      </c>
    </row>
    <row r="460" spans="1:20" s="65" customFormat="1" ht="18" hidden="1" customHeight="1" x14ac:dyDescent="0.25">
      <c r="A460" s="207" t="s">
        <v>431</v>
      </c>
      <c r="B460" s="170"/>
      <c r="C460" s="171"/>
      <c r="D460" s="87">
        <f t="shared" si="50"/>
        <v>3050.7666666666664</v>
      </c>
      <c r="E460" s="84">
        <f>124622/1000</f>
        <v>124.622</v>
      </c>
      <c r="F460" s="72">
        <f>-33099/1000</f>
        <v>-33.098999999999997</v>
      </c>
      <c r="G460" s="72"/>
      <c r="H460" s="72"/>
      <c r="I460" s="85">
        <f t="shared" si="52"/>
        <v>91.522999999999996</v>
      </c>
      <c r="J460" s="149" t="s">
        <v>69</v>
      </c>
      <c r="M460" s="110"/>
      <c r="T460" s="534">
        <f t="shared" si="45"/>
        <v>3.0000000000000002E-2</v>
      </c>
    </row>
    <row r="461" spans="1:20" s="65" customFormat="1" ht="18" hidden="1" customHeight="1" x14ac:dyDescent="0.25">
      <c r="A461" s="207" t="s">
        <v>432</v>
      </c>
      <c r="B461" s="170"/>
      <c r="C461" s="171"/>
      <c r="D461" s="87">
        <f t="shared" si="50"/>
        <v>2028.9333333333332</v>
      </c>
      <c r="E461" s="84">
        <f>83175/1000</f>
        <v>83.174999999999997</v>
      </c>
      <c r="F461" s="72">
        <v>-22.306999999999999</v>
      </c>
      <c r="G461" s="72"/>
      <c r="H461" s="72"/>
      <c r="I461" s="85">
        <f t="shared" si="52"/>
        <v>60.867999999999995</v>
      </c>
      <c r="J461" s="149" t="s">
        <v>69</v>
      </c>
      <c r="M461" s="110"/>
      <c r="T461" s="534">
        <f t="shared" si="45"/>
        <v>0.03</v>
      </c>
    </row>
    <row r="462" spans="1:20" s="65" customFormat="1" ht="18" hidden="1" customHeight="1" x14ac:dyDescent="0.25">
      <c r="A462" s="207" t="s">
        <v>433</v>
      </c>
      <c r="B462" s="170"/>
      <c r="C462" s="171"/>
      <c r="D462" s="87">
        <f t="shared" si="50"/>
        <v>6219.5666666666666</v>
      </c>
      <c r="E462" s="84">
        <f>255977/1000</f>
        <v>255.977</v>
      </c>
      <c r="F462" s="72">
        <f>-69390/1000</f>
        <v>-69.39</v>
      </c>
      <c r="G462" s="72"/>
      <c r="H462" s="72"/>
      <c r="I462" s="85">
        <f t="shared" si="52"/>
        <v>186.58699999999999</v>
      </c>
      <c r="J462" s="149" t="s">
        <v>69</v>
      </c>
      <c r="M462" s="110"/>
      <c r="T462" s="534">
        <f t="shared" si="45"/>
        <v>0.03</v>
      </c>
    </row>
    <row r="463" spans="1:20" s="65" customFormat="1" ht="18" hidden="1" customHeight="1" x14ac:dyDescent="0.25">
      <c r="A463" s="207" t="s">
        <v>434</v>
      </c>
      <c r="B463" s="170"/>
      <c r="C463" s="171"/>
      <c r="D463" s="87">
        <f t="shared" si="50"/>
        <v>2497.3333333333335</v>
      </c>
      <c r="E463" s="84">
        <f>101928/1000</f>
        <v>101.928</v>
      </c>
      <c r="F463" s="72">
        <v>-27.007999999999999</v>
      </c>
      <c r="G463" s="72"/>
      <c r="H463" s="72"/>
      <c r="I463" s="85">
        <f t="shared" si="52"/>
        <v>74.92</v>
      </c>
      <c r="J463" s="149" t="s">
        <v>69</v>
      </c>
      <c r="M463" s="110"/>
      <c r="T463" s="534">
        <f t="shared" si="45"/>
        <v>0.03</v>
      </c>
    </row>
    <row r="464" spans="1:20" s="65" customFormat="1" ht="18" hidden="1" customHeight="1" x14ac:dyDescent="0.25">
      <c r="A464" s="207" t="s">
        <v>435</v>
      </c>
      <c r="B464" s="170"/>
      <c r="C464" s="171"/>
      <c r="D464" s="87">
        <f t="shared" si="50"/>
        <v>1275.7333333333333</v>
      </c>
      <c r="E464" s="84">
        <f>52436/1000</f>
        <v>52.436</v>
      </c>
      <c r="F464" s="72">
        <v>-14.164</v>
      </c>
      <c r="G464" s="72"/>
      <c r="H464" s="72"/>
      <c r="I464" s="85">
        <f t="shared" si="52"/>
        <v>38.271999999999998</v>
      </c>
      <c r="J464" s="149" t="s">
        <v>69</v>
      </c>
      <c r="M464" s="110"/>
      <c r="T464" s="534">
        <f t="shared" si="45"/>
        <v>0.03</v>
      </c>
    </row>
    <row r="465" spans="1:20" s="65" customFormat="1" ht="15.75" hidden="1" customHeight="1" x14ac:dyDescent="0.25">
      <c r="A465" s="201" t="s">
        <v>436</v>
      </c>
      <c r="B465" s="81"/>
      <c r="C465" s="171"/>
      <c r="D465" s="83">
        <f t="shared" si="50"/>
        <v>1399.6333333333332</v>
      </c>
      <c r="E465" s="84">
        <v>57.923999999999999</v>
      </c>
      <c r="F465" s="72">
        <v>-15.935</v>
      </c>
      <c r="G465" s="72"/>
      <c r="H465" s="72"/>
      <c r="I465" s="85">
        <f>SUM(E465:H465)</f>
        <v>41.988999999999997</v>
      </c>
      <c r="J465" s="149" t="s">
        <v>69</v>
      </c>
      <c r="M465" s="110"/>
      <c r="T465" s="534">
        <f t="shared" si="45"/>
        <v>0.03</v>
      </c>
    </row>
    <row r="466" spans="1:20" s="65" customFormat="1" ht="15.75" hidden="1" customHeight="1" x14ac:dyDescent="0.25">
      <c r="A466" s="201" t="s">
        <v>437</v>
      </c>
      <c r="B466" s="81"/>
      <c r="C466" s="171"/>
      <c r="D466" s="83">
        <f t="shared" si="50"/>
        <v>1345.2333333333333</v>
      </c>
      <c r="E466" s="84">
        <v>55.164999999999999</v>
      </c>
      <c r="F466" s="72">
        <v>-14.808</v>
      </c>
      <c r="G466" s="72"/>
      <c r="H466" s="72"/>
      <c r="I466" s="85">
        <f>SUM(E466:H466)</f>
        <v>40.356999999999999</v>
      </c>
      <c r="J466" s="149" t="s">
        <v>69</v>
      </c>
      <c r="M466" s="110"/>
      <c r="T466" s="534">
        <f t="shared" si="45"/>
        <v>0.03</v>
      </c>
    </row>
    <row r="467" spans="1:20" s="65" customFormat="1" ht="15.75" hidden="1" customHeight="1" x14ac:dyDescent="0.25">
      <c r="A467" s="201" t="s">
        <v>438</v>
      </c>
      <c r="B467" s="81"/>
      <c r="C467" s="171"/>
      <c r="D467" s="83">
        <f t="shared" si="50"/>
        <v>1965.1666666666667</v>
      </c>
      <c r="E467" s="84">
        <v>80.457999999999998</v>
      </c>
      <c r="F467" s="72">
        <v>-21.503</v>
      </c>
      <c r="G467" s="72"/>
      <c r="H467" s="72"/>
      <c r="I467" s="85">
        <f>SUM(E467:H467)</f>
        <v>58.954999999999998</v>
      </c>
      <c r="J467" s="149" t="s">
        <v>69</v>
      </c>
      <c r="M467" s="110"/>
      <c r="T467" s="534">
        <f t="shared" ref="T467:T530" si="53">IF(D467&gt;0,(I467/D467),"")</f>
        <v>0.03</v>
      </c>
    </row>
    <row r="468" spans="1:20" s="65" customFormat="1" ht="15.75" hidden="1" customHeight="1" x14ac:dyDescent="0.25">
      <c r="A468" s="201" t="s">
        <v>439</v>
      </c>
      <c r="B468" s="81"/>
      <c r="C468" s="171"/>
      <c r="D468" s="83">
        <f t="shared" si="50"/>
        <v>1489.9</v>
      </c>
      <c r="E468" s="84">
        <v>60.905000000000001</v>
      </c>
      <c r="F468" s="72">
        <v>-16.207999999999998</v>
      </c>
      <c r="G468" s="72"/>
      <c r="H468" s="72"/>
      <c r="I468" s="85">
        <f>SUM(E468:H468)</f>
        <v>44.697000000000003</v>
      </c>
      <c r="J468" s="149" t="s">
        <v>69</v>
      </c>
      <c r="M468" s="110"/>
      <c r="T468" s="534">
        <f t="shared" si="53"/>
        <v>0.03</v>
      </c>
    </row>
    <row r="469" spans="1:20" s="65" customFormat="1" ht="15.75" hidden="1" customHeight="1" x14ac:dyDescent="0.25">
      <c r="A469" s="201" t="s">
        <v>440</v>
      </c>
      <c r="B469" s="81"/>
      <c r="C469" s="171"/>
      <c r="D469" s="83">
        <f t="shared" si="50"/>
        <v>1035.5333333333333</v>
      </c>
      <c r="E469" s="84">
        <v>42.534999999999997</v>
      </c>
      <c r="F469" s="72">
        <v>-11.468999999999999</v>
      </c>
      <c r="G469" s="72"/>
      <c r="H469" s="72"/>
      <c r="I469" s="85">
        <f>SUM(E469:G469)</f>
        <v>31.065999999999995</v>
      </c>
      <c r="J469" s="149" t="s">
        <v>69</v>
      </c>
      <c r="M469" s="110"/>
      <c r="T469" s="534">
        <f t="shared" si="53"/>
        <v>2.9999999999999995E-2</v>
      </c>
    </row>
    <row r="470" spans="1:20" s="65" customFormat="1" ht="0.75" hidden="1" customHeight="1" x14ac:dyDescent="0.25">
      <c r="A470" s="201" t="s">
        <v>441</v>
      </c>
      <c r="B470" s="81"/>
      <c r="C470" s="171"/>
      <c r="D470" s="83">
        <f>I470/0.03</f>
        <v>1145.5333333333333</v>
      </c>
      <c r="E470" s="84">
        <v>47.037999999999997</v>
      </c>
      <c r="F470" s="72">
        <v>-12.672000000000001</v>
      </c>
      <c r="G470" s="72"/>
      <c r="H470" s="72"/>
      <c r="I470" s="85">
        <f>SUM(E470:G470)</f>
        <v>34.366</v>
      </c>
      <c r="J470" s="149" t="s">
        <v>69</v>
      </c>
      <c r="M470" s="110"/>
      <c r="T470" s="534">
        <f t="shared" si="53"/>
        <v>0.03</v>
      </c>
    </row>
    <row r="471" spans="1:20" s="65" customFormat="1" ht="4.5" hidden="1" customHeight="1" x14ac:dyDescent="0.25">
      <c r="A471" s="196"/>
      <c r="B471" s="202"/>
      <c r="C471" s="203"/>
      <c r="D471" s="197"/>
      <c r="E471" s="198"/>
      <c r="F471" s="199"/>
      <c r="G471" s="199"/>
      <c r="H471" s="199"/>
      <c r="I471" s="200"/>
      <c r="J471" s="149"/>
      <c r="M471" s="110"/>
      <c r="T471" s="534" t="str">
        <f t="shared" si="53"/>
        <v/>
      </c>
    </row>
    <row r="472" spans="1:20" s="65" customFormat="1" ht="15.75" customHeight="1" x14ac:dyDescent="0.25">
      <c r="A472" s="201"/>
      <c r="B472" s="86"/>
      <c r="C472" s="174"/>
      <c r="D472" s="83"/>
      <c r="E472" s="84"/>
      <c r="F472" s="72"/>
      <c r="G472" s="72"/>
      <c r="H472" s="72"/>
      <c r="I472" s="85"/>
      <c r="J472" s="149"/>
      <c r="M472" s="110"/>
      <c r="T472" s="534" t="str">
        <f t="shared" si="53"/>
        <v/>
      </c>
    </row>
    <row r="473" spans="1:20" s="65" customFormat="1" ht="16.5" customHeight="1" thickBot="1" x14ac:dyDescent="0.3">
      <c r="A473" s="111" t="s">
        <v>442</v>
      </c>
      <c r="B473" s="86">
        <v>37091</v>
      </c>
      <c r="C473" s="174" t="s">
        <v>269</v>
      </c>
      <c r="D473" s="213">
        <f t="shared" ref="D473:I473" si="54">SUM(D474:D679)</f>
        <v>391135.7666666669</v>
      </c>
      <c r="E473" s="84">
        <f t="shared" si="54"/>
        <v>16111.420000000004</v>
      </c>
      <c r="F473" s="72">
        <f t="shared" si="54"/>
        <v>-4341.271999999999</v>
      </c>
      <c r="G473" s="72">
        <f t="shared" si="54"/>
        <v>0</v>
      </c>
      <c r="H473" s="72">
        <f t="shared" si="54"/>
        <v>0</v>
      </c>
      <c r="I473" s="85">
        <f t="shared" si="54"/>
        <v>11770.147999999997</v>
      </c>
      <c r="J473" s="149"/>
      <c r="M473" s="110"/>
      <c r="T473" s="534">
        <f t="shared" si="53"/>
        <v>3.0092231401662468E-2</v>
      </c>
    </row>
    <row r="474" spans="1:20" s="65" customFormat="1" ht="6.75" hidden="1" customHeight="1" x14ac:dyDescent="0.25">
      <c r="A474" s="194"/>
      <c r="B474" s="204"/>
      <c r="C474" s="196"/>
      <c r="D474" s="197"/>
      <c r="E474" s="198"/>
      <c r="F474" s="199"/>
      <c r="G474" s="199"/>
      <c r="H474" s="199"/>
      <c r="I474" s="200"/>
      <c r="J474" s="149"/>
      <c r="M474" s="110"/>
      <c r="T474" s="534" t="str">
        <f t="shared" si="53"/>
        <v/>
      </c>
    </row>
    <row r="475" spans="1:20" s="110" customFormat="1" ht="18.75" hidden="1" thickBot="1" x14ac:dyDescent="0.3">
      <c r="A475" s="214" t="s">
        <v>443</v>
      </c>
      <c r="B475" s="105"/>
      <c r="C475" s="106"/>
      <c r="D475" s="61">
        <f t="shared" ref="D475:D531" si="55">I475/0.03</f>
        <v>3208.6666666666665</v>
      </c>
      <c r="E475" s="108">
        <f>114485/1000</f>
        <v>114.485</v>
      </c>
      <c r="F475" s="108">
        <v>-18.225000000000001</v>
      </c>
      <c r="G475" s="108"/>
      <c r="H475" s="108"/>
      <c r="I475" s="109">
        <f t="shared" ref="I475:I517" si="56">SUM(E475:G475)</f>
        <v>96.259999999999991</v>
      </c>
      <c r="J475" s="149" t="s">
        <v>225</v>
      </c>
      <c r="T475" s="534">
        <f t="shared" si="53"/>
        <v>0.03</v>
      </c>
    </row>
    <row r="476" spans="1:20" s="110" customFormat="1" ht="18.75" hidden="1" thickBot="1" x14ac:dyDescent="0.3">
      <c r="A476" s="214" t="s">
        <v>444</v>
      </c>
      <c r="B476" s="105"/>
      <c r="C476" s="106"/>
      <c r="D476" s="61">
        <f t="shared" si="55"/>
        <v>786.06666666666672</v>
      </c>
      <c r="E476" s="108">
        <f>30600/1000</f>
        <v>30.6</v>
      </c>
      <c r="F476" s="108">
        <v>-7.0179999999999998</v>
      </c>
      <c r="G476" s="108"/>
      <c r="H476" s="108"/>
      <c r="I476" s="109">
        <f t="shared" si="56"/>
        <v>23.582000000000001</v>
      </c>
      <c r="J476" s="149" t="s">
        <v>225</v>
      </c>
      <c r="T476" s="534">
        <f t="shared" si="53"/>
        <v>0.03</v>
      </c>
    </row>
    <row r="477" spans="1:20" s="110" customFormat="1" ht="18.75" hidden="1" thickBot="1" x14ac:dyDescent="0.3">
      <c r="A477" s="214" t="s">
        <v>445</v>
      </c>
      <c r="B477" s="105"/>
      <c r="C477" s="106"/>
      <c r="D477" s="61">
        <f t="shared" si="55"/>
        <v>417.56666666666672</v>
      </c>
      <c r="E477" s="108">
        <f>18090/1000</f>
        <v>18.09</v>
      </c>
      <c r="F477" s="108">
        <v>-5.5629999999999997</v>
      </c>
      <c r="G477" s="108"/>
      <c r="H477" s="108"/>
      <c r="I477" s="109">
        <f t="shared" si="56"/>
        <v>12.527000000000001</v>
      </c>
      <c r="J477" s="149" t="s">
        <v>225</v>
      </c>
      <c r="T477" s="534">
        <f t="shared" si="53"/>
        <v>0.03</v>
      </c>
    </row>
    <row r="478" spans="1:20" s="110" customFormat="1" ht="18.75" hidden="1" thickBot="1" x14ac:dyDescent="0.3">
      <c r="A478" s="214" t="s">
        <v>446</v>
      </c>
      <c r="B478" s="105"/>
      <c r="C478" s="106"/>
      <c r="D478" s="61">
        <f t="shared" si="55"/>
        <v>1377.0000000000002</v>
      </c>
      <c r="E478" s="108">
        <f>53863/1000</f>
        <v>53.863</v>
      </c>
      <c r="F478" s="108">
        <v>-12.553000000000001</v>
      </c>
      <c r="G478" s="108"/>
      <c r="H478" s="108"/>
      <c r="I478" s="109">
        <f t="shared" si="56"/>
        <v>41.31</v>
      </c>
      <c r="J478" s="149" t="s">
        <v>225</v>
      </c>
      <c r="T478" s="534">
        <f t="shared" si="53"/>
        <v>2.9999999999999995E-2</v>
      </c>
    </row>
    <row r="479" spans="1:20" s="110" customFormat="1" ht="18.75" hidden="1" thickBot="1" x14ac:dyDescent="0.3">
      <c r="A479" s="214" t="s">
        <v>447</v>
      </c>
      <c r="B479" s="105"/>
      <c r="C479" s="106"/>
      <c r="D479" s="61">
        <f t="shared" si="55"/>
        <v>402.33333333333331</v>
      </c>
      <c r="E479" s="108">
        <f>16993/1000</f>
        <v>16.992999999999999</v>
      </c>
      <c r="F479" s="108">
        <v>-4.923</v>
      </c>
      <c r="G479" s="108"/>
      <c r="H479" s="108"/>
      <c r="I479" s="109">
        <f t="shared" si="56"/>
        <v>12.069999999999999</v>
      </c>
      <c r="J479" s="149" t="s">
        <v>225</v>
      </c>
      <c r="T479" s="534">
        <f t="shared" si="53"/>
        <v>0.03</v>
      </c>
    </row>
    <row r="480" spans="1:20" s="110" customFormat="1" ht="18.75" hidden="1" thickBot="1" x14ac:dyDescent="0.3">
      <c r="A480" s="214" t="s">
        <v>448</v>
      </c>
      <c r="B480" s="105"/>
      <c r="C480" s="106"/>
      <c r="D480" s="61">
        <f t="shared" si="55"/>
        <v>1618.6000000000001</v>
      </c>
      <c r="E480" s="108">
        <f>58481/1000</f>
        <v>58.481000000000002</v>
      </c>
      <c r="F480" s="108">
        <v>-9.923</v>
      </c>
      <c r="G480" s="108"/>
      <c r="H480" s="108"/>
      <c r="I480" s="109">
        <f t="shared" si="56"/>
        <v>48.558</v>
      </c>
      <c r="J480" s="149" t="s">
        <v>225</v>
      </c>
      <c r="T480" s="534">
        <f t="shared" si="53"/>
        <v>0.03</v>
      </c>
    </row>
    <row r="481" spans="1:20" s="110" customFormat="1" ht="18.75" hidden="1" thickBot="1" x14ac:dyDescent="0.3">
      <c r="A481" s="214" t="s">
        <v>449</v>
      </c>
      <c r="B481" s="105"/>
      <c r="C481" s="106"/>
      <c r="D481" s="61">
        <f t="shared" si="55"/>
        <v>1982.4666666666669</v>
      </c>
      <c r="E481" s="108">
        <f>75750/1000</f>
        <v>75.75</v>
      </c>
      <c r="F481" s="108">
        <v>-16.276</v>
      </c>
      <c r="G481" s="108"/>
      <c r="H481" s="108"/>
      <c r="I481" s="109">
        <f t="shared" si="56"/>
        <v>59.474000000000004</v>
      </c>
      <c r="J481" s="149" t="s">
        <v>225</v>
      </c>
      <c r="T481" s="534">
        <f t="shared" si="53"/>
        <v>0.03</v>
      </c>
    </row>
    <row r="482" spans="1:20" s="110" customFormat="1" ht="18.75" hidden="1" thickBot="1" x14ac:dyDescent="0.3">
      <c r="A482" s="214" t="s">
        <v>450</v>
      </c>
      <c r="B482" s="105"/>
      <c r="C482" s="106"/>
      <c r="D482" s="61">
        <f t="shared" si="55"/>
        <v>1602.5000000000002</v>
      </c>
      <c r="E482" s="108">
        <f>57466/1000</f>
        <v>57.466000000000001</v>
      </c>
      <c r="F482" s="108">
        <v>-9.391</v>
      </c>
      <c r="G482" s="108"/>
      <c r="H482" s="108"/>
      <c r="I482" s="109">
        <f t="shared" si="56"/>
        <v>48.075000000000003</v>
      </c>
      <c r="J482" s="149" t="s">
        <v>225</v>
      </c>
      <c r="T482" s="534">
        <f t="shared" si="53"/>
        <v>0.03</v>
      </c>
    </row>
    <row r="483" spans="1:20" s="110" customFormat="1" ht="18.75" hidden="1" thickBot="1" x14ac:dyDescent="0.3">
      <c r="A483" s="214" t="s">
        <v>451</v>
      </c>
      <c r="B483" s="105"/>
      <c r="C483" s="106"/>
      <c r="D483" s="61">
        <f t="shared" si="55"/>
        <v>2663.6333333333332</v>
      </c>
      <c r="E483" s="108">
        <f>99006/1000</f>
        <v>99.006</v>
      </c>
      <c r="F483" s="108">
        <v>-19.097000000000001</v>
      </c>
      <c r="G483" s="108"/>
      <c r="H483" s="108"/>
      <c r="I483" s="109">
        <f t="shared" si="56"/>
        <v>79.908999999999992</v>
      </c>
      <c r="J483" s="149" t="s">
        <v>225</v>
      </c>
      <c r="T483" s="534">
        <f t="shared" si="53"/>
        <v>0.03</v>
      </c>
    </row>
    <row r="484" spans="1:20" s="110" customFormat="1" ht="18.75" hidden="1" thickBot="1" x14ac:dyDescent="0.3">
      <c r="A484" s="214" t="s">
        <v>452</v>
      </c>
      <c r="B484" s="105"/>
      <c r="C484" s="106"/>
      <c r="D484" s="61">
        <f t="shared" si="55"/>
        <v>2129.7000000000003</v>
      </c>
      <c r="E484" s="108">
        <f>80358/1000</f>
        <v>80.358000000000004</v>
      </c>
      <c r="F484" s="108">
        <v>-16.466999999999999</v>
      </c>
      <c r="G484" s="108"/>
      <c r="H484" s="108"/>
      <c r="I484" s="109">
        <f t="shared" si="56"/>
        <v>63.891000000000005</v>
      </c>
      <c r="J484" s="149" t="s">
        <v>225</v>
      </c>
      <c r="T484" s="534">
        <f t="shared" si="53"/>
        <v>0.03</v>
      </c>
    </row>
    <row r="485" spans="1:20" s="110" customFormat="1" ht="18.75" hidden="1" thickBot="1" x14ac:dyDescent="0.3">
      <c r="A485" s="214" t="s">
        <v>453</v>
      </c>
      <c r="B485" s="105"/>
      <c r="C485" s="106"/>
      <c r="D485" s="61">
        <f t="shared" si="55"/>
        <v>1335.6</v>
      </c>
      <c r="E485" s="108">
        <f>56918/1000</f>
        <v>56.917999999999999</v>
      </c>
      <c r="F485" s="108">
        <v>-16.850000000000001</v>
      </c>
      <c r="G485" s="108"/>
      <c r="H485" s="108"/>
      <c r="I485" s="109">
        <f t="shared" si="56"/>
        <v>40.067999999999998</v>
      </c>
      <c r="J485" s="149" t="s">
        <v>225</v>
      </c>
      <c r="T485" s="534">
        <f t="shared" si="53"/>
        <v>0.03</v>
      </c>
    </row>
    <row r="486" spans="1:20" s="110" customFormat="1" ht="18.75" hidden="1" thickBot="1" x14ac:dyDescent="0.3">
      <c r="A486" s="214" t="s">
        <v>454</v>
      </c>
      <c r="B486" s="105"/>
      <c r="C486" s="106"/>
      <c r="D486" s="61">
        <f t="shared" si="55"/>
        <v>1854.0999999999997</v>
      </c>
      <c r="E486" s="108">
        <f>82380/1000</f>
        <v>82.38</v>
      </c>
      <c r="F486" s="108">
        <v>-26.757000000000001</v>
      </c>
      <c r="G486" s="108"/>
      <c r="H486" s="108"/>
      <c r="I486" s="109">
        <f t="shared" si="56"/>
        <v>55.62299999999999</v>
      </c>
      <c r="J486" s="149" t="s">
        <v>225</v>
      </c>
      <c r="T486" s="534">
        <f t="shared" si="53"/>
        <v>0.03</v>
      </c>
    </row>
    <row r="487" spans="1:20" s="110" customFormat="1" ht="18.75" hidden="1" thickBot="1" x14ac:dyDescent="0.3">
      <c r="A487" s="214" t="s">
        <v>455</v>
      </c>
      <c r="B487" s="105"/>
      <c r="C487" s="106"/>
      <c r="D487" s="61">
        <f t="shared" si="55"/>
        <v>1006.8000000000001</v>
      </c>
      <c r="E487" s="108">
        <f>43284/1000</f>
        <v>43.283999999999999</v>
      </c>
      <c r="F487" s="108">
        <v>-13.08</v>
      </c>
      <c r="G487" s="108"/>
      <c r="H487" s="108"/>
      <c r="I487" s="109">
        <f t="shared" si="56"/>
        <v>30.204000000000001</v>
      </c>
      <c r="J487" s="149" t="s">
        <v>225</v>
      </c>
      <c r="T487" s="534">
        <f t="shared" si="53"/>
        <v>0.03</v>
      </c>
    </row>
    <row r="488" spans="1:20" s="110" customFormat="1" ht="18.75" hidden="1" thickBot="1" x14ac:dyDescent="0.3">
      <c r="A488" s="214" t="s">
        <v>456</v>
      </c>
      <c r="B488" s="105"/>
      <c r="C488" s="106"/>
      <c r="D488" s="61">
        <f t="shared" si="55"/>
        <v>949.80000000000007</v>
      </c>
      <c r="E488" s="108">
        <f>40083/1000</f>
        <v>40.082999999999998</v>
      </c>
      <c r="F488" s="108">
        <v>-11.589</v>
      </c>
      <c r="G488" s="108"/>
      <c r="H488" s="108"/>
      <c r="I488" s="109">
        <f t="shared" si="56"/>
        <v>28.494</v>
      </c>
      <c r="J488" s="149" t="s">
        <v>225</v>
      </c>
      <c r="T488" s="534">
        <f t="shared" si="53"/>
        <v>0.03</v>
      </c>
    </row>
    <row r="489" spans="1:20" s="110" customFormat="1" ht="18.75" hidden="1" thickBot="1" x14ac:dyDescent="0.3">
      <c r="A489" s="214" t="s">
        <v>457</v>
      </c>
      <c r="B489" s="105"/>
      <c r="C489" s="106"/>
      <c r="D489" s="61">
        <f t="shared" si="55"/>
        <v>79.233333333333334</v>
      </c>
      <c r="E489" s="108">
        <f>4084/1000</f>
        <v>4.0839999999999996</v>
      </c>
      <c r="F489" s="108">
        <v>-1.7070000000000001</v>
      </c>
      <c r="G489" s="108"/>
      <c r="H489" s="108"/>
      <c r="I489" s="109">
        <f t="shared" si="56"/>
        <v>2.3769999999999998</v>
      </c>
      <c r="J489" s="149" t="s">
        <v>225</v>
      </c>
      <c r="T489" s="534">
        <f t="shared" si="53"/>
        <v>2.9999999999999995E-2</v>
      </c>
    </row>
    <row r="490" spans="1:20" s="110" customFormat="1" ht="18.75" hidden="1" thickBot="1" x14ac:dyDescent="0.3">
      <c r="A490" s="214" t="s">
        <v>458</v>
      </c>
      <c r="B490" s="105"/>
      <c r="C490" s="106"/>
      <c r="D490" s="61">
        <f t="shared" si="55"/>
        <v>-10.599999999999994</v>
      </c>
      <c r="E490" s="108">
        <f>1312/1000</f>
        <v>1.3120000000000001</v>
      </c>
      <c r="F490" s="108">
        <v>-1.63</v>
      </c>
      <c r="G490" s="108"/>
      <c r="H490" s="108"/>
      <c r="I490" s="109">
        <f t="shared" si="56"/>
        <v>-0.31799999999999984</v>
      </c>
      <c r="J490" s="149" t="s">
        <v>225</v>
      </c>
      <c r="T490" s="534" t="str">
        <f t="shared" si="53"/>
        <v/>
      </c>
    </row>
    <row r="491" spans="1:20" s="110" customFormat="1" ht="18.75" hidden="1" thickBot="1" x14ac:dyDescent="0.3">
      <c r="A491" s="214" t="s">
        <v>459</v>
      </c>
      <c r="B491" s="105"/>
      <c r="C491" s="106"/>
      <c r="D491" s="61">
        <f t="shared" si="55"/>
        <v>1719.4333333333334</v>
      </c>
      <c r="E491" s="108">
        <f>75072/1000</f>
        <v>75.072000000000003</v>
      </c>
      <c r="F491" s="108">
        <v>-23.489000000000001</v>
      </c>
      <c r="G491" s="108"/>
      <c r="H491" s="108"/>
      <c r="I491" s="109">
        <f t="shared" si="56"/>
        <v>51.582999999999998</v>
      </c>
      <c r="J491" s="149" t="s">
        <v>225</v>
      </c>
      <c r="T491" s="534">
        <f t="shared" si="53"/>
        <v>0.03</v>
      </c>
    </row>
    <row r="492" spans="1:20" s="110" customFormat="1" ht="18.75" hidden="1" thickBot="1" x14ac:dyDescent="0.3">
      <c r="A492" s="214" t="s">
        <v>460</v>
      </c>
      <c r="B492" s="105"/>
      <c r="C492" s="106"/>
      <c r="D492" s="61">
        <f t="shared" si="55"/>
        <v>1376.3000000000002</v>
      </c>
      <c r="E492" s="108">
        <f>59633/1000</f>
        <v>59.633000000000003</v>
      </c>
      <c r="F492" s="108">
        <v>-18.344000000000001</v>
      </c>
      <c r="G492" s="108"/>
      <c r="H492" s="108"/>
      <c r="I492" s="109">
        <f t="shared" si="56"/>
        <v>41.289000000000001</v>
      </c>
      <c r="J492" s="149" t="s">
        <v>225</v>
      </c>
      <c r="T492" s="534">
        <f t="shared" si="53"/>
        <v>2.9999999999999995E-2</v>
      </c>
    </row>
    <row r="493" spans="1:20" s="110" customFormat="1" ht="18.75" hidden="1" thickBot="1" x14ac:dyDescent="0.3">
      <c r="A493" s="214" t="s">
        <v>461</v>
      </c>
      <c r="B493" s="105"/>
      <c r="C493" s="106"/>
      <c r="D493" s="61">
        <f t="shared" si="55"/>
        <v>3924.6333333333337</v>
      </c>
      <c r="E493" s="108">
        <f>164507/1000</f>
        <v>164.50700000000001</v>
      </c>
      <c r="F493" s="108">
        <f>-46768/1000</f>
        <v>-46.768000000000001</v>
      </c>
      <c r="G493" s="108"/>
      <c r="H493" s="108"/>
      <c r="I493" s="109">
        <f t="shared" si="56"/>
        <v>117.739</v>
      </c>
      <c r="J493" s="149" t="s">
        <v>225</v>
      </c>
      <c r="T493" s="534">
        <f t="shared" si="53"/>
        <v>0.03</v>
      </c>
    </row>
    <row r="494" spans="1:20" s="110" customFormat="1" ht="18.75" hidden="1" thickBot="1" x14ac:dyDescent="0.3">
      <c r="A494" s="214" t="s">
        <v>462</v>
      </c>
      <c r="B494" s="105"/>
      <c r="C494" s="106"/>
      <c r="D494" s="61">
        <f t="shared" si="55"/>
        <v>377.66666666666663</v>
      </c>
      <c r="E494" s="108">
        <f>15488/1000</f>
        <v>15.488</v>
      </c>
      <c r="F494" s="108">
        <v>-4.1580000000000004</v>
      </c>
      <c r="G494" s="108"/>
      <c r="H494" s="108"/>
      <c r="I494" s="109">
        <f t="shared" si="56"/>
        <v>11.329999999999998</v>
      </c>
      <c r="J494" s="149" t="s">
        <v>225</v>
      </c>
      <c r="T494" s="534">
        <f t="shared" si="53"/>
        <v>0.03</v>
      </c>
    </row>
    <row r="495" spans="1:20" s="110" customFormat="1" ht="18.75" hidden="1" thickBot="1" x14ac:dyDescent="0.3">
      <c r="A495" s="214" t="s">
        <v>463</v>
      </c>
      <c r="B495" s="105"/>
      <c r="C495" s="106"/>
      <c r="D495" s="61">
        <f t="shared" si="55"/>
        <v>1962.9666666666667</v>
      </c>
      <c r="E495" s="108">
        <f>84463/1000</f>
        <v>84.462999999999994</v>
      </c>
      <c r="F495" s="108">
        <v>-25.574000000000002</v>
      </c>
      <c r="G495" s="108"/>
      <c r="H495" s="108"/>
      <c r="I495" s="109">
        <f t="shared" si="56"/>
        <v>58.888999999999996</v>
      </c>
      <c r="J495" s="149" t="s">
        <v>225</v>
      </c>
      <c r="T495" s="534">
        <f t="shared" si="53"/>
        <v>0.03</v>
      </c>
    </row>
    <row r="496" spans="1:20" s="110" customFormat="1" ht="18.75" hidden="1" thickBot="1" x14ac:dyDescent="0.3">
      <c r="A496" s="214" t="s">
        <v>464</v>
      </c>
      <c r="B496" s="105"/>
      <c r="C496" s="106"/>
      <c r="D496" s="61">
        <f t="shared" si="55"/>
        <v>1361.7333333333336</v>
      </c>
      <c r="E496" s="108">
        <f>61396/1000</f>
        <v>61.396000000000001</v>
      </c>
      <c r="F496" s="108">
        <v>-20.544</v>
      </c>
      <c r="G496" s="108"/>
      <c r="H496" s="108"/>
      <c r="I496" s="109">
        <f t="shared" si="56"/>
        <v>40.852000000000004</v>
      </c>
      <c r="J496" s="149" t="s">
        <v>225</v>
      </c>
      <c r="T496" s="534">
        <f t="shared" si="53"/>
        <v>0.03</v>
      </c>
    </row>
    <row r="497" spans="1:20" s="110" customFormat="1" ht="18.75" hidden="1" thickBot="1" x14ac:dyDescent="0.3">
      <c r="A497" s="214" t="s">
        <v>465</v>
      </c>
      <c r="B497" s="105"/>
      <c r="C497" s="106"/>
      <c r="D497" s="61">
        <f t="shared" si="55"/>
        <v>627.93333333333339</v>
      </c>
      <c r="E497" s="108">
        <f>26945/1000</f>
        <v>26.945</v>
      </c>
      <c r="F497" s="108">
        <v>-8.1069999999999993</v>
      </c>
      <c r="G497" s="108"/>
      <c r="H497" s="108"/>
      <c r="I497" s="109">
        <f t="shared" si="56"/>
        <v>18.838000000000001</v>
      </c>
      <c r="J497" s="149" t="s">
        <v>225</v>
      </c>
      <c r="T497" s="534">
        <f t="shared" si="53"/>
        <v>0.03</v>
      </c>
    </row>
    <row r="498" spans="1:20" s="110" customFormat="1" ht="18.75" hidden="1" thickBot="1" x14ac:dyDescent="0.3">
      <c r="A498" s="214" t="s">
        <v>466</v>
      </c>
      <c r="B498" s="105"/>
      <c r="C498" s="106"/>
      <c r="D498" s="61">
        <f t="shared" si="55"/>
        <v>3707.9333333333329</v>
      </c>
      <c r="E498" s="108">
        <f>155640/1000</f>
        <v>155.63999999999999</v>
      </c>
      <c r="F498" s="108">
        <f>-44402/1000</f>
        <v>-44.402000000000001</v>
      </c>
      <c r="G498" s="108"/>
      <c r="H498" s="108"/>
      <c r="I498" s="109">
        <f t="shared" si="56"/>
        <v>111.23799999999999</v>
      </c>
      <c r="J498" s="149" t="s">
        <v>225</v>
      </c>
      <c r="T498" s="534">
        <f t="shared" si="53"/>
        <v>0.03</v>
      </c>
    </row>
    <row r="499" spans="1:20" s="110" customFormat="1" ht="18.75" hidden="1" thickBot="1" x14ac:dyDescent="0.3">
      <c r="A499" s="214" t="s">
        <v>467</v>
      </c>
      <c r="B499" s="105"/>
      <c r="C499" s="106"/>
      <c r="D499" s="61">
        <f t="shared" si="55"/>
        <v>1541.6666666666667</v>
      </c>
      <c r="E499" s="108">
        <f>64962/1000</f>
        <v>64.962000000000003</v>
      </c>
      <c r="F499" s="108">
        <v>-18.712</v>
      </c>
      <c r="G499" s="108"/>
      <c r="H499" s="108"/>
      <c r="I499" s="109">
        <f t="shared" si="56"/>
        <v>46.25</v>
      </c>
      <c r="J499" s="149" t="s">
        <v>225</v>
      </c>
      <c r="T499" s="534">
        <f t="shared" si="53"/>
        <v>0.03</v>
      </c>
    </row>
    <row r="500" spans="1:20" s="110" customFormat="1" ht="18.75" hidden="1" thickBot="1" x14ac:dyDescent="0.3">
      <c r="A500" s="214" t="s">
        <v>468</v>
      </c>
      <c r="B500" s="105"/>
      <c r="C500" s="106"/>
      <c r="D500" s="61">
        <f t="shared" si="55"/>
        <v>3466.3</v>
      </c>
      <c r="E500" s="108">
        <f>150410/1000</f>
        <v>150.41</v>
      </c>
      <c r="F500" s="108">
        <f>-46421/1000</f>
        <v>-46.420999999999999</v>
      </c>
      <c r="G500" s="108"/>
      <c r="H500" s="108"/>
      <c r="I500" s="109">
        <f t="shared" si="56"/>
        <v>103.989</v>
      </c>
      <c r="J500" s="149" t="s">
        <v>225</v>
      </c>
      <c r="T500" s="534">
        <f t="shared" si="53"/>
        <v>0.03</v>
      </c>
    </row>
    <row r="501" spans="1:20" s="110" customFormat="1" ht="18.75" hidden="1" thickBot="1" x14ac:dyDescent="0.3">
      <c r="A501" s="214" t="s">
        <v>469</v>
      </c>
      <c r="B501" s="105"/>
      <c r="C501" s="106"/>
      <c r="D501" s="61">
        <f t="shared" si="55"/>
        <v>3759.0666666666671</v>
      </c>
      <c r="E501" s="108">
        <f>160234/1000</f>
        <v>160.23400000000001</v>
      </c>
      <c r="F501" s="108">
        <f>-47462/1000</f>
        <v>-47.462000000000003</v>
      </c>
      <c r="G501" s="108"/>
      <c r="H501" s="108"/>
      <c r="I501" s="109">
        <f t="shared" si="56"/>
        <v>112.77200000000001</v>
      </c>
      <c r="J501" s="149" t="s">
        <v>225</v>
      </c>
      <c r="T501" s="534">
        <f t="shared" si="53"/>
        <v>0.03</v>
      </c>
    </row>
    <row r="502" spans="1:20" s="110" customFormat="1" ht="18.75" hidden="1" thickBot="1" x14ac:dyDescent="0.3">
      <c r="A502" s="214" t="s">
        <v>470</v>
      </c>
      <c r="B502" s="105"/>
      <c r="C502" s="106"/>
      <c r="D502" s="61">
        <f t="shared" si="55"/>
        <v>2872.3333333333335</v>
      </c>
      <c r="E502" s="108">
        <f>120274/1000</f>
        <v>120.274</v>
      </c>
      <c r="F502" s="108">
        <f>-34104/1000</f>
        <v>-34.103999999999999</v>
      </c>
      <c r="G502" s="108"/>
      <c r="H502" s="108"/>
      <c r="I502" s="109">
        <f t="shared" si="56"/>
        <v>86.17</v>
      </c>
      <c r="J502" s="149" t="s">
        <v>225</v>
      </c>
      <c r="T502" s="534">
        <f t="shared" si="53"/>
        <v>0.03</v>
      </c>
    </row>
    <row r="503" spans="1:20" s="110" customFormat="1" ht="18.75" hidden="1" thickBot="1" x14ac:dyDescent="0.3">
      <c r="A503" s="214" t="s">
        <v>471</v>
      </c>
      <c r="B503" s="105"/>
      <c r="C503" s="106"/>
      <c r="D503" s="61">
        <f t="shared" si="55"/>
        <v>4471.5333333333328</v>
      </c>
      <c r="E503" s="108">
        <f>185422/1000</f>
        <v>185.422</v>
      </c>
      <c r="F503" s="108">
        <f>-51276/1000</f>
        <v>-51.276000000000003</v>
      </c>
      <c r="G503" s="108"/>
      <c r="H503" s="108"/>
      <c r="I503" s="109">
        <f t="shared" si="56"/>
        <v>134.14599999999999</v>
      </c>
      <c r="J503" s="149" t="s">
        <v>225</v>
      </c>
      <c r="T503" s="534">
        <f t="shared" si="53"/>
        <v>0.03</v>
      </c>
    </row>
    <row r="504" spans="1:20" s="110" customFormat="1" ht="18.75" hidden="1" thickBot="1" x14ac:dyDescent="0.3">
      <c r="A504" s="214" t="s">
        <v>472</v>
      </c>
      <c r="B504" s="105"/>
      <c r="C504" s="106"/>
      <c r="D504" s="61">
        <f t="shared" si="55"/>
        <v>2017.3333333333335</v>
      </c>
      <c r="E504" s="108">
        <f>84301/1000</f>
        <v>84.301000000000002</v>
      </c>
      <c r="F504" s="108">
        <v>-23.780999999999999</v>
      </c>
      <c r="G504" s="108"/>
      <c r="H504" s="108"/>
      <c r="I504" s="109">
        <f t="shared" si="56"/>
        <v>60.52</v>
      </c>
      <c r="J504" s="149" t="s">
        <v>225</v>
      </c>
      <c r="T504" s="534">
        <f t="shared" si="53"/>
        <v>0.03</v>
      </c>
    </row>
    <row r="505" spans="1:20" s="110" customFormat="1" ht="18.75" hidden="1" thickBot="1" x14ac:dyDescent="0.3">
      <c r="A505" s="214" t="s">
        <v>473</v>
      </c>
      <c r="B505" s="105"/>
      <c r="C505" s="106"/>
      <c r="D505" s="61">
        <f t="shared" si="55"/>
        <v>6771.4000000000005</v>
      </c>
      <c r="E505" s="108">
        <f>280662/1000</f>
        <v>280.66199999999998</v>
      </c>
      <c r="F505" s="108">
        <f>-77520/1000</f>
        <v>-77.52</v>
      </c>
      <c r="G505" s="108"/>
      <c r="H505" s="108"/>
      <c r="I505" s="109">
        <f t="shared" si="56"/>
        <v>203.142</v>
      </c>
      <c r="J505" s="149" t="s">
        <v>21</v>
      </c>
      <c r="T505" s="534">
        <f t="shared" si="53"/>
        <v>2.9999999999999995E-2</v>
      </c>
    </row>
    <row r="506" spans="1:20" s="110" customFormat="1" ht="18.75" hidden="1" thickBot="1" x14ac:dyDescent="0.3">
      <c r="A506" s="214" t="s">
        <v>474</v>
      </c>
      <c r="B506" s="105"/>
      <c r="C506" s="106"/>
      <c r="D506" s="61">
        <f t="shared" si="55"/>
        <v>10564.533333333335</v>
      </c>
      <c r="E506" s="108">
        <v>435.209</v>
      </c>
      <c r="F506" s="108">
        <v>-118.273</v>
      </c>
      <c r="G506" s="108"/>
      <c r="H506" s="108"/>
      <c r="I506" s="109">
        <f t="shared" si="56"/>
        <v>316.93600000000004</v>
      </c>
      <c r="J506" s="149" t="s">
        <v>21</v>
      </c>
      <c r="T506" s="534">
        <f t="shared" si="53"/>
        <v>0.03</v>
      </c>
    </row>
    <row r="507" spans="1:20" s="110" customFormat="1" ht="18.75" hidden="1" thickBot="1" x14ac:dyDescent="0.3">
      <c r="A507" s="214" t="s">
        <v>475</v>
      </c>
      <c r="B507" s="105"/>
      <c r="C507" s="106"/>
      <c r="D507" s="61">
        <f t="shared" si="55"/>
        <v>5609.9000000000005</v>
      </c>
      <c r="E507" s="108">
        <f>229642/1000</f>
        <v>229.642</v>
      </c>
      <c r="F507" s="108">
        <f>-61345/1000</f>
        <v>-61.344999999999999</v>
      </c>
      <c r="G507" s="108"/>
      <c r="H507" s="108"/>
      <c r="I507" s="109">
        <f t="shared" si="56"/>
        <v>168.297</v>
      </c>
      <c r="J507" s="149" t="s">
        <v>21</v>
      </c>
      <c r="T507" s="534">
        <f t="shared" si="53"/>
        <v>2.9999999999999995E-2</v>
      </c>
    </row>
    <row r="508" spans="1:20" s="110" customFormat="1" ht="18.75" hidden="1" thickBot="1" x14ac:dyDescent="0.3">
      <c r="A508" s="214" t="s">
        <v>476</v>
      </c>
      <c r="B508" s="105"/>
      <c r="C508" s="106"/>
      <c r="D508" s="61">
        <f t="shared" si="55"/>
        <v>8208.6333333333332</v>
      </c>
      <c r="E508" s="108">
        <f>338010/1000</f>
        <v>338.01</v>
      </c>
      <c r="F508" s="108">
        <f>-91751/1000</f>
        <v>-91.751000000000005</v>
      </c>
      <c r="G508" s="108"/>
      <c r="H508" s="108"/>
      <c r="I508" s="109">
        <f t="shared" si="56"/>
        <v>246.25899999999999</v>
      </c>
      <c r="J508" s="149" t="s">
        <v>21</v>
      </c>
      <c r="T508" s="534">
        <f t="shared" si="53"/>
        <v>0.03</v>
      </c>
    </row>
    <row r="509" spans="1:20" s="110" customFormat="1" ht="18.75" hidden="1" thickBot="1" x14ac:dyDescent="0.3">
      <c r="A509" s="214" t="s">
        <v>477</v>
      </c>
      <c r="B509" s="105"/>
      <c r="C509" s="106"/>
      <c r="D509" s="61">
        <f t="shared" si="55"/>
        <v>8096.4333333333325</v>
      </c>
      <c r="E509" s="108">
        <f>334431/1000</f>
        <v>334.43099999999998</v>
      </c>
      <c r="F509" s="108">
        <f>-91538/1000</f>
        <v>-91.537999999999997</v>
      </c>
      <c r="G509" s="108"/>
      <c r="H509" s="108"/>
      <c r="I509" s="109">
        <f t="shared" si="56"/>
        <v>242.89299999999997</v>
      </c>
      <c r="J509" s="149" t="s">
        <v>21</v>
      </c>
      <c r="T509" s="534">
        <f t="shared" si="53"/>
        <v>0.03</v>
      </c>
    </row>
    <row r="510" spans="1:20" s="110" customFormat="1" ht="18.75" hidden="1" thickBot="1" x14ac:dyDescent="0.3">
      <c r="A510" s="214" t="s">
        <v>478</v>
      </c>
      <c r="B510" s="105"/>
      <c r="C510" s="106"/>
      <c r="D510" s="61">
        <f t="shared" si="55"/>
        <v>6606.6</v>
      </c>
      <c r="E510" s="108">
        <f>273240/1000</f>
        <v>273.24</v>
      </c>
      <c r="F510" s="108">
        <f>-75042/1000</f>
        <v>-75.042000000000002</v>
      </c>
      <c r="G510" s="108"/>
      <c r="H510" s="108"/>
      <c r="I510" s="109">
        <f t="shared" si="56"/>
        <v>198.19800000000001</v>
      </c>
      <c r="J510" s="149" t="s">
        <v>21</v>
      </c>
      <c r="T510" s="534">
        <f t="shared" si="53"/>
        <v>0.03</v>
      </c>
    </row>
    <row r="511" spans="1:20" s="110" customFormat="1" ht="18.75" hidden="1" thickBot="1" x14ac:dyDescent="0.3">
      <c r="A511" s="214" t="s">
        <v>479</v>
      </c>
      <c r="B511" s="105"/>
      <c r="C511" s="106"/>
      <c r="D511" s="61">
        <f t="shared" si="55"/>
        <v>4582.0666666666666</v>
      </c>
      <c r="E511" s="108">
        <f>191207/1000</f>
        <v>191.20699999999999</v>
      </c>
      <c r="F511" s="108">
        <f>-53745/1000</f>
        <v>-53.744999999999997</v>
      </c>
      <c r="G511" s="108"/>
      <c r="H511" s="108"/>
      <c r="I511" s="109">
        <f t="shared" si="56"/>
        <v>137.46199999999999</v>
      </c>
      <c r="J511" s="149" t="s">
        <v>21</v>
      </c>
      <c r="T511" s="534">
        <f t="shared" si="53"/>
        <v>0.03</v>
      </c>
    </row>
    <row r="512" spans="1:20" s="110" customFormat="1" ht="18.75" hidden="1" thickBot="1" x14ac:dyDescent="0.3">
      <c r="A512" s="214" t="s">
        <v>480</v>
      </c>
      <c r="B512" s="105"/>
      <c r="C512" s="106"/>
      <c r="D512" s="61">
        <f t="shared" si="55"/>
        <v>4204.0666666666666</v>
      </c>
      <c r="E512" s="108">
        <f>174135/1000</f>
        <v>174.13499999999999</v>
      </c>
      <c r="F512" s="108">
        <f>-48013/1000</f>
        <v>-48.012999999999998</v>
      </c>
      <c r="G512" s="108"/>
      <c r="H512" s="108"/>
      <c r="I512" s="109">
        <f t="shared" si="56"/>
        <v>126.12199999999999</v>
      </c>
      <c r="J512" s="149" t="s">
        <v>21</v>
      </c>
      <c r="T512" s="534">
        <f t="shared" si="53"/>
        <v>2.9999999999999995E-2</v>
      </c>
    </row>
    <row r="513" spans="1:20" s="110" customFormat="1" ht="18.75" hidden="1" thickBot="1" x14ac:dyDescent="0.3">
      <c r="A513" s="214" t="s">
        <v>481</v>
      </c>
      <c r="B513" s="105"/>
      <c r="C513" s="106"/>
      <c r="D513" s="61">
        <f t="shared" si="55"/>
        <v>8303.1666666666679</v>
      </c>
      <c r="E513" s="108">
        <f>345309/1000</f>
        <v>345.30900000000003</v>
      </c>
      <c r="F513" s="108">
        <f>-96214/1000</f>
        <v>-96.213999999999999</v>
      </c>
      <c r="G513" s="108"/>
      <c r="H513" s="108"/>
      <c r="I513" s="109">
        <f t="shared" si="56"/>
        <v>249.09500000000003</v>
      </c>
      <c r="J513" s="149" t="s">
        <v>21</v>
      </c>
      <c r="T513" s="534">
        <f t="shared" si="53"/>
        <v>0.03</v>
      </c>
    </row>
    <row r="514" spans="1:20" s="110" customFormat="1" ht="18.75" hidden="1" thickBot="1" x14ac:dyDescent="0.3">
      <c r="A514" s="214" t="s">
        <v>482</v>
      </c>
      <c r="B514" s="105"/>
      <c r="C514" s="106"/>
      <c r="D514" s="61">
        <f t="shared" si="55"/>
        <v>10719.566666666669</v>
      </c>
      <c r="E514" s="108">
        <f>445297/1000</f>
        <v>445.29700000000003</v>
      </c>
      <c r="F514" s="108">
        <f>-123710/1000</f>
        <v>-123.71</v>
      </c>
      <c r="G514" s="108"/>
      <c r="H514" s="108"/>
      <c r="I514" s="109">
        <f t="shared" si="56"/>
        <v>321.58700000000005</v>
      </c>
      <c r="J514" s="149" t="s">
        <v>21</v>
      </c>
      <c r="T514" s="534">
        <f t="shared" si="53"/>
        <v>2.9999999999999995E-2</v>
      </c>
    </row>
    <row r="515" spans="1:20" s="110" customFormat="1" ht="18.75" hidden="1" thickBot="1" x14ac:dyDescent="0.3">
      <c r="A515" s="214" t="s">
        <v>483</v>
      </c>
      <c r="B515" s="105"/>
      <c r="C515" s="106"/>
      <c r="D515" s="61">
        <f t="shared" si="55"/>
        <v>20716.300000000003</v>
      </c>
      <c r="E515" s="108">
        <f>843576/1000</f>
        <v>843.57600000000002</v>
      </c>
      <c r="F515" s="108">
        <f>-222087/1000</f>
        <v>-222.08699999999999</v>
      </c>
      <c r="G515" s="108"/>
      <c r="H515" s="108"/>
      <c r="I515" s="109">
        <f t="shared" si="56"/>
        <v>621.48900000000003</v>
      </c>
      <c r="J515" s="149" t="s">
        <v>21</v>
      </c>
      <c r="T515" s="534">
        <f t="shared" si="53"/>
        <v>0.03</v>
      </c>
    </row>
    <row r="516" spans="1:20" s="110" customFormat="1" ht="18.75" hidden="1" thickBot="1" x14ac:dyDescent="0.3">
      <c r="A516" s="214" t="s">
        <v>484</v>
      </c>
      <c r="B516" s="105"/>
      <c r="C516" s="106"/>
      <c r="D516" s="61">
        <f t="shared" si="55"/>
        <v>4622.7666666666664</v>
      </c>
      <c r="E516" s="108">
        <f>190462/1000</f>
        <v>190.46199999999999</v>
      </c>
      <c r="F516" s="108">
        <f>-51779/1000</f>
        <v>-51.779000000000003</v>
      </c>
      <c r="G516" s="108"/>
      <c r="H516" s="108"/>
      <c r="I516" s="109">
        <f t="shared" si="56"/>
        <v>138.68299999999999</v>
      </c>
      <c r="J516" s="149" t="s">
        <v>21</v>
      </c>
      <c r="T516" s="534">
        <f t="shared" si="53"/>
        <v>0.03</v>
      </c>
    </row>
    <row r="517" spans="1:20" s="110" customFormat="1" ht="18.75" hidden="1" thickBot="1" x14ac:dyDescent="0.3">
      <c r="A517" s="214" t="s">
        <v>485</v>
      </c>
      <c r="B517" s="105"/>
      <c r="C517" s="106"/>
      <c r="D517" s="61">
        <f t="shared" si="55"/>
        <v>2985.6333333333337</v>
      </c>
      <c r="E517" s="108">
        <f>123137/1000</f>
        <v>123.137</v>
      </c>
      <c r="F517" s="108">
        <f>-33568/1000</f>
        <v>-33.567999999999998</v>
      </c>
      <c r="G517" s="108"/>
      <c r="H517" s="108"/>
      <c r="I517" s="109">
        <f t="shared" si="56"/>
        <v>89.569000000000003</v>
      </c>
      <c r="J517" s="149" t="s">
        <v>21</v>
      </c>
      <c r="T517" s="534">
        <f t="shared" si="53"/>
        <v>0.03</v>
      </c>
    </row>
    <row r="518" spans="1:20" s="65" customFormat="1" ht="18.75" hidden="1" thickBot="1" x14ac:dyDescent="0.3">
      <c r="A518" s="207" t="s">
        <v>486</v>
      </c>
      <c r="B518" s="170"/>
      <c r="C518" s="171"/>
      <c r="D518" s="83">
        <f t="shared" si="55"/>
        <v>-17.200000000000003</v>
      </c>
      <c r="E518" s="84">
        <v>-0.628</v>
      </c>
      <c r="F518" s="72">
        <f>112/1000</f>
        <v>0.112</v>
      </c>
      <c r="G518" s="72"/>
      <c r="H518" s="72"/>
      <c r="I518" s="85">
        <f t="shared" ref="I518:I541" si="57">F518+E518</f>
        <v>-0.51600000000000001</v>
      </c>
      <c r="J518" s="149" t="s">
        <v>225</v>
      </c>
      <c r="M518" s="110"/>
      <c r="T518" s="534" t="str">
        <f t="shared" si="53"/>
        <v/>
      </c>
    </row>
    <row r="519" spans="1:20" s="65" customFormat="1" ht="18.75" hidden="1" thickBot="1" x14ac:dyDescent="0.3">
      <c r="A519" s="207" t="s">
        <v>487</v>
      </c>
      <c r="B519" s="170"/>
      <c r="C519" s="171"/>
      <c r="D519" s="83">
        <f t="shared" si="55"/>
        <v>-617.4666666666667</v>
      </c>
      <c r="E519" s="84">
        <v>-21.969000000000001</v>
      </c>
      <c r="F519" s="72">
        <f>3445/1000</f>
        <v>3.4449999999999998</v>
      </c>
      <c r="G519" s="72"/>
      <c r="H519" s="72"/>
      <c r="I519" s="85">
        <f t="shared" si="57"/>
        <v>-18.524000000000001</v>
      </c>
      <c r="J519" s="149" t="s">
        <v>225</v>
      </c>
      <c r="K519" s="215"/>
      <c r="M519" s="110"/>
      <c r="T519" s="534" t="str">
        <f t="shared" si="53"/>
        <v/>
      </c>
    </row>
    <row r="520" spans="1:20" s="65" customFormat="1" ht="18.75" hidden="1" thickBot="1" x14ac:dyDescent="0.3">
      <c r="A520" s="207" t="s">
        <v>488</v>
      </c>
      <c r="B520" s="216"/>
      <c r="C520" s="217"/>
      <c r="D520" s="83">
        <f t="shared" si="55"/>
        <v>9716.2333333333318</v>
      </c>
      <c r="E520" s="218">
        <f>400724/1000</f>
        <v>400.72399999999999</v>
      </c>
      <c r="F520" s="219">
        <f>-109237/1000</f>
        <v>-109.23699999999999</v>
      </c>
      <c r="G520" s="219"/>
      <c r="H520" s="219"/>
      <c r="I520" s="220">
        <f t="shared" si="57"/>
        <v>291.48699999999997</v>
      </c>
      <c r="J520" s="149" t="s">
        <v>21</v>
      </c>
      <c r="M520" s="110"/>
      <c r="T520" s="534">
        <f t="shared" si="53"/>
        <v>3.0000000000000002E-2</v>
      </c>
    </row>
    <row r="521" spans="1:20" s="65" customFormat="1" ht="18.75" hidden="1" thickBot="1" x14ac:dyDescent="0.3">
      <c r="A521" s="207" t="s">
        <v>489</v>
      </c>
      <c r="B521" s="216"/>
      <c r="C521" s="217"/>
      <c r="D521" s="83">
        <f t="shared" si="55"/>
        <v>1817.0000000000002</v>
      </c>
      <c r="E521" s="218">
        <f>75146/1000</f>
        <v>75.146000000000001</v>
      </c>
      <c r="F521" s="219">
        <v>-20.635999999999999</v>
      </c>
      <c r="G521" s="219"/>
      <c r="H521" s="219"/>
      <c r="I521" s="220">
        <f t="shared" si="57"/>
        <v>54.510000000000005</v>
      </c>
      <c r="J521" s="149" t="s">
        <v>21</v>
      </c>
      <c r="M521" s="110"/>
      <c r="T521" s="534">
        <f t="shared" si="53"/>
        <v>0.03</v>
      </c>
    </row>
    <row r="522" spans="1:20" s="65" customFormat="1" ht="18.75" hidden="1" thickBot="1" x14ac:dyDescent="0.3">
      <c r="A522" s="207" t="s">
        <v>490</v>
      </c>
      <c r="B522" s="170"/>
      <c r="C522" s="171"/>
      <c r="D522" s="83">
        <f t="shared" si="55"/>
        <v>1935.0333333333335</v>
      </c>
      <c r="E522" s="84">
        <f>79781/1000</f>
        <v>79.781000000000006</v>
      </c>
      <c r="F522" s="72">
        <v>-21.73</v>
      </c>
      <c r="G522" s="72"/>
      <c r="H522" s="72"/>
      <c r="I522" s="85">
        <f t="shared" si="57"/>
        <v>58.051000000000002</v>
      </c>
      <c r="J522" s="149" t="s">
        <v>21</v>
      </c>
      <c r="M522" s="110"/>
      <c r="T522" s="534">
        <f t="shared" si="53"/>
        <v>0.03</v>
      </c>
    </row>
    <row r="523" spans="1:20" s="65" customFormat="1" ht="18.75" hidden="1" thickBot="1" x14ac:dyDescent="0.3">
      <c r="A523" s="207" t="s">
        <v>491</v>
      </c>
      <c r="B523" s="170"/>
      <c r="C523" s="171"/>
      <c r="D523" s="83">
        <f t="shared" si="55"/>
        <v>801.50000000000011</v>
      </c>
      <c r="E523" s="84">
        <f>33218/1000</f>
        <v>33.218000000000004</v>
      </c>
      <c r="F523" s="72">
        <v>-9.173</v>
      </c>
      <c r="G523" s="72"/>
      <c r="H523" s="72"/>
      <c r="I523" s="85">
        <f t="shared" si="57"/>
        <v>24.045000000000002</v>
      </c>
      <c r="J523" s="149" t="s">
        <v>21</v>
      </c>
      <c r="M523" s="110"/>
      <c r="T523" s="534">
        <f t="shared" si="53"/>
        <v>0.03</v>
      </c>
    </row>
    <row r="524" spans="1:20" s="65" customFormat="1" ht="18.75" hidden="1" thickBot="1" x14ac:dyDescent="0.3">
      <c r="A524" s="207" t="s">
        <v>492</v>
      </c>
      <c r="B524" s="170"/>
      <c r="C524" s="171"/>
      <c r="D524" s="83">
        <f t="shared" si="55"/>
        <v>5327.4666666666662</v>
      </c>
      <c r="E524" s="84">
        <f>221164/1000</f>
        <v>221.16399999999999</v>
      </c>
      <c r="F524" s="72">
        <f>-61340/1000</f>
        <v>-61.34</v>
      </c>
      <c r="G524" s="72"/>
      <c r="H524" s="72"/>
      <c r="I524" s="85">
        <f t="shared" si="57"/>
        <v>159.82399999999998</v>
      </c>
      <c r="J524" s="149" t="s">
        <v>21</v>
      </c>
      <c r="M524" s="110"/>
      <c r="T524" s="534">
        <f t="shared" si="53"/>
        <v>0.03</v>
      </c>
    </row>
    <row r="525" spans="1:20" s="65" customFormat="1" ht="18.75" hidden="1" thickBot="1" x14ac:dyDescent="0.3">
      <c r="A525" s="207" t="s">
        <v>493</v>
      </c>
      <c r="B525" s="170"/>
      <c r="C525" s="171"/>
      <c r="D525" s="83">
        <f t="shared" si="55"/>
        <v>21.166666666666668</v>
      </c>
      <c r="E525" s="84">
        <f>869/1000</f>
        <v>0.86899999999999999</v>
      </c>
      <c r="F525" s="72">
        <v>-0.23400000000000001</v>
      </c>
      <c r="G525" s="72"/>
      <c r="H525" s="72"/>
      <c r="I525" s="85">
        <f t="shared" si="57"/>
        <v>0.63500000000000001</v>
      </c>
      <c r="J525" s="149" t="s">
        <v>225</v>
      </c>
      <c r="M525" s="110"/>
      <c r="T525" s="534">
        <f t="shared" si="53"/>
        <v>0.03</v>
      </c>
    </row>
    <row r="526" spans="1:20" s="65" customFormat="1" ht="18.75" hidden="1" thickBot="1" x14ac:dyDescent="0.3">
      <c r="A526" s="207" t="s">
        <v>494</v>
      </c>
      <c r="B526" s="170"/>
      <c r="C526" s="171"/>
      <c r="D526" s="83">
        <f t="shared" si="55"/>
        <v>3.4666666666666663</v>
      </c>
      <c r="E526" s="84">
        <f>146/1000</f>
        <v>0.14599999999999999</v>
      </c>
      <c r="F526" s="72">
        <v>-4.2000000000000003E-2</v>
      </c>
      <c r="G526" s="72"/>
      <c r="H526" s="72"/>
      <c r="I526" s="85">
        <f t="shared" si="57"/>
        <v>0.10399999999999998</v>
      </c>
      <c r="J526" s="149" t="s">
        <v>225</v>
      </c>
      <c r="M526" s="110"/>
      <c r="T526" s="534">
        <f t="shared" si="53"/>
        <v>0.03</v>
      </c>
    </row>
    <row r="527" spans="1:20" s="65" customFormat="1" ht="18.75" hidden="1" thickBot="1" x14ac:dyDescent="0.3">
      <c r="A527" s="207" t="s">
        <v>495</v>
      </c>
      <c r="B527" s="170"/>
      <c r="C527" s="171"/>
      <c r="D527" s="83">
        <f t="shared" si="55"/>
        <v>8.5</v>
      </c>
      <c r="E527" s="84">
        <f>351/1000</f>
        <v>0.35099999999999998</v>
      </c>
      <c r="F527" s="72">
        <v>-9.6000000000000002E-2</v>
      </c>
      <c r="G527" s="72"/>
      <c r="H527" s="72"/>
      <c r="I527" s="85">
        <f t="shared" si="57"/>
        <v>0.255</v>
      </c>
      <c r="J527" s="149" t="s">
        <v>225</v>
      </c>
      <c r="M527" s="110"/>
      <c r="T527" s="534">
        <f t="shared" si="53"/>
        <v>0.03</v>
      </c>
    </row>
    <row r="528" spans="1:20" s="65" customFormat="1" ht="18.75" hidden="1" thickBot="1" x14ac:dyDescent="0.3">
      <c r="A528" s="207" t="s">
        <v>496</v>
      </c>
      <c r="B528" s="170"/>
      <c r="C528" s="171"/>
      <c r="D528" s="83">
        <f t="shared" si="55"/>
        <v>5.8999999999999995</v>
      </c>
      <c r="E528" s="84">
        <f>239/1000</f>
        <v>0.23899999999999999</v>
      </c>
      <c r="F528" s="72">
        <v>-6.2E-2</v>
      </c>
      <c r="G528" s="72"/>
      <c r="H528" s="72"/>
      <c r="I528" s="85">
        <f t="shared" si="57"/>
        <v>0.17699999999999999</v>
      </c>
      <c r="J528" s="149" t="s">
        <v>225</v>
      </c>
      <c r="M528" s="110"/>
      <c r="T528" s="534">
        <f t="shared" si="53"/>
        <v>3.0000000000000002E-2</v>
      </c>
    </row>
    <row r="529" spans="1:20" s="65" customFormat="1" ht="18.75" hidden="1" thickBot="1" x14ac:dyDescent="0.3">
      <c r="A529" s="207" t="s">
        <v>497</v>
      </c>
      <c r="B529" s="170"/>
      <c r="C529" s="171"/>
      <c r="D529" s="83">
        <f t="shared" si="55"/>
        <v>108.93333333333334</v>
      </c>
      <c r="E529" s="84">
        <f>4085/1000</f>
        <v>4.085</v>
      </c>
      <c r="F529" s="72">
        <v>-0.81699999999999995</v>
      </c>
      <c r="G529" s="72"/>
      <c r="H529" s="72"/>
      <c r="I529" s="85">
        <f t="shared" si="57"/>
        <v>3.2679999999999998</v>
      </c>
      <c r="J529" s="149" t="s">
        <v>225</v>
      </c>
      <c r="M529" s="110"/>
      <c r="T529" s="534">
        <f t="shared" si="53"/>
        <v>2.9999999999999995E-2</v>
      </c>
    </row>
    <row r="530" spans="1:20" s="65" customFormat="1" ht="18.75" hidden="1" thickBot="1" x14ac:dyDescent="0.3">
      <c r="A530" s="207" t="s">
        <v>498</v>
      </c>
      <c r="B530" s="170"/>
      <c r="C530" s="171"/>
      <c r="D530" s="83">
        <f t="shared" si="55"/>
        <v>27.533333333333328</v>
      </c>
      <c r="E530" s="84">
        <f>1023/1000</f>
        <v>1.0229999999999999</v>
      </c>
      <c r="F530" s="72">
        <v>-0.19700000000000001</v>
      </c>
      <c r="G530" s="72"/>
      <c r="H530" s="72"/>
      <c r="I530" s="85">
        <f t="shared" si="57"/>
        <v>0.82599999999999985</v>
      </c>
      <c r="J530" s="149" t="s">
        <v>225</v>
      </c>
      <c r="M530" s="110"/>
      <c r="T530" s="534">
        <f t="shared" si="53"/>
        <v>0.03</v>
      </c>
    </row>
    <row r="531" spans="1:20" s="65" customFormat="1" ht="18.75" hidden="1" thickBot="1" x14ac:dyDescent="0.3">
      <c r="A531" s="207" t="s">
        <v>499</v>
      </c>
      <c r="B531" s="170"/>
      <c r="C531" s="171"/>
      <c r="D531" s="83">
        <f t="shared" si="55"/>
        <v>10.066666666666666</v>
      </c>
      <c r="E531" s="84">
        <f>413/1000</f>
        <v>0.41299999999999998</v>
      </c>
      <c r="F531" s="72">
        <v>-0.111</v>
      </c>
      <c r="G531" s="72"/>
      <c r="H531" s="72"/>
      <c r="I531" s="85">
        <f t="shared" si="57"/>
        <v>0.30199999999999999</v>
      </c>
      <c r="J531" s="149" t="s">
        <v>225</v>
      </c>
      <c r="M531" s="110"/>
      <c r="T531" s="534">
        <f t="shared" ref="T531:T594" si="58">IF(D531&gt;0,(I531/D531),"")</f>
        <v>0.03</v>
      </c>
    </row>
    <row r="532" spans="1:20" s="65" customFormat="1" ht="18.75" hidden="1" thickBot="1" x14ac:dyDescent="0.3">
      <c r="A532" s="207" t="s">
        <v>500</v>
      </c>
      <c r="B532" s="170"/>
      <c r="C532" s="171"/>
      <c r="D532" s="83">
        <f t="shared" ref="D532:D595" si="59">I532/0.03</f>
        <v>20.6</v>
      </c>
      <c r="E532" s="84">
        <f>855/1000</f>
        <v>0.85499999999999998</v>
      </c>
      <c r="F532" s="72">
        <v>-0.23699999999999999</v>
      </c>
      <c r="G532" s="72"/>
      <c r="H532" s="72"/>
      <c r="I532" s="85">
        <f t="shared" si="57"/>
        <v>0.61799999999999999</v>
      </c>
      <c r="J532" s="149" t="s">
        <v>225</v>
      </c>
      <c r="M532" s="110"/>
      <c r="T532" s="534">
        <f t="shared" si="58"/>
        <v>0.03</v>
      </c>
    </row>
    <row r="533" spans="1:20" s="65" customFormat="1" ht="18.75" hidden="1" thickBot="1" x14ac:dyDescent="0.3">
      <c r="A533" s="207" t="s">
        <v>501</v>
      </c>
      <c r="B533" s="170"/>
      <c r="C533" s="171"/>
      <c r="D533" s="83">
        <f t="shared" si="59"/>
        <v>51.833333333333336</v>
      </c>
      <c r="E533" s="84">
        <f>2118/1000</f>
        <v>2.1179999999999999</v>
      </c>
      <c r="F533" s="72">
        <v>-0.56299999999999994</v>
      </c>
      <c r="G533" s="72"/>
      <c r="H533" s="72"/>
      <c r="I533" s="85">
        <f t="shared" si="57"/>
        <v>1.5549999999999999</v>
      </c>
      <c r="J533" s="149" t="s">
        <v>225</v>
      </c>
      <c r="M533" s="110"/>
      <c r="T533" s="534">
        <f t="shared" si="58"/>
        <v>0.03</v>
      </c>
    </row>
    <row r="534" spans="1:20" s="65" customFormat="1" ht="18.75" hidden="1" thickBot="1" x14ac:dyDescent="0.3">
      <c r="A534" s="207" t="s">
        <v>502</v>
      </c>
      <c r="B534" s="170"/>
      <c r="C534" s="171"/>
      <c r="D534" s="83">
        <f t="shared" si="59"/>
        <v>54.7</v>
      </c>
      <c r="E534" s="84">
        <f>2251/1000</f>
        <v>2.2509999999999999</v>
      </c>
      <c r="F534" s="72">
        <v>-0.61</v>
      </c>
      <c r="G534" s="72"/>
      <c r="H534" s="72"/>
      <c r="I534" s="85">
        <f t="shared" si="57"/>
        <v>1.641</v>
      </c>
      <c r="J534" s="149" t="s">
        <v>225</v>
      </c>
      <c r="M534" s="110"/>
      <c r="T534" s="534">
        <f t="shared" si="58"/>
        <v>0.03</v>
      </c>
    </row>
    <row r="535" spans="1:20" s="65" customFormat="1" ht="18.75" hidden="1" thickBot="1" x14ac:dyDescent="0.3">
      <c r="A535" s="207" t="s">
        <v>503</v>
      </c>
      <c r="B535" s="170"/>
      <c r="C535" s="171"/>
      <c r="D535" s="83">
        <f t="shared" si="59"/>
        <v>125.39999999999999</v>
      </c>
      <c r="E535" s="84">
        <f>5167/1000</f>
        <v>5.1669999999999998</v>
      </c>
      <c r="F535" s="72">
        <v>-1.405</v>
      </c>
      <c r="G535" s="72"/>
      <c r="H535" s="72"/>
      <c r="I535" s="85">
        <f t="shared" si="57"/>
        <v>3.7619999999999996</v>
      </c>
      <c r="J535" s="149" t="s">
        <v>225</v>
      </c>
      <c r="M535" s="110"/>
      <c r="T535" s="534">
        <f t="shared" si="58"/>
        <v>0.03</v>
      </c>
    </row>
    <row r="536" spans="1:20" s="65" customFormat="1" ht="18.75" hidden="1" thickBot="1" x14ac:dyDescent="0.3">
      <c r="A536" s="207" t="s">
        <v>504</v>
      </c>
      <c r="B536" s="170"/>
      <c r="C536" s="171"/>
      <c r="D536" s="83">
        <f t="shared" si="59"/>
        <v>123.53333333333333</v>
      </c>
      <c r="E536" s="84">
        <f>5064/1000</f>
        <v>5.0640000000000001</v>
      </c>
      <c r="F536" s="72">
        <v>-1.3580000000000001</v>
      </c>
      <c r="G536" s="72"/>
      <c r="H536" s="72"/>
      <c r="I536" s="85">
        <f t="shared" si="57"/>
        <v>3.706</v>
      </c>
      <c r="J536" s="149" t="s">
        <v>225</v>
      </c>
      <c r="M536" s="110"/>
      <c r="T536" s="534">
        <f t="shared" si="58"/>
        <v>0.03</v>
      </c>
    </row>
    <row r="537" spans="1:20" s="65" customFormat="1" ht="18.75" hidden="1" thickBot="1" x14ac:dyDescent="0.3">
      <c r="A537" s="207" t="s">
        <v>505</v>
      </c>
      <c r="B537" s="170"/>
      <c r="C537" s="171"/>
      <c r="D537" s="83">
        <f t="shared" si="59"/>
        <v>2880.0333333333338</v>
      </c>
      <c r="E537" s="84">
        <f>101549/1000</f>
        <v>101.54900000000001</v>
      </c>
      <c r="F537" s="72">
        <v>-15.148</v>
      </c>
      <c r="G537" s="72"/>
      <c r="H537" s="72"/>
      <c r="I537" s="85">
        <f t="shared" si="57"/>
        <v>86.40100000000001</v>
      </c>
      <c r="J537" s="149" t="s">
        <v>225</v>
      </c>
      <c r="M537" s="110"/>
      <c r="T537" s="534">
        <f t="shared" si="58"/>
        <v>0.03</v>
      </c>
    </row>
    <row r="538" spans="1:20" s="65" customFormat="1" ht="18.75" hidden="1" thickBot="1" x14ac:dyDescent="0.3">
      <c r="A538" s="207" t="s">
        <v>506</v>
      </c>
      <c r="B538" s="170"/>
      <c r="C538" s="171"/>
      <c r="D538" s="83">
        <f t="shared" si="59"/>
        <v>330.56666666666672</v>
      </c>
      <c r="E538" s="84">
        <f>14220/1000</f>
        <v>14.22</v>
      </c>
      <c r="F538" s="72">
        <v>-4.3029999999999999</v>
      </c>
      <c r="G538" s="72"/>
      <c r="H538" s="72"/>
      <c r="I538" s="85">
        <f t="shared" si="57"/>
        <v>9.9170000000000016</v>
      </c>
      <c r="J538" s="149" t="s">
        <v>225</v>
      </c>
      <c r="M538" s="110"/>
      <c r="T538" s="534">
        <f t="shared" si="58"/>
        <v>0.03</v>
      </c>
    </row>
    <row r="539" spans="1:20" s="65" customFormat="1" ht="18.75" hidden="1" thickBot="1" x14ac:dyDescent="0.3">
      <c r="A539" s="207" t="s">
        <v>507</v>
      </c>
      <c r="B539" s="170"/>
      <c r="C539" s="171"/>
      <c r="D539" s="83">
        <f t="shared" si="59"/>
        <v>260.16666666666669</v>
      </c>
      <c r="E539" s="84">
        <f>11707/1000</f>
        <v>11.707000000000001</v>
      </c>
      <c r="F539" s="72">
        <v>-3.9020000000000001</v>
      </c>
      <c r="G539" s="72"/>
      <c r="H539" s="72"/>
      <c r="I539" s="85">
        <f t="shared" si="57"/>
        <v>7.8050000000000006</v>
      </c>
      <c r="J539" s="149" t="s">
        <v>225</v>
      </c>
      <c r="M539" s="110"/>
      <c r="T539" s="534">
        <f t="shared" si="58"/>
        <v>0.03</v>
      </c>
    </row>
    <row r="540" spans="1:20" s="65" customFormat="1" ht="18.75" hidden="1" thickBot="1" x14ac:dyDescent="0.3">
      <c r="A540" s="207" t="s">
        <v>508</v>
      </c>
      <c r="B540" s="170"/>
      <c r="C540" s="171"/>
      <c r="D540" s="83">
        <f t="shared" si="59"/>
        <v>1810.3333333333333</v>
      </c>
      <c r="E540" s="84">
        <f>74609/1000</f>
        <v>74.608999999999995</v>
      </c>
      <c r="F540" s="72">
        <v>-20.298999999999999</v>
      </c>
      <c r="G540" s="72"/>
      <c r="H540" s="72"/>
      <c r="I540" s="85">
        <f t="shared" si="57"/>
        <v>54.309999999999995</v>
      </c>
      <c r="J540" s="149" t="s">
        <v>225</v>
      </c>
      <c r="M540" s="110"/>
      <c r="T540" s="534">
        <f t="shared" si="58"/>
        <v>0.03</v>
      </c>
    </row>
    <row r="541" spans="1:20" s="65" customFormat="1" ht="18.75" hidden="1" thickBot="1" x14ac:dyDescent="0.3">
      <c r="A541" s="207" t="s">
        <v>509</v>
      </c>
      <c r="B541" s="170"/>
      <c r="C541" s="171"/>
      <c r="D541" s="83">
        <f t="shared" si="59"/>
        <v>161</v>
      </c>
      <c r="E541" s="84">
        <f>7052/1000</f>
        <v>7.0519999999999996</v>
      </c>
      <c r="F541" s="72">
        <v>-2.222</v>
      </c>
      <c r="G541" s="72"/>
      <c r="H541" s="72"/>
      <c r="I541" s="85">
        <f t="shared" si="57"/>
        <v>4.83</v>
      </c>
      <c r="J541" s="149" t="s">
        <v>225</v>
      </c>
      <c r="M541" s="110"/>
      <c r="T541" s="534">
        <f t="shared" si="58"/>
        <v>0.03</v>
      </c>
    </row>
    <row r="542" spans="1:20" s="65" customFormat="1" ht="16.5" hidden="1" thickBot="1" x14ac:dyDescent="0.3">
      <c r="A542" s="201" t="s">
        <v>510</v>
      </c>
      <c r="B542" s="81"/>
      <c r="C542" s="171"/>
      <c r="D542" s="83">
        <f t="shared" si="59"/>
        <v>2661.2000000000007</v>
      </c>
      <c r="E542" s="84">
        <v>112.191</v>
      </c>
      <c r="F542" s="72">
        <v>-32.354999999999997</v>
      </c>
      <c r="G542" s="72"/>
      <c r="H542" s="72"/>
      <c r="I542" s="85">
        <f t="shared" ref="I542:I554" si="60">SUM(E542:H542)</f>
        <v>79.836000000000013</v>
      </c>
      <c r="J542" s="149" t="s">
        <v>225</v>
      </c>
      <c r="M542" s="110"/>
      <c r="T542" s="534">
        <f t="shared" si="58"/>
        <v>2.9999999999999995E-2</v>
      </c>
    </row>
    <row r="543" spans="1:20" s="65" customFormat="1" ht="16.5" hidden="1" thickBot="1" x14ac:dyDescent="0.3">
      <c r="A543" s="201" t="s">
        <v>511</v>
      </c>
      <c r="B543" s="81"/>
      <c r="C543" s="171"/>
      <c r="D543" s="83">
        <f t="shared" si="59"/>
        <v>412.63333333333333</v>
      </c>
      <c r="E543" s="84">
        <v>16.981999999999999</v>
      </c>
      <c r="F543" s="72">
        <v>-4.6029999999999998</v>
      </c>
      <c r="G543" s="72"/>
      <c r="H543" s="72"/>
      <c r="I543" s="85">
        <f t="shared" si="60"/>
        <v>12.379</v>
      </c>
      <c r="J543" s="149" t="s">
        <v>225</v>
      </c>
      <c r="M543" s="110"/>
      <c r="T543" s="534">
        <f t="shared" si="58"/>
        <v>0.03</v>
      </c>
    </row>
    <row r="544" spans="1:20" s="65" customFormat="1" ht="16.5" hidden="1" thickBot="1" x14ac:dyDescent="0.3">
      <c r="A544" s="201" t="s">
        <v>512</v>
      </c>
      <c r="B544" s="81"/>
      <c r="C544" s="171"/>
      <c r="D544" s="83">
        <f t="shared" si="59"/>
        <v>3001</v>
      </c>
      <c r="E544" s="84">
        <v>112.026</v>
      </c>
      <c r="F544" s="72">
        <v>-21.995999999999999</v>
      </c>
      <c r="G544" s="72"/>
      <c r="H544" s="72"/>
      <c r="I544" s="85">
        <f t="shared" si="60"/>
        <v>90.03</v>
      </c>
      <c r="J544" s="149" t="s">
        <v>225</v>
      </c>
      <c r="M544" s="110"/>
      <c r="T544" s="534">
        <f t="shared" si="58"/>
        <v>0.03</v>
      </c>
    </row>
    <row r="545" spans="1:20" s="65" customFormat="1" ht="16.5" hidden="1" thickBot="1" x14ac:dyDescent="0.3">
      <c r="A545" s="201" t="s">
        <v>513</v>
      </c>
      <c r="B545" s="81"/>
      <c r="C545" s="171"/>
      <c r="D545" s="83">
        <f t="shared" si="59"/>
        <v>1277.0333333333333</v>
      </c>
      <c r="E545" s="84">
        <v>48.677</v>
      </c>
      <c r="F545" s="72">
        <v>-10.366</v>
      </c>
      <c r="G545" s="72"/>
      <c r="H545" s="72"/>
      <c r="I545" s="85">
        <f t="shared" si="60"/>
        <v>38.311</v>
      </c>
      <c r="J545" s="149" t="s">
        <v>225</v>
      </c>
      <c r="M545" s="110"/>
      <c r="T545" s="534">
        <f t="shared" si="58"/>
        <v>3.0000000000000002E-2</v>
      </c>
    </row>
    <row r="546" spans="1:20" s="65" customFormat="1" ht="16.5" hidden="1" thickBot="1" x14ac:dyDescent="0.3">
      <c r="A546" s="201" t="s">
        <v>514</v>
      </c>
      <c r="B546" s="81"/>
      <c r="C546" s="171"/>
      <c r="D546" s="83">
        <f t="shared" si="59"/>
        <v>1549.166666666667</v>
      </c>
      <c r="E546" s="84">
        <v>65.87</v>
      </c>
      <c r="F546" s="72">
        <v>-19.395</v>
      </c>
      <c r="G546" s="72"/>
      <c r="H546" s="72"/>
      <c r="I546" s="85">
        <f t="shared" si="60"/>
        <v>46.475000000000009</v>
      </c>
      <c r="J546" s="149" t="s">
        <v>225</v>
      </c>
      <c r="M546" s="110"/>
      <c r="T546" s="534">
        <f t="shared" si="58"/>
        <v>0.03</v>
      </c>
    </row>
    <row r="547" spans="1:20" s="65" customFormat="1" ht="16.5" hidden="1" thickBot="1" x14ac:dyDescent="0.3">
      <c r="A547" s="201" t="s">
        <v>515</v>
      </c>
      <c r="B547" s="81"/>
      <c r="C547" s="171"/>
      <c r="D547" s="83">
        <f t="shared" si="59"/>
        <v>3500.6666666666661</v>
      </c>
      <c r="E547" s="84">
        <v>149.89099999999999</v>
      </c>
      <c r="F547" s="72">
        <v>-44.871000000000002</v>
      </c>
      <c r="G547" s="72"/>
      <c r="H547" s="72"/>
      <c r="I547" s="85">
        <f t="shared" si="60"/>
        <v>105.01999999999998</v>
      </c>
      <c r="J547" s="149" t="s">
        <v>225</v>
      </c>
      <c r="M547" s="110"/>
      <c r="T547" s="534">
        <f t="shared" si="58"/>
        <v>0.03</v>
      </c>
    </row>
    <row r="548" spans="1:20" s="65" customFormat="1" ht="16.5" hidden="1" thickBot="1" x14ac:dyDescent="0.3">
      <c r="A548" s="201" t="s">
        <v>516</v>
      </c>
      <c r="B548" s="81"/>
      <c r="C548" s="171"/>
      <c r="D548" s="83">
        <f t="shared" si="59"/>
        <v>2495.5666666666671</v>
      </c>
      <c r="E548" s="84">
        <v>107.471</v>
      </c>
      <c r="F548" s="72">
        <v>-32.603999999999999</v>
      </c>
      <c r="G548" s="72"/>
      <c r="H548" s="72"/>
      <c r="I548" s="85">
        <f t="shared" si="60"/>
        <v>74.867000000000004</v>
      </c>
      <c r="J548" s="149" t="s">
        <v>225</v>
      </c>
      <c r="M548" s="110"/>
      <c r="T548" s="534">
        <f t="shared" si="58"/>
        <v>2.9999999999999995E-2</v>
      </c>
    </row>
    <row r="549" spans="1:20" s="65" customFormat="1" ht="16.5" hidden="1" thickBot="1" x14ac:dyDescent="0.3">
      <c r="A549" s="201" t="s">
        <v>517</v>
      </c>
      <c r="B549" s="81"/>
      <c r="C549" s="171"/>
      <c r="D549" s="83">
        <f t="shared" si="59"/>
        <v>5811.3</v>
      </c>
      <c r="E549" s="84">
        <v>235.72300000000001</v>
      </c>
      <c r="F549" s="72">
        <v>-61.384</v>
      </c>
      <c r="G549" s="72"/>
      <c r="H549" s="72"/>
      <c r="I549" s="85">
        <f t="shared" si="60"/>
        <v>174.339</v>
      </c>
      <c r="J549" s="149" t="s">
        <v>21</v>
      </c>
      <c r="M549" s="110"/>
      <c r="T549" s="534">
        <f t="shared" si="58"/>
        <v>0.03</v>
      </c>
    </row>
    <row r="550" spans="1:20" s="65" customFormat="1" ht="16.5" hidden="1" thickBot="1" x14ac:dyDescent="0.3">
      <c r="A550" s="201" t="s">
        <v>518</v>
      </c>
      <c r="B550" s="81"/>
      <c r="C550" s="171"/>
      <c r="D550" s="83">
        <f t="shared" si="59"/>
        <v>7137.5333333333328</v>
      </c>
      <c r="E550" s="84">
        <v>295.71699999999998</v>
      </c>
      <c r="F550" s="72">
        <v>-81.590999999999994</v>
      </c>
      <c r="G550" s="72"/>
      <c r="H550" s="72"/>
      <c r="I550" s="85">
        <f t="shared" si="60"/>
        <v>214.12599999999998</v>
      </c>
      <c r="J550" s="149" t="s">
        <v>21</v>
      </c>
      <c r="M550" s="110"/>
      <c r="T550" s="534">
        <f t="shared" si="58"/>
        <v>0.03</v>
      </c>
    </row>
    <row r="551" spans="1:20" s="65" customFormat="1" ht="16.5" hidden="1" thickBot="1" x14ac:dyDescent="0.3">
      <c r="A551" s="201" t="s">
        <v>519</v>
      </c>
      <c r="B551" s="81"/>
      <c r="C551" s="171"/>
      <c r="D551" s="83">
        <f t="shared" si="59"/>
        <v>15425.033333333335</v>
      </c>
      <c r="E551" s="84">
        <v>635.48900000000003</v>
      </c>
      <c r="F551" s="72">
        <v>-172.738</v>
      </c>
      <c r="G551" s="72"/>
      <c r="H551" s="72"/>
      <c r="I551" s="85">
        <f t="shared" si="60"/>
        <v>462.75100000000003</v>
      </c>
      <c r="J551" s="149" t="s">
        <v>21</v>
      </c>
      <c r="M551" s="110"/>
      <c r="T551" s="534">
        <f t="shared" si="58"/>
        <v>0.03</v>
      </c>
    </row>
    <row r="552" spans="1:20" s="65" customFormat="1" ht="16.5" hidden="1" thickBot="1" x14ac:dyDescent="0.3">
      <c r="A552" s="201" t="s">
        <v>520</v>
      </c>
      <c r="B552" s="81"/>
      <c r="C552" s="171"/>
      <c r="D552" s="83">
        <f t="shared" si="59"/>
        <v>9137.2666666666664</v>
      </c>
      <c r="E552" s="84">
        <v>378.23500000000001</v>
      </c>
      <c r="F552" s="72">
        <v>-104.117</v>
      </c>
      <c r="G552" s="72"/>
      <c r="H552" s="72"/>
      <c r="I552" s="85">
        <f t="shared" si="60"/>
        <v>274.11799999999999</v>
      </c>
      <c r="J552" s="149" t="s">
        <v>21</v>
      </c>
      <c r="M552" s="110"/>
      <c r="T552" s="534">
        <f t="shared" si="58"/>
        <v>0.03</v>
      </c>
    </row>
    <row r="553" spans="1:20" s="65" customFormat="1" ht="16.5" hidden="1" thickBot="1" x14ac:dyDescent="0.3">
      <c r="A553" s="201" t="s">
        <v>521</v>
      </c>
      <c r="B553" s="81"/>
      <c r="C553" s="171"/>
      <c r="D553" s="83">
        <f t="shared" si="59"/>
        <v>3624.1000000000004</v>
      </c>
      <c r="E553" s="84">
        <v>149.81700000000001</v>
      </c>
      <c r="F553" s="72">
        <v>-41.094000000000001</v>
      </c>
      <c r="G553" s="72"/>
      <c r="H553" s="72"/>
      <c r="I553" s="85">
        <f t="shared" si="60"/>
        <v>108.72300000000001</v>
      </c>
      <c r="J553" s="149" t="s">
        <v>21</v>
      </c>
      <c r="M553" s="110"/>
      <c r="T553" s="534">
        <f t="shared" si="58"/>
        <v>3.0000000000000002E-2</v>
      </c>
    </row>
    <row r="554" spans="1:20" s="65" customFormat="1" ht="16.5" hidden="1" thickBot="1" x14ac:dyDescent="0.3">
      <c r="A554" s="201" t="s">
        <v>522</v>
      </c>
      <c r="B554" s="81"/>
      <c r="C554" s="171"/>
      <c r="D554" s="83">
        <f t="shared" si="59"/>
        <v>657.63333333333333</v>
      </c>
      <c r="E554" s="84">
        <v>20.265999999999998</v>
      </c>
      <c r="F554" s="72">
        <v>-0.53700000000000003</v>
      </c>
      <c r="G554" s="72"/>
      <c r="H554" s="72"/>
      <c r="I554" s="85">
        <f t="shared" si="60"/>
        <v>19.728999999999999</v>
      </c>
      <c r="J554" s="149" t="s">
        <v>21</v>
      </c>
      <c r="M554" s="110"/>
      <c r="T554" s="534">
        <f t="shared" si="58"/>
        <v>0.03</v>
      </c>
    </row>
    <row r="555" spans="1:20" s="65" customFormat="1" ht="16.5" hidden="1" thickBot="1" x14ac:dyDescent="0.3">
      <c r="A555" s="201" t="s">
        <v>523</v>
      </c>
      <c r="B555" s="81"/>
      <c r="C555" s="171"/>
      <c r="D555" s="83">
        <f t="shared" si="59"/>
        <v>253.26666666666671</v>
      </c>
      <c r="E555" s="84">
        <v>10.755000000000001</v>
      </c>
      <c r="F555" s="72">
        <v>-3.157</v>
      </c>
      <c r="G555" s="72"/>
      <c r="H555" s="72"/>
      <c r="I555" s="85">
        <f t="shared" ref="I555:I585" si="61">SUM(E555:G555)</f>
        <v>7.5980000000000008</v>
      </c>
      <c r="J555" s="149" t="s">
        <v>225</v>
      </c>
      <c r="M555" s="110"/>
      <c r="T555" s="534">
        <f t="shared" si="58"/>
        <v>0.03</v>
      </c>
    </row>
    <row r="556" spans="1:20" s="65" customFormat="1" ht="16.5" hidden="1" thickBot="1" x14ac:dyDescent="0.3">
      <c r="A556" s="201" t="s">
        <v>524</v>
      </c>
      <c r="B556" s="81"/>
      <c r="C556" s="171"/>
      <c r="D556" s="83">
        <f t="shared" si="59"/>
        <v>27.166666666666668</v>
      </c>
      <c r="E556" s="84">
        <v>1.163</v>
      </c>
      <c r="F556" s="72">
        <v>-0.34799999999999998</v>
      </c>
      <c r="G556" s="72"/>
      <c r="H556" s="72"/>
      <c r="I556" s="85">
        <f t="shared" si="61"/>
        <v>0.81500000000000006</v>
      </c>
      <c r="J556" s="149" t="s">
        <v>225</v>
      </c>
      <c r="M556" s="110"/>
      <c r="T556" s="534">
        <f t="shared" si="58"/>
        <v>3.0000000000000002E-2</v>
      </c>
    </row>
    <row r="557" spans="1:20" s="65" customFormat="1" ht="16.5" hidden="1" thickBot="1" x14ac:dyDescent="0.3">
      <c r="A557" s="201" t="s">
        <v>525</v>
      </c>
      <c r="B557" s="81"/>
      <c r="C557" s="171"/>
      <c r="D557" s="83">
        <f t="shared" si="59"/>
        <v>435.56666666666666</v>
      </c>
      <c r="E557" s="84">
        <v>16.04</v>
      </c>
      <c r="F557" s="72">
        <v>-2.9729999999999999</v>
      </c>
      <c r="G557" s="72"/>
      <c r="H557" s="72"/>
      <c r="I557" s="85">
        <f t="shared" si="61"/>
        <v>13.067</v>
      </c>
      <c r="J557" s="149" t="s">
        <v>225</v>
      </c>
      <c r="M557" s="110"/>
      <c r="T557" s="534">
        <f t="shared" si="58"/>
        <v>3.0000000000000002E-2</v>
      </c>
    </row>
    <row r="558" spans="1:20" s="65" customFormat="1" ht="16.5" hidden="1" thickBot="1" x14ac:dyDescent="0.3">
      <c r="A558" s="201" t="s">
        <v>526</v>
      </c>
      <c r="B558" s="81"/>
      <c r="C558" s="171"/>
      <c r="D558" s="83">
        <f t="shared" si="59"/>
        <v>1387.2333333333333</v>
      </c>
      <c r="E558" s="84">
        <v>56.351999999999997</v>
      </c>
      <c r="F558" s="72">
        <v>-14.734999999999999</v>
      </c>
      <c r="G558" s="72"/>
      <c r="H558" s="72"/>
      <c r="I558" s="85">
        <f t="shared" si="61"/>
        <v>41.616999999999997</v>
      </c>
      <c r="J558" s="149" t="s">
        <v>225</v>
      </c>
      <c r="M558" s="110"/>
      <c r="T558" s="534">
        <f t="shared" si="58"/>
        <v>0.03</v>
      </c>
    </row>
    <row r="559" spans="1:20" s="65" customFormat="1" ht="16.5" hidden="1" thickBot="1" x14ac:dyDescent="0.3">
      <c r="A559" s="201" t="s">
        <v>527</v>
      </c>
      <c r="B559" s="81"/>
      <c r="C559" s="171"/>
      <c r="D559" s="83">
        <f t="shared" si="59"/>
        <v>323.4666666666667</v>
      </c>
      <c r="E559" s="84">
        <v>13.709</v>
      </c>
      <c r="F559" s="72">
        <v>-4.0049999999999999</v>
      </c>
      <c r="G559" s="72"/>
      <c r="H559" s="72"/>
      <c r="I559" s="85">
        <f t="shared" si="61"/>
        <v>9.7040000000000006</v>
      </c>
      <c r="J559" s="149" t="s">
        <v>225</v>
      </c>
      <c r="M559" s="110"/>
      <c r="T559" s="534">
        <f t="shared" si="58"/>
        <v>0.03</v>
      </c>
    </row>
    <row r="560" spans="1:20" s="65" customFormat="1" ht="16.5" hidden="1" thickBot="1" x14ac:dyDescent="0.3">
      <c r="A560" s="201" t="s">
        <v>528</v>
      </c>
      <c r="B560" s="81"/>
      <c r="C560" s="171"/>
      <c r="D560" s="83">
        <f t="shared" si="59"/>
        <v>389.50000000000006</v>
      </c>
      <c r="E560" s="84">
        <v>16.239000000000001</v>
      </c>
      <c r="F560" s="72">
        <v>-4.5540000000000003</v>
      </c>
      <c r="G560" s="72"/>
      <c r="H560" s="72"/>
      <c r="I560" s="85">
        <f t="shared" si="61"/>
        <v>11.685</v>
      </c>
      <c r="J560" s="149" t="s">
        <v>225</v>
      </c>
      <c r="M560" s="110"/>
      <c r="T560" s="534">
        <f t="shared" si="58"/>
        <v>2.9999999999999995E-2</v>
      </c>
    </row>
    <row r="561" spans="1:20" s="65" customFormat="1" ht="16.5" hidden="1" thickBot="1" x14ac:dyDescent="0.3">
      <c r="A561" s="201" t="s">
        <v>529</v>
      </c>
      <c r="B561" s="81"/>
      <c r="C561" s="171"/>
      <c r="D561" s="83">
        <f t="shared" si="59"/>
        <v>111.63333333333334</v>
      </c>
      <c r="E561" s="84">
        <v>4.6059999999999999</v>
      </c>
      <c r="F561" s="72">
        <v>-1.2569999999999999</v>
      </c>
      <c r="G561" s="72"/>
      <c r="H561" s="72"/>
      <c r="I561" s="85">
        <f t="shared" si="61"/>
        <v>3.3490000000000002</v>
      </c>
      <c r="J561" s="149" t="s">
        <v>225</v>
      </c>
      <c r="M561" s="110"/>
      <c r="T561" s="534">
        <f t="shared" si="58"/>
        <v>0.03</v>
      </c>
    </row>
    <row r="562" spans="1:20" s="65" customFormat="1" ht="16.5" hidden="1" thickBot="1" x14ac:dyDescent="0.3">
      <c r="A562" s="201" t="s">
        <v>530</v>
      </c>
      <c r="B562" s="81"/>
      <c r="C562" s="171"/>
      <c r="D562" s="83">
        <f t="shared" si="59"/>
        <v>452.00000000000011</v>
      </c>
      <c r="E562" s="84">
        <v>19.475000000000001</v>
      </c>
      <c r="F562" s="72">
        <v>-5.915</v>
      </c>
      <c r="G562" s="72"/>
      <c r="H562" s="72"/>
      <c r="I562" s="85">
        <f t="shared" si="61"/>
        <v>13.560000000000002</v>
      </c>
      <c r="J562" s="149" t="s">
        <v>225</v>
      </c>
      <c r="M562" s="110"/>
      <c r="T562" s="534">
        <f t="shared" si="58"/>
        <v>0.03</v>
      </c>
    </row>
    <row r="563" spans="1:20" s="65" customFormat="1" ht="16.5" hidden="1" thickBot="1" x14ac:dyDescent="0.3">
      <c r="A563" s="201" t="s">
        <v>531</v>
      </c>
      <c r="B563" s="81"/>
      <c r="C563" s="171"/>
      <c r="D563" s="83">
        <f t="shared" si="59"/>
        <v>960.26666666666665</v>
      </c>
      <c r="E563" s="84">
        <v>36.301000000000002</v>
      </c>
      <c r="F563" s="72">
        <v>-7.4930000000000003</v>
      </c>
      <c r="G563" s="72"/>
      <c r="H563" s="72"/>
      <c r="I563" s="85">
        <f t="shared" si="61"/>
        <v>28.808</v>
      </c>
      <c r="J563" s="149" t="s">
        <v>225</v>
      </c>
      <c r="M563" s="110"/>
      <c r="T563" s="534">
        <f t="shared" si="58"/>
        <v>0.03</v>
      </c>
    </row>
    <row r="564" spans="1:20" s="65" customFormat="1" ht="16.5" hidden="1" thickBot="1" x14ac:dyDescent="0.3">
      <c r="A564" s="201" t="s">
        <v>532</v>
      </c>
      <c r="B564" s="81"/>
      <c r="C564" s="171"/>
      <c r="D564" s="83">
        <f t="shared" si="59"/>
        <v>309.43333333333334</v>
      </c>
      <c r="E564" s="84">
        <v>11.295999999999999</v>
      </c>
      <c r="F564" s="72">
        <v>-2.0129999999999999</v>
      </c>
      <c r="G564" s="72"/>
      <c r="H564" s="72"/>
      <c r="I564" s="85">
        <f t="shared" si="61"/>
        <v>9.2829999999999995</v>
      </c>
      <c r="J564" s="149" t="s">
        <v>225</v>
      </c>
      <c r="M564" s="110"/>
      <c r="T564" s="534">
        <f t="shared" si="58"/>
        <v>0.03</v>
      </c>
    </row>
    <row r="565" spans="1:20" s="65" customFormat="1" ht="16.5" hidden="1" thickBot="1" x14ac:dyDescent="0.3">
      <c r="A565" s="201" t="s">
        <v>533</v>
      </c>
      <c r="B565" s="81"/>
      <c r="C565" s="171"/>
      <c r="D565" s="83">
        <f t="shared" si="59"/>
        <v>206.16666666666666</v>
      </c>
      <c r="E565" s="84">
        <v>8.5579999999999998</v>
      </c>
      <c r="F565" s="72">
        <v>-2.3730000000000002</v>
      </c>
      <c r="G565" s="72"/>
      <c r="H565" s="72"/>
      <c r="I565" s="85">
        <f t="shared" si="61"/>
        <v>6.1849999999999996</v>
      </c>
      <c r="J565" s="149" t="s">
        <v>225</v>
      </c>
      <c r="M565" s="110"/>
      <c r="T565" s="534">
        <f t="shared" si="58"/>
        <v>0.03</v>
      </c>
    </row>
    <row r="566" spans="1:20" s="65" customFormat="1" ht="16.5" hidden="1" thickBot="1" x14ac:dyDescent="0.3">
      <c r="A566" s="201" t="s">
        <v>534</v>
      </c>
      <c r="B566" s="81"/>
      <c r="C566" s="171"/>
      <c r="D566" s="83">
        <f t="shared" si="59"/>
        <v>192.3666666666667</v>
      </c>
      <c r="E566" s="84">
        <v>7.91</v>
      </c>
      <c r="F566" s="72">
        <v>-2.1389999999999998</v>
      </c>
      <c r="G566" s="72"/>
      <c r="H566" s="72"/>
      <c r="I566" s="85">
        <f t="shared" si="61"/>
        <v>5.7710000000000008</v>
      </c>
      <c r="J566" s="149" t="s">
        <v>225</v>
      </c>
      <c r="M566" s="110"/>
      <c r="T566" s="534">
        <f t="shared" si="58"/>
        <v>0.03</v>
      </c>
    </row>
    <row r="567" spans="1:20" s="65" customFormat="1" ht="16.5" hidden="1" thickBot="1" x14ac:dyDescent="0.3">
      <c r="A567" s="201" t="s">
        <v>535</v>
      </c>
      <c r="B567" s="81"/>
      <c r="C567" s="171"/>
      <c r="D567" s="83">
        <f t="shared" si="59"/>
        <v>142.86666666666665</v>
      </c>
      <c r="E567" s="84">
        <v>5.952</v>
      </c>
      <c r="F567" s="72">
        <v>-1.6659999999999999</v>
      </c>
      <c r="G567" s="72"/>
      <c r="H567" s="72"/>
      <c r="I567" s="85">
        <f t="shared" si="61"/>
        <v>4.2859999999999996</v>
      </c>
      <c r="J567" s="149" t="s">
        <v>225</v>
      </c>
      <c r="M567" s="110"/>
      <c r="T567" s="534">
        <f t="shared" si="58"/>
        <v>3.0000000000000002E-2</v>
      </c>
    </row>
    <row r="568" spans="1:20" s="65" customFormat="1" ht="16.5" hidden="1" thickBot="1" x14ac:dyDescent="0.3">
      <c r="A568" s="201" t="s">
        <v>536</v>
      </c>
      <c r="B568" s="81"/>
      <c r="C568" s="171"/>
      <c r="D568" s="83">
        <f t="shared" si="59"/>
        <v>875.26666666666665</v>
      </c>
      <c r="E568" s="84">
        <v>35.86</v>
      </c>
      <c r="F568" s="72">
        <v>-9.6020000000000003</v>
      </c>
      <c r="G568" s="72"/>
      <c r="H568" s="72"/>
      <c r="I568" s="85">
        <f t="shared" si="61"/>
        <v>26.257999999999999</v>
      </c>
      <c r="J568" s="149" t="s">
        <v>225</v>
      </c>
      <c r="M568" s="110"/>
      <c r="T568" s="534">
        <f t="shared" si="58"/>
        <v>0.03</v>
      </c>
    </row>
    <row r="569" spans="1:20" s="65" customFormat="1" ht="16.5" hidden="1" thickBot="1" x14ac:dyDescent="0.3">
      <c r="A569" s="201" t="s">
        <v>537</v>
      </c>
      <c r="B569" s="81"/>
      <c r="C569" s="171"/>
      <c r="D569" s="83">
        <f t="shared" si="59"/>
        <v>184.9666666666667</v>
      </c>
      <c r="E569" s="84">
        <v>7.15</v>
      </c>
      <c r="F569" s="72">
        <v>-1.601</v>
      </c>
      <c r="G569" s="72"/>
      <c r="H569" s="72"/>
      <c r="I569" s="85">
        <f t="shared" si="61"/>
        <v>5.5490000000000004</v>
      </c>
      <c r="J569" s="149" t="s">
        <v>225</v>
      </c>
      <c r="M569" s="110"/>
      <c r="T569" s="534">
        <f t="shared" si="58"/>
        <v>2.9999999999999995E-2</v>
      </c>
    </row>
    <row r="570" spans="1:20" s="65" customFormat="1" ht="16.5" hidden="1" thickBot="1" x14ac:dyDescent="0.3">
      <c r="A570" s="201" t="s">
        <v>538</v>
      </c>
      <c r="B570" s="81"/>
      <c r="C570" s="171"/>
      <c r="D570" s="83">
        <f t="shared" si="59"/>
        <v>386.10000000000008</v>
      </c>
      <c r="E570" s="84">
        <v>16.207000000000001</v>
      </c>
      <c r="F570" s="72">
        <v>-4.6239999999999997</v>
      </c>
      <c r="G570" s="72"/>
      <c r="H570" s="72"/>
      <c r="I570" s="85">
        <f t="shared" si="61"/>
        <v>11.583000000000002</v>
      </c>
      <c r="J570" s="149" t="s">
        <v>225</v>
      </c>
      <c r="M570" s="110"/>
      <c r="T570" s="534">
        <f t="shared" si="58"/>
        <v>0.03</v>
      </c>
    </row>
    <row r="571" spans="1:20" s="65" customFormat="1" ht="16.5" hidden="1" thickBot="1" x14ac:dyDescent="0.3">
      <c r="A571" s="201" t="s">
        <v>539</v>
      </c>
      <c r="B571" s="81"/>
      <c r="C571" s="171"/>
      <c r="D571" s="83">
        <f t="shared" si="59"/>
        <v>-720.66666666666663</v>
      </c>
      <c r="E571" s="84">
        <v>-17.597999999999999</v>
      </c>
      <c r="F571" s="72">
        <v>-4.0220000000000002</v>
      </c>
      <c r="G571" s="72"/>
      <c r="H571" s="72"/>
      <c r="I571" s="85">
        <f t="shared" si="61"/>
        <v>-21.619999999999997</v>
      </c>
      <c r="J571" s="149" t="s">
        <v>225</v>
      </c>
      <c r="M571" s="110"/>
      <c r="T571" s="534" t="str">
        <f t="shared" si="58"/>
        <v/>
      </c>
    </row>
    <row r="572" spans="1:20" s="65" customFormat="1" ht="16.5" hidden="1" thickBot="1" x14ac:dyDescent="0.3">
      <c r="A572" s="201" t="s">
        <v>540</v>
      </c>
      <c r="B572" s="81"/>
      <c r="C572" s="171"/>
      <c r="D572" s="83">
        <f t="shared" si="59"/>
        <v>879.86666666666667</v>
      </c>
      <c r="E572" s="84">
        <v>36.572000000000003</v>
      </c>
      <c r="F572" s="72">
        <v>-10.176</v>
      </c>
      <c r="G572" s="72"/>
      <c r="H572" s="72"/>
      <c r="I572" s="85">
        <f t="shared" si="61"/>
        <v>26.396000000000001</v>
      </c>
      <c r="J572" s="149" t="s">
        <v>225</v>
      </c>
      <c r="M572" s="110"/>
      <c r="T572" s="534">
        <f t="shared" si="58"/>
        <v>3.0000000000000002E-2</v>
      </c>
    </row>
    <row r="573" spans="1:20" s="65" customFormat="1" ht="16.5" hidden="1" thickBot="1" x14ac:dyDescent="0.3">
      <c r="A573" s="201" t="s">
        <v>541</v>
      </c>
      <c r="B573" s="81"/>
      <c r="C573" s="171"/>
      <c r="D573" s="83">
        <f t="shared" si="59"/>
        <v>335.4</v>
      </c>
      <c r="E573" s="84">
        <v>14.013</v>
      </c>
      <c r="F573" s="72">
        <v>-3.9510000000000001</v>
      </c>
      <c r="G573" s="72"/>
      <c r="H573" s="72"/>
      <c r="I573" s="85">
        <f t="shared" si="61"/>
        <v>10.061999999999999</v>
      </c>
      <c r="J573" s="149" t="s">
        <v>225</v>
      </c>
      <c r="M573" s="110"/>
      <c r="T573" s="534">
        <f t="shared" si="58"/>
        <v>0.03</v>
      </c>
    </row>
    <row r="574" spans="1:20" s="65" customFormat="1" ht="16.5" hidden="1" thickBot="1" x14ac:dyDescent="0.3">
      <c r="A574" s="201" t="s">
        <v>542</v>
      </c>
      <c r="B574" s="81"/>
      <c r="C574" s="171"/>
      <c r="D574" s="83">
        <f t="shared" si="59"/>
        <v>503.1</v>
      </c>
      <c r="E574" s="84">
        <v>22.094000000000001</v>
      </c>
      <c r="F574" s="72">
        <v>-7.0010000000000003</v>
      </c>
      <c r="G574" s="72"/>
      <c r="H574" s="72"/>
      <c r="I574" s="85">
        <f t="shared" si="61"/>
        <v>15.093</v>
      </c>
      <c r="J574" s="149" t="s">
        <v>225</v>
      </c>
      <c r="M574" s="110"/>
      <c r="T574" s="534">
        <f t="shared" si="58"/>
        <v>0.03</v>
      </c>
    </row>
    <row r="575" spans="1:20" s="65" customFormat="1" ht="16.5" hidden="1" thickBot="1" x14ac:dyDescent="0.3">
      <c r="A575" s="201" t="s">
        <v>543</v>
      </c>
      <c r="B575" s="81"/>
      <c r="C575" s="171"/>
      <c r="D575" s="83">
        <f t="shared" si="59"/>
        <v>1623.7666666666664</v>
      </c>
      <c r="E575" s="84">
        <v>68.194999999999993</v>
      </c>
      <c r="F575" s="72">
        <v>-19.481999999999999</v>
      </c>
      <c r="G575" s="72"/>
      <c r="H575" s="72"/>
      <c r="I575" s="85">
        <f t="shared" si="61"/>
        <v>48.712999999999994</v>
      </c>
      <c r="J575" s="149" t="s">
        <v>225</v>
      </c>
      <c r="M575" s="110"/>
      <c r="T575" s="534">
        <f t="shared" si="58"/>
        <v>3.0000000000000002E-2</v>
      </c>
    </row>
    <row r="576" spans="1:20" s="65" customFormat="1" ht="16.5" hidden="1" thickBot="1" x14ac:dyDescent="0.3">
      <c r="A576" s="201" t="s">
        <v>544</v>
      </c>
      <c r="B576" s="81"/>
      <c r="C576" s="171"/>
      <c r="D576" s="83">
        <f t="shared" si="59"/>
        <v>1042.3</v>
      </c>
      <c r="E576" s="84">
        <v>43.750999999999998</v>
      </c>
      <c r="F576" s="72">
        <v>-12.481999999999999</v>
      </c>
      <c r="G576" s="72"/>
      <c r="H576" s="72"/>
      <c r="I576" s="85">
        <f t="shared" si="61"/>
        <v>31.268999999999998</v>
      </c>
      <c r="J576" s="149" t="s">
        <v>225</v>
      </c>
      <c r="M576" s="110"/>
      <c r="T576" s="534">
        <f t="shared" si="58"/>
        <v>0.03</v>
      </c>
    </row>
    <row r="577" spans="1:20" s="65" customFormat="1" ht="16.5" hidden="1" thickBot="1" x14ac:dyDescent="0.3">
      <c r="A577" s="201" t="s">
        <v>545</v>
      </c>
      <c r="B577" s="81"/>
      <c r="C577" s="171"/>
      <c r="D577" s="83">
        <f t="shared" si="59"/>
        <v>3855.8333333333339</v>
      </c>
      <c r="E577" s="84">
        <v>159.709</v>
      </c>
      <c r="F577" s="72">
        <v>-44.033999999999999</v>
      </c>
      <c r="G577" s="72"/>
      <c r="H577" s="72"/>
      <c r="I577" s="85">
        <f t="shared" si="61"/>
        <v>115.67500000000001</v>
      </c>
      <c r="J577" s="149" t="s">
        <v>21</v>
      </c>
      <c r="M577" s="110"/>
      <c r="T577" s="534">
        <f t="shared" si="58"/>
        <v>0.03</v>
      </c>
    </row>
    <row r="578" spans="1:20" s="65" customFormat="1" ht="16.5" hidden="1" thickBot="1" x14ac:dyDescent="0.3">
      <c r="A578" s="201" t="s">
        <v>546</v>
      </c>
      <c r="B578" s="81"/>
      <c r="C578" s="171"/>
      <c r="D578" s="83">
        <f t="shared" si="59"/>
        <v>7044.1333333333332</v>
      </c>
      <c r="E578" s="84">
        <v>283.14</v>
      </c>
      <c r="F578" s="72">
        <v>-71.816000000000003</v>
      </c>
      <c r="G578" s="72"/>
      <c r="H578" s="72"/>
      <c r="I578" s="85">
        <f t="shared" si="61"/>
        <v>211.32399999999998</v>
      </c>
      <c r="J578" s="149" t="s">
        <v>21</v>
      </c>
      <c r="M578" s="110"/>
      <c r="T578" s="534">
        <f t="shared" si="58"/>
        <v>0.03</v>
      </c>
    </row>
    <row r="579" spans="1:20" s="65" customFormat="1" ht="16.5" hidden="1" thickBot="1" x14ac:dyDescent="0.3">
      <c r="A579" s="201" t="s">
        <v>547</v>
      </c>
      <c r="B579" s="81"/>
      <c r="C579" s="171"/>
      <c r="D579" s="83">
        <f t="shared" si="59"/>
        <v>7690.0333333333338</v>
      </c>
      <c r="E579" s="84">
        <v>308.601</v>
      </c>
      <c r="F579" s="72">
        <v>-77.900000000000006</v>
      </c>
      <c r="G579" s="72"/>
      <c r="H579" s="72"/>
      <c r="I579" s="85">
        <f t="shared" si="61"/>
        <v>230.70099999999999</v>
      </c>
      <c r="J579" s="149" t="s">
        <v>21</v>
      </c>
      <c r="M579" s="110"/>
      <c r="T579" s="534">
        <f t="shared" si="58"/>
        <v>0.03</v>
      </c>
    </row>
    <row r="580" spans="1:20" s="65" customFormat="1" ht="16.5" hidden="1" thickBot="1" x14ac:dyDescent="0.3">
      <c r="A580" s="201" t="s">
        <v>548</v>
      </c>
      <c r="B580" s="81"/>
      <c r="C580" s="171"/>
      <c r="D580" s="83">
        <f t="shared" si="59"/>
        <v>11701.133333333333</v>
      </c>
      <c r="E580" s="84">
        <v>474.14800000000002</v>
      </c>
      <c r="F580" s="72">
        <v>-123.114</v>
      </c>
      <c r="G580" s="72"/>
      <c r="H580" s="72"/>
      <c r="I580" s="85">
        <f t="shared" si="61"/>
        <v>351.03399999999999</v>
      </c>
      <c r="J580" s="149" t="s">
        <v>21</v>
      </c>
      <c r="M580" s="110"/>
      <c r="T580" s="534">
        <f t="shared" si="58"/>
        <v>0.03</v>
      </c>
    </row>
    <row r="581" spans="1:20" s="65" customFormat="1" ht="16.5" hidden="1" thickBot="1" x14ac:dyDescent="0.3">
      <c r="A581" s="201" t="s">
        <v>549</v>
      </c>
      <c r="B581" s="81"/>
      <c r="C581" s="171"/>
      <c r="D581" s="83">
        <f t="shared" si="59"/>
        <v>10869.900000000001</v>
      </c>
      <c r="E581" s="84">
        <v>443.86200000000002</v>
      </c>
      <c r="F581" s="72">
        <v>-117.765</v>
      </c>
      <c r="G581" s="72"/>
      <c r="H581" s="72"/>
      <c r="I581" s="85">
        <f t="shared" si="61"/>
        <v>326.09700000000004</v>
      </c>
      <c r="J581" s="149" t="s">
        <v>21</v>
      </c>
      <c r="M581" s="110"/>
      <c r="T581" s="534">
        <f t="shared" si="58"/>
        <v>0.03</v>
      </c>
    </row>
    <row r="582" spans="1:20" s="65" customFormat="1" ht="16.5" hidden="1" thickBot="1" x14ac:dyDescent="0.3">
      <c r="A582" s="201" t="s">
        <v>550</v>
      </c>
      <c r="B582" s="81"/>
      <c r="C582" s="171"/>
      <c r="D582" s="83">
        <f t="shared" si="59"/>
        <v>7099.300000000002</v>
      </c>
      <c r="E582" s="84">
        <v>293.73700000000002</v>
      </c>
      <c r="F582" s="72">
        <v>-80.757999999999996</v>
      </c>
      <c r="G582" s="72"/>
      <c r="H582" s="72"/>
      <c r="I582" s="85">
        <f t="shared" si="61"/>
        <v>212.97900000000004</v>
      </c>
      <c r="J582" s="149" t="s">
        <v>21</v>
      </c>
      <c r="M582" s="110"/>
      <c r="T582" s="534">
        <f t="shared" si="58"/>
        <v>0.03</v>
      </c>
    </row>
    <row r="583" spans="1:20" s="65" customFormat="1" ht="16.5" hidden="1" thickBot="1" x14ac:dyDescent="0.3">
      <c r="A583" s="201" t="s">
        <v>551</v>
      </c>
      <c r="B583" s="81"/>
      <c r="C583" s="171"/>
      <c r="D583" s="83">
        <f t="shared" si="59"/>
        <v>-14606.266666666666</v>
      </c>
      <c r="E583" s="84">
        <v>-356.04</v>
      </c>
      <c r="F583" s="72">
        <v>-82.147999999999996</v>
      </c>
      <c r="G583" s="72"/>
      <c r="H583" s="72"/>
      <c r="I583" s="85">
        <f t="shared" si="61"/>
        <v>-438.18799999999999</v>
      </c>
      <c r="J583" s="149" t="s">
        <v>21</v>
      </c>
      <c r="M583" s="110"/>
      <c r="T583" s="534" t="str">
        <f t="shared" si="58"/>
        <v/>
      </c>
    </row>
    <row r="584" spans="1:20" s="65" customFormat="1" ht="16.5" hidden="1" thickBot="1" x14ac:dyDescent="0.3">
      <c r="A584" s="201" t="s">
        <v>552</v>
      </c>
      <c r="B584" s="81"/>
      <c r="C584" s="171"/>
      <c r="D584" s="83">
        <f t="shared" si="59"/>
        <v>6719.0999999999995</v>
      </c>
      <c r="E584" s="84">
        <v>268.50299999999999</v>
      </c>
      <c r="F584" s="72">
        <v>-66.930000000000007</v>
      </c>
      <c r="G584" s="72"/>
      <c r="H584" s="72"/>
      <c r="I584" s="85">
        <f t="shared" si="61"/>
        <v>201.57299999999998</v>
      </c>
      <c r="J584" s="149" t="s">
        <v>21</v>
      </c>
      <c r="M584" s="110"/>
      <c r="T584" s="534">
        <f t="shared" si="58"/>
        <v>0.03</v>
      </c>
    </row>
    <row r="585" spans="1:20" s="65" customFormat="1" ht="16.5" hidden="1" thickBot="1" x14ac:dyDescent="0.3">
      <c r="A585" s="201" t="s">
        <v>553</v>
      </c>
      <c r="B585" s="81"/>
      <c r="C585" s="171"/>
      <c r="D585" s="83">
        <f t="shared" si="59"/>
        <v>2301.2666666666664</v>
      </c>
      <c r="E585" s="84">
        <v>95.012</v>
      </c>
      <c r="F585" s="72">
        <v>-25.974</v>
      </c>
      <c r="G585" s="72"/>
      <c r="H585" s="72"/>
      <c r="I585" s="85">
        <f t="shared" si="61"/>
        <v>69.037999999999997</v>
      </c>
      <c r="J585" s="149" t="s">
        <v>21</v>
      </c>
      <c r="M585" s="110"/>
      <c r="T585" s="534">
        <f t="shared" si="58"/>
        <v>3.0000000000000002E-2</v>
      </c>
    </row>
    <row r="586" spans="1:20" s="65" customFormat="1" ht="16.5" hidden="1" thickBot="1" x14ac:dyDescent="0.3">
      <c r="A586" s="201" t="s">
        <v>554</v>
      </c>
      <c r="B586" s="81"/>
      <c r="C586" s="171"/>
      <c r="D586" s="83">
        <f t="shared" si="59"/>
        <v>110.93333333333335</v>
      </c>
      <c r="E586" s="84">
        <v>3.7250000000000001</v>
      </c>
      <c r="F586" s="72">
        <v>-0.39700000000000002</v>
      </c>
      <c r="G586" s="72"/>
      <c r="H586" s="72"/>
      <c r="I586" s="85">
        <v>3.3280000000000003</v>
      </c>
      <c r="J586" s="149" t="s">
        <v>225</v>
      </c>
      <c r="M586" s="110"/>
      <c r="T586" s="534">
        <f t="shared" si="58"/>
        <v>0.03</v>
      </c>
    </row>
    <row r="587" spans="1:20" s="65" customFormat="1" ht="16.5" hidden="1" thickBot="1" x14ac:dyDescent="0.3">
      <c r="A587" s="201" t="s">
        <v>555</v>
      </c>
      <c r="B587" s="81"/>
      <c r="C587" s="171"/>
      <c r="D587" s="83">
        <f t="shared" si="59"/>
        <v>87.133333333333326</v>
      </c>
      <c r="E587" s="84">
        <v>3.62</v>
      </c>
      <c r="F587" s="72">
        <v>-1.006</v>
      </c>
      <c r="G587" s="72"/>
      <c r="H587" s="72"/>
      <c r="I587" s="85">
        <v>2.6139999999999999</v>
      </c>
      <c r="J587" s="149" t="s">
        <v>225</v>
      </c>
      <c r="M587" s="110"/>
      <c r="T587" s="534">
        <f t="shared" si="58"/>
        <v>3.0000000000000002E-2</v>
      </c>
    </row>
    <row r="588" spans="1:20" s="65" customFormat="1" ht="16.5" hidden="1" thickBot="1" x14ac:dyDescent="0.3">
      <c r="A588" s="201" t="s">
        <v>556</v>
      </c>
      <c r="B588" s="81"/>
      <c r="C588" s="171"/>
      <c r="D588" s="83">
        <f t="shared" si="59"/>
        <v>128.36666666666667</v>
      </c>
      <c r="E588" s="84">
        <v>5.6070000000000002</v>
      </c>
      <c r="F588" s="72">
        <v>-1.756</v>
      </c>
      <c r="G588" s="72"/>
      <c r="H588" s="72"/>
      <c r="I588" s="85">
        <v>3.851</v>
      </c>
      <c r="J588" s="149" t="s">
        <v>225</v>
      </c>
      <c r="M588" s="110"/>
      <c r="T588" s="534">
        <f t="shared" si="58"/>
        <v>0.03</v>
      </c>
    </row>
    <row r="589" spans="1:20" s="65" customFormat="1" ht="16.5" hidden="1" thickBot="1" x14ac:dyDescent="0.3">
      <c r="A589" s="201" t="s">
        <v>557</v>
      </c>
      <c r="B589" s="81"/>
      <c r="C589" s="171"/>
      <c r="D589" s="83">
        <f t="shared" si="59"/>
        <v>765.13333333333333</v>
      </c>
      <c r="E589" s="84">
        <v>32.204999999999998</v>
      </c>
      <c r="F589" s="72">
        <v>-9.2509999999999994</v>
      </c>
      <c r="G589" s="72"/>
      <c r="H589" s="72"/>
      <c r="I589" s="85">
        <v>22.954000000000001</v>
      </c>
      <c r="J589" s="149" t="s">
        <v>225</v>
      </c>
      <c r="M589" s="110"/>
      <c r="T589" s="534">
        <f t="shared" si="58"/>
        <v>3.0000000000000002E-2</v>
      </c>
    </row>
    <row r="590" spans="1:20" s="65" customFormat="1" ht="16.5" hidden="1" thickBot="1" x14ac:dyDescent="0.3">
      <c r="A590" s="201" t="s">
        <v>558</v>
      </c>
      <c r="B590" s="81"/>
      <c r="C590" s="171"/>
      <c r="D590" s="83">
        <f t="shared" si="59"/>
        <v>107.03333333333333</v>
      </c>
      <c r="E590" s="84">
        <v>4.4859999999999998</v>
      </c>
      <c r="F590" s="72">
        <v>-1.2749999999999999</v>
      </c>
      <c r="G590" s="72"/>
      <c r="H590" s="72"/>
      <c r="I590" s="85">
        <v>3.2109999999999999</v>
      </c>
      <c r="J590" s="149" t="s">
        <v>225</v>
      </c>
      <c r="M590" s="110"/>
      <c r="T590" s="534">
        <f t="shared" si="58"/>
        <v>0.03</v>
      </c>
    </row>
    <row r="591" spans="1:20" s="65" customFormat="1" ht="16.5" hidden="1" thickBot="1" x14ac:dyDescent="0.3">
      <c r="A591" s="201" t="s">
        <v>559</v>
      </c>
      <c r="B591" s="81"/>
      <c r="C591" s="171"/>
      <c r="D591" s="83">
        <f t="shared" si="59"/>
        <v>63.033333333333346</v>
      </c>
      <c r="E591" s="84">
        <v>2.7120000000000002</v>
      </c>
      <c r="F591" s="72">
        <v>-0.82099999999999995</v>
      </c>
      <c r="G591" s="72"/>
      <c r="H591" s="72"/>
      <c r="I591" s="85">
        <v>1.8910000000000002</v>
      </c>
      <c r="J591" s="149" t="s">
        <v>225</v>
      </c>
      <c r="M591" s="110"/>
      <c r="T591" s="534">
        <f t="shared" si="58"/>
        <v>0.03</v>
      </c>
    </row>
    <row r="592" spans="1:20" s="65" customFormat="1" ht="16.5" hidden="1" thickBot="1" x14ac:dyDescent="0.3">
      <c r="A592" s="201" t="s">
        <v>560</v>
      </c>
      <c r="B592" s="81"/>
      <c r="C592" s="171"/>
      <c r="D592" s="83">
        <f t="shared" si="59"/>
        <v>160.69999999999999</v>
      </c>
      <c r="E592" s="84">
        <v>6.68</v>
      </c>
      <c r="F592" s="72">
        <v>-1.859</v>
      </c>
      <c r="G592" s="72"/>
      <c r="H592" s="72"/>
      <c r="I592" s="85">
        <v>4.8209999999999997</v>
      </c>
      <c r="J592" s="149" t="s">
        <v>225</v>
      </c>
      <c r="M592" s="110"/>
      <c r="T592" s="534">
        <f t="shared" si="58"/>
        <v>0.03</v>
      </c>
    </row>
    <row r="593" spans="1:20" s="65" customFormat="1" ht="16.5" hidden="1" thickBot="1" x14ac:dyDescent="0.3">
      <c r="A593" s="201" t="s">
        <v>561</v>
      </c>
      <c r="B593" s="81"/>
      <c r="C593" s="171"/>
      <c r="D593" s="83">
        <f t="shared" si="59"/>
        <v>371.43333333333339</v>
      </c>
      <c r="E593" s="84">
        <v>15.802</v>
      </c>
      <c r="F593" s="72">
        <v>-4.6589999999999998</v>
      </c>
      <c r="G593" s="72"/>
      <c r="H593" s="72"/>
      <c r="I593" s="85">
        <v>11.143000000000001</v>
      </c>
      <c r="J593" s="149" t="s">
        <v>225</v>
      </c>
      <c r="M593" s="110"/>
      <c r="T593" s="534">
        <f t="shared" si="58"/>
        <v>2.9999999999999995E-2</v>
      </c>
    </row>
    <row r="594" spans="1:20" s="65" customFormat="1" ht="16.5" hidden="1" thickBot="1" x14ac:dyDescent="0.3">
      <c r="A594" s="201" t="s">
        <v>562</v>
      </c>
      <c r="B594" s="81"/>
      <c r="C594" s="171"/>
      <c r="D594" s="83">
        <f t="shared" si="59"/>
        <v>40.433333333333337</v>
      </c>
      <c r="E594" s="84">
        <v>1.6879999999999999</v>
      </c>
      <c r="F594" s="72">
        <v>-0.47499999999999998</v>
      </c>
      <c r="G594" s="72"/>
      <c r="H594" s="72"/>
      <c r="I594" s="85">
        <v>1.2130000000000001</v>
      </c>
      <c r="J594" s="149" t="s">
        <v>225</v>
      </c>
      <c r="M594" s="110"/>
      <c r="T594" s="534">
        <f t="shared" si="58"/>
        <v>0.03</v>
      </c>
    </row>
    <row r="595" spans="1:20" s="65" customFormat="1" ht="16.5" hidden="1" thickBot="1" x14ac:dyDescent="0.3">
      <c r="A595" s="201" t="s">
        <v>563</v>
      </c>
      <c r="B595" s="81"/>
      <c r="C595" s="171"/>
      <c r="D595" s="83">
        <f t="shared" si="59"/>
        <v>152.46666666666667</v>
      </c>
      <c r="E595" s="84">
        <v>6.5049999999999999</v>
      </c>
      <c r="F595" s="72">
        <v>-1.931</v>
      </c>
      <c r="G595" s="72"/>
      <c r="H595" s="72"/>
      <c r="I595" s="85">
        <v>4.5739999999999998</v>
      </c>
      <c r="J595" s="149" t="s">
        <v>225</v>
      </c>
      <c r="M595" s="110"/>
      <c r="T595" s="534">
        <f t="shared" ref="T595:T658" si="62">IF(D595&gt;0,(I595/D595),"")</f>
        <v>0.03</v>
      </c>
    </row>
    <row r="596" spans="1:20" s="65" customFormat="1" ht="16.5" hidden="1" thickBot="1" x14ac:dyDescent="0.3">
      <c r="A596" s="201" t="s">
        <v>564</v>
      </c>
      <c r="B596" s="81"/>
      <c r="C596" s="171"/>
      <c r="D596" s="83">
        <f t="shared" ref="D596:D654" si="63">I596/0.03</f>
        <v>7509.0666666666666</v>
      </c>
      <c r="E596" s="84">
        <v>300.81599999999997</v>
      </c>
      <c r="F596" s="72">
        <v>-75.543999999999997</v>
      </c>
      <c r="G596" s="72"/>
      <c r="H596" s="72"/>
      <c r="I596" s="85">
        <v>225.27199999999999</v>
      </c>
      <c r="J596" s="149" t="s">
        <v>21</v>
      </c>
      <c r="M596" s="110"/>
      <c r="T596" s="534">
        <f t="shared" si="62"/>
        <v>0.03</v>
      </c>
    </row>
    <row r="597" spans="1:20" s="65" customFormat="1" ht="16.5" hidden="1" thickBot="1" x14ac:dyDescent="0.3">
      <c r="A597" s="201" t="s">
        <v>565</v>
      </c>
      <c r="B597" s="81"/>
      <c r="C597" s="171"/>
      <c r="D597" s="83">
        <f t="shared" si="63"/>
        <v>244.93333333333337</v>
      </c>
      <c r="E597" s="84">
        <v>10.521000000000001</v>
      </c>
      <c r="F597" s="72">
        <v>-3.173</v>
      </c>
      <c r="G597" s="72"/>
      <c r="H597" s="72"/>
      <c r="I597" s="85">
        <v>7.3480000000000008</v>
      </c>
      <c r="J597" s="149" t="s">
        <v>225</v>
      </c>
      <c r="M597" s="110"/>
      <c r="T597" s="534">
        <f t="shared" si="62"/>
        <v>0.03</v>
      </c>
    </row>
    <row r="598" spans="1:20" s="65" customFormat="1" ht="16.5" hidden="1" thickBot="1" x14ac:dyDescent="0.3">
      <c r="A598" s="201" t="s">
        <v>566</v>
      </c>
      <c r="B598" s="81"/>
      <c r="C598" s="171"/>
      <c r="D598" s="83">
        <f t="shared" si="63"/>
        <v>5049.8666666666668</v>
      </c>
      <c r="E598" s="84">
        <v>208.06</v>
      </c>
      <c r="F598" s="72">
        <v>-56.564</v>
      </c>
      <c r="G598" s="72"/>
      <c r="H598" s="72"/>
      <c r="I598" s="85">
        <v>151.49600000000001</v>
      </c>
      <c r="J598" s="149" t="s">
        <v>21</v>
      </c>
      <c r="M598" s="110"/>
      <c r="T598" s="534">
        <f t="shared" si="62"/>
        <v>3.0000000000000002E-2</v>
      </c>
    </row>
    <row r="599" spans="1:20" s="65" customFormat="1" ht="16.5" hidden="1" thickBot="1" x14ac:dyDescent="0.3">
      <c r="A599" s="201" t="s">
        <v>567</v>
      </c>
      <c r="B599" s="81"/>
      <c r="C599" s="171"/>
      <c r="D599" s="83">
        <f t="shared" si="63"/>
        <v>7125</v>
      </c>
      <c r="E599" s="84">
        <v>290.46100000000001</v>
      </c>
      <c r="F599" s="72">
        <v>-76.710999999999999</v>
      </c>
      <c r="G599" s="72"/>
      <c r="H599" s="72"/>
      <c r="I599" s="85">
        <v>213.75</v>
      </c>
      <c r="J599" s="149" t="s">
        <v>21</v>
      </c>
      <c r="M599" s="110"/>
      <c r="T599" s="534">
        <f t="shared" si="62"/>
        <v>0.03</v>
      </c>
    </row>
    <row r="600" spans="1:20" s="65" customFormat="1" ht="16.5" hidden="1" thickBot="1" x14ac:dyDescent="0.3">
      <c r="A600" s="201" t="s">
        <v>568</v>
      </c>
      <c r="B600" s="81"/>
      <c r="C600" s="171"/>
      <c r="D600" s="83">
        <f t="shared" si="63"/>
        <v>2785.9</v>
      </c>
      <c r="E600" s="84">
        <v>113.373</v>
      </c>
      <c r="F600" s="72">
        <v>-29.795999999999999</v>
      </c>
      <c r="G600" s="72"/>
      <c r="H600" s="72"/>
      <c r="I600" s="85">
        <v>83.576999999999998</v>
      </c>
      <c r="J600" s="149" t="s">
        <v>21</v>
      </c>
      <c r="M600" s="110"/>
      <c r="T600" s="534">
        <f t="shared" si="62"/>
        <v>0.03</v>
      </c>
    </row>
    <row r="601" spans="1:20" s="65" customFormat="1" ht="16.5" hidden="1" thickBot="1" x14ac:dyDescent="0.3">
      <c r="A601" s="201" t="s">
        <v>569</v>
      </c>
      <c r="B601" s="81"/>
      <c r="C601" s="171"/>
      <c r="D601" s="83">
        <f t="shared" si="63"/>
        <v>61.800000000000004</v>
      </c>
      <c r="E601" s="84">
        <v>2.6120000000000001</v>
      </c>
      <c r="F601" s="72">
        <v>-0.75800000000000001</v>
      </c>
      <c r="G601" s="72"/>
      <c r="H601" s="72"/>
      <c r="I601" s="85">
        <v>1.8540000000000001</v>
      </c>
      <c r="J601" s="149" t="s">
        <v>225</v>
      </c>
      <c r="M601" s="110"/>
      <c r="T601" s="534">
        <f t="shared" si="62"/>
        <v>0.03</v>
      </c>
    </row>
    <row r="602" spans="1:20" s="65" customFormat="1" ht="16.5" hidden="1" thickBot="1" x14ac:dyDescent="0.3">
      <c r="A602" s="201" t="s">
        <v>570</v>
      </c>
      <c r="B602" s="81"/>
      <c r="C602" s="171"/>
      <c r="D602" s="83">
        <f t="shared" si="63"/>
        <v>169.8</v>
      </c>
      <c r="E602" s="84">
        <v>7.4210000000000003</v>
      </c>
      <c r="F602" s="72">
        <v>-2.327</v>
      </c>
      <c r="G602" s="72"/>
      <c r="H602" s="72"/>
      <c r="I602" s="85">
        <v>5.0940000000000003</v>
      </c>
      <c r="J602" s="149" t="s">
        <v>225</v>
      </c>
      <c r="M602" s="110"/>
      <c r="T602" s="534">
        <f t="shared" si="62"/>
        <v>0.03</v>
      </c>
    </row>
    <row r="603" spans="1:20" s="65" customFormat="1" ht="18.75" hidden="1" thickBot="1" x14ac:dyDescent="0.3">
      <c r="A603" s="201" t="s">
        <v>571</v>
      </c>
      <c r="B603" s="208"/>
      <c r="C603" s="120" t="s">
        <v>572</v>
      </c>
      <c r="D603" s="83">
        <f t="shared" si="63"/>
        <v>2287.3000000000002</v>
      </c>
      <c r="E603" s="84">
        <v>77.447000000000003</v>
      </c>
      <c r="F603" s="72">
        <v>-8.8279999999999994</v>
      </c>
      <c r="G603" s="72"/>
      <c r="H603" s="72"/>
      <c r="I603" s="85">
        <f>SUM(E603:G603)</f>
        <v>68.619</v>
      </c>
      <c r="J603" s="149"/>
      <c r="M603" s="110"/>
      <c r="T603" s="534">
        <f t="shared" si="62"/>
        <v>0.03</v>
      </c>
    </row>
    <row r="604" spans="1:20" s="65" customFormat="1" ht="16.5" hidden="1" thickBot="1" x14ac:dyDescent="0.3">
      <c r="A604" s="201" t="s">
        <v>573</v>
      </c>
      <c r="B604" s="81"/>
      <c r="C604" s="171"/>
      <c r="D604" s="83">
        <f t="shared" si="63"/>
        <v>4152.2</v>
      </c>
      <c r="E604" s="84">
        <v>166.08600000000001</v>
      </c>
      <c r="F604" s="72">
        <v>-41.52</v>
      </c>
      <c r="G604" s="72"/>
      <c r="H604" s="72"/>
      <c r="I604" s="85">
        <f t="shared" ref="I604:I618" si="64">SUM(E604:H604)</f>
        <v>124.566</v>
      </c>
      <c r="J604" s="149" t="s">
        <v>21</v>
      </c>
      <c r="M604" s="110"/>
      <c r="T604" s="534">
        <f t="shared" si="62"/>
        <v>3.0000000000000002E-2</v>
      </c>
    </row>
    <row r="605" spans="1:20" s="65" customFormat="1" ht="16.5" hidden="1" thickBot="1" x14ac:dyDescent="0.3">
      <c r="A605" s="201" t="s">
        <v>574</v>
      </c>
      <c r="B605" s="81"/>
      <c r="C605" s="171"/>
      <c r="D605" s="83">
        <f t="shared" si="63"/>
        <v>3557.666666666667</v>
      </c>
      <c r="E605" s="84">
        <v>142.04900000000001</v>
      </c>
      <c r="F605" s="72">
        <v>-35.319000000000003</v>
      </c>
      <c r="G605" s="72"/>
      <c r="H605" s="72"/>
      <c r="I605" s="85">
        <f t="shared" si="64"/>
        <v>106.73</v>
      </c>
      <c r="J605" s="149" t="s">
        <v>21</v>
      </c>
      <c r="M605" s="110"/>
      <c r="T605" s="534">
        <f t="shared" si="62"/>
        <v>0.03</v>
      </c>
    </row>
    <row r="606" spans="1:20" s="65" customFormat="1" ht="16.5" hidden="1" thickBot="1" x14ac:dyDescent="0.3">
      <c r="A606" s="201" t="s">
        <v>575</v>
      </c>
      <c r="B606" s="81"/>
      <c r="C606" s="171"/>
      <c r="D606" s="83">
        <f t="shared" si="63"/>
        <v>4763.9333333333334</v>
      </c>
      <c r="E606" s="84">
        <v>193.20699999999999</v>
      </c>
      <c r="F606" s="72">
        <v>-50.289000000000001</v>
      </c>
      <c r="G606" s="72"/>
      <c r="H606" s="72"/>
      <c r="I606" s="85">
        <f t="shared" si="64"/>
        <v>142.91800000000001</v>
      </c>
      <c r="J606" s="149" t="s">
        <v>21</v>
      </c>
      <c r="M606" s="110"/>
      <c r="T606" s="534">
        <f t="shared" si="62"/>
        <v>3.0000000000000002E-2</v>
      </c>
    </row>
    <row r="607" spans="1:20" s="65" customFormat="1" ht="16.5" hidden="1" thickBot="1" x14ac:dyDescent="0.3">
      <c r="A607" s="201" t="s">
        <v>576</v>
      </c>
      <c r="B607" s="81"/>
      <c r="C607" s="171"/>
      <c r="D607" s="83">
        <f t="shared" si="63"/>
        <v>3244.2666666666669</v>
      </c>
      <c r="E607" s="84">
        <v>132.66200000000001</v>
      </c>
      <c r="F607" s="72">
        <v>-35.334000000000003</v>
      </c>
      <c r="G607" s="72"/>
      <c r="H607" s="72"/>
      <c r="I607" s="85">
        <f t="shared" si="64"/>
        <v>97.328000000000003</v>
      </c>
      <c r="J607" s="149" t="s">
        <v>21</v>
      </c>
      <c r="M607" s="110"/>
      <c r="T607" s="534">
        <f t="shared" si="62"/>
        <v>0.03</v>
      </c>
    </row>
    <row r="608" spans="1:20" s="65" customFormat="1" ht="16.5" hidden="1" thickBot="1" x14ac:dyDescent="0.3">
      <c r="A608" s="201" t="s">
        <v>577</v>
      </c>
      <c r="B608" s="81"/>
      <c r="C608" s="171"/>
      <c r="D608" s="83">
        <f t="shared" si="63"/>
        <v>3517.5</v>
      </c>
      <c r="E608" s="84">
        <v>136.58099999999999</v>
      </c>
      <c r="F608" s="72">
        <v>-31.056000000000001</v>
      </c>
      <c r="G608" s="72"/>
      <c r="H608" s="72"/>
      <c r="I608" s="85">
        <f t="shared" si="64"/>
        <v>105.52499999999999</v>
      </c>
      <c r="J608" s="149" t="s">
        <v>21</v>
      </c>
      <c r="M608" s="110"/>
      <c r="T608" s="534">
        <f t="shared" si="62"/>
        <v>0.03</v>
      </c>
    </row>
    <row r="609" spans="1:20" s="65" customFormat="1" ht="16.5" hidden="1" thickBot="1" x14ac:dyDescent="0.3">
      <c r="A609" s="201" t="s">
        <v>578</v>
      </c>
      <c r="B609" s="81"/>
      <c r="C609" s="171"/>
      <c r="D609" s="83">
        <f t="shared" si="63"/>
        <v>3027.0333333333338</v>
      </c>
      <c r="E609" s="84">
        <v>120.036</v>
      </c>
      <c r="F609" s="72">
        <v>-29.225000000000001</v>
      </c>
      <c r="G609" s="72"/>
      <c r="H609" s="72"/>
      <c r="I609" s="85">
        <f t="shared" si="64"/>
        <v>90.811000000000007</v>
      </c>
      <c r="J609" s="149" t="s">
        <v>21</v>
      </c>
      <c r="M609" s="110"/>
      <c r="T609" s="534">
        <f t="shared" si="62"/>
        <v>0.03</v>
      </c>
    </row>
    <row r="610" spans="1:20" s="65" customFormat="1" ht="16.5" hidden="1" thickBot="1" x14ac:dyDescent="0.3">
      <c r="A610" s="201" t="s">
        <v>579</v>
      </c>
      <c r="B610" s="81"/>
      <c r="C610" s="171"/>
      <c r="D610" s="83">
        <f t="shared" si="63"/>
        <v>-31.56666666666667</v>
      </c>
      <c r="E610" s="84">
        <v>-1.2110000000000001</v>
      </c>
      <c r="F610" s="72">
        <v>0.26400000000000001</v>
      </c>
      <c r="G610" s="72"/>
      <c r="H610" s="72"/>
      <c r="I610" s="85">
        <f t="shared" si="64"/>
        <v>-0.94700000000000006</v>
      </c>
      <c r="J610" s="149"/>
      <c r="M610" s="110"/>
      <c r="T610" s="534" t="str">
        <f t="shared" si="62"/>
        <v/>
      </c>
    </row>
    <row r="611" spans="1:20" s="65" customFormat="1" ht="16.5" hidden="1" thickBot="1" x14ac:dyDescent="0.3">
      <c r="A611" s="201" t="s">
        <v>580</v>
      </c>
      <c r="B611" s="81"/>
      <c r="C611" s="171"/>
      <c r="D611" s="83">
        <f t="shared" si="63"/>
        <v>303.2</v>
      </c>
      <c r="E611" s="84">
        <v>9.7870000000000008</v>
      </c>
      <c r="F611" s="72">
        <v>-0.69099999999999995</v>
      </c>
      <c r="G611" s="72"/>
      <c r="H611" s="72"/>
      <c r="I611" s="85">
        <f t="shared" si="64"/>
        <v>9.0960000000000001</v>
      </c>
      <c r="J611" s="149" t="s">
        <v>225</v>
      </c>
      <c r="M611" s="110"/>
      <c r="T611" s="534">
        <f t="shared" si="62"/>
        <v>3.0000000000000002E-2</v>
      </c>
    </row>
    <row r="612" spans="1:20" s="65" customFormat="1" ht="16.5" hidden="1" thickBot="1" x14ac:dyDescent="0.3">
      <c r="A612" s="201" t="s">
        <v>581</v>
      </c>
      <c r="B612" s="81"/>
      <c r="C612" s="171"/>
      <c r="D612" s="83">
        <f t="shared" si="63"/>
        <v>87.5</v>
      </c>
      <c r="E612" s="84">
        <v>3.157</v>
      </c>
      <c r="F612" s="72">
        <v>-0.53200000000000003</v>
      </c>
      <c r="G612" s="72"/>
      <c r="H612" s="72"/>
      <c r="I612" s="85">
        <f t="shared" si="64"/>
        <v>2.625</v>
      </c>
      <c r="J612" s="149" t="s">
        <v>225</v>
      </c>
      <c r="M612" s="110"/>
      <c r="T612" s="534">
        <f t="shared" si="62"/>
        <v>0.03</v>
      </c>
    </row>
    <row r="613" spans="1:20" s="65" customFormat="1" ht="16.5" hidden="1" thickBot="1" x14ac:dyDescent="0.3">
      <c r="A613" s="201" t="s">
        <v>582</v>
      </c>
      <c r="B613" s="81"/>
      <c r="C613" s="171"/>
      <c r="D613" s="83">
        <f t="shared" si="63"/>
        <v>181.23333333333332</v>
      </c>
      <c r="E613" s="84">
        <v>5.9379999999999997</v>
      </c>
      <c r="F613" s="72">
        <v>-0.501</v>
      </c>
      <c r="G613" s="72"/>
      <c r="H613" s="72"/>
      <c r="I613" s="85">
        <f t="shared" si="64"/>
        <v>5.4369999999999994</v>
      </c>
      <c r="J613" s="149" t="s">
        <v>225</v>
      </c>
      <c r="M613" s="110"/>
      <c r="T613" s="534">
        <f t="shared" si="62"/>
        <v>0.03</v>
      </c>
    </row>
    <row r="614" spans="1:20" s="65" customFormat="1" ht="13.5" hidden="1" customHeight="1" x14ac:dyDescent="0.25">
      <c r="A614" s="201" t="s">
        <v>583</v>
      </c>
      <c r="B614" s="81"/>
      <c r="C614" s="171"/>
      <c r="D614" s="83">
        <f t="shared" si="63"/>
        <v>80.933333333333337</v>
      </c>
      <c r="E614" s="84">
        <v>2.7890000000000001</v>
      </c>
      <c r="F614" s="72">
        <v>-0.36099999999999999</v>
      </c>
      <c r="G614" s="72"/>
      <c r="H614" s="72"/>
      <c r="I614" s="85">
        <f t="shared" si="64"/>
        <v>2.4279999999999999</v>
      </c>
      <c r="J614" s="149" t="s">
        <v>225</v>
      </c>
      <c r="M614" s="110"/>
      <c r="T614" s="534">
        <f t="shared" si="62"/>
        <v>0.03</v>
      </c>
    </row>
    <row r="615" spans="1:20" s="65" customFormat="1" ht="16.5" hidden="1" thickBot="1" x14ac:dyDescent="0.3">
      <c r="A615" s="201" t="s">
        <v>584</v>
      </c>
      <c r="B615" s="81"/>
      <c r="C615" s="171"/>
      <c r="D615" s="83">
        <f t="shared" si="63"/>
        <v>264.13333333333333</v>
      </c>
      <c r="E615" s="84">
        <v>8.76</v>
      </c>
      <c r="F615" s="72">
        <v>-0.83599999999999997</v>
      </c>
      <c r="G615" s="72"/>
      <c r="H615" s="72"/>
      <c r="I615" s="85">
        <f t="shared" si="64"/>
        <v>7.9239999999999995</v>
      </c>
      <c r="J615" s="149" t="s">
        <v>225</v>
      </c>
      <c r="M615" s="110"/>
      <c r="T615" s="534">
        <f t="shared" si="62"/>
        <v>0.03</v>
      </c>
    </row>
    <row r="616" spans="1:20" s="65" customFormat="1" ht="16.5" hidden="1" thickBot="1" x14ac:dyDescent="0.3">
      <c r="A616" s="201" t="s">
        <v>585</v>
      </c>
      <c r="B616" s="81"/>
      <c r="C616" s="171"/>
      <c r="D616" s="83">
        <f t="shared" si="63"/>
        <v>729.26666666666665</v>
      </c>
      <c r="E616" s="84">
        <v>23.234999999999999</v>
      </c>
      <c r="F616" s="72">
        <v>-1.357</v>
      </c>
      <c r="G616" s="72"/>
      <c r="H616" s="72"/>
      <c r="I616" s="85">
        <f t="shared" si="64"/>
        <v>21.878</v>
      </c>
      <c r="J616" s="149" t="s">
        <v>225</v>
      </c>
      <c r="M616" s="110"/>
      <c r="T616" s="534">
        <f t="shared" si="62"/>
        <v>3.0000000000000002E-2</v>
      </c>
    </row>
    <row r="617" spans="1:20" s="65" customFormat="1" ht="16.5" hidden="1" thickBot="1" x14ac:dyDescent="0.3">
      <c r="A617" s="201" t="s">
        <v>586</v>
      </c>
      <c r="B617" s="81"/>
      <c r="C617" s="171"/>
      <c r="D617" s="83">
        <f t="shared" si="63"/>
        <v>177.39999999999998</v>
      </c>
      <c r="E617" s="84">
        <v>5.9189999999999996</v>
      </c>
      <c r="F617" s="72">
        <v>-0.59699999999999998</v>
      </c>
      <c r="G617" s="72"/>
      <c r="H617" s="72"/>
      <c r="I617" s="85">
        <f t="shared" si="64"/>
        <v>5.3219999999999992</v>
      </c>
      <c r="J617" s="149" t="s">
        <v>225</v>
      </c>
      <c r="M617" s="110"/>
      <c r="T617" s="534">
        <f t="shared" si="62"/>
        <v>0.03</v>
      </c>
    </row>
    <row r="618" spans="1:20" s="65" customFormat="1" ht="16.5" hidden="1" thickBot="1" x14ac:dyDescent="0.3">
      <c r="A618" s="201" t="s">
        <v>587</v>
      </c>
      <c r="B618" s="81"/>
      <c r="C618" s="171"/>
      <c r="D618" s="83">
        <f t="shared" si="63"/>
        <v>-233.03333333333333</v>
      </c>
      <c r="E618" s="84">
        <v>-7.3369999999999997</v>
      </c>
      <c r="F618" s="72">
        <v>0.34599999999999997</v>
      </c>
      <c r="G618" s="72"/>
      <c r="H618" s="72"/>
      <c r="I618" s="85">
        <f t="shared" si="64"/>
        <v>-6.9909999999999997</v>
      </c>
      <c r="J618" s="149" t="s">
        <v>225</v>
      </c>
      <c r="M618" s="110"/>
      <c r="T618" s="534" t="str">
        <f t="shared" si="62"/>
        <v/>
      </c>
    </row>
    <row r="619" spans="1:20" s="65" customFormat="1" ht="18.75" hidden="1" thickBot="1" x14ac:dyDescent="0.3">
      <c r="A619" s="201" t="s">
        <v>588</v>
      </c>
      <c r="B619" s="208"/>
      <c r="C619" s="120" t="s">
        <v>572</v>
      </c>
      <c r="D619" s="83">
        <f t="shared" si="63"/>
        <v>3312.1666666666665</v>
      </c>
      <c r="E619" s="84">
        <v>124.94499999999999</v>
      </c>
      <c r="F619" s="72">
        <v>-25.58</v>
      </c>
      <c r="G619" s="72"/>
      <c r="H619" s="72"/>
      <c r="I619" s="85">
        <f t="shared" ref="I619:I633" si="65">SUM(E619:G619)</f>
        <v>99.364999999999995</v>
      </c>
      <c r="J619" s="149" t="s">
        <v>21</v>
      </c>
      <c r="M619" s="110"/>
      <c r="T619" s="534">
        <f t="shared" si="62"/>
        <v>0.03</v>
      </c>
    </row>
    <row r="620" spans="1:20" s="65" customFormat="1" ht="18.75" hidden="1" thickBot="1" x14ac:dyDescent="0.3">
      <c r="A620" s="201" t="s">
        <v>589</v>
      </c>
      <c r="B620" s="208"/>
      <c r="C620" s="120" t="s">
        <v>572</v>
      </c>
      <c r="D620" s="83">
        <f t="shared" si="63"/>
        <v>211.4666666666667</v>
      </c>
      <c r="E620" s="84">
        <v>6.7530000000000001</v>
      </c>
      <c r="F620" s="72">
        <v>-0.40899999999999997</v>
      </c>
      <c r="G620" s="72"/>
      <c r="H620" s="72"/>
      <c r="I620" s="85">
        <f t="shared" si="65"/>
        <v>6.3440000000000003</v>
      </c>
      <c r="J620" s="149" t="s">
        <v>225</v>
      </c>
      <c r="M620" s="110"/>
      <c r="T620" s="534">
        <f t="shared" si="62"/>
        <v>2.9999999999999995E-2</v>
      </c>
    </row>
    <row r="621" spans="1:20" s="65" customFormat="1" ht="18.75" hidden="1" thickBot="1" x14ac:dyDescent="0.3">
      <c r="A621" s="201" t="s">
        <v>590</v>
      </c>
      <c r="B621" s="208"/>
      <c r="C621" s="120" t="s">
        <v>572</v>
      </c>
      <c r="D621" s="83">
        <f t="shared" si="63"/>
        <v>-149.93333333333334</v>
      </c>
      <c r="E621" s="84">
        <v>0</v>
      </c>
      <c r="F621" s="72">
        <v>-4.4980000000000002</v>
      </c>
      <c r="G621" s="72"/>
      <c r="H621" s="72"/>
      <c r="I621" s="85">
        <f t="shared" si="65"/>
        <v>-4.4980000000000002</v>
      </c>
      <c r="J621" s="149"/>
      <c r="M621" s="110"/>
      <c r="T621" s="534" t="str">
        <f t="shared" si="62"/>
        <v/>
      </c>
    </row>
    <row r="622" spans="1:20" s="65" customFormat="1" ht="18.75" hidden="1" thickBot="1" x14ac:dyDescent="0.3">
      <c r="A622" s="201" t="s">
        <v>591</v>
      </c>
      <c r="B622" s="208"/>
      <c r="C622" s="120" t="s">
        <v>572</v>
      </c>
      <c r="D622" s="83">
        <f t="shared" si="63"/>
        <v>-34.466666666666669</v>
      </c>
      <c r="E622" s="84">
        <v>0</v>
      </c>
      <c r="F622" s="72">
        <v>-1.034</v>
      </c>
      <c r="G622" s="72"/>
      <c r="H622" s="72"/>
      <c r="I622" s="85">
        <f t="shared" si="65"/>
        <v>-1.034</v>
      </c>
      <c r="J622" s="149"/>
      <c r="M622" s="110"/>
      <c r="T622" s="534" t="str">
        <f t="shared" si="62"/>
        <v/>
      </c>
    </row>
    <row r="623" spans="1:20" s="65" customFormat="1" ht="18.75" hidden="1" thickBot="1" x14ac:dyDescent="0.3">
      <c r="A623" s="201" t="s">
        <v>592</v>
      </c>
      <c r="B623" s="208"/>
      <c r="C623" s="120" t="s">
        <v>572</v>
      </c>
      <c r="D623" s="83">
        <f t="shared" si="63"/>
        <v>-312.5</v>
      </c>
      <c r="E623" s="84">
        <v>0</v>
      </c>
      <c r="F623" s="72">
        <v>-9.375</v>
      </c>
      <c r="G623" s="72"/>
      <c r="H623" s="72"/>
      <c r="I623" s="85">
        <f t="shared" si="65"/>
        <v>-9.375</v>
      </c>
      <c r="J623" s="149"/>
      <c r="M623" s="110"/>
      <c r="T623" s="534" t="str">
        <f t="shared" si="62"/>
        <v/>
      </c>
    </row>
    <row r="624" spans="1:20" s="65" customFormat="1" ht="18.75" hidden="1" thickBot="1" x14ac:dyDescent="0.3">
      <c r="A624" s="201" t="s">
        <v>593</v>
      </c>
      <c r="B624" s="208"/>
      <c r="C624" s="120" t="s">
        <v>572</v>
      </c>
      <c r="D624" s="83">
        <f t="shared" si="63"/>
        <v>-214.5</v>
      </c>
      <c r="E624" s="84">
        <v>0</v>
      </c>
      <c r="F624" s="72">
        <v>-6.4349999999999996</v>
      </c>
      <c r="G624" s="72"/>
      <c r="H624" s="72"/>
      <c r="I624" s="85">
        <f t="shared" si="65"/>
        <v>-6.4349999999999996</v>
      </c>
      <c r="J624" s="149"/>
      <c r="M624" s="110"/>
      <c r="T624" s="534" t="str">
        <f t="shared" si="62"/>
        <v/>
      </c>
    </row>
    <row r="625" spans="1:20" s="65" customFormat="1" ht="18.75" hidden="1" thickBot="1" x14ac:dyDescent="0.3">
      <c r="A625" s="201" t="s">
        <v>594</v>
      </c>
      <c r="B625" s="208"/>
      <c r="C625" s="120" t="s">
        <v>572</v>
      </c>
      <c r="D625" s="83">
        <f t="shared" si="63"/>
        <v>-65.2</v>
      </c>
      <c r="E625" s="84">
        <v>-2.008</v>
      </c>
      <c r="F625" s="72">
        <v>5.1999999999999998E-2</v>
      </c>
      <c r="G625" s="72"/>
      <c r="H625" s="72"/>
      <c r="I625" s="85">
        <f t="shared" si="65"/>
        <v>-1.956</v>
      </c>
      <c r="J625" s="149"/>
      <c r="M625" s="110"/>
      <c r="T625" s="534" t="str">
        <f t="shared" si="62"/>
        <v/>
      </c>
    </row>
    <row r="626" spans="1:20" s="65" customFormat="1" ht="18.75" hidden="1" thickBot="1" x14ac:dyDescent="0.3">
      <c r="A626" s="201" t="s">
        <v>595</v>
      </c>
      <c r="B626" s="208"/>
      <c r="C626" s="120" t="s">
        <v>572</v>
      </c>
      <c r="D626" s="83">
        <f t="shared" si="63"/>
        <v>-1138.9999999999998</v>
      </c>
      <c r="E626" s="84">
        <v>-34.784999999999997</v>
      </c>
      <c r="F626" s="72">
        <v>0.61499999999999999</v>
      </c>
      <c r="G626" s="72"/>
      <c r="H626" s="72"/>
      <c r="I626" s="85">
        <f t="shared" si="65"/>
        <v>-34.169999999999995</v>
      </c>
      <c r="J626" s="149"/>
      <c r="M626" s="110"/>
      <c r="T626" s="534" t="str">
        <f t="shared" si="62"/>
        <v/>
      </c>
    </row>
    <row r="627" spans="1:20" s="65" customFormat="1" ht="18.75" hidden="1" thickBot="1" x14ac:dyDescent="0.3">
      <c r="A627" s="201" t="s">
        <v>596</v>
      </c>
      <c r="B627" s="208"/>
      <c r="C627" s="120" t="s">
        <v>572</v>
      </c>
      <c r="D627" s="83">
        <f t="shared" si="63"/>
        <v>1974.5666666666671</v>
      </c>
      <c r="E627" s="84">
        <v>69.650000000000006</v>
      </c>
      <c r="F627" s="72">
        <v>-10.413</v>
      </c>
      <c r="G627" s="72"/>
      <c r="H627" s="72"/>
      <c r="I627" s="85">
        <f t="shared" si="65"/>
        <v>59.237000000000009</v>
      </c>
      <c r="J627" s="149"/>
      <c r="M627" s="110"/>
      <c r="T627" s="534">
        <f t="shared" si="62"/>
        <v>0.03</v>
      </c>
    </row>
    <row r="628" spans="1:20" s="65" customFormat="1" ht="18.75" hidden="1" thickBot="1" x14ac:dyDescent="0.3">
      <c r="A628" s="201" t="s">
        <v>597</v>
      </c>
      <c r="B628" s="208"/>
      <c r="C628" s="120" t="s">
        <v>572</v>
      </c>
      <c r="D628" s="83">
        <f t="shared" si="63"/>
        <v>7237.166666666667</v>
      </c>
      <c r="E628" s="84">
        <v>266.11799999999999</v>
      </c>
      <c r="F628" s="72">
        <v>-49.003</v>
      </c>
      <c r="G628" s="72"/>
      <c r="H628" s="72"/>
      <c r="I628" s="85">
        <f t="shared" si="65"/>
        <v>217.11500000000001</v>
      </c>
      <c r="J628" s="149"/>
      <c r="M628" s="110"/>
      <c r="T628" s="534">
        <f t="shared" si="62"/>
        <v>0.03</v>
      </c>
    </row>
    <row r="629" spans="1:20" s="65" customFormat="1" ht="18.75" hidden="1" thickBot="1" x14ac:dyDescent="0.3">
      <c r="A629" s="201" t="s">
        <v>598</v>
      </c>
      <c r="B629" s="208"/>
      <c r="C629" s="120" t="s">
        <v>572</v>
      </c>
      <c r="D629" s="83">
        <f t="shared" si="63"/>
        <v>3036.7000000000003</v>
      </c>
      <c r="E629" s="84">
        <v>120.84699999999999</v>
      </c>
      <c r="F629" s="72">
        <v>-29.745999999999999</v>
      </c>
      <c r="G629" s="72"/>
      <c r="H629" s="72"/>
      <c r="I629" s="85">
        <f t="shared" si="65"/>
        <v>91.100999999999999</v>
      </c>
      <c r="J629" s="149" t="s">
        <v>21</v>
      </c>
      <c r="M629" s="110"/>
      <c r="T629" s="534">
        <f t="shared" si="62"/>
        <v>2.9999999999999995E-2</v>
      </c>
    </row>
    <row r="630" spans="1:20" s="65" customFormat="1" ht="18.75" hidden="1" thickBot="1" x14ac:dyDescent="0.3">
      <c r="A630" s="201" t="s">
        <v>599</v>
      </c>
      <c r="B630" s="208"/>
      <c r="C630" s="120" t="s">
        <v>572</v>
      </c>
      <c r="D630" s="83">
        <f t="shared" si="63"/>
        <v>183.70000000000002</v>
      </c>
      <c r="E630" s="84">
        <v>6.0030000000000001</v>
      </c>
      <c r="F630" s="72">
        <v>-0.49199999999999999</v>
      </c>
      <c r="G630" s="72"/>
      <c r="H630" s="72"/>
      <c r="I630" s="85">
        <f t="shared" si="65"/>
        <v>5.5110000000000001</v>
      </c>
      <c r="J630" s="149" t="s">
        <v>225</v>
      </c>
      <c r="M630" s="110"/>
      <c r="T630" s="534">
        <f t="shared" si="62"/>
        <v>0.03</v>
      </c>
    </row>
    <row r="631" spans="1:20" s="65" customFormat="1" ht="18.75" hidden="1" thickBot="1" x14ac:dyDescent="0.3">
      <c r="A631" s="201" t="s">
        <v>600</v>
      </c>
      <c r="B631" s="208"/>
      <c r="C631" s="120" t="s">
        <v>572</v>
      </c>
      <c r="D631" s="83">
        <f t="shared" si="63"/>
        <v>744.1</v>
      </c>
      <c r="E631" s="84">
        <v>25.616</v>
      </c>
      <c r="F631" s="72">
        <v>-3.2930000000000001</v>
      </c>
      <c r="G631" s="72"/>
      <c r="H631" s="72"/>
      <c r="I631" s="85">
        <f t="shared" si="65"/>
        <v>22.323</v>
      </c>
      <c r="J631" s="149" t="s">
        <v>225</v>
      </c>
      <c r="M631" s="110"/>
      <c r="T631" s="534">
        <f t="shared" si="62"/>
        <v>0.03</v>
      </c>
    </row>
    <row r="632" spans="1:20" s="65" customFormat="1" ht="18.75" hidden="1" thickBot="1" x14ac:dyDescent="0.3">
      <c r="A632" s="201" t="s">
        <v>601</v>
      </c>
      <c r="B632" s="208"/>
      <c r="C632" s="120" t="s">
        <v>572</v>
      </c>
      <c r="D632" s="83">
        <f t="shared" si="63"/>
        <v>313.06666666666666</v>
      </c>
      <c r="E632" s="84">
        <v>10.08</v>
      </c>
      <c r="F632" s="72">
        <v>-0.68799999999999994</v>
      </c>
      <c r="G632" s="72"/>
      <c r="H632" s="72"/>
      <c r="I632" s="85">
        <f t="shared" si="65"/>
        <v>9.3919999999999995</v>
      </c>
      <c r="J632" s="149" t="s">
        <v>225</v>
      </c>
      <c r="M632" s="110"/>
      <c r="T632" s="534">
        <f t="shared" si="62"/>
        <v>0.03</v>
      </c>
    </row>
    <row r="633" spans="1:20" s="65" customFormat="1" ht="15.75" hidden="1" customHeight="1" x14ac:dyDescent="0.25">
      <c r="A633" s="201" t="s">
        <v>602</v>
      </c>
      <c r="B633" s="208"/>
      <c r="C633" s="120" t="s">
        <v>572</v>
      </c>
      <c r="D633" s="83">
        <f t="shared" si="63"/>
        <v>377.73333333333335</v>
      </c>
      <c r="E633" s="84">
        <v>12.474</v>
      </c>
      <c r="F633" s="72">
        <v>-1.1419999999999999</v>
      </c>
      <c r="G633" s="72"/>
      <c r="H633" s="72"/>
      <c r="I633" s="85">
        <f t="shared" si="65"/>
        <v>11.332000000000001</v>
      </c>
      <c r="J633" s="149" t="s">
        <v>225</v>
      </c>
      <c r="M633" s="110"/>
      <c r="T633" s="534">
        <f t="shared" si="62"/>
        <v>3.0000000000000002E-2</v>
      </c>
    </row>
    <row r="634" spans="1:20" s="65" customFormat="1" ht="15.75" hidden="1" customHeight="1" x14ac:dyDescent="0.25">
      <c r="A634" s="201" t="s">
        <v>603</v>
      </c>
      <c r="B634" s="86">
        <v>37083</v>
      </c>
      <c r="C634" s="174" t="s">
        <v>604</v>
      </c>
      <c r="D634" s="83">
        <f t="shared" si="63"/>
        <v>-24.333333333333332</v>
      </c>
      <c r="E634" s="84">
        <v>-0.76900000000000002</v>
      </c>
      <c r="F634" s="72">
        <v>3.9E-2</v>
      </c>
      <c r="G634" s="72">
        <v>0</v>
      </c>
      <c r="H634" s="72">
        <v>0</v>
      </c>
      <c r="I634" s="85">
        <f t="shared" ref="I634:I672" si="66">SUM(E634:H634)</f>
        <v>-0.73</v>
      </c>
      <c r="J634" s="149"/>
      <c r="M634" s="110"/>
      <c r="T634" s="534" t="str">
        <f t="shared" si="62"/>
        <v/>
      </c>
    </row>
    <row r="635" spans="1:20" s="65" customFormat="1" ht="15.75" hidden="1" customHeight="1" x14ac:dyDescent="0.25">
      <c r="A635" s="201" t="s">
        <v>605</v>
      </c>
      <c r="B635" s="86">
        <v>37083</v>
      </c>
      <c r="C635" s="174" t="s">
        <v>604</v>
      </c>
      <c r="D635" s="83">
        <f t="shared" si="63"/>
        <v>-161.83333333333334</v>
      </c>
      <c r="E635" s="84">
        <v>-4.9400000000000004</v>
      </c>
      <c r="F635" s="72">
        <v>8.5000000000000006E-2</v>
      </c>
      <c r="G635" s="72">
        <v>0</v>
      </c>
      <c r="H635" s="72">
        <v>0</v>
      </c>
      <c r="I635" s="85">
        <f t="shared" si="66"/>
        <v>-4.8550000000000004</v>
      </c>
      <c r="J635" s="149"/>
      <c r="M635" s="110"/>
      <c r="T635" s="534" t="str">
        <f t="shared" si="62"/>
        <v/>
      </c>
    </row>
    <row r="636" spans="1:20" s="65" customFormat="1" ht="15.75" hidden="1" customHeight="1" x14ac:dyDescent="0.25">
      <c r="A636" s="201" t="s">
        <v>606</v>
      </c>
      <c r="B636" s="86">
        <v>37083</v>
      </c>
      <c r="C636" s="174" t="s">
        <v>604</v>
      </c>
      <c r="D636" s="83">
        <f t="shared" si="63"/>
        <v>-253.56666666666669</v>
      </c>
      <c r="E636" s="84">
        <v>-7.6950000000000003</v>
      </c>
      <c r="F636" s="72">
        <v>8.7999999999999995E-2</v>
      </c>
      <c r="G636" s="72">
        <v>0</v>
      </c>
      <c r="H636" s="72">
        <v>0</v>
      </c>
      <c r="I636" s="85">
        <f t="shared" si="66"/>
        <v>-7.6070000000000002</v>
      </c>
      <c r="J636" s="149"/>
      <c r="M636" s="110"/>
      <c r="T636" s="534" t="str">
        <f t="shared" si="62"/>
        <v/>
      </c>
    </row>
    <row r="637" spans="1:20" s="65" customFormat="1" ht="15.75" hidden="1" customHeight="1" x14ac:dyDescent="0.25">
      <c r="A637" s="201" t="s">
        <v>607</v>
      </c>
      <c r="B637" s="86">
        <v>37083</v>
      </c>
      <c r="C637" s="174" t="s">
        <v>604</v>
      </c>
      <c r="D637" s="83">
        <f t="shared" si="63"/>
        <v>-147.63333333333335</v>
      </c>
      <c r="E637" s="84">
        <v>-4.5659999999999998</v>
      </c>
      <c r="F637" s="72">
        <v>0.13700000000000001</v>
      </c>
      <c r="G637" s="72">
        <v>0</v>
      </c>
      <c r="H637" s="72">
        <v>0</v>
      </c>
      <c r="I637" s="85">
        <f t="shared" si="66"/>
        <v>-4.4290000000000003</v>
      </c>
      <c r="J637" s="149"/>
      <c r="M637" s="110"/>
      <c r="T637" s="534" t="str">
        <f t="shared" si="62"/>
        <v/>
      </c>
    </row>
    <row r="638" spans="1:20" s="65" customFormat="1" ht="15.75" hidden="1" customHeight="1" x14ac:dyDescent="0.25">
      <c r="A638" s="201" t="s">
        <v>608</v>
      </c>
      <c r="B638" s="86">
        <v>37083</v>
      </c>
      <c r="C638" s="174" t="s">
        <v>604</v>
      </c>
      <c r="D638" s="83">
        <f t="shared" si="63"/>
        <v>-433.1</v>
      </c>
      <c r="E638" s="84">
        <v>-13.226000000000001</v>
      </c>
      <c r="F638" s="72">
        <v>0.23300000000000001</v>
      </c>
      <c r="G638" s="72">
        <v>0</v>
      </c>
      <c r="H638" s="72">
        <v>0</v>
      </c>
      <c r="I638" s="85">
        <f t="shared" si="66"/>
        <v>-12.993</v>
      </c>
      <c r="J638" s="149"/>
      <c r="M638" s="110"/>
      <c r="T638" s="534" t="str">
        <f t="shared" si="62"/>
        <v/>
      </c>
    </row>
    <row r="639" spans="1:20" s="65" customFormat="1" ht="15.75" hidden="1" customHeight="1" x14ac:dyDescent="0.25">
      <c r="A639" s="201" t="s">
        <v>609</v>
      </c>
      <c r="B639" s="86">
        <v>37083</v>
      </c>
      <c r="C639" s="174" t="s">
        <v>604</v>
      </c>
      <c r="D639" s="83">
        <f t="shared" si="63"/>
        <v>-37.000000000000007</v>
      </c>
      <c r="E639" s="84">
        <v>-1.131</v>
      </c>
      <c r="F639" s="72">
        <v>2.1000000000000001E-2</v>
      </c>
      <c r="G639" s="72">
        <v>0</v>
      </c>
      <c r="H639" s="72">
        <v>0</v>
      </c>
      <c r="I639" s="85">
        <f t="shared" si="66"/>
        <v>-1.1100000000000001</v>
      </c>
      <c r="J639" s="149"/>
      <c r="M639" s="110"/>
      <c r="T639" s="534" t="str">
        <f t="shared" si="62"/>
        <v/>
      </c>
    </row>
    <row r="640" spans="1:20" s="65" customFormat="1" ht="15.75" hidden="1" customHeight="1" x14ac:dyDescent="0.25">
      <c r="A640" s="201" t="s">
        <v>610</v>
      </c>
      <c r="B640" s="86">
        <v>37083</v>
      </c>
      <c r="C640" s="174" t="s">
        <v>604</v>
      </c>
      <c r="D640" s="83">
        <f t="shared" si="63"/>
        <v>-28.6</v>
      </c>
      <c r="E640" s="84">
        <v>-0.876</v>
      </c>
      <c r="F640" s="72">
        <v>1.7999999999999999E-2</v>
      </c>
      <c r="G640" s="72">
        <v>0</v>
      </c>
      <c r="H640" s="72">
        <v>0</v>
      </c>
      <c r="I640" s="85">
        <f t="shared" si="66"/>
        <v>-0.85799999999999998</v>
      </c>
      <c r="J640" s="149"/>
      <c r="M640" s="110"/>
      <c r="T640" s="534" t="str">
        <f t="shared" si="62"/>
        <v/>
      </c>
    </row>
    <row r="641" spans="1:20" s="65" customFormat="1" ht="15.75" hidden="1" customHeight="1" x14ac:dyDescent="0.25">
      <c r="A641" s="201" t="s">
        <v>611</v>
      </c>
      <c r="B641" s="86">
        <v>37083</v>
      </c>
      <c r="C641" s="174" t="s">
        <v>604</v>
      </c>
      <c r="D641" s="83">
        <f t="shared" si="63"/>
        <v>-53.633333333333333</v>
      </c>
      <c r="E641" s="84">
        <v>-1.6679999999999999</v>
      </c>
      <c r="F641" s="72">
        <v>5.8999999999999997E-2</v>
      </c>
      <c r="G641" s="72">
        <v>0</v>
      </c>
      <c r="H641" s="72">
        <v>0</v>
      </c>
      <c r="I641" s="85">
        <f t="shared" si="66"/>
        <v>-1.609</v>
      </c>
      <c r="J641" s="149"/>
      <c r="M641" s="110"/>
      <c r="T641" s="534" t="str">
        <f t="shared" si="62"/>
        <v/>
      </c>
    </row>
    <row r="642" spans="1:20" s="65" customFormat="1" ht="15.75" hidden="1" customHeight="1" x14ac:dyDescent="0.25">
      <c r="A642" s="201" t="s">
        <v>612</v>
      </c>
      <c r="B642" s="86">
        <v>37083</v>
      </c>
      <c r="C642" s="174" t="s">
        <v>604</v>
      </c>
      <c r="D642" s="83">
        <f t="shared" si="63"/>
        <v>-42.900000000000006</v>
      </c>
      <c r="E642" s="84">
        <v>-1.3140000000000001</v>
      </c>
      <c r="F642" s="72">
        <v>2.7E-2</v>
      </c>
      <c r="G642" s="72">
        <v>0</v>
      </c>
      <c r="H642" s="72">
        <v>0</v>
      </c>
      <c r="I642" s="85">
        <f t="shared" si="66"/>
        <v>-1.2870000000000001</v>
      </c>
      <c r="J642" s="149"/>
      <c r="M642" s="110"/>
      <c r="T642" s="534" t="str">
        <f t="shared" si="62"/>
        <v/>
      </c>
    </row>
    <row r="643" spans="1:20" s="65" customFormat="1" ht="15.75" hidden="1" customHeight="1" x14ac:dyDescent="0.25">
      <c r="A643" s="201" t="s">
        <v>613</v>
      </c>
      <c r="B643" s="86">
        <v>37083</v>
      </c>
      <c r="C643" s="174" t="s">
        <v>604</v>
      </c>
      <c r="D643" s="83">
        <f t="shared" si="63"/>
        <v>-173.43333333333334</v>
      </c>
      <c r="E643" s="84">
        <v>-5.2850000000000001</v>
      </c>
      <c r="F643" s="72">
        <v>8.2000000000000003E-2</v>
      </c>
      <c r="G643" s="72">
        <v>0</v>
      </c>
      <c r="H643" s="72">
        <v>0</v>
      </c>
      <c r="I643" s="85">
        <f t="shared" si="66"/>
        <v>-5.2030000000000003</v>
      </c>
      <c r="J643" s="149"/>
      <c r="M643" s="110"/>
      <c r="T643" s="534" t="str">
        <f t="shared" si="62"/>
        <v/>
      </c>
    </row>
    <row r="644" spans="1:20" s="65" customFormat="1" ht="15.75" hidden="1" customHeight="1" x14ac:dyDescent="0.25">
      <c r="A644" s="201" t="s">
        <v>614</v>
      </c>
      <c r="B644" s="86">
        <v>37083</v>
      </c>
      <c r="C644" s="174" t="s">
        <v>604</v>
      </c>
      <c r="D644" s="83">
        <f t="shared" si="63"/>
        <v>-40.300000000000004</v>
      </c>
      <c r="E644" s="84">
        <v>-1.232</v>
      </c>
      <c r="F644" s="72">
        <v>2.3E-2</v>
      </c>
      <c r="G644" s="72">
        <v>0</v>
      </c>
      <c r="H644" s="72">
        <v>0</v>
      </c>
      <c r="I644" s="85">
        <f t="shared" si="66"/>
        <v>-1.2090000000000001</v>
      </c>
      <c r="J644" s="149"/>
      <c r="M644" s="110"/>
      <c r="T644" s="534" t="str">
        <f t="shared" si="62"/>
        <v/>
      </c>
    </row>
    <row r="645" spans="1:20" s="65" customFormat="1" ht="15.75" hidden="1" customHeight="1" x14ac:dyDescent="0.25">
      <c r="A645" s="201" t="s">
        <v>615</v>
      </c>
      <c r="B645" s="86">
        <v>37083</v>
      </c>
      <c r="C645" s="174" t="s">
        <v>604</v>
      </c>
      <c r="D645" s="83">
        <f t="shared" si="63"/>
        <v>-316.76666666666671</v>
      </c>
      <c r="E645" s="84">
        <v>-9.673</v>
      </c>
      <c r="F645" s="72">
        <v>0.17</v>
      </c>
      <c r="G645" s="72">
        <v>0</v>
      </c>
      <c r="H645" s="72">
        <v>0</v>
      </c>
      <c r="I645" s="85">
        <f t="shared" si="66"/>
        <v>-9.5030000000000001</v>
      </c>
      <c r="J645" s="149"/>
      <c r="M645" s="110"/>
      <c r="T645" s="534" t="str">
        <f t="shared" si="62"/>
        <v/>
      </c>
    </row>
    <row r="646" spans="1:20" s="65" customFormat="1" ht="15.75" hidden="1" customHeight="1" x14ac:dyDescent="0.25">
      <c r="A646" s="201" t="s">
        <v>616</v>
      </c>
      <c r="B646" s="86">
        <v>37083</v>
      </c>
      <c r="C646" s="174" t="s">
        <v>604</v>
      </c>
      <c r="D646" s="83">
        <f t="shared" si="63"/>
        <v>-345.6</v>
      </c>
      <c r="E646" s="84">
        <v>-10.568</v>
      </c>
      <c r="F646" s="72">
        <v>0.2</v>
      </c>
      <c r="G646" s="72">
        <v>0</v>
      </c>
      <c r="H646" s="72">
        <v>0</v>
      </c>
      <c r="I646" s="85">
        <f t="shared" si="66"/>
        <v>-10.368</v>
      </c>
      <c r="J646" s="149"/>
      <c r="M646" s="110"/>
      <c r="T646" s="534" t="str">
        <f t="shared" si="62"/>
        <v/>
      </c>
    </row>
    <row r="647" spans="1:20" s="65" customFormat="1" ht="15.75" hidden="1" customHeight="1" x14ac:dyDescent="0.25">
      <c r="A647" s="201" t="s">
        <v>617</v>
      </c>
      <c r="B647" s="86">
        <v>37083</v>
      </c>
      <c r="C647" s="174" t="s">
        <v>604</v>
      </c>
      <c r="D647" s="83">
        <f t="shared" si="63"/>
        <v>-21.766666666666669</v>
      </c>
      <c r="E647" s="84">
        <v>-0.66600000000000004</v>
      </c>
      <c r="F647" s="72">
        <v>1.2999999999999999E-2</v>
      </c>
      <c r="G647" s="72">
        <v>0</v>
      </c>
      <c r="H647" s="72">
        <v>0</v>
      </c>
      <c r="I647" s="85">
        <f t="shared" si="66"/>
        <v>-0.65300000000000002</v>
      </c>
      <c r="J647" s="149"/>
      <c r="M647" s="110"/>
      <c r="T647" s="534" t="str">
        <f t="shared" si="62"/>
        <v/>
      </c>
    </row>
    <row r="648" spans="1:20" s="65" customFormat="1" ht="15.75" hidden="1" customHeight="1" x14ac:dyDescent="0.25">
      <c r="A648" s="201" t="s">
        <v>618</v>
      </c>
      <c r="B648" s="86">
        <v>37083</v>
      </c>
      <c r="C648" s="174" t="s">
        <v>604</v>
      </c>
      <c r="D648" s="83">
        <f t="shared" si="63"/>
        <v>-40.63333333333334</v>
      </c>
      <c r="E648" s="84">
        <v>-1.2390000000000001</v>
      </c>
      <c r="F648" s="72">
        <v>0.02</v>
      </c>
      <c r="G648" s="72">
        <v>0</v>
      </c>
      <c r="H648" s="72">
        <v>0</v>
      </c>
      <c r="I648" s="85">
        <f t="shared" si="66"/>
        <v>-1.2190000000000001</v>
      </c>
      <c r="J648" s="149"/>
      <c r="M648" s="110"/>
      <c r="T648" s="534" t="str">
        <f t="shared" si="62"/>
        <v/>
      </c>
    </row>
    <row r="649" spans="1:20" s="65" customFormat="1" ht="15.75" hidden="1" customHeight="1" x14ac:dyDescent="0.25">
      <c r="A649" s="201" t="s">
        <v>619</v>
      </c>
      <c r="B649" s="86">
        <v>37083</v>
      </c>
      <c r="C649" s="174" t="s">
        <v>604</v>
      </c>
      <c r="D649" s="83">
        <f t="shared" si="63"/>
        <v>-35.466666666666669</v>
      </c>
      <c r="E649" s="84">
        <v>-1.085</v>
      </c>
      <c r="F649" s="72">
        <v>2.1000000000000001E-2</v>
      </c>
      <c r="G649" s="72">
        <v>0</v>
      </c>
      <c r="H649" s="72">
        <v>0</v>
      </c>
      <c r="I649" s="85">
        <f t="shared" si="66"/>
        <v>-1.0640000000000001</v>
      </c>
      <c r="J649" s="149"/>
      <c r="M649" s="110"/>
      <c r="T649" s="534" t="str">
        <f t="shared" si="62"/>
        <v/>
      </c>
    </row>
    <row r="650" spans="1:20" s="65" customFormat="1" ht="15.75" hidden="1" customHeight="1" x14ac:dyDescent="0.25">
      <c r="A650" s="201" t="s">
        <v>620</v>
      </c>
      <c r="B650" s="86">
        <v>37083</v>
      </c>
      <c r="C650" s="174" t="s">
        <v>604</v>
      </c>
      <c r="D650" s="83">
        <f t="shared" si="63"/>
        <v>486.90000000000003</v>
      </c>
      <c r="E650" s="84">
        <v>14.829000000000001</v>
      </c>
      <c r="F650" s="72">
        <v>-0.222</v>
      </c>
      <c r="G650" s="72">
        <v>0</v>
      </c>
      <c r="H650" s="72">
        <v>0</v>
      </c>
      <c r="I650" s="85">
        <f t="shared" si="66"/>
        <v>14.607000000000001</v>
      </c>
      <c r="J650" s="149"/>
      <c r="M650" s="110"/>
      <c r="T650" s="534">
        <f t="shared" si="62"/>
        <v>0.03</v>
      </c>
    </row>
    <row r="651" spans="1:20" s="65" customFormat="1" ht="16.5" hidden="1" thickBot="1" x14ac:dyDescent="0.3">
      <c r="A651" s="201" t="s">
        <v>621</v>
      </c>
      <c r="B651" s="86">
        <v>37083</v>
      </c>
      <c r="C651" s="174" t="s">
        <v>604</v>
      </c>
      <c r="D651" s="83">
        <f t="shared" si="63"/>
        <v>2275.2333333333336</v>
      </c>
      <c r="E651" s="84">
        <v>69.777000000000001</v>
      </c>
      <c r="F651" s="72">
        <v>-1.52</v>
      </c>
      <c r="G651" s="72">
        <v>0</v>
      </c>
      <c r="H651" s="72">
        <v>0</v>
      </c>
      <c r="I651" s="85">
        <f t="shared" si="66"/>
        <v>68.257000000000005</v>
      </c>
      <c r="J651" s="149"/>
      <c r="M651" s="110"/>
      <c r="T651" s="534">
        <f t="shared" si="62"/>
        <v>0.03</v>
      </c>
    </row>
    <row r="652" spans="1:20" s="65" customFormat="1" ht="16.5" hidden="1" thickBot="1" x14ac:dyDescent="0.3">
      <c r="A652" s="201" t="s">
        <v>622</v>
      </c>
      <c r="B652" s="86">
        <v>37083</v>
      </c>
      <c r="C652" s="174" t="s">
        <v>604</v>
      </c>
      <c r="D652" s="83">
        <f t="shared" si="63"/>
        <v>2190.9</v>
      </c>
      <c r="E652" s="84">
        <v>67.241</v>
      </c>
      <c r="F652" s="72">
        <v>-1.514</v>
      </c>
      <c r="G652" s="72">
        <v>0</v>
      </c>
      <c r="H652" s="72">
        <v>0</v>
      </c>
      <c r="I652" s="85">
        <f t="shared" si="66"/>
        <v>65.727000000000004</v>
      </c>
      <c r="J652" s="149"/>
      <c r="M652" s="110"/>
      <c r="T652" s="534">
        <f t="shared" si="62"/>
        <v>0.03</v>
      </c>
    </row>
    <row r="653" spans="1:20" s="65" customFormat="1" ht="16.5" hidden="1" thickBot="1" x14ac:dyDescent="0.3">
      <c r="A653" s="221" t="s">
        <v>623</v>
      </c>
      <c r="B653" s="342"/>
      <c r="C653" s="343"/>
      <c r="D653" s="61">
        <f t="shared" si="63"/>
        <v>1477.1666666666667</v>
      </c>
      <c r="E653" s="62">
        <v>45.274000000000001</v>
      </c>
      <c r="F653" s="63">
        <v>-0.95899999999999996</v>
      </c>
      <c r="G653" s="63">
        <v>0</v>
      </c>
      <c r="H653" s="63">
        <v>0</v>
      </c>
      <c r="I653" s="64">
        <f>SUM(E653:H653)</f>
        <v>44.314999999999998</v>
      </c>
      <c r="J653" s="149"/>
      <c r="M653" s="110"/>
      <c r="T653" s="534">
        <f t="shared" si="62"/>
        <v>2.9999999999999995E-2</v>
      </c>
    </row>
    <row r="654" spans="1:20" s="65" customFormat="1" ht="16.5" hidden="1" thickBot="1" x14ac:dyDescent="0.3">
      <c r="A654" s="201" t="s">
        <v>624</v>
      </c>
      <c r="B654" s="86">
        <v>37091</v>
      </c>
      <c r="C654" s="174" t="s">
        <v>604</v>
      </c>
      <c r="D654" s="83">
        <f t="shared" si="63"/>
        <v>3379.7</v>
      </c>
      <c r="E654" s="84">
        <v>103.553</v>
      </c>
      <c r="F654" s="72">
        <v>-2.1619999999999999</v>
      </c>
      <c r="G654" s="72">
        <v>0</v>
      </c>
      <c r="H654" s="72">
        <v>0</v>
      </c>
      <c r="I654" s="85">
        <f t="shared" si="66"/>
        <v>101.39099999999999</v>
      </c>
      <c r="J654" s="149"/>
      <c r="M654" s="110"/>
      <c r="T654" s="534">
        <f t="shared" si="62"/>
        <v>0.03</v>
      </c>
    </row>
    <row r="655" spans="1:20" s="65" customFormat="1" ht="16.5" hidden="1" thickBot="1" x14ac:dyDescent="0.3">
      <c r="A655" s="201" t="s">
        <v>625</v>
      </c>
      <c r="B655" s="86">
        <v>37091</v>
      </c>
      <c r="C655" s="174" t="s">
        <v>604</v>
      </c>
      <c r="D655" s="83">
        <f>I655/0.03</f>
        <v>416.33333333333337</v>
      </c>
      <c r="E655" s="84">
        <v>12.768000000000001</v>
      </c>
      <c r="F655" s="72">
        <v>-0.27800000000000002</v>
      </c>
      <c r="G655" s="72">
        <v>0</v>
      </c>
      <c r="H655" s="72">
        <v>0</v>
      </c>
      <c r="I655" s="85">
        <f t="shared" si="66"/>
        <v>12.49</v>
      </c>
      <c r="J655" s="149"/>
      <c r="M655" s="110"/>
      <c r="T655" s="534">
        <f t="shared" si="62"/>
        <v>0.03</v>
      </c>
    </row>
    <row r="656" spans="1:20" s="65" customFormat="1" ht="16.5" hidden="1" thickBot="1" x14ac:dyDescent="0.3">
      <c r="A656" s="201" t="s">
        <v>626</v>
      </c>
      <c r="B656" s="86">
        <v>37091</v>
      </c>
      <c r="C656" s="174" t="s">
        <v>604</v>
      </c>
      <c r="D656" s="83">
        <f>I656/0.015</f>
        <v>5787.8666666666668</v>
      </c>
      <c r="E656" s="84">
        <v>88.867000000000004</v>
      </c>
      <c r="F656" s="72">
        <v>-2.0489999999999999</v>
      </c>
      <c r="G656" s="72">
        <v>0</v>
      </c>
      <c r="H656" s="72">
        <v>0</v>
      </c>
      <c r="I656" s="85">
        <f t="shared" si="66"/>
        <v>86.817999999999998</v>
      </c>
      <c r="J656" s="149"/>
      <c r="M656" s="110"/>
      <c r="T656" s="534">
        <f t="shared" si="62"/>
        <v>1.4999999999999999E-2</v>
      </c>
    </row>
    <row r="657" spans="1:255" s="65" customFormat="1" ht="16.5" hidden="1" thickBot="1" x14ac:dyDescent="0.3">
      <c r="A657" s="201" t="s">
        <v>627</v>
      </c>
      <c r="B657" s="86">
        <v>37091</v>
      </c>
      <c r="C657" s="174" t="s">
        <v>604</v>
      </c>
      <c r="D657" s="83">
        <f>I657/0.015</f>
        <v>5021.1333333333341</v>
      </c>
      <c r="E657" s="84">
        <v>77.257000000000005</v>
      </c>
      <c r="F657" s="72">
        <v>-1.94</v>
      </c>
      <c r="G657" s="72">
        <v>0</v>
      </c>
      <c r="H657" s="72">
        <v>0</v>
      </c>
      <c r="I657" s="85">
        <f t="shared" si="66"/>
        <v>75.317000000000007</v>
      </c>
      <c r="J657" s="149"/>
      <c r="M657" s="110"/>
      <c r="T657" s="534">
        <f t="shared" si="62"/>
        <v>1.4999999999999999E-2</v>
      </c>
    </row>
    <row r="658" spans="1:255" s="65" customFormat="1" ht="16.5" hidden="1" thickBot="1" x14ac:dyDescent="0.3">
      <c r="A658" s="201" t="s">
        <v>628</v>
      </c>
      <c r="B658" s="86">
        <v>37091</v>
      </c>
      <c r="C658" s="174" t="s">
        <v>604</v>
      </c>
      <c r="D658" s="83">
        <f>I658/0.015</f>
        <v>2352.0666666666666</v>
      </c>
      <c r="E658" s="84">
        <v>48.259</v>
      </c>
      <c r="F658" s="72">
        <v>-12.978</v>
      </c>
      <c r="G658" s="72">
        <v>0</v>
      </c>
      <c r="H658" s="72">
        <v>0</v>
      </c>
      <c r="I658" s="85">
        <f t="shared" si="66"/>
        <v>35.280999999999999</v>
      </c>
      <c r="J658" s="149"/>
      <c r="M658" s="110"/>
      <c r="T658" s="534">
        <f t="shared" si="62"/>
        <v>1.4999999999999999E-2</v>
      </c>
    </row>
    <row r="659" spans="1:255" s="65" customFormat="1" ht="16.5" hidden="1" thickBot="1" x14ac:dyDescent="0.3">
      <c r="A659" s="201" t="s">
        <v>629</v>
      </c>
      <c r="B659" s="86">
        <v>37091</v>
      </c>
      <c r="C659" s="174" t="s">
        <v>604</v>
      </c>
      <c r="D659" s="83">
        <f>I659/0.015</f>
        <v>3434.5333333333333</v>
      </c>
      <c r="E659" s="84">
        <v>61.369</v>
      </c>
      <c r="F659" s="72">
        <v>-9.8510000000000009</v>
      </c>
      <c r="G659" s="72">
        <v>0</v>
      </c>
      <c r="H659" s="72">
        <v>0</v>
      </c>
      <c r="I659" s="85">
        <f t="shared" si="66"/>
        <v>51.518000000000001</v>
      </c>
      <c r="J659" s="149"/>
      <c r="M659" s="110"/>
      <c r="T659" s="534">
        <f t="shared" ref="T659:T707" si="67">IF(D659&gt;0,(I659/D659),"")</f>
        <v>1.5000000000000001E-2</v>
      </c>
    </row>
    <row r="660" spans="1:255" s="65" customFormat="1" ht="16.5" hidden="1" thickBot="1" x14ac:dyDescent="0.3">
      <c r="A660" s="201" t="s">
        <v>630</v>
      </c>
      <c r="B660" s="86">
        <v>37091</v>
      </c>
      <c r="C660" s="174" t="s">
        <v>604</v>
      </c>
      <c r="D660" s="83">
        <f t="shared" ref="D660:D668" si="68">I660/0.015</f>
        <v>-270.73333333333335</v>
      </c>
      <c r="E660" s="84">
        <v>-4.1310000000000002</v>
      </c>
      <c r="F660" s="72">
        <v>7.0000000000000007E-2</v>
      </c>
      <c r="G660" s="72">
        <v>0</v>
      </c>
      <c r="H660" s="72">
        <v>0</v>
      </c>
      <c r="I660" s="85">
        <f t="shared" si="66"/>
        <v>-4.0609999999999999</v>
      </c>
      <c r="J660" s="149"/>
      <c r="M660" s="110"/>
      <c r="T660" s="534" t="str">
        <f t="shared" si="67"/>
        <v/>
      </c>
    </row>
    <row r="661" spans="1:255" s="65" customFormat="1" ht="16.5" hidden="1" thickBot="1" x14ac:dyDescent="0.3">
      <c r="A661" s="201" t="s">
        <v>631</v>
      </c>
      <c r="B661" s="86">
        <v>37091</v>
      </c>
      <c r="C661" s="174" t="s">
        <v>604</v>
      </c>
      <c r="D661" s="83">
        <f t="shared" si="68"/>
        <v>-633.26666666666677</v>
      </c>
      <c r="E661" s="84">
        <v>-9.6669999999999998</v>
      </c>
      <c r="F661" s="72">
        <v>0.16800000000000001</v>
      </c>
      <c r="G661" s="72">
        <v>0</v>
      </c>
      <c r="H661" s="72">
        <v>0</v>
      </c>
      <c r="I661" s="85">
        <f t="shared" si="66"/>
        <v>-9.4990000000000006</v>
      </c>
      <c r="J661" s="149"/>
      <c r="M661" s="110"/>
      <c r="T661" s="534" t="str">
        <f t="shared" si="67"/>
        <v/>
      </c>
    </row>
    <row r="662" spans="1:255" s="65" customFormat="1" ht="16.5" hidden="1" thickBot="1" x14ac:dyDescent="0.3">
      <c r="A662" s="201" t="s">
        <v>632</v>
      </c>
      <c r="B662" s="86">
        <v>37091</v>
      </c>
      <c r="C662" s="174" t="s">
        <v>604</v>
      </c>
      <c r="D662" s="83">
        <f t="shared" si="68"/>
        <v>-118.93333333333334</v>
      </c>
      <c r="E662" s="84">
        <v>-1.875</v>
      </c>
      <c r="F662" s="72">
        <v>9.0999999999999998E-2</v>
      </c>
      <c r="G662" s="72">
        <v>0</v>
      </c>
      <c r="H662" s="72">
        <v>0</v>
      </c>
      <c r="I662" s="85">
        <f t="shared" si="66"/>
        <v>-1.784</v>
      </c>
      <c r="J662" s="149"/>
      <c r="M662" s="110"/>
      <c r="T662" s="534" t="str">
        <f t="shared" si="67"/>
        <v/>
      </c>
    </row>
    <row r="663" spans="1:255" s="65" customFormat="1" ht="16.5" hidden="1" thickBot="1" x14ac:dyDescent="0.3">
      <c r="A663" s="201" t="s">
        <v>633</v>
      </c>
      <c r="B663" s="86">
        <v>37091</v>
      </c>
      <c r="C663" s="174" t="s">
        <v>604</v>
      </c>
      <c r="D663" s="83">
        <f t="shared" si="68"/>
        <v>-1307.8666666666668</v>
      </c>
      <c r="E663" s="84">
        <v>-19.977</v>
      </c>
      <c r="F663" s="72">
        <v>0.35899999999999999</v>
      </c>
      <c r="G663" s="72">
        <v>0</v>
      </c>
      <c r="H663" s="72">
        <v>0</v>
      </c>
      <c r="I663" s="85">
        <f t="shared" si="66"/>
        <v>-19.618000000000002</v>
      </c>
      <c r="J663" s="149"/>
      <c r="M663" s="110"/>
      <c r="T663" s="534" t="str">
        <f t="shared" si="67"/>
        <v/>
      </c>
    </row>
    <row r="664" spans="1:255" s="65" customFormat="1" ht="16.5" hidden="1" thickBot="1" x14ac:dyDescent="0.3">
      <c r="A664" s="201" t="s">
        <v>634</v>
      </c>
      <c r="B664" s="86">
        <v>37091</v>
      </c>
      <c r="C664" s="174" t="s">
        <v>604</v>
      </c>
      <c r="D664" s="83">
        <f t="shared" si="68"/>
        <v>-253.06666666666669</v>
      </c>
      <c r="E664" s="84">
        <v>-3.8540000000000001</v>
      </c>
      <c r="F664" s="72">
        <v>5.8000000000000003E-2</v>
      </c>
      <c r="G664" s="72">
        <v>0</v>
      </c>
      <c r="H664" s="72">
        <v>0</v>
      </c>
      <c r="I664" s="85">
        <f t="shared" si="66"/>
        <v>-3.7960000000000003</v>
      </c>
      <c r="J664" s="149"/>
      <c r="M664" s="110"/>
      <c r="T664" s="534" t="str">
        <f t="shared" si="67"/>
        <v/>
      </c>
    </row>
    <row r="665" spans="1:255" s="65" customFormat="1" ht="16.5" hidden="1" thickBot="1" x14ac:dyDescent="0.3">
      <c r="A665" s="201" t="s">
        <v>635</v>
      </c>
      <c r="B665" s="86">
        <v>37091</v>
      </c>
      <c r="C665" s="174" t="s">
        <v>604</v>
      </c>
      <c r="D665" s="83">
        <f t="shared" si="68"/>
        <v>-34.266666666666666</v>
      </c>
      <c r="E665" s="84">
        <v>-0.52500000000000002</v>
      </c>
      <c r="F665" s="72">
        <v>1.0999999999999999E-2</v>
      </c>
      <c r="G665" s="72">
        <v>0</v>
      </c>
      <c r="H665" s="72">
        <v>0</v>
      </c>
      <c r="I665" s="85">
        <f t="shared" si="66"/>
        <v>-0.51400000000000001</v>
      </c>
      <c r="J665" s="149"/>
      <c r="M665" s="110"/>
      <c r="T665" s="534" t="str">
        <f t="shared" si="67"/>
        <v/>
      </c>
    </row>
    <row r="666" spans="1:255" s="65" customFormat="1" ht="16.5" hidden="1" thickBot="1" x14ac:dyDescent="0.3">
      <c r="A666" s="201" t="s">
        <v>636</v>
      </c>
      <c r="B666" s="86">
        <v>37091</v>
      </c>
      <c r="C666" s="174" t="s">
        <v>604</v>
      </c>
      <c r="D666" s="83">
        <f t="shared" si="68"/>
        <v>-465.13333333333338</v>
      </c>
      <c r="E666" s="84">
        <v>-7.1070000000000002</v>
      </c>
      <c r="F666" s="72">
        <v>0.13</v>
      </c>
      <c r="G666" s="72">
        <v>0</v>
      </c>
      <c r="H666" s="72">
        <v>0</v>
      </c>
      <c r="I666" s="85">
        <f t="shared" si="66"/>
        <v>-6.9770000000000003</v>
      </c>
      <c r="J666" s="149"/>
      <c r="M666" s="110"/>
      <c r="T666" s="534" t="str">
        <f t="shared" si="67"/>
        <v/>
      </c>
    </row>
    <row r="667" spans="1:255" s="65" customFormat="1" ht="16.5" hidden="1" thickBot="1" x14ac:dyDescent="0.3">
      <c r="A667" s="201" t="s">
        <v>637</v>
      </c>
      <c r="B667" s="86">
        <v>37091</v>
      </c>
      <c r="C667" s="174" t="s">
        <v>604</v>
      </c>
      <c r="D667" s="83">
        <f t="shared" si="68"/>
        <v>-562.53333333333342</v>
      </c>
      <c r="E667" s="84">
        <v>-8.593</v>
      </c>
      <c r="F667" s="72">
        <v>0.155</v>
      </c>
      <c r="G667" s="72">
        <v>0</v>
      </c>
      <c r="H667" s="72">
        <v>0</v>
      </c>
      <c r="I667" s="85">
        <f t="shared" si="66"/>
        <v>-8.4380000000000006</v>
      </c>
      <c r="J667" s="149"/>
      <c r="M667" s="110"/>
      <c r="T667" s="534" t="str">
        <f t="shared" si="67"/>
        <v/>
      </c>
    </row>
    <row r="668" spans="1:255" s="65" customFormat="1" ht="16.5" hidden="1" thickBot="1" x14ac:dyDescent="0.3">
      <c r="A668" s="201" t="s">
        <v>638</v>
      </c>
      <c r="B668" s="86">
        <v>37091</v>
      </c>
      <c r="C668" s="174" t="s">
        <v>604</v>
      </c>
      <c r="D668" s="83">
        <f t="shared" si="68"/>
        <v>-244.93333333333334</v>
      </c>
      <c r="E668" s="84">
        <v>-3.7309999999999999</v>
      </c>
      <c r="F668" s="72">
        <v>5.7000000000000002E-2</v>
      </c>
      <c r="G668" s="72">
        <v>0</v>
      </c>
      <c r="H668" s="72">
        <v>0</v>
      </c>
      <c r="I668" s="85">
        <f t="shared" si="66"/>
        <v>-3.6739999999999999</v>
      </c>
      <c r="J668" s="149"/>
      <c r="M668" s="110"/>
      <c r="T668" s="534" t="str">
        <f t="shared" si="67"/>
        <v/>
      </c>
    </row>
    <row r="669" spans="1:255" s="65" customFormat="1" ht="16.5" hidden="1" thickBot="1" x14ac:dyDescent="0.3">
      <c r="A669" s="201" t="s">
        <v>639</v>
      </c>
      <c r="B669" s="86">
        <v>37098</v>
      </c>
      <c r="C669" s="174" t="s">
        <v>604</v>
      </c>
      <c r="D669" s="91">
        <f>I669/0.03</f>
        <v>2077.1333333333332</v>
      </c>
      <c r="E669" s="84">
        <v>85.382999999999996</v>
      </c>
      <c r="F669" s="72">
        <v>-23.068999999999999</v>
      </c>
      <c r="G669" s="72"/>
      <c r="H669" s="72"/>
      <c r="I669" s="85">
        <f t="shared" si="66"/>
        <v>62.313999999999993</v>
      </c>
      <c r="J669" s="149"/>
      <c r="M669" s="110"/>
      <c r="T669" s="534">
        <f t="shared" si="67"/>
        <v>0.03</v>
      </c>
    </row>
    <row r="670" spans="1:255" s="65" customFormat="1" ht="16.5" hidden="1" thickBot="1" x14ac:dyDescent="0.3">
      <c r="A670" s="201" t="s">
        <v>640</v>
      </c>
      <c r="B670" s="86">
        <v>37098</v>
      </c>
      <c r="C670" s="174" t="s">
        <v>604</v>
      </c>
      <c r="D670" s="91">
        <f>I670/0.03</f>
        <v>-645.20000000000005</v>
      </c>
      <c r="E670" s="84">
        <v>-19.699000000000002</v>
      </c>
      <c r="F670" s="72">
        <v>0.34300000000000003</v>
      </c>
      <c r="G670" s="72"/>
      <c r="H670" s="72"/>
      <c r="I670" s="85">
        <f t="shared" si="66"/>
        <v>-19.356000000000002</v>
      </c>
      <c r="J670" s="149"/>
      <c r="M670" s="110"/>
      <c r="T670" s="534" t="str">
        <f t="shared" si="67"/>
        <v/>
      </c>
    </row>
    <row r="671" spans="1:255" s="97" customFormat="1" ht="16.5" hidden="1" thickBot="1" x14ac:dyDescent="0.3">
      <c r="A671" s="201" t="s">
        <v>641</v>
      </c>
      <c r="B671" s="86">
        <v>37098</v>
      </c>
      <c r="C671" s="174" t="s">
        <v>604</v>
      </c>
      <c r="D671" s="91">
        <f>I671/0.03</f>
        <v>-88.333333333333329</v>
      </c>
      <c r="E671" s="84">
        <v>-3.4550000000000001</v>
      </c>
      <c r="F671" s="72">
        <v>0.80500000000000005</v>
      </c>
      <c r="G671" s="72"/>
      <c r="H671" s="72"/>
      <c r="I671" s="85">
        <f t="shared" si="66"/>
        <v>-2.65</v>
      </c>
      <c r="J671" s="149"/>
      <c r="K671" s="65"/>
      <c r="M671" s="110"/>
      <c r="N671" s="65"/>
      <c r="O671" s="65"/>
      <c r="P671" s="65"/>
      <c r="Q671" s="65"/>
      <c r="R671" s="65"/>
      <c r="S671" s="65"/>
      <c r="T671" s="534" t="str">
        <f t="shared" si="67"/>
        <v/>
      </c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  <c r="DS671" s="65"/>
      <c r="DT671" s="65"/>
      <c r="DU671" s="65"/>
      <c r="DV671" s="65"/>
      <c r="DW671" s="65"/>
      <c r="DX671" s="65"/>
      <c r="DY671" s="65"/>
      <c r="DZ671" s="65"/>
      <c r="EA671" s="65"/>
      <c r="EB671" s="65"/>
      <c r="EC671" s="65"/>
      <c r="ED671" s="65"/>
      <c r="EE671" s="65"/>
      <c r="EF671" s="65"/>
      <c r="EG671" s="65"/>
      <c r="EH671" s="65"/>
      <c r="EI671" s="65"/>
      <c r="EJ671" s="65"/>
      <c r="EK671" s="65"/>
      <c r="EL671" s="65"/>
      <c r="EM671" s="65"/>
      <c r="EN671" s="65"/>
      <c r="EO671" s="65"/>
      <c r="EP671" s="65"/>
      <c r="EQ671" s="65"/>
      <c r="ER671" s="65"/>
      <c r="ES671" s="65"/>
      <c r="ET671" s="65"/>
      <c r="EU671" s="65"/>
      <c r="EV671" s="65"/>
      <c r="EW671" s="65"/>
      <c r="EX671" s="65"/>
      <c r="EY671" s="65"/>
      <c r="EZ671" s="65"/>
      <c r="FA671" s="65"/>
      <c r="FB671" s="65"/>
      <c r="FC671" s="65"/>
      <c r="FD671" s="65"/>
      <c r="FE671" s="65"/>
      <c r="FF671" s="65"/>
      <c r="FG671" s="65"/>
      <c r="FH671" s="65"/>
      <c r="FI671" s="65"/>
      <c r="FJ671" s="65"/>
      <c r="FK671" s="65"/>
      <c r="FL671" s="65"/>
      <c r="FM671" s="65"/>
      <c r="FN671" s="65"/>
      <c r="FO671" s="65"/>
      <c r="FP671" s="65"/>
      <c r="FQ671" s="65"/>
      <c r="FR671" s="65"/>
      <c r="FS671" s="65"/>
      <c r="FT671" s="65"/>
      <c r="FU671" s="65"/>
      <c r="FV671" s="65"/>
      <c r="FW671" s="65"/>
      <c r="FX671" s="65"/>
      <c r="FY671" s="65"/>
      <c r="FZ671" s="65"/>
      <c r="GA671" s="65"/>
      <c r="GB671" s="65"/>
      <c r="GC671" s="65"/>
      <c r="GD671" s="65"/>
      <c r="GE671" s="65"/>
      <c r="GF671" s="65"/>
      <c r="GG671" s="65"/>
      <c r="GH671" s="65"/>
      <c r="GI671" s="65"/>
      <c r="GJ671" s="65"/>
      <c r="GK671" s="65"/>
      <c r="GL671" s="65"/>
      <c r="GM671" s="65"/>
      <c r="GN671" s="65"/>
      <c r="GO671" s="65"/>
      <c r="GP671" s="65"/>
      <c r="GQ671" s="65"/>
      <c r="GR671" s="65"/>
      <c r="GS671" s="65"/>
      <c r="GT671" s="65"/>
      <c r="GU671" s="65"/>
      <c r="GV671" s="65"/>
      <c r="GW671" s="65"/>
      <c r="GX671" s="65"/>
      <c r="GY671" s="65"/>
      <c r="GZ671" s="65"/>
      <c r="HA671" s="65"/>
      <c r="HB671" s="65"/>
      <c r="HC671" s="65"/>
      <c r="HD671" s="65"/>
      <c r="HE671" s="65"/>
      <c r="HF671" s="65"/>
      <c r="HG671" s="65"/>
      <c r="HH671" s="65"/>
      <c r="HI671" s="65"/>
      <c r="HJ671" s="65"/>
      <c r="HK671" s="65"/>
      <c r="HL671" s="65"/>
      <c r="HM671" s="65"/>
      <c r="HN671" s="65"/>
      <c r="HO671" s="65"/>
      <c r="HP671" s="65"/>
      <c r="HQ671" s="65"/>
      <c r="HR671" s="65"/>
      <c r="HS671" s="65"/>
      <c r="HT671" s="65"/>
      <c r="HU671" s="65"/>
      <c r="HV671" s="65"/>
      <c r="HW671" s="65"/>
      <c r="HX671" s="65"/>
      <c r="HY671" s="65"/>
      <c r="HZ671" s="65"/>
      <c r="IA671" s="65"/>
      <c r="IB671" s="65"/>
      <c r="IC671" s="65"/>
      <c r="ID671" s="65"/>
      <c r="IE671" s="65"/>
      <c r="IF671" s="65"/>
      <c r="IG671" s="65"/>
      <c r="IH671" s="65"/>
      <c r="II671" s="65"/>
      <c r="IJ671" s="65"/>
      <c r="IK671" s="65"/>
      <c r="IL671" s="65"/>
      <c r="IM671" s="65"/>
      <c r="IN671" s="65"/>
      <c r="IO671" s="65"/>
      <c r="IP671" s="65"/>
      <c r="IQ671" s="65"/>
      <c r="IR671" s="65"/>
      <c r="IS671" s="65"/>
      <c r="IT671" s="65"/>
      <c r="IU671" s="65"/>
    </row>
    <row r="672" spans="1:255" s="97" customFormat="1" ht="16.5" hidden="1" thickBot="1" x14ac:dyDescent="0.3">
      <c r="A672" s="201" t="s">
        <v>642</v>
      </c>
      <c r="B672" s="86">
        <v>37098</v>
      </c>
      <c r="C672" s="174" t="s">
        <v>604</v>
      </c>
      <c r="D672" s="91">
        <f>I672/0.03</f>
        <v>2112.8333333333335</v>
      </c>
      <c r="E672" s="84">
        <v>86.811999999999998</v>
      </c>
      <c r="F672" s="72">
        <v>-23.427</v>
      </c>
      <c r="G672" s="72"/>
      <c r="H672" s="72"/>
      <c r="I672" s="85">
        <f t="shared" si="66"/>
        <v>63.384999999999998</v>
      </c>
      <c r="J672" s="149"/>
      <c r="K672" s="65"/>
      <c r="M672" s="110"/>
      <c r="N672" s="65"/>
      <c r="O672" s="65"/>
      <c r="P672" s="65"/>
      <c r="Q672" s="65"/>
      <c r="R672" s="65"/>
      <c r="S672" s="65"/>
      <c r="T672" s="534">
        <f t="shared" si="67"/>
        <v>2.9999999999999995E-2</v>
      </c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  <c r="DS672" s="65"/>
      <c r="DT672" s="65"/>
      <c r="DU672" s="65"/>
      <c r="DV672" s="65"/>
      <c r="DW672" s="65"/>
      <c r="DX672" s="65"/>
      <c r="DY672" s="65"/>
      <c r="DZ672" s="65"/>
      <c r="EA672" s="65"/>
      <c r="EB672" s="65"/>
      <c r="EC672" s="65"/>
      <c r="ED672" s="65"/>
      <c r="EE672" s="65"/>
      <c r="EF672" s="65"/>
      <c r="EG672" s="65"/>
      <c r="EH672" s="65"/>
      <c r="EI672" s="65"/>
      <c r="EJ672" s="65"/>
      <c r="EK672" s="65"/>
      <c r="EL672" s="65"/>
      <c r="EM672" s="65"/>
      <c r="EN672" s="65"/>
      <c r="EO672" s="65"/>
      <c r="EP672" s="65"/>
      <c r="EQ672" s="65"/>
      <c r="ER672" s="65"/>
      <c r="ES672" s="65"/>
      <c r="ET672" s="65"/>
      <c r="EU672" s="65"/>
      <c r="EV672" s="65"/>
      <c r="EW672" s="65"/>
      <c r="EX672" s="65"/>
      <c r="EY672" s="65"/>
      <c r="EZ672" s="65"/>
      <c r="FA672" s="65"/>
      <c r="FB672" s="65"/>
      <c r="FC672" s="65"/>
      <c r="FD672" s="65"/>
      <c r="FE672" s="65"/>
      <c r="FF672" s="65"/>
      <c r="FG672" s="65"/>
      <c r="FH672" s="65"/>
      <c r="FI672" s="65"/>
      <c r="FJ672" s="65"/>
      <c r="FK672" s="65"/>
      <c r="FL672" s="65"/>
      <c r="FM672" s="65"/>
      <c r="FN672" s="65"/>
      <c r="FO672" s="65"/>
      <c r="FP672" s="65"/>
      <c r="FQ672" s="65"/>
      <c r="FR672" s="65"/>
      <c r="FS672" s="65"/>
      <c r="FT672" s="65"/>
      <c r="FU672" s="65"/>
      <c r="FV672" s="65"/>
      <c r="FW672" s="65"/>
      <c r="FX672" s="65"/>
      <c r="FY672" s="65"/>
      <c r="FZ672" s="65"/>
      <c r="GA672" s="65"/>
      <c r="GB672" s="65"/>
      <c r="GC672" s="65"/>
      <c r="GD672" s="65"/>
      <c r="GE672" s="65"/>
      <c r="GF672" s="65"/>
      <c r="GG672" s="65"/>
      <c r="GH672" s="65"/>
      <c r="GI672" s="65"/>
      <c r="GJ672" s="65"/>
      <c r="GK672" s="65"/>
      <c r="GL672" s="65"/>
      <c r="GM672" s="65"/>
      <c r="GN672" s="65"/>
      <c r="GO672" s="65"/>
      <c r="GP672" s="65"/>
      <c r="GQ672" s="65"/>
      <c r="GR672" s="65"/>
      <c r="GS672" s="65"/>
      <c r="GT672" s="65"/>
      <c r="GU672" s="65"/>
      <c r="GV672" s="65"/>
      <c r="GW672" s="65"/>
      <c r="GX672" s="65"/>
      <c r="GY672" s="65"/>
      <c r="GZ672" s="65"/>
      <c r="HA672" s="65"/>
      <c r="HB672" s="65"/>
      <c r="HC672" s="65"/>
      <c r="HD672" s="65"/>
      <c r="HE672" s="65"/>
      <c r="HF672" s="65"/>
      <c r="HG672" s="65"/>
      <c r="HH672" s="65"/>
      <c r="HI672" s="65"/>
      <c r="HJ672" s="65"/>
      <c r="HK672" s="65"/>
      <c r="HL672" s="65"/>
      <c r="HM672" s="65"/>
      <c r="HN672" s="65"/>
      <c r="HO672" s="65"/>
      <c r="HP672" s="65"/>
      <c r="HQ672" s="65"/>
      <c r="HR672" s="65"/>
      <c r="HS672" s="65"/>
      <c r="HT672" s="65"/>
      <c r="HU672" s="65"/>
      <c r="HV672" s="65"/>
      <c r="HW672" s="65"/>
      <c r="HX672" s="65"/>
      <c r="HY672" s="65"/>
      <c r="HZ672" s="65"/>
      <c r="IA672" s="65"/>
      <c r="IB672" s="65"/>
      <c r="IC672" s="65"/>
      <c r="ID672" s="65"/>
      <c r="IE672" s="65"/>
      <c r="IF672" s="65"/>
      <c r="IG672" s="65"/>
      <c r="IH672" s="65"/>
      <c r="II672" s="65"/>
      <c r="IJ672" s="65"/>
      <c r="IK672" s="65"/>
      <c r="IL672" s="65"/>
      <c r="IM672" s="65"/>
      <c r="IN672" s="65"/>
      <c r="IO672" s="65"/>
      <c r="IP672" s="65"/>
      <c r="IQ672" s="65"/>
      <c r="IR672" s="65"/>
      <c r="IS672" s="65"/>
      <c r="IT672" s="65"/>
      <c r="IU672" s="65"/>
    </row>
    <row r="673" spans="1:255" s="97" customFormat="1" ht="16.5" hidden="1" thickBot="1" x14ac:dyDescent="0.3">
      <c r="A673" s="201" t="s">
        <v>643</v>
      </c>
      <c r="B673" s="86"/>
      <c r="C673" s="174"/>
      <c r="D673" s="83">
        <f t="shared" ref="D673:D678" si="69">I673/0.06</f>
        <v>1740.3333333333335</v>
      </c>
      <c r="E673" s="84">
        <v>142.85900000000001</v>
      </c>
      <c r="F673" s="72">
        <v>-38.439</v>
      </c>
      <c r="G673" s="72">
        <v>0</v>
      </c>
      <c r="H673" s="72"/>
      <c r="I673" s="85">
        <v>104.42</v>
      </c>
      <c r="J673" s="149"/>
      <c r="K673" s="65"/>
      <c r="M673" s="110"/>
      <c r="N673" s="65"/>
      <c r="O673" s="65"/>
      <c r="P673" s="65"/>
      <c r="Q673" s="65"/>
      <c r="R673" s="65"/>
      <c r="S673" s="65"/>
      <c r="T673" s="534">
        <f t="shared" si="67"/>
        <v>0.06</v>
      </c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  <c r="DS673" s="65"/>
      <c r="DT673" s="65"/>
      <c r="DU673" s="65"/>
      <c r="DV673" s="65"/>
      <c r="DW673" s="65"/>
      <c r="DX673" s="65"/>
      <c r="DY673" s="65"/>
      <c r="DZ673" s="65"/>
      <c r="EA673" s="65"/>
      <c r="EB673" s="65"/>
      <c r="EC673" s="65"/>
      <c r="ED673" s="65"/>
      <c r="EE673" s="65"/>
      <c r="EF673" s="65"/>
      <c r="EG673" s="65"/>
      <c r="EH673" s="65"/>
      <c r="EI673" s="65"/>
      <c r="EJ673" s="65"/>
      <c r="EK673" s="65"/>
      <c r="EL673" s="65"/>
      <c r="EM673" s="65"/>
      <c r="EN673" s="65"/>
      <c r="EO673" s="65"/>
      <c r="EP673" s="65"/>
      <c r="EQ673" s="65"/>
      <c r="ER673" s="65"/>
      <c r="ES673" s="65"/>
      <c r="ET673" s="65"/>
      <c r="EU673" s="65"/>
      <c r="EV673" s="65"/>
      <c r="EW673" s="65"/>
      <c r="EX673" s="65"/>
      <c r="EY673" s="65"/>
      <c r="EZ673" s="65"/>
      <c r="FA673" s="65"/>
      <c r="FB673" s="65"/>
      <c r="FC673" s="65"/>
      <c r="FD673" s="65"/>
      <c r="FE673" s="65"/>
      <c r="FF673" s="65"/>
      <c r="FG673" s="65"/>
      <c r="FH673" s="65"/>
      <c r="FI673" s="65"/>
      <c r="FJ673" s="65"/>
      <c r="FK673" s="65"/>
      <c r="FL673" s="65"/>
      <c r="FM673" s="65"/>
      <c r="FN673" s="65"/>
      <c r="FO673" s="65"/>
      <c r="FP673" s="65"/>
      <c r="FQ673" s="65"/>
      <c r="FR673" s="65"/>
      <c r="FS673" s="65"/>
      <c r="FT673" s="65"/>
      <c r="FU673" s="65"/>
      <c r="FV673" s="65"/>
      <c r="FW673" s="65"/>
      <c r="FX673" s="65"/>
      <c r="FY673" s="65"/>
      <c r="FZ673" s="65"/>
      <c r="GA673" s="65"/>
      <c r="GB673" s="65"/>
      <c r="GC673" s="65"/>
      <c r="GD673" s="65"/>
      <c r="GE673" s="65"/>
      <c r="GF673" s="65"/>
      <c r="GG673" s="65"/>
      <c r="GH673" s="65"/>
      <c r="GI673" s="65"/>
      <c r="GJ673" s="65"/>
      <c r="GK673" s="65"/>
      <c r="GL673" s="65"/>
      <c r="GM673" s="65"/>
      <c r="GN673" s="65"/>
      <c r="GO673" s="65"/>
      <c r="GP673" s="65"/>
      <c r="GQ673" s="65"/>
      <c r="GR673" s="65"/>
      <c r="GS673" s="65"/>
      <c r="GT673" s="65"/>
      <c r="GU673" s="65"/>
      <c r="GV673" s="65"/>
      <c r="GW673" s="65"/>
      <c r="GX673" s="65"/>
      <c r="GY673" s="65"/>
      <c r="GZ673" s="65"/>
      <c r="HA673" s="65"/>
      <c r="HB673" s="65"/>
      <c r="HC673" s="65"/>
      <c r="HD673" s="65"/>
      <c r="HE673" s="65"/>
      <c r="HF673" s="65"/>
      <c r="HG673" s="65"/>
      <c r="HH673" s="65"/>
      <c r="HI673" s="65"/>
      <c r="HJ673" s="65"/>
      <c r="HK673" s="65"/>
      <c r="HL673" s="65"/>
      <c r="HM673" s="65"/>
      <c r="HN673" s="65"/>
      <c r="HO673" s="65"/>
      <c r="HP673" s="65"/>
      <c r="HQ673" s="65"/>
      <c r="HR673" s="65"/>
      <c r="HS673" s="65"/>
      <c r="HT673" s="65"/>
      <c r="HU673" s="65"/>
      <c r="HV673" s="65"/>
      <c r="HW673" s="65"/>
      <c r="HX673" s="65"/>
      <c r="HY673" s="65"/>
      <c r="HZ673" s="65"/>
      <c r="IA673" s="65"/>
      <c r="IB673" s="65"/>
      <c r="IC673" s="65"/>
      <c r="ID673" s="65"/>
      <c r="IE673" s="65"/>
      <c r="IF673" s="65"/>
      <c r="IG673" s="65"/>
      <c r="IH673" s="65"/>
      <c r="II673" s="65"/>
      <c r="IJ673" s="65"/>
      <c r="IK673" s="65"/>
      <c r="IL673" s="65"/>
      <c r="IM673" s="65"/>
      <c r="IN673" s="65"/>
      <c r="IO673" s="65"/>
      <c r="IP673" s="65"/>
      <c r="IQ673" s="65"/>
      <c r="IR673" s="65"/>
      <c r="IS673" s="65"/>
      <c r="IT673" s="65"/>
      <c r="IU673" s="65"/>
    </row>
    <row r="674" spans="1:255" s="97" customFormat="1" ht="16.5" hidden="1" thickBot="1" x14ac:dyDescent="0.3">
      <c r="A674" s="201" t="s">
        <v>644</v>
      </c>
      <c r="B674" s="86"/>
      <c r="C674" s="174"/>
      <c r="D674" s="83">
        <f t="shared" si="69"/>
        <v>1287.9333333333334</v>
      </c>
      <c r="E674" s="84">
        <v>105.095</v>
      </c>
      <c r="F674" s="72">
        <v>-27.818999999999999</v>
      </c>
      <c r="G674" s="72">
        <v>0</v>
      </c>
      <c r="H674" s="72"/>
      <c r="I674" s="85">
        <v>77.275999999999996</v>
      </c>
      <c r="J674" s="149"/>
      <c r="K674" s="65"/>
      <c r="M674" s="110"/>
      <c r="N674" s="65"/>
      <c r="O674" s="65"/>
      <c r="P674" s="65"/>
      <c r="Q674" s="65"/>
      <c r="R674" s="65"/>
      <c r="S674" s="65"/>
      <c r="T674" s="534">
        <f t="shared" si="67"/>
        <v>5.9999999999999991E-2</v>
      </c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  <c r="DS674" s="65"/>
      <c r="DT674" s="65"/>
      <c r="DU674" s="65"/>
      <c r="DV674" s="65"/>
      <c r="DW674" s="65"/>
      <c r="DX674" s="65"/>
      <c r="DY674" s="65"/>
      <c r="DZ674" s="65"/>
      <c r="EA674" s="65"/>
      <c r="EB674" s="65"/>
      <c r="EC674" s="65"/>
      <c r="ED674" s="65"/>
      <c r="EE674" s="65"/>
      <c r="EF674" s="65"/>
      <c r="EG674" s="65"/>
      <c r="EH674" s="65"/>
      <c r="EI674" s="65"/>
      <c r="EJ674" s="65"/>
      <c r="EK674" s="65"/>
      <c r="EL674" s="65"/>
      <c r="EM674" s="65"/>
      <c r="EN674" s="65"/>
      <c r="EO674" s="65"/>
      <c r="EP674" s="65"/>
      <c r="EQ674" s="65"/>
      <c r="ER674" s="65"/>
      <c r="ES674" s="65"/>
      <c r="ET674" s="65"/>
      <c r="EU674" s="65"/>
      <c r="EV674" s="65"/>
      <c r="EW674" s="65"/>
      <c r="EX674" s="65"/>
      <c r="EY674" s="65"/>
      <c r="EZ674" s="65"/>
      <c r="FA674" s="65"/>
      <c r="FB674" s="65"/>
      <c r="FC674" s="65"/>
      <c r="FD674" s="65"/>
      <c r="FE674" s="65"/>
      <c r="FF674" s="65"/>
      <c r="FG674" s="65"/>
      <c r="FH674" s="65"/>
      <c r="FI674" s="65"/>
      <c r="FJ674" s="65"/>
      <c r="FK674" s="65"/>
      <c r="FL674" s="65"/>
      <c r="FM674" s="65"/>
      <c r="FN674" s="65"/>
      <c r="FO674" s="65"/>
      <c r="FP674" s="65"/>
      <c r="FQ674" s="65"/>
      <c r="FR674" s="65"/>
      <c r="FS674" s="65"/>
      <c r="FT674" s="65"/>
      <c r="FU674" s="65"/>
      <c r="FV674" s="65"/>
      <c r="FW674" s="65"/>
      <c r="FX674" s="65"/>
      <c r="FY674" s="65"/>
      <c r="FZ674" s="65"/>
      <c r="GA674" s="65"/>
      <c r="GB674" s="65"/>
      <c r="GC674" s="65"/>
      <c r="GD674" s="65"/>
      <c r="GE674" s="65"/>
      <c r="GF674" s="65"/>
      <c r="GG674" s="65"/>
      <c r="GH674" s="65"/>
      <c r="GI674" s="65"/>
      <c r="GJ674" s="65"/>
      <c r="GK674" s="65"/>
      <c r="GL674" s="65"/>
      <c r="GM674" s="65"/>
      <c r="GN674" s="65"/>
      <c r="GO674" s="65"/>
      <c r="GP674" s="65"/>
      <c r="GQ674" s="65"/>
      <c r="GR674" s="65"/>
      <c r="GS674" s="65"/>
      <c r="GT674" s="65"/>
      <c r="GU674" s="65"/>
      <c r="GV674" s="65"/>
      <c r="GW674" s="65"/>
      <c r="GX674" s="65"/>
      <c r="GY674" s="65"/>
      <c r="GZ674" s="65"/>
      <c r="HA674" s="65"/>
      <c r="HB674" s="65"/>
      <c r="HC674" s="65"/>
      <c r="HD674" s="65"/>
      <c r="HE674" s="65"/>
      <c r="HF674" s="65"/>
      <c r="HG674" s="65"/>
      <c r="HH674" s="65"/>
      <c r="HI674" s="65"/>
      <c r="HJ674" s="65"/>
      <c r="HK674" s="65"/>
      <c r="HL674" s="65"/>
      <c r="HM674" s="65"/>
      <c r="HN674" s="65"/>
      <c r="HO674" s="65"/>
      <c r="HP674" s="65"/>
      <c r="HQ674" s="65"/>
      <c r="HR674" s="65"/>
      <c r="HS674" s="65"/>
      <c r="HT674" s="65"/>
      <c r="HU674" s="65"/>
      <c r="HV674" s="65"/>
      <c r="HW674" s="65"/>
      <c r="HX674" s="65"/>
      <c r="HY674" s="65"/>
      <c r="HZ674" s="65"/>
      <c r="IA674" s="65"/>
      <c r="IB674" s="65"/>
      <c r="IC674" s="65"/>
      <c r="ID674" s="65"/>
      <c r="IE674" s="65"/>
      <c r="IF674" s="65"/>
      <c r="IG674" s="65"/>
      <c r="IH674" s="65"/>
      <c r="II674" s="65"/>
      <c r="IJ674" s="65"/>
      <c r="IK674" s="65"/>
      <c r="IL674" s="65"/>
      <c r="IM674" s="65"/>
      <c r="IN674" s="65"/>
      <c r="IO674" s="65"/>
      <c r="IP674" s="65"/>
      <c r="IQ674" s="65"/>
      <c r="IR674" s="65"/>
      <c r="IS674" s="65"/>
      <c r="IT674" s="65"/>
      <c r="IU674" s="65"/>
    </row>
    <row r="675" spans="1:255" s="97" customFormat="1" ht="16.5" hidden="1" thickBot="1" x14ac:dyDescent="0.3">
      <c r="A675" s="201" t="s">
        <v>645</v>
      </c>
      <c r="B675" s="86"/>
      <c r="C675" s="174"/>
      <c r="D675" s="83">
        <f t="shared" si="69"/>
        <v>861.43333333333339</v>
      </c>
      <c r="E675" s="84">
        <v>70.832999999999998</v>
      </c>
      <c r="F675" s="72">
        <v>-19.146999999999998</v>
      </c>
      <c r="G675" s="72">
        <v>0</v>
      </c>
      <c r="H675" s="72"/>
      <c r="I675" s="85">
        <v>51.686</v>
      </c>
      <c r="J675" s="149"/>
      <c r="K675" s="65"/>
      <c r="M675" s="110"/>
      <c r="N675" s="65"/>
      <c r="O675" s="65"/>
      <c r="P675" s="65"/>
      <c r="Q675" s="65"/>
      <c r="R675" s="65"/>
      <c r="S675" s="65"/>
      <c r="T675" s="534">
        <f t="shared" si="67"/>
        <v>0.06</v>
      </c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  <c r="DS675" s="65"/>
      <c r="DT675" s="65"/>
      <c r="DU675" s="65"/>
      <c r="DV675" s="65"/>
      <c r="DW675" s="65"/>
      <c r="DX675" s="65"/>
      <c r="DY675" s="65"/>
      <c r="DZ675" s="65"/>
      <c r="EA675" s="65"/>
      <c r="EB675" s="65"/>
      <c r="EC675" s="65"/>
      <c r="ED675" s="65"/>
      <c r="EE675" s="65"/>
      <c r="EF675" s="65"/>
      <c r="EG675" s="65"/>
      <c r="EH675" s="65"/>
      <c r="EI675" s="65"/>
      <c r="EJ675" s="65"/>
      <c r="EK675" s="65"/>
      <c r="EL675" s="65"/>
      <c r="EM675" s="65"/>
      <c r="EN675" s="65"/>
      <c r="EO675" s="65"/>
      <c r="EP675" s="65"/>
      <c r="EQ675" s="65"/>
      <c r="ER675" s="65"/>
      <c r="ES675" s="65"/>
      <c r="ET675" s="65"/>
      <c r="EU675" s="65"/>
      <c r="EV675" s="65"/>
      <c r="EW675" s="65"/>
      <c r="EX675" s="65"/>
      <c r="EY675" s="65"/>
      <c r="EZ675" s="65"/>
      <c r="FA675" s="65"/>
      <c r="FB675" s="65"/>
      <c r="FC675" s="65"/>
      <c r="FD675" s="65"/>
      <c r="FE675" s="65"/>
      <c r="FF675" s="65"/>
      <c r="FG675" s="65"/>
      <c r="FH675" s="65"/>
      <c r="FI675" s="65"/>
      <c r="FJ675" s="65"/>
      <c r="FK675" s="65"/>
      <c r="FL675" s="65"/>
      <c r="FM675" s="65"/>
      <c r="FN675" s="65"/>
      <c r="FO675" s="65"/>
      <c r="FP675" s="65"/>
      <c r="FQ675" s="65"/>
      <c r="FR675" s="65"/>
      <c r="FS675" s="65"/>
      <c r="FT675" s="65"/>
      <c r="FU675" s="65"/>
      <c r="FV675" s="65"/>
      <c r="FW675" s="65"/>
      <c r="FX675" s="65"/>
      <c r="FY675" s="65"/>
      <c r="FZ675" s="65"/>
      <c r="GA675" s="65"/>
      <c r="GB675" s="65"/>
      <c r="GC675" s="65"/>
      <c r="GD675" s="65"/>
      <c r="GE675" s="65"/>
      <c r="GF675" s="65"/>
      <c r="GG675" s="65"/>
      <c r="GH675" s="65"/>
      <c r="GI675" s="65"/>
      <c r="GJ675" s="65"/>
      <c r="GK675" s="65"/>
      <c r="GL675" s="65"/>
      <c r="GM675" s="65"/>
      <c r="GN675" s="65"/>
      <c r="GO675" s="65"/>
      <c r="GP675" s="65"/>
      <c r="GQ675" s="65"/>
      <c r="GR675" s="65"/>
      <c r="GS675" s="65"/>
      <c r="GT675" s="65"/>
      <c r="GU675" s="65"/>
      <c r="GV675" s="65"/>
      <c r="GW675" s="65"/>
      <c r="GX675" s="65"/>
      <c r="GY675" s="65"/>
      <c r="GZ675" s="65"/>
      <c r="HA675" s="65"/>
      <c r="HB675" s="65"/>
      <c r="HC675" s="65"/>
      <c r="HD675" s="65"/>
      <c r="HE675" s="65"/>
      <c r="HF675" s="65"/>
      <c r="HG675" s="65"/>
      <c r="HH675" s="65"/>
      <c r="HI675" s="65"/>
      <c r="HJ675" s="65"/>
      <c r="HK675" s="65"/>
      <c r="HL675" s="65"/>
      <c r="HM675" s="65"/>
      <c r="HN675" s="65"/>
      <c r="HO675" s="65"/>
      <c r="HP675" s="65"/>
      <c r="HQ675" s="65"/>
      <c r="HR675" s="65"/>
      <c r="HS675" s="65"/>
      <c r="HT675" s="65"/>
      <c r="HU675" s="65"/>
      <c r="HV675" s="65"/>
      <c r="HW675" s="65"/>
      <c r="HX675" s="65"/>
      <c r="HY675" s="65"/>
      <c r="HZ675" s="65"/>
      <c r="IA675" s="65"/>
      <c r="IB675" s="65"/>
      <c r="IC675" s="65"/>
      <c r="ID675" s="65"/>
      <c r="IE675" s="65"/>
      <c r="IF675" s="65"/>
      <c r="IG675" s="65"/>
      <c r="IH675" s="65"/>
      <c r="II675" s="65"/>
      <c r="IJ675" s="65"/>
      <c r="IK675" s="65"/>
      <c r="IL675" s="65"/>
      <c r="IM675" s="65"/>
      <c r="IN675" s="65"/>
      <c r="IO675" s="65"/>
      <c r="IP675" s="65"/>
      <c r="IQ675" s="65"/>
      <c r="IR675" s="65"/>
      <c r="IS675" s="65"/>
      <c r="IT675" s="65"/>
      <c r="IU675" s="65"/>
    </row>
    <row r="676" spans="1:255" s="97" customFormat="1" ht="16.5" hidden="1" thickBot="1" x14ac:dyDescent="0.3">
      <c r="A676" s="201" t="s">
        <v>646</v>
      </c>
      <c r="B676" s="86"/>
      <c r="C676" s="174"/>
      <c r="D676" s="83">
        <f t="shared" si="69"/>
        <v>1361.5</v>
      </c>
      <c r="E676" s="84">
        <v>111.351</v>
      </c>
      <c r="F676" s="72">
        <v>-29.661000000000001</v>
      </c>
      <c r="G676" s="72">
        <v>0</v>
      </c>
      <c r="H676" s="72"/>
      <c r="I676" s="85">
        <v>81.69</v>
      </c>
      <c r="J676" s="149"/>
      <c r="K676" s="65"/>
      <c r="M676" s="110"/>
      <c r="N676" s="65"/>
      <c r="O676" s="65"/>
      <c r="P676" s="65"/>
      <c r="Q676" s="65"/>
      <c r="R676" s="65"/>
      <c r="S676" s="65"/>
      <c r="T676" s="534">
        <f t="shared" si="67"/>
        <v>0.06</v>
      </c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  <c r="DS676" s="65"/>
      <c r="DT676" s="65"/>
      <c r="DU676" s="65"/>
      <c r="DV676" s="65"/>
      <c r="DW676" s="65"/>
      <c r="DX676" s="65"/>
      <c r="DY676" s="65"/>
      <c r="DZ676" s="65"/>
      <c r="EA676" s="65"/>
      <c r="EB676" s="65"/>
      <c r="EC676" s="65"/>
      <c r="ED676" s="65"/>
      <c r="EE676" s="65"/>
      <c r="EF676" s="65"/>
      <c r="EG676" s="65"/>
      <c r="EH676" s="65"/>
      <c r="EI676" s="65"/>
      <c r="EJ676" s="65"/>
      <c r="EK676" s="65"/>
      <c r="EL676" s="65"/>
      <c r="EM676" s="65"/>
      <c r="EN676" s="65"/>
      <c r="EO676" s="65"/>
      <c r="EP676" s="65"/>
      <c r="EQ676" s="65"/>
      <c r="ER676" s="65"/>
      <c r="ES676" s="65"/>
      <c r="ET676" s="65"/>
      <c r="EU676" s="65"/>
      <c r="EV676" s="65"/>
      <c r="EW676" s="65"/>
      <c r="EX676" s="65"/>
      <c r="EY676" s="65"/>
      <c r="EZ676" s="65"/>
      <c r="FA676" s="65"/>
      <c r="FB676" s="65"/>
      <c r="FC676" s="65"/>
      <c r="FD676" s="65"/>
      <c r="FE676" s="65"/>
      <c r="FF676" s="65"/>
      <c r="FG676" s="65"/>
      <c r="FH676" s="65"/>
      <c r="FI676" s="65"/>
      <c r="FJ676" s="65"/>
      <c r="FK676" s="65"/>
      <c r="FL676" s="65"/>
      <c r="FM676" s="65"/>
      <c r="FN676" s="65"/>
      <c r="FO676" s="65"/>
      <c r="FP676" s="65"/>
      <c r="FQ676" s="65"/>
      <c r="FR676" s="65"/>
      <c r="FS676" s="65"/>
      <c r="FT676" s="65"/>
      <c r="FU676" s="65"/>
      <c r="FV676" s="65"/>
      <c r="FW676" s="65"/>
      <c r="FX676" s="65"/>
      <c r="FY676" s="65"/>
      <c r="FZ676" s="65"/>
      <c r="GA676" s="65"/>
      <c r="GB676" s="65"/>
      <c r="GC676" s="65"/>
      <c r="GD676" s="65"/>
      <c r="GE676" s="65"/>
      <c r="GF676" s="65"/>
      <c r="GG676" s="65"/>
      <c r="GH676" s="65"/>
      <c r="GI676" s="65"/>
      <c r="GJ676" s="65"/>
      <c r="GK676" s="65"/>
      <c r="GL676" s="65"/>
      <c r="GM676" s="65"/>
      <c r="GN676" s="65"/>
      <c r="GO676" s="65"/>
      <c r="GP676" s="65"/>
      <c r="GQ676" s="65"/>
      <c r="GR676" s="65"/>
      <c r="GS676" s="65"/>
      <c r="GT676" s="65"/>
      <c r="GU676" s="65"/>
      <c r="GV676" s="65"/>
      <c r="GW676" s="65"/>
      <c r="GX676" s="65"/>
      <c r="GY676" s="65"/>
      <c r="GZ676" s="65"/>
      <c r="HA676" s="65"/>
      <c r="HB676" s="65"/>
      <c r="HC676" s="65"/>
      <c r="HD676" s="65"/>
      <c r="HE676" s="65"/>
      <c r="HF676" s="65"/>
      <c r="HG676" s="65"/>
      <c r="HH676" s="65"/>
      <c r="HI676" s="65"/>
      <c r="HJ676" s="65"/>
      <c r="HK676" s="65"/>
      <c r="HL676" s="65"/>
      <c r="HM676" s="65"/>
      <c r="HN676" s="65"/>
      <c r="HO676" s="65"/>
      <c r="HP676" s="65"/>
      <c r="HQ676" s="65"/>
      <c r="HR676" s="65"/>
      <c r="HS676" s="65"/>
      <c r="HT676" s="65"/>
      <c r="HU676" s="65"/>
      <c r="HV676" s="65"/>
      <c r="HW676" s="65"/>
      <c r="HX676" s="65"/>
      <c r="HY676" s="65"/>
      <c r="HZ676" s="65"/>
      <c r="IA676" s="65"/>
      <c r="IB676" s="65"/>
      <c r="IC676" s="65"/>
      <c r="ID676" s="65"/>
      <c r="IE676" s="65"/>
      <c r="IF676" s="65"/>
      <c r="IG676" s="65"/>
      <c r="IH676" s="65"/>
      <c r="II676" s="65"/>
      <c r="IJ676" s="65"/>
      <c r="IK676" s="65"/>
      <c r="IL676" s="65"/>
      <c r="IM676" s="65"/>
      <c r="IN676" s="65"/>
      <c r="IO676" s="65"/>
      <c r="IP676" s="65"/>
      <c r="IQ676" s="65"/>
      <c r="IR676" s="65"/>
      <c r="IS676" s="65"/>
      <c r="IT676" s="65"/>
      <c r="IU676" s="65"/>
    </row>
    <row r="677" spans="1:255" s="65" customFormat="1" ht="15.75" hidden="1" customHeight="1" x14ac:dyDescent="0.25">
      <c r="A677" s="201" t="s">
        <v>647</v>
      </c>
      <c r="B677" s="86"/>
      <c r="C677" s="174"/>
      <c r="D677" s="83">
        <f t="shared" si="69"/>
        <v>698.30000000000007</v>
      </c>
      <c r="E677" s="84">
        <v>46.862000000000002</v>
      </c>
      <c r="F677" s="72">
        <v>-4.9640000000000004</v>
      </c>
      <c r="G677" s="72">
        <v>0</v>
      </c>
      <c r="H677" s="72"/>
      <c r="I677" s="85">
        <v>41.898000000000003</v>
      </c>
      <c r="J677" s="149"/>
      <c r="M677" s="110"/>
      <c r="T677" s="534">
        <f t="shared" si="67"/>
        <v>0.06</v>
      </c>
    </row>
    <row r="678" spans="1:255" s="65" customFormat="1" ht="18" hidden="1" customHeight="1" x14ac:dyDescent="0.25">
      <c r="A678" s="201" t="s">
        <v>648</v>
      </c>
      <c r="B678" s="86"/>
      <c r="C678" s="174"/>
      <c r="D678" s="83">
        <f t="shared" si="69"/>
        <v>1605.4333333333336</v>
      </c>
      <c r="E678" s="84">
        <v>115.105</v>
      </c>
      <c r="F678" s="72">
        <v>-18.779</v>
      </c>
      <c r="G678" s="72">
        <v>0</v>
      </c>
      <c r="H678" s="72"/>
      <c r="I678" s="85">
        <v>96.326000000000008</v>
      </c>
      <c r="J678" s="149"/>
      <c r="M678" s="110"/>
      <c r="T678" s="534">
        <f t="shared" si="67"/>
        <v>5.9999999999999991E-2</v>
      </c>
    </row>
    <row r="679" spans="1:255" s="65" customFormat="1" ht="18" hidden="1" customHeight="1" x14ac:dyDescent="0.25">
      <c r="A679" s="201" t="s">
        <v>649</v>
      </c>
      <c r="B679" s="86">
        <v>37098</v>
      </c>
      <c r="C679" s="174" t="s">
        <v>604</v>
      </c>
      <c r="D679" s="91">
        <f>I679/0.03</f>
        <v>1619.5333333333333</v>
      </c>
      <c r="E679" s="84">
        <v>66.382999999999996</v>
      </c>
      <c r="F679" s="72">
        <v>-17.797000000000001</v>
      </c>
      <c r="G679" s="72"/>
      <c r="H679" s="72"/>
      <c r="I679" s="85">
        <f>SUM(E679:H679)</f>
        <v>48.585999999999999</v>
      </c>
      <c r="J679" s="149"/>
      <c r="M679" s="110"/>
      <c r="T679" s="534">
        <f t="shared" si="67"/>
        <v>0.03</v>
      </c>
    </row>
    <row r="680" spans="1:255" s="65" customFormat="1" ht="5.0999999999999996" hidden="1" customHeight="1" thickBot="1" x14ac:dyDescent="0.3">
      <c r="A680" s="209"/>
      <c r="B680" s="204"/>
      <c r="C680" s="196"/>
      <c r="D680" s="222"/>
      <c r="E680" s="198"/>
      <c r="F680" s="199"/>
      <c r="G680" s="199"/>
      <c r="H680" s="199"/>
      <c r="I680" s="200"/>
      <c r="J680" s="149"/>
      <c r="M680" s="110"/>
      <c r="T680" s="534" t="str">
        <f t="shared" si="67"/>
        <v/>
      </c>
    </row>
    <row r="681" spans="1:255" s="65" customFormat="1" ht="18" customHeight="1" x14ac:dyDescent="0.25">
      <c r="A681" s="181" t="s">
        <v>650</v>
      </c>
      <c r="B681" s="180"/>
      <c r="C681" s="171"/>
      <c r="D681" s="223">
        <f>D432+D473</f>
        <v>537950.90000000026</v>
      </c>
      <c r="E681" s="224">
        <f>E432+E473</f>
        <v>22084.819000000003</v>
      </c>
      <c r="F681" s="225">
        <f>F432+F473</f>
        <v>-5910.2169999999987</v>
      </c>
      <c r="G681" s="225">
        <f>G432+G473</f>
        <v>0</v>
      </c>
      <c r="H681" s="225">
        <f>+H306+H432+H473</f>
        <v>0</v>
      </c>
      <c r="I681" s="189">
        <f>I432+I473</f>
        <v>16174.601999999997</v>
      </c>
      <c r="J681" s="149"/>
      <c r="M681" s="110"/>
      <c r="T681" s="534">
        <f t="shared" si="67"/>
        <v>3.0067060023507702E-2</v>
      </c>
    </row>
    <row r="682" spans="1:255" s="65" customFormat="1" ht="18" customHeight="1" x14ac:dyDescent="0.25">
      <c r="A682" s="190"/>
      <c r="B682" s="191"/>
      <c r="C682" s="171"/>
      <c r="D682" s="83"/>
      <c r="E682" s="84"/>
      <c r="F682" s="72"/>
      <c r="G682" s="72"/>
      <c r="H682" s="72"/>
      <c r="I682" s="85"/>
      <c r="J682" s="149"/>
      <c r="M682" s="339"/>
      <c r="N682" s="340"/>
      <c r="T682" s="534" t="str">
        <f t="shared" si="67"/>
        <v/>
      </c>
    </row>
    <row r="683" spans="1:255" s="184" customFormat="1" ht="15.75" x14ac:dyDescent="0.25">
      <c r="A683" s="226" t="s">
        <v>651</v>
      </c>
      <c r="B683" s="192"/>
      <c r="C683" s="149"/>
      <c r="D683" s="83"/>
      <c r="E683" s="84"/>
      <c r="F683" s="72"/>
      <c r="G683" s="72"/>
      <c r="H683" s="72"/>
      <c r="I683" s="85"/>
      <c r="J683" s="352"/>
      <c r="K683" s="88"/>
      <c r="M683" s="110"/>
      <c r="N683" s="88"/>
      <c r="O683" s="88"/>
      <c r="P683" s="88"/>
      <c r="Q683" s="88"/>
      <c r="R683" s="88"/>
      <c r="S683" s="88"/>
      <c r="T683" s="534" t="str">
        <f t="shared" si="67"/>
        <v/>
      </c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  <c r="BR683" s="88"/>
      <c r="BS683" s="88"/>
      <c r="BT683" s="88"/>
      <c r="BU683" s="88"/>
    </row>
    <row r="684" spans="1:255" s="65" customFormat="1" ht="5.0999999999999996" customHeight="1" x14ac:dyDescent="0.25">
      <c r="A684" s="193"/>
      <c r="B684" s="192"/>
      <c r="C684" s="149"/>
      <c r="D684" s="83"/>
      <c r="E684" s="84"/>
      <c r="F684" s="72"/>
      <c r="G684" s="72"/>
      <c r="H684" s="72"/>
      <c r="I684" s="85"/>
      <c r="J684" s="149"/>
      <c r="M684" s="110"/>
      <c r="T684" s="534" t="str">
        <f t="shared" si="67"/>
        <v/>
      </c>
    </row>
    <row r="685" spans="1:255" s="65" customFormat="1" ht="18" x14ac:dyDescent="0.25">
      <c r="A685" s="104" t="s">
        <v>652</v>
      </c>
      <c r="B685" s="59"/>
      <c r="C685" s="163"/>
      <c r="D685" s="61">
        <f>I685/0.06</f>
        <v>35.050000000000004</v>
      </c>
      <c r="E685" s="63">
        <f>2528/1000</f>
        <v>2.528</v>
      </c>
      <c r="F685" s="63">
        <v>-0.42499999999999999</v>
      </c>
      <c r="G685" s="63">
        <v>0</v>
      </c>
      <c r="H685" s="63"/>
      <c r="I685" s="64">
        <f>SUM(E685:G685)</f>
        <v>2.1030000000000002</v>
      </c>
      <c r="J685" s="149" t="s">
        <v>653</v>
      </c>
      <c r="M685" s="110"/>
      <c r="T685" s="534">
        <f t="shared" si="67"/>
        <v>0.06</v>
      </c>
    </row>
    <row r="686" spans="1:255" s="65" customFormat="1" ht="15.75" x14ac:dyDescent="0.25">
      <c r="A686" s="128" t="s">
        <v>654</v>
      </c>
      <c r="B686" s="227"/>
      <c r="C686" s="186"/>
      <c r="D686" s="76"/>
      <c r="E686" s="77">
        <v>0</v>
      </c>
      <c r="F686" s="78">
        <f>(-886-351-145-472-2158-884)/1000</f>
        <v>-4.8959999999999999</v>
      </c>
      <c r="G686" s="78">
        <v>0</v>
      </c>
      <c r="H686" s="78">
        <v>0</v>
      </c>
      <c r="I686" s="79">
        <f>SUM(E686:H686)</f>
        <v>-4.8959999999999999</v>
      </c>
      <c r="J686" s="149"/>
      <c r="M686" s="110"/>
      <c r="T686" s="534" t="str">
        <f t="shared" si="67"/>
        <v/>
      </c>
    </row>
    <row r="687" spans="1:255" s="65" customFormat="1" ht="16.5" thickBot="1" x14ac:dyDescent="0.3">
      <c r="A687" s="111" t="s">
        <v>655</v>
      </c>
      <c r="B687" s="228"/>
      <c r="C687" s="158" t="s">
        <v>653</v>
      </c>
      <c r="D687" s="229">
        <f>I687/0.04</f>
        <v>105017.97500000001</v>
      </c>
      <c r="E687" s="122">
        <v>4200.7190000000001</v>
      </c>
      <c r="F687" s="123">
        <v>0</v>
      </c>
      <c r="G687" s="123">
        <v>0</v>
      </c>
      <c r="H687" s="123">
        <v>0</v>
      </c>
      <c r="I687" s="124">
        <f>SUM(E687:H687)</f>
        <v>4200.7190000000001</v>
      </c>
      <c r="J687" s="149" t="s">
        <v>18</v>
      </c>
      <c r="M687" s="110"/>
      <c r="T687" s="534">
        <f t="shared" si="67"/>
        <v>0.04</v>
      </c>
    </row>
    <row r="688" spans="1:255" s="65" customFormat="1" ht="15.75" x14ac:dyDescent="0.25">
      <c r="A688" s="181" t="s">
        <v>656</v>
      </c>
      <c r="B688" s="180"/>
      <c r="C688" s="171"/>
      <c r="D688" s="223">
        <f t="shared" ref="D688:I688" si="70">SUM(D683:D687)</f>
        <v>105053.02500000001</v>
      </c>
      <c r="E688" s="84">
        <f t="shared" si="70"/>
        <v>4203.2470000000003</v>
      </c>
      <c r="F688" s="72">
        <f t="shared" si="70"/>
        <v>-5.3209999999999997</v>
      </c>
      <c r="G688" s="72">
        <f t="shared" si="70"/>
        <v>0</v>
      </c>
      <c r="H688" s="72">
        <f t="shared" si="70"/>
        <v>0</v>
      </c>
      <c r="I688" s="85">
        <f t="shared" si="70"/>
        <v>4197.9260000000004</v>
      </c>
      <c r="J688" s="149"/>
      <c r="M688" s="110"/>
      <c r="T688" s="534">
        <f t="shared" si="67"/>
        <v>3.996006778481629E-2</v>
      </c>
    </row>
    <row r="689" spans="1:73" s="65" customFormat="1" ht="15.75" x14ac:dyDescent="0.25">
      <c r="A689" s="181"/>
      <c r="B689" s="180"/>
      <c r="C689" s="171"/>
      <c r="D689" s="83"/>
      <c r="E689" s="84"/>
      <c r="F689" s="72"/>
      <c r="G689" s="72"/>
      <c r="H689" s="72"/>
      <c r="I689" s="85"/>
      <c r="J689" s="149"/>
      <c r="M689" s="110"/>
      <c r="T689" s="534" t="str">
        <f t="shared" si="67"/>
        <v/>
      </c>
    </row>
    <row r="690" spans="1:73" s="65" customFormat="1" ht="15.75" x14ac:dyDescent="0.25">
      <c r="A690" s="226" t="s">
        <v>657</v>
      </c>
      <c r="B690" s="180"/>
      <c r="C690" s="171"/>
      <c r="D690" s="83"/>
      <c r="E690" s="84"/>
      <c r="F690" s="72"/>
      <c r="G690" s="72"/>
      <c r="H690" s="72"/>
      <c r="I690" s="85"/>
      <c r="J690" s="149" t="s">
        <v>18</v>
      </c>
      <c r="M690" s="110"/>
      <c r="T690" s="534" t="str">
        <f t="shared" si="67"/>
        <v/>
      </c>
    </row>
    <row r="691" spans="1:73" s="65" customFormat="1" ht="15.75" x14ac:dyDescent="0.25">
      <c r="A691" s="230" t="s">
        <v>658</v>
      </c>
      <c r="B691" s="180"/>
      <c r="C691" s="171"/>
      <c r="D691" s="83">
        <f>I691/0.04</f>
        <v>763.6</v>
      </c>
      <c r="E691" s="84">
        <v>30.544</v>
      </c>
      <c r="F691" s="72">
        <v>0</v>
      </c>
      <c r="G691" s="72">
        <v>0</v>
      </c>
      <c r="H691" s="72"/>
      <c r="I691" s="85">
        <f>SUM(E691:H691)</f>
        <v>30.544</v>
      </c>
      <c r="J691" s="149"/>
      <c r="M691" s="110"/>
      <c r="T691" s="534">
        <f t="shared" si="67"/>
        <v>0.04</v>
      </c>
    </row>
    <row r="692" spans="1:73" s="65" customFormat="1" ht="15.75" x14ac:dyDescent="0.25">
      <c r="A692" s="231" t="s">
        <v>659</v>
      </c>
      <c r="B692" s="232"/>
      <c r="C692" s="212"/>
      <c r="D692" s="233"/>
      <c r="E692" s="234">
        <f>-(122.986+0.266)</f>
        <v>-123.25200000000001</v>
      </c>
      <c r="F692" s="235">
        <v>0</v>
      </c>
      <c r="G692" s="235">
        <v>0</v>
      </c>
      <c r="H692" s="235"/>
      <c r="I692" s="236">
        <f>SUM(E692:H692)</f>
        <v>-123.25200000000001</v>
      </c>
      <c r="J692" s="149"/>
      <c r="M692" s="110"/>
      <c r="T692" s="534" t="str">
        <f t="shared" si="67"/>
        <v/>
      </c>
    </row>
    <row r="693" spans="1:73" s="65" customFormat="1" ht="15.75" x14ac:dyDescent="0.25">
      <c r="A693" s="181" t="s">
        <v>660</v>
      </c>
      <c r="B693" s="180"/>
      <c r="C693" s="171"/>
      <c r="D693" s="83">
        <f t="shared" ref="D693:I693" si="71">SUM(D691:D692)</f>
        <v>763.6</v>
      </c>
      <c r="E693" s="84">
        <f t="shared" si="71"/>
        <v>-92.708000000000013</v>
      </c>
      <c r="F693" s="72">
        <f t="shared" si="71"/>
        <v>0</v>
      </c>
      <c r="G693" s="72">
        <f t="shared" si="71"/>
        <v>0</v>
      </c>
      <c r="H693" s="72">
        <f t="shared" si="71"/>
        <v>0</v>
      </c>
      <c r="I693" s="85">
        <f t="shared" si="71"/>
        <v>-92.708000000000013</v>
      </c>
      <c r="J693" s="149"/>
      <c r="M693" s="110"/>
      <c r="T693" s="534">
        <f t="shared" si="67"/>
        <v>-0.12140911471974858</v>
      </c>
    </row>
    <row r="694" spans="1:73" s="184" customFormat="1" ht="15.75" x14ac:dyDescent="0.25">
      <c r="A694" s="181"/>
      <c r="B694" s="180"/>
      <c r="C694" s="171"/>
      <c r="D694" s="83"/>
      <c r="E694" s="84"/>
      <c r="F694" s="72"/>
      <c r="G694" s="72"/>
      <c r="H694" s="72"/>
      <c r="I694" s="85"/>
      <c r="J694" s="149"/>
      <c r="K694" s="88"/>
      <c r="M694" s="110"/>
      <c r="N694" s="88"/>
      <c r="O694" s="88"/>
      <c r="P694" s="88"/>
      <c r="Q694" s="88"/>
      <c r="R694" s="88"/>
      <c r="S694" s="88"/>
      <c r="T694" s="534" t="str">
        <f t="shared" si="67"/>
        <v/>
      </c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  <c r="BR694" s="88"/>
      <c r="BS694" s="88"/>
      <c r="BT694" s="88"/>
      <c r="BU694" s="88"/>
    </row>
    <row r="695" spans="1:73" s="184" customFormat="1" ht="15.75" x14ac:dyDescent="0.25">
      <c r="A695" s="226" t="s">
        <v>661</v>
      </c>
      <c r="B695" s="191"/>
      <c r="C695" s="171"/>
      <c r="D695" s="83"/>
      <c r="E695" s="84"/>
      <c r="F695" s="72"/>
      <c r="G695" s="72"/>
      <c r="H695" s="72"/>
      <c r="I695" s="85"/>
      <c r="J695" s="149"/>
      <c r="K695" s="88"/>
      <c r="M695" s="110"/>
      <c r="N695" s="88"/>
      <c r="O695" s="88"/>
      <c r="P695" s="88"/>
      <c r="Q695" s="88"/>
      <c r="R695" s="88"/>
      <c r="S695" s="88"/>
      <c r="T695" s="534" t="str">
        <f t="shared" si="67"/>
        <v/>
      </c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  <c r="BR695" s="88"/>
      <c r="BS695" s="88"/>
      <c r="BT695" s="88"/>
      <c r="BU695" s="88"/>
    </row>
    <row r="696" spans="1:73" s="184" customFormat="1" ht="15.75" x14ac:dyDescent="0.25">
      <c r="A696" s="111" t="s">
        <v>662</v>
      </c>
      <c r="B696" s="228"/>
      <c r="C696" s="174"/>
      <c r="D696" s="83">
        <v>0</v>
      </c>
      <c r="E696" s="84">
        <v>0</v>
      </c>
      <c r="F696" s="72">
        <v>0</v>
      </c>
      <c r="G696" s="72">
        <v>0</v>
      </c>
      <c r="H696" s="72">
        <v>0</v>
      </c>
      <c r="I696" s="85">
        <f>SUM(E696:H696)</f>
        <v>0</v>
      </c>
      <c r="J696" s="149" t="s">
        <v>18</v>
      </c>
      <c r="K696" s="88"/>
      <c r="M696" s="110"/>
      <c r="N696" s="88"/>
      <c r="O696" s="88"/>
      <c r="P696" s="88"/>
      <c r="Q696" s="88"/>
      <c r="R696" s="88"/>
      <c r="S696" s="88"/>
      <c r="T696" s="534" t="str">
        <f t="shared" si="67"/>
        <v/>
      </c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  <c r="BR696" s="88"/>
      <c r="BS696" s="88"/>
      <c r="BT696" s="88"/>
      <c r="BU696" s="88"/>
    </row>
    <row r="697" spans="1:73" s="184" customFormat="1" ht="15.75" x14ac:dyDescent="0.25">
      <c r="A697" s="111" t="s">
        <v>663</v>
      </c>
      <c r="B697" s="228"/>
      <c r="C697" s="174"/>
      <c r="D697" s="83">
        <v>0</v>
      </c>
      <c r="E697" s="84">
        <v>1.373</v>
      </c>
      <c r="F697" s="72">
        <v>0</v>
      </c>
      <c r="G697" s="72">
        <v>0</v>
      </c>
      <c r="H697" s="72">
        <v>0</v>
      </c>
      <c r="I697" s="85">
        <f>SUM(E697:H697)</f>
        <v>1.373</v>
      </c>
      <c r="J697" s="149" t="s">
        <v>18</v>
      </c>
      <c r="K697" s="88"/>
      <c r="M697" s="110"/>
      <c r="N697" s="88"/>
      <c r="O697" s="88"/>
      <c r="P697" s="88"/>
      <c r="Q697" s="88"/>
      <c r="R697" s="88"/>
      <c r="S697" s="88"/>
      <c r="T697" s="534" t="str">
        <f t="shared" si="67"/>
        <v/>
      </c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  <c r="BR697" s="88"/>
      <c r="BS697" s="88"/>
      <c r="BT697" s="88"/>
      <c r="BU697" s="88"/>
    </row>
    <row r="698" spans="1:73" s="184" customFormat="1" ht="15.75" x14ac:dyDescent="0.25">
      <c r="A698" s="111" t="s">
        <v>664</v>
      </c>
      <c r="B698" s="228"/>
      <c r="C698" s="174"/>
      <c r="D698" s="83">
        <v>0</v>
      </c>
      <c r="E698" s="84">
        <v>-5.5670000000000002</v>
      </c>
      <c r="F698" s="72">
        <v>0</v>
      </c>
      <c r="G698" s="72">
        <v>0</v>
      </c>
      <c r="H698" s="72">
        <v>0</v>
      </c>
      <c r="I698" s="85">
        <f>SUM(E698:H698)</f>
        <v>-5.5670000000000002</v>
      </c>
      <c r="J698" s="149" t="s">
        <v>18</v>
      </c>
      <c r="K698" s="88"/>
      <c r="M698" s="110"/>
      <c r="N698" s="88"/>
      <c r="O698" s="88"/>
      <c r="P698" s="88"/>
      <c r="Q698" s="88"/>
      <c r="R698" s="88"/>
      <c r="S698" s="88"/>
      <c r="T698" s="534" t="str">
        <f t="shared" si="67"/>
        <v/>
      </c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  <c r="BR698" s="88"/>
      <c r="BS698" s="88"/>
      <c r="BT698" s="88"/>
      <c r="BU698" s="88"/>
    </row>
    <row r="699" spans="1:73" s="65" customFormat="1" ht="15.75" x14ac:dyDescent="0.25">
      <c r="A699" s="128" t="s">
        <v>665</v>
      </c>
      <c r="B699" s="129"/>
      <c r="C699" s="130"/>
      <c r="D699" s="76">
        <v>0</v>
      </c>
      <c r="E699" s="77">
        <v>734.55200000000002</v>
      </c>
      <c r="F699" s="78">
        <v>0</v>
      </c>
      <c r="G699" s="78">
        <v>0</v>
      </c>
      <c r="H699" s="78">
        <v>0</v>
      </c>
      <c r="I699" s="79">
        <f>SUM(E699:H699)</f>
        <v>734.55200000000002</v>
      </c>
      <c r="J699" s="149" t="s">
        <v>18</v>
      </c>
      <c r="M699" s="110"/>
      <c r="T699" s="534" t="str">
        <f t="shared" si="67"/>
        <v/>
      </c>
    </row>
    <row r="700" spans="1:73" s="65" customFormat="1" ht="15.75" x14ac:dyDescent="0.25">
      <c r="A700" s="128" t="s">
        <v>666</v>
      </c>
      <c r="B700" s="129"/>
      <c r="C700" s="130"/>
      <c r="D700" s="76">
        <v>0</v>
      </c>
      <c r="E700" s="77">
        <v>-734.55200000000002</v>
      </c>
      <c r="F700" s="78">
        <v>0</v>
      </c>
      <c r="G700" s="78">
        <v>0</v>
      </c>
      <c r="H700" s="78">
        <v>0</v>
      </c>
      <c r="I700" s="79">
        <f t="shared" ref="I700:I707" si="72">SUM(E700:H700)</f>
        <v>-734.55200000000002</v>
      </c>
      <c r="J700" s="149" t="s">
        <v>18</v>
      </c>
      <c r="M700" s="110"/>
      <c r="T700" s="534" t="str">
        <f t="shared" si="67"/>
        <v/>
      </c>
    </row>
    <row r="701" spans="1:73" s="65" customFormat="1" ht="15.75" x14ac:dyDescent="0.25">
      <c r="A701" s="131" t="s">
        <v>667</v>
      </c>
      <c r="B701" s="129"/>
      <c r="C701" s="130"/>
      <c r="D701" s="76">
        <v>0</v>
      </c>
      <c r="E701" s="77">
        <v>-4.7439999999999998</v>
      </c>
      <c r="F701" s="78">
        <v>0</v>
      </c>
      <c r="G701" s="78">
        <v>0</v>
      </c>
      <c r="H701" s="78">
        <v>0</v>
      </c>
      <c r="I701" s="79">
        <f t="shared" si="72"/>
        <v>-4.7439999999999998</v>
      </c>
      <c r="J701" s="149" t="s">
        <v>18</v>
      </c>
      <c r="M701" s="110"/>
      <c r="T701" s="534" t="str">
        <f t="shared" si="67"/>
        <v/>
      </c>
    </row>
    <row r="702" spans="1:73" s="65" customFormat="1" ht="15.75" x14ac:dyDescent="0.25">
      <c r="A702" s="131" t="s">
        <v>668</v>
      </c>
      <c r="B702" s="129"/>
      <c r="C702" s="130"/>
      <c r="D702" s="76">
        <v>0</v>
      </c>
      <c r="E702" s="77">
        <v>-19.183</v>
      </c>
      <c r="F702" s="78">
        <v>0</v>
      </c>
      <c r="G702" s="78">
        <v>0</v>
      </c>
      <c r="H702" s="78">
        <v>0</v>
      </c>
      <c r="I702" s="79">
        <f t="shared" si="72"/>
        <v>-19.183</v>
      </c>
      <c r="J702" s="149" t="s">
        <v>18</v>
      </c>
      <c r="M702" s="110"/>
      <c r="T702" s="534" t="str">
        <f t="shared" si="67"/>
        <v/>
      </c>
    </row>
    <row r="703" spans="1:73" s="65" customFormat="1" ht="15.75" x14ac:dyDescent="0.25">
      <c r="A703" s="131" t="s">
        <v>669</v>
      </c>
      <c r="B703" s="129"/>
      <c r="C703" s="130"/>
      <c r="D703" s="76">
        <v>0</v>
      </c>
      <c r="E703" s="77">
        <v>-42.512999999999998</v>
      </c>
      <c r="F703" s="78">
        <v>0</v>
      </c>
      <c r="G703" s="78">
        <v>0</v>
      </c>
      <c r="H703" s="78">
        <v>0</v>
      </c>
      <c r="I703" s="79">
        <f t="shared" si="72"/>
        <v>-42.512999999999998</v>
      </c>
      <c r="J703" s="149" t="s">
        <v>18</v>
      </c>
      <c r="M703" s="110"/>
      <c r="T703" s="534" t="str">
        <f t="shared" si="67"/>
        <v/>
      </c>
    </row>
    <row r="704" spans="1:73" s="65" customFormat="1" ht="15.75" x14ac:dyDescent="0.25">
      <c r="A704" s="131" t="s">
        <v>670</v>
      </c>
      <c r="B704" s="129"/>
      <c r="C704" s="130"/>
      <c r="D704" s="76">
        <v>0</v>
      </c>
      <c r="E704" s="77">
        <v>-17.067599999999999</v>
      </c>
      <c r="F704" s="78">
        <v>0</v>
      </c>
      <c r="G704" s="78">
        <v>0</v>
      </c>
      <c r="H704" s="78">
        <v>0</v>
      </c>
      <c r="I704" s="79">
        <f t="shared" si="72"/>
        <v>-17.067599999999999</v>
      </c>
      <c r="J704" s="149" t="s">
        <v>18</v>
      </c>
      <c r="M704" s="110"/>
      <c r="T704" s="534" t="str">
        <f t="shared" si="67"/>
        <v/>
      </c>
    </row>
    <row r="705" spans="1:20" s="65" customFormat="1" ht="15.75" x14ac:dyDescent="0.25">
      <c r="A705" s="131" t="s">
        <v>671</v>
      </c>
      <c r="B705" s="129"/>
      <c r="C705" s="130"/>
      <c r="D705" s="76">
        <v>0</v>
      </c>
      <c r="E705" s="77">
        <v>-27.482099999999999</v>
      </c>
      <c r="F705" s="78">
        <v>0</v>
      </c>
      <c r="G705" s="78">
        <v>0</v>
      </c>
      <c r="H705" s="78">
        <v>0</v>
      </c>
      <c r="I705" s="79">
        <f t="shared" si="72"/>
        <v>-27.482099999999999</v>
      </c>
      <c r="J705" s="149" t="s">
        <v>18</v>
      </c>
      <c r="M705" s="110"/>
      <c r="T705" s="534" t="str">
        <f t="shared" si="67"/>
        <v/>
      </c>
    </row>
    <row r="706" spans="1:20" s="65" customFormat="1" ht="15.75" x14ac:dyDescent="0.25">
      <c r="A706" s="131" t="s">
        <v>672</v>
      </c>
      <c r="B706" s="129"/>
      <c r="C706" s="130"/>
      <c r="D706" s="76">
        <v>0</v>
      </c>
      <c r="E706" s="77">
        <f>214.107-213.511</f>
        <v>0.59600000000000364</v>
      </c>
      <c r="F706" s="78">
        <v>0</v>
      </c>
      <c r="G706" s="78">
        <v>0</v>
      </c>
      <c r="H706" s="78">
        <v>0</v>
      </c>
      <c r="I706" s="79">
        <f t="shared" si="72"/>
        <v>0.59600000000000364</v>
      </c>
      <c r="J706" s="149" t="s">
        <v>18</v>
      </c>
      <c r="M706" s="110"/>
      <c r="T706" s="534" t="str">
        <f t="shared" si="67"/>
        <v/>
      </c>
    </row>
    <row r="707" spans="1:20" s="65" customFormat="1" ht="15.75" x14ac:dyDescent="0.25">
      <c r="A707" s="131" t="s">
        <v>673</v>
      </c>
      <c r="B707" s="129"/>
      <c r="C707" s="130"/>
      <c r="D707" s="76">
        <v>0</v>
      </c>
      <c r="E707" s="77">
        <v>-15.3261</v>
      </c>
      <c r="F707" s="78">
        <v>0</v>
      </c>
      <c r="G707" s="78">
        <v>0</v>
      </c>
      <c r="H707" s="78">
        <v>0</v>
      </c>
      <c r="I707" s="79">
        <f t="shared" si="72"/>
        <v>-15.3261</v>
      </c>
      <c r="J707" s="149" t="s">
        <v>18</v>
      </c>
      <c r="M707" s="110"/>
      <c r="T707" s="534" t="str">
        <f t="shared" si="67"/>
        <v/>
      </c>
    </row>
    <row r="708" spans="1:20" s="146" customFormat="1" ht="18.75" thickBot="1" x14ac:dyDescent="0.3">
      <c r="A708" s="169"/>
      <c r="B708" s="237"/>
      <c r="C708" s="171"/>
      <c r="D708" s="238"/>
      <c r="E708" s="239"/>
      <c r="F708" s="240"/>
      <c r="G708" s="240"/>
      <c r="H708" s="240"/>
      <c r="I708" s="241"/>
      <c r="J708" s="348"/>
      <c r="T708" s="535"/>
    </row>
    <row r="709" spans="1:20" s="146" customFormat="1" ht="18" x14ac:dyDescent="0.25">
      <c r="A709" s="242" t="s">
        <v>674</v>
      </c>
      <c r="B709" s="243"/>
      <c r="C709" s="244"/>
      <c r="D709" s="245">
        <f t="shared" ref="D709:I709" si="73">D222+D263+D681+D418+D428+D688+D693+D696+D697+D698+D699+D700+D701+D702+D703+D704+D705+D706+D707</f>
        <v>907090.21008721844</v>
      </c>
      <c r="E709" s="143">
        <f t="shared" si="73"/>
        <v>38091.9882</v>
      </c>
      <c r="F709" s="144">
        <f t="shared" si="73"/>
        <v>-9112.4149999999954</v>
      </c>
      <c r="G709" s="144">
        <f t="shared" si="73"/>
        <v>0</v>
      </c>
      <c r="H709" s="144">
        <f t="shared" si="73"/>
        <v>0</v>
      </c>
      <c r="I709" s="145">
        <f t="shared" si="73"/>
        <v>28979.573199999995</v>
      </c>
      <c r="J709" s="348"/>
      <c r="T709" s="535"/>
    </row>
    <row r="710" spans="1:20" s="146" customFormat="1" ht="18" x14ac:dyDescent="0.25">
      <c r="A710" s="169"/>
      <c r="B710" s="243"/>
      <c r="C710" s="244"/>
      <c r="D710" s="142"/>
      <c r="E710" s="143"/>
      <c r="F710" s="144"/>
      <c r="G710" s="144"/>
      <c r="H710" s="144"/>
      <c r="I710" s="145"/>
      <c r="J710" s="348"/>
      <c r="K710" s="246"/>
      <c r="M710" s="246"/>
      <c r="N710" s="246"/>
      <c r="O710" s="246"/>
      <c r="P710" s="246"/>
      <c r="Q710" s="246"/>
      <c r="T710" s="536"/>
    </row>
    <row r="711" spans="1:20" s="146" customFormat="1" ht="18" x14ac:dyDescent="0.25">
      <c r="A711" s="169"/>
      <c r="B711" s="192"/>
      <c r="C711" s="244"/>
      <c r="D711" s="142"/>
      <c r="E711" s="143"/>
      <c r="F711" s="144"/>
      <c r="G711" s="144"/>
      <c r="H711" s="144"/>
      <c r="I711" s="145"/>
      <c r="J711" s="348"/>
      <c r="K711" s="246"/>
      <c r="M711" s="246"/>
      <c r="N711" s="246"/>
      <c r="O711" s="246"/>
      <c r="P711" s="246"/>
      <c r="Q711" s="246"/>
      <c r="T711" s="536"/>
    </row>
    <row r="712" spans="1:20" s="65" customFormat="1" ht="18" x14ac:dyDescent="0.25">
      <c r="A712" s="169"/>
      <c r="B712" s="228"/>
      <c r="C712" s="244"/>
      <c r="D712" s="83"/>
      <c r="E712" s="175"/>
      <c r="F712" s="247"/>
      <c r="G712" s="247"/>
      <c r="H712" s="247"/>
      <c r="I712" s="248"/>
      <c r="J712" s="149"/>
      <c r="T712" s="537"/>
    </row>
    <row r="713" spans="1:20" s="65" customFormat="1" ht="18" x14ac:dyDescent="0.25">
      <c r="A713" s="249"/>
      <c r="B713" s="228"/>
      <c r="C713" s="244"/>
      <c r="D713" s="83"/>
      <c r="E713" s="175"/>
      <c r="F713" s="247"/>
      <c r="G713" s="247"/>
      <c r="H713" s="247"/>
      <c r="I713" s="248"/>
      <c r="J713" s="149"/>
      <c r="T713" s="537"/>
    </row>
    <row r="714" spans="1:20" s="65" customFormat="1" ht="18" x14ac:dyDescent="0.25">
      <c r="A714" s="181" t="s">
        <v>675</v>
      </c>
      <c r="B714" s="180"/>
      <c r="C714" s="171"/>
      <c r="D714" s="250">
        <f>SUM(D712:D712)</f>
        <v>0</v>
      </c>
      <c r="E714" s="224">
        <f>SUM(E712:E713)</f>
        <v>0</v>
      </c>
      <c r="F714" s="225">
        <f>SUM(F712:F713)</f>
        <v>0</v>
      </c>
      <c r="G714" s="225">
        <f>SUM(G712:G713)</f>
        <v>0</v>
      </c>
      <c r="H714" s="225">
        <f>SUM(H712:H713)</f>
        <v>0</v>
      </c>
      <c r="I714" s="189">
        <f>SUM(I712:I713)</f>
        <v>0</v>
      </c>
      <c r="J714" s="348"/>
      <c r="T714" s="537"/>
    </row>
    <row r="715" spans="1:20" s="65" customFormat="1" ht="15.75" x14ac:dyDescent="0.25">
      <c r="A715" s="181"/>
      <c r="B715" s="180"/>
      <c r="C715" s="171"/>
      <c r="D715" s="83"/>
      <c r="E715" s="84"/>
      <c r="F715" s="72"/>
      <c r="G715" s="72"/>
      <c r="H715" s="72"/>
      <c r="I715" s="85"/>
      <c r="J715" s="149"/>
      <c r="T715" s="537"/>
    </row>
    <row r="716" spans="1:20" s="65" customFormat="1" ht="18" x14ac:dyDescent="0.25">
      <c r="A716" s="244" t="s">
        <v>676</v>
      </c>
      <c r="B716" s="170"/>
      <c r="C716" s="171"/>
      <c r="D716" s="83"/>
      <c r="E716" s="84"/>
      <c r="F716" s="72"/>
      <c r="G716" s="72"/>
      <c r="H716" s="72"/>
      <c r="I716" s="85"/>
      <c r="J716" s="149"/>
      <c r="T716" s="537"/>
    </row>
    <row r="717" spans="1:20" s="65" customFormat="1" ht="6.75" customHeight="1" x14ac:dyDescent="0.25">
      <c r="A717" s="244"/>
      <c r="B717" s="170"/>
      <c r="C717" s="171"/>
      <c r="D717" s="83"/>
      <c r="E717" s="84"/>
      <c r="F717" s="72"/>
      <c r="G717" s="72"/>
      <c r="H717" s="72"/>
      <c r="I717" s="85"/>
      <c r="J717" s="149"/>
      <c r="T717" s="537"/>
    </row>
    <row r="718" spans="1:20" s="65" customFormat="1" ht="15.75" x14ac:dyDescent="0.25">
      <c r="A718" s="193" t="s">
        <v>677</v>
      </c>
      <c r="B718" s="192"/>
      <c r="C718" s="171"/>
      <c r="D718" s="83"/>
      <c r="E718" s="84"/>
      <c r="F718" s="72"/>
      <c r="G718" s="72"/>
      <c r="H718" s="72"/>
      <c r="I718" s="85"/>
      <c r="J718" s="149"/>
      <c r="T718" s="537"/>
    </row>
    <row r="719" spans="1:20" s="65" customFormat="1" ht="15.75" x14ac:dyDescent="0.25">
      <c r="A719" s="193"/>
      <c r="B719" s="192"/>
      <c r="C719" s="171"/>
      <c r="D719" s="83"/>
      <c r="E719" s="84"/>
      <c r="F719" s="72"/>
      <c r="G719" s="72"/>
      <c r="H719" s="72"/>
      <c r="I719" s="85"/>
      <c r="J719" s="149"/>
      <c r="T719" s="537"/>
    </row>
    <row r="720" spans="1:20" s="65" customFormat="1" ht="15.75" x14ac:dyDescent="0.25">
      <c r="A720" s="181" t="s">
        <v>678</v>
      </c>
      <c r="B720" s="180"/>
      <c r="C720" s="171"/>
      <c r="D720" s="83">
        <f>SUM(D141:D141)</f>
        <v>0</v>
      </c>
      <c r="E720" s="84">
        <v>0</v>
      </c>
      <c r="F720" s="72">
        <f>SUM(F141:F141)</f>
        <v>0</v>
      </c>
      <c r="G720" s="72">
        <f>SUM(G141:G141)</f>
        <v>0</v>
      </c>
      <c r="H720" s="72">
        <f>SUM(H141:H141)</f>
        <v>0</v>
      </c>
      <c r="I720" s="85">
        <v>0</v>
      </c>
      <c r="J720" s="149"/>
      <c r="T720" s="537"/>
    </row>
    <row r="721" spans="1:20" s="65" customFormat="1" ht="7.5" customHeight="1" x14ac:dyDescent="0.25">
      <c r="A721" s="181"/>
      <c r="B721" s="180"/>
      <c r="C721" s="171"/>
      <c r="D721" s="83"/>
      <c r="E721" s="84"/>
      <c r="F721" s="72"/>
      <c r="G721" s="72"/>
      <c r="H721" s="72"/>
      <c r="I721" s="85"/>
      <c r="J721" s="149"/>
      <c r="T721" s="537"/>
    </row>
    <row r="722" spans="1:20" s="65" customFormat="1" ht="18" x14ac:dyDescent="0.25">
      <c r="A722" s="193" t="s">
        <v>679</v>
      </c>
      <c r="B722" s="192"/>
      <c r="C722" s="171"/>
      <c r="D722" s="83"/>
      <c r="E722" s="84"/>
      <c r="F722" s="72"/>
      <c r="G722" s="72"/>
      <c r="H722" s="72"/>
      <c r="I722" s="85"/>
      <c r="J722" s="348"/>
      <c r="T722" s="537"/>
    </row>
    <row r="723" spans="1:20" s="65" customFormat="1" ht="15.75" x14ac:dyDescent="0.25">
      <c r="A723" s="174"/>
      <c r="B723" s="81"/>
      <c r="C723" s="251"/>
      <c r="D723" s="87"/>
      <c r="E723" s="84"/>
      <c r="F723" s="72"/>
      <c r="G723" s="72"/>
      <c r="H723" s="72"/>
      <c r="I723" s="85"/>
      <c r="J723" s="149"/>
      <c r="T723" s="537"/>
    </row>
    <row r="724" spans="1:20" s="88" customFormat="1" ht="15" x14ac:dyDescent="0.2">
      <c r="A724" s="174" t="s">
        <v>680</v>
      </c>
      <c r="B724" s="86">
        <v>37083</v>
      </c>
      <c r="C724" s="174" t="s">
        <v>681</v>
      </c>
      <c r="D724" s="83">
        <f>I724/0.015</f>
        <v>34232.733333333337</v>
      </c>
      <c r="E724" s="84">
        <v>513.49099999999999</v>
      </c>
      <c r="F724" s="72">
        <v>0</v>
      </c>
      <c r="G724" s="72">
        <v>0</v>
      </c>
      <c r="H724" s="72">
        <v>0</v>
      </c>
      <c r="I724" s="85">
        <f>SUM(E724:H724)</f>
        <v>513.49099999999999</v>
      </c>
      <c r="J724" s="149"/>
      <c r="T724" s="538"/>
    </row>
    <row r="725" spans="1:20" s="88" customFormat="1" ht="15" x14ac:dyDescent="0.2">
      <c r="A725" s="174" t="s">
        <v>682</v>
      </c>
      <c r="B725" s="86">
        <v>37083</v>
      </c>
      <c r="C725" s="174" t="s">
        <v>681</v>
      </c>
      <c r="D725" s="126">
        <f>I725/0.015</f>
        <v>2123.8000000000002</v>
      </c>
      <c r="E725" s="122">
        <v>31.856999999999999</v>
      </c>
      <c r="F725" s="123">
        <v>0</v>
      </c>
      <c r="G725" s="123">
        <v>0</v>
      </c>
      <c r="H725" s="123">
        <v>0</v>
      </c>
      <c r="I725" s="124">
        <f>SUM(E725:H725)</f>
        <v>31.856999999999999</v>
      </c>
      <c r="J725" s="149"/>
      <c r="T725" s="538"/>
    </row>
    <row r="726" spans="1:20" s="146" customFormat="1" ht="18" x14ac:dyDescent="0.25">
      <c r="A726" s="181" t="s">
        <v>683</v>
      </c>
      <c r="B726" s="180"/>
      <c r="C726" s="149"/>
      <c r="D726" s="87">
        <f t="shared" ref="D726:I726" si="74">SUM(D723:D725)</f>
        <v>36356.53333333334</v>
      </c>
      <c r="E726" s="84">
        <f t="shared" si="74"/>
        <v>545.34799999999996</v>
      </c>
      <c r="F726" s="72">
        <f t="shared" si="74"/>
        <v>0</v>
      </c>
      <c r="G726" s="72">
        <f t="shared" si="74"/>
        <v>0</v>
      </c>
      <c r="H726" s="72">
        <f t="shared" si="74"/>
        <v>0</v>
      </c>
      <c r="I726" s="85">
        <f t="shared" si="74"/>
        <v>545.34799999999996</v>
      </c>
      <c r="J726" s="348"/>
      <c r="T726" s="535"/>
    </row>
    <row r="727" spans="1:20" s="65" customFormat="1" ht="16.5" thickBot="1" x14ac:dyDescent="0.3">
      <c r="A727" s="174"/>
      <c r="B727" s="81"/>
      <c r="C727" s="149"/>
      <c r="D727" s="229"/>
      <c r="E727" s="252"/>
      <c r="F727" s="253"/>
      <c r="G727" s="253"/>
      <c r="H727" s="253"/>
      <c r="I727" s="254"/>
      <c r="J727" s="149"/>
      <c r="T727" s="537"/>
    </row>
    <row r="728" spans="1:20" s="65" customFormat="1" ht="18" x14ac:dyDescent="0.25">
      <c r="A728" s="208" t="s">
        <v>684</v>
      </c>
      <c r="B728" s="243"/>
      <c r="C728" s="244"/>
      <c r="D728" s="142">
        <f t="shared" ref="D728:I728" si="75">D726+D720</f>
        <v>36356.53333333334</v>
      </c>
      <c r="E728" s="255">
        <f t="shared" si="75"/>
        <v>545.34799999999996</v>
      </c>
      <c r="F728" s="256">
        <f t="shared" si="75"/>
        <v>0</v>
      </c>
      <c r="G728" s="256">
        <f t="shared" si="75"/>
        <v>0</v>
      </c>
      <c r="H728" s="256">
        <f t="shared" si="75"/>
        <v>0</v>
      </c>
      <c r="I728" s="257">
        <f t="shared" si="75"/>
        <v>545.34799999999996</v>
      </c>
      <c r="J728" s="149"/>
      <c r="T728" s="537"/>
    </row>
    <row r="729" spans="1:20" s="65" customFormat="1" ht="15.75" x14ac:dyDescent="0.25">
      <c r="A729" s="181"/>
      <c r="B729" s="180"/>
      <c r="C729" s="171"/>
      <c r="D729" s="83"/>
      <c r="E729" s="84"/>
      <c r="F729" s="72"/>
      <c r="G729" s="72"/>
      <c r="H729" s="72"/>
      <c r="I729" s="85"/>
      <c r="J729" s="149"/>
      <c r="T729" s="537"/>
    </row>
    <row r="730" spans="1:20" s="65" customFormat="1" ht="18" x14ac:dyDescent="0.25">
      <c r="A730" s="244" t="s">
        <v>685</v>
      </c>
      <c r="B730" s="170"/>
      <c r="C730" s="171"/>
      <c r="D730" s="83"/>
      <c r="E730" s="84"/>
      <c r="F730" s="72"/>
      <c r="G730" s="72"/>
      <c r="H730" s="72"/>
      <c r="I730" s="85"/>
      <c r="J730" s="149"/>
      <c r="T730" s="537"/>
    </row>
    <row r="731" spans="1:20" s="65" customFormat="1" ht="18" x14ac:dyDescent="0.25">
      <c r="A731" s="244"/>
      <c r="B731" s="170"/>
      <c r="C731" s="171"/>
      <c r="D731" s="83"/>
      <c r="E731" s="84"/>
      <c r="F731" s="72"/>
      <c r="G731" s="72"/>
      <c r="H731" s="72"/>
      <c r="I731" s="85"/>
      <c r="J731" s="149"/>
      <c r="T731" s="537"/>
    </row>
    <row r="732" spans="1:20" s="65" customFormat="1" ht="18" x14ac:dyDescent="0.25">
      <c r="A732" s="258" t="s">
        <v>686</v>
      </c>
      <c r="B732" s="170"/>
      <c r="C732" s="171"/>
      <c r="D732" s="83"/>
      <c r="E732" s="84">
        <v>100</v>
      </c>
      <c r="F732" s="72">
        <v>-0.376</v>
      </c>
      <c r="G732" s="72"/>
      <c r="H732" s="72"/>
      <c r="I732" s="85">
        <f>F732+E732</f>
        <v>99.623999999999995</v>
      </c>
      <c r="J732" s="149"/>
      <c r="T732" s="537"/>
    </row>
    <row r="733" spans="1:20" s="65" customFormat="1" ht="18" x14ac:dyDescent="0.25">
      <c r="A733" s="258" t="s">
        <v>687</v>
      </c>
      <c r="B733" s="170"/>
      <c r="C733" s="171"/>
      <c r="D733" s="83"/>
      <c r="E733" s="72">
        <v>0</v>
      </c>
      <c r="F733" s="72"/>
      <c r="G733" s="72"/>
      <c r="H733" s="72"/>
      <c r="I733" s="85">
        <f>SUM(E733:G733)</f>
        <v>0</v>
      </c>
      <c r="J733" s="149"/>
      <c r="T733" s="537"/>
    </row>
    <row r="734" spans="1:20" s="65" customFormat="1" ht="18" x14ac:dyDescent="0.25">
      <c r="A734" s="244"/>
      <c r="B734" s="170"/>
      <c r="C734" s="171"/>
      <c r="D734" s="83"/>
      <c r="E734" s="84"/>
      <c r="F734" s="72"/>
      <c r="G734" s="72"/>
      <c r="H734" s="72"/>
      <c r="I734" s="85"/>
      <c r="J734" s="149"/>
      <c r="T734" s="537"/>
    </row>
    <row r="735" spans="1:20" ht="15.75" customHeight="1" thickBot="1" x14ac:dyDescent="0.3">
      <c r="A735" s="174"/>
      <c r="B735" s="81"/>
      <c r="C735" s="171"/>
      <c r="D735" s="83"/>
      <c r="E735" s="252"/>
      <c r="F735" s="253"/>
      <c r="G735" s="253"/>
      <c r="H735" s="253"/>
      <c r="I735" s="254"/>
      <c r="J735" s="349"/>
      <c r="K735" s="259"/>
      <c r="M735" s="259"/>
      <c r="N735" s="259"/>
      <c r="O735" s="259"/>
      <c r="P735" s="259"/>
      <c r="Q735" s="259"/>
      <c r="T735" s="539"/>
    </row>
    <row r="736" spans="1:20" s="246" customFormat="1" ht="20.25" customHeight="1" thickBot="1" x14ac:dyDescent="0.3">
      <c r="A736" s="208" t="s">
        <v>688</v>
      </c>
      <c r="B736" s="243"/>
      <c r="C736" s="171"/>
      <c r="D736" s="87"/>
      <c r="E736" s="260">
        <f>SUM(E732:E733)</f>
        <v>100</v>
      </c>
      <c r="F736" s="260">
        <f>SUM(F732:F733)</f>
        <v>-0.376</v>
      </c>
      <c r="G736" s="260">
        <f>SUM(G732:G733)</f>
        <v>0</v>
      </c>
      <c r="H736" s="260">
        <f>SUM(H735:H735)</f>
        <v>0</v>
      </c>
      <c r="I736" s="261">
        <f>SUM(E736:H736)</f>
        <v>99.623999999999995</v>
      </c>
      <c r="J736" s="353"/>
      <c r="T736" s="536"/>
    </row>
    <row r="737" spans="1:20" s="246" customFormat="1" ht="20.25" customHeight="1" thickBot="1" x14ac:dyDescent="0.3">
      <c r="A737" s="262"/>
      <c r="B737" s="263"/>
      <c r="C737" s="264"/>
      <c r="D737" s="265"/>
      <c r="E737" s="266"/>
      <c r="F737" s="266"/>
      <c r="G737" s="266"/>
      <c r="H737" s="266"/>
      <c r="I737" s="267"/>
      <c r="J737" s="354"/>
      <c r="T737" s="536"/>
    </row>
    <row r="738" spans="1:20" ht="18.75" thickBot="1" x14ac:dyDescent="0.3">
      <c r="A738" s="268" t="s">
        <v>689</v>
      </c>
      <c r="B738" s="269"/>
      <c r="C738" s="268"/>
      <c r="D738" s="270">
        <f t="shared" ref="D738:I738" si="76">D709+D151+D736+D728</f>
        <v>2199114.4184205518</v>
      </c>
      <c r="E738" s="270">
        <f t="shared" si="76"/>
        <v>175721.96619999997</v>
      </c>
      <c r="F738" s="271">
        <f t="shared" si="76"/>
        <v>-25057.764999999996</v>
      </c>
      <c r="G738" s="271">
        <f t="shared" si="76"/>
        <v>0</v>
      </c>
      <c r="H738" s="271">
        <f t="shared" si="76"/>
        <v>0</v>
      </c>
      <c r="I738" s="272">
        <f t="shared" si="76"/>
        <v>150664.24020000003</v>
      </c>
    </row>
    <row r="739" spans="1:20" ht="18.75" thickBot="1" x14ac:dyDescent="0.3">
      <c r="A739" s="273"/>
      <c r="B739" s="273"/>
      <c r="C739" s="273"/>
      <c r="D739" s="531">
        <f>+I738/D738</f>
        <v>6.8511323893829093E-2</v>
      </c>
      <c r="E739" s="274"/>
      <c r="F739" s="274"/>
      <c r="G739" s="274"/>
      <c r="H739" s="274"/>
      <c r="I739" s="274"/>
    </row>
    <row r="740" spans="1:20" ht="18.75" thickBot="1" x14ac:dyDescent="0.3">
      <c r="A740" s="268" t="s">
        <v>690</v>
      </c>
      <c r="B740" s="275"/>
      <c r="C740" s="275"/>
      <c r="D740" s="276">
        <v>5889675</v>
      </c>
      <c r="E740" s="271">
        <v>111764.913</v>
      </c>
      <c r="F740" s="271">
        <v>-38184.82</v>
      </c>
      <c r="G740" s="271">
        <v>0</v>
      </c>
      <c r="H740" s="271">
        <v>-10250.858999999999</v>
      </c>
      <c r="I740" s="272">
        <v>63329.233999999989</v>
      </c>
    </row>
    <row r="741" spans="1:20" ht="18.75" thickBot="1" x14ac:dyDescent="0.3">
      <c r="A741" s="268" t="s">
        <v>691</v>
      </c>
      <c r="B741" s="275"/>
      <c r="C741" s="275"/>
      <c r="D741" s="276">
        <v>7211954</v>
      </c>
      <c r="E741" s="271">
        <v>136809</v>
      </c>
      <c r="F741" s="271">
        <v>-21945</v>
      </c>
      <c r="G741" s="271">
        <v>-1338</v>
      </c>
      <c r="H741" s="271">
        <v>14261</v>
      </c>
      <c r="I741" s="272">
        <v>127786</v>
      </c>
    </row>
    <row r="742" spans="1:20" ht="18.75" thickBot="1" x14ac:dyDescent="0.3">
      <c r="A742" s="268" t="s">
        <v>692</v>
      </c>
      <c r="B742" s="275"/>
      <c r="C742" s="275"/>
      <c r="D742" s="276">
        <f t="shared" ref="D742:I742" si="77">D738</f>
        <v>2199114.4184205518</v>
      </c>
      <c r="E742" s="271">
        <f t="shared" si="77"/>
        <v>175721.96619999997</v>
      </c>
      <c r="F742" s="271">
        <f t="shared" si="77"/>
        <v>-25057.764999999996</v>
      </c>
      <c r="G742" s="271">
        <f t="shared" si="77"/>
        <v>0</v>
      </c>
      <c r="H742" s="271">
        <f t="shared" si="77"/>
        <v>0</v>
      </c>
      <c r="I742" s="272">
        <f t="shared" si="77"/>
        <v>150664.24020000003</v>
      </c>
    </row>
    <row r="743" spans="1:20" ht="18.75" hidden="1" thickBot="1" x14ac:dyDescent="0.3">
      <c r="A743" s="268" t="s">
        <v>693</v>
      </c>
      <c r="B743" s="275"/>
      <c r="C743" s="275"/>
      <c r="D743" s="276">
        <v>0</v>
      </c>
      <c r="E743" s="271">
        <v>0</v>
      </c>
      <c r="F743" s="271">
        <v>0</v>
      </c>
      <c r="G743" s="271">
        <v>0</v>
      </c>
      <c r="H743" s="271">
        <v>0</v>
      </c>
      <c r="I743" s="272">
        <v>0</v>
      </c>
    </row>
    <row r="744" spans="1:20" ht="18.75" thickBot="1" x14ac:dyDescent="0.3">
      <c r="A744" s="268" t="s">
        <v>694</v>
      </c>
      <c r="B744" s="275"/>
      <c r="C744" s="275"/>
      <c r="D744" s="276">
        <f t="shared" ref="D744:I744" si="78">SUM(D740:D743)</f>
        <v>15300743.418420551</v>
      </c>
      <c r="E744" s="271">
        <f t="shared" si="78"/>
        <v>424295.87919999997</v>
      </c>
      <c r="F744" s="271">
        <f t="shared" si="78"/>
        <v>-85187.584999999992</v>
      </c>
      <c r="G744" s="271">
        <f t="shared" si="78"/>
        <v>-1338</v>
      </c>
      <c r="H744" s="271">
        <f t="shared" si="78"/>
        <v>4010.1410000000014</v>
      </c>
      <c r="I744" s="272">
        <f t="shared" si="78"/>
        <v>341779.47420000006</v>
      </c>
    </row>
    <row r="745" spans="1:20" ht="12.75" customHeight="1" thickBot="1" x14ac:dyDescent="0.25">
      <c r="D745" s="161"/>
      <c r="I745" s="11"/>
    </row>
    <row r="746" spans="1:20" ht="18.75" thickBot="1" x14ac:dyDescent="0.3">
      <c r="A746" s="277" t="s">
        <v>695</v>
      </c>
      <c r="B746" s="278"/>
      <c r="C746" s="279"/>
      <c r="D746" s="276">
        <v>0</v>
      </c>
      <c r="G746" s="11"/>
      <c r="H746" s="11"/>
    </row>
    <row r="747" spans="1:20" ht="12.75" customHeight="1" x14ac:dyDescent="0.2">
      <c r="D747" s="280"/>
      <c r="H747" s="11"/>
    </row>
    <row r="748" spans="1:20" ht="12.75" customHeight="1" x14ac:dyDescent="0.2">
      <c r="A748" s="281" t="s">
        <v>696</v>
      </c>
      <c r="B748" s="282"/>
      <c r="D748" s="283"/>
      <c r="H748" s="11"/>
    </row>
    <row r="749" spans="1:20" ht="12.75" customHeight="1" x14ac:dyDescent="0.2">
      <c r="A749" s="284" t="s">
        <v>697</v>
      </c>
      <c r="B749" s="285"/>
      <c r="D749" s="280"/>
      <c r="H749" s="11"/>
    </row>
    <row r="750" spans="1:20" ht="15" x14ac:dyDescent="0.2">
      <c r="A750" s="286"/>
      <c r="B750" s="120"/>
      <c r="C750" s="10"/>
      <c r="D750" s="161"/>
      <c r="E750" s="10"/>
      <c r="F750" s="10"/>
      <c r="G750" s="10"/>
      <c r="H750" s="11"/>
    </row>
    <row r="751" spans="1:20" ht="15.75" thickBot="1" x14ac:dyDescent="0.25">
      <c r="A751" s="286"/>
      <c r="B751" s="120"/>
      <c r="C751" s="10"/>
      <c r="D751" s="161"/>
      <c r="E751" s="10"/>
      <c r="F751" s="10"/>
      <c r="G751" s="10"/>
      <c r="H751" s="11"/>
    </row>
    <row r="752" spans="1:20" ht="18.75" thickBot="1" x14ac:dyDescent="0.3">
      <c r="A752" s="540" t="s">
        <v>698</v>
      </c>
      <c r="B752" s="541"/>
      <c r="C752" s="541"/>
      <c r="D752" s="542"/>
      <c r="H752" s="11"/>
    </row>
    <row r="753" spans="1:10" ht="18" x14ac:dyDescent="0.25">
      <c r="A753" s="208" t="s">
        <v>699</v>
      </c>
      <c r="B753" s="287"/>
      <c r="C753" s="2"/>
      <c r="D753" s="288">
        <f>D738</f>
        <v>2199114.4184205518</v>
      </c>
      <c r="H753" s="11"/>
    </row>
    <row r="754" spans="1:10" ht="18" x14ac:dyDescent="0.25">
      <c r="A754" s="208" t="s">
        <v>700</v>
      </c>
      <c r="B754" s="287"/>
      <c r="C754" s="2"/>
      <c r="D754" s="288">
        <f>'[1]International Origin Summary'!G157</f>
        <v>243585.97374816606</v>
      </c>
      <c r="H754" s="11"/>
    </row>
    <row r="755" spans="1:10" ht="18" x14ac:dyDescent="0.25">
      <c r="A755" s="208" t="s">
        <v>701</v>
      </c>
      <c r="B755" s="287"/>
      <c r="C755" s="2"/>
      <c r="D755" s="288">
        <f>'[1]International Origin Summary'!G109</f>
        <v>12058.6056521377</v>
      </c>
      <c r="H755" s="11"/>
    </row>
    <row r="756" spans="1:10" ht="18.75" thickBot="1" x14ac:dyDescent="0.3">
      <c r="A756" s="208" t="s">
        <v>702</v>
      </c>
      <c r="B756" s="287"/>
      <c r="C756" s="2"/>
      <c r="D756" s="288">
        <f>D765</f>
        <v>0</v>
      </c>
      <c r="H756" s="11"/>
    </row>
    <row r="757" spans="1:10" ht="18.75" thickBot="1" x14ac:dyDescent="0.3">
      <c r="A757" s="277" t="s">
        <v>703</v>
      </c>
      <c r="B757" s="278"/>
      <c r="C757" s="289"/>
      <c r="D757" s="290">
        <f>SUM(D753:D756)</f>
        <v>2454758.9978208556</v>
      </c>
      <c r="H757" s="11"/>
    </row>
    <row r="758" spans="1:10" ht="36" customHeight="1" x14ac:dyDescent="0.25">
      <c r="A758" s="287"/>
      <c r="B758" s="287"/>
      <c r="C758" s="2"/>
      <c r="D758" s="291"/>
      <c r="E758" s="292"/>
      <c r="F758" s="292"/>
      <c r="G758" s="292"/>
      <c r="H758" s="11"/>
      <c r="I758" s="11"/>
    </row>
    <row r="759" spans="1:10" ht="16.5" customHeight="1" thickBot="1" x14ac:dyDescent="0.25">
      <c r="D759" s="280"/>
      <c r="H759" s="11"/>
    </row>
    <row r="760" spans="1:10" ht="39" thickBot="1" x14ac:dyDescent="0.25">
      <c r="A760" s="293" t="s">
        <v>704</v>
      </c>
      <c r="B760" s="294"/>
      <c r="C760" s="295"/>
      <c r="D760" s="296" t="s">
        <v>7</v>
      </c>
      <c r="E760" s="296" t="s">
        <v>8</v>
      </c>
      <c r="F760" s="296" t="s">
        <v>9</v>
      </c>
      <c r="G760" s="296" t="s">
        <v>10</v>
      </c>
      <c r="H760" s="19" t="s">
        <v>11</v>
      </c>
      <c r="I760" s="12" t="s">
        <v>12</v>
      </c>
    </row>
    <row r="761" spans="1:10" ht="16.5" customHeight="1" thickBot="1" x14ac:dyDescent="0.3">
      <c r="A761" s="81"/>
      <c r="B761" s="297"/>
      <c r="C761" s="298"/>
      <c r="D761" s="173"/>
      <c r="E761" s="72"/>
      <c r="F761" s="72"/>
      <c r="G761" s="72"/>
      <c r="H761" s="72"/>
      <c r="I761" s="299"/>
      <c r="J761" s="72"/>
    </row>
    <row r="762" spans="1:10" ht="16.5" customHeight="1" x14ac:dyDescent="0.25">
      <c r="A762" s="300"/>
      <c r="B762" s="297"/>
      <c r="C762" s="301"/>
      <c r="D762" s="302"/>
      <c r="E762" s="260"/>
      <c r="F762" s="260"/>
      <c r="G762" s="260"/>
      <c r="H762" s="260"/>
      <c r="I762" s="299"/>
      <c r="J762" s="72"/>
    </row>
    <row r="763" spans="1:10" ht="15.75" customHeight="1" x14ac:dyDescent="0.25">
      <c r="A763" s="191"/>
      <c r="B763" s="174"/>
      <c r="C763" s="298"/>
      <c r="D763" s="173"/>
      <c r="E763" s="72">
        <v>0</v>
      </c>
      <c r="F763" s="72"/>
      <c r="G763" s="72">
        <v>0</v>
      </c>
      <c r="H763" s="72"/>
      <c r="I763" s="87">
        <f>SUM(E763:G763)</f>
        <v>0</v>
      </c>
    </row>
    <row r="764" spans="1:10" ht="15.75" customHeight="1" thickBot="1" x14ac:dyDescent="0.25">
      <c r="A764" s="303"/>
      <c r="B764" s="304"/>
      <c r="C764" s="305"/>
      <c r="D764" s="306"/>
      <c r="E764" s="307"/>
      <c r="F764" s="307"/>
      <c r="G764" s="307"/>
      <c r="H764" s="172"/>
      <c r="I764" s="264"/>
    </row>
    <row r="765" spans="1:10" ht="12.75" customHeight="1" thickBot="1" x14ac:dyDescent="0.25">
      <c r="A765" s="308" t="s">
        <v>705</v>
      </c>
      <c r="B765" s="309"/>
      <c r="C765" s="310"/>
      <c r="D765" s="311">
        <f t="shared" ref="D765:I765" si="79">SUM(D761:D764)</f>
        <v>0</v>
      </c>
      <c r="E765" s="311">
        <f t="shared" si="79"/>
        <v>0</v>
      </c>
      <c r="F765" s="311">
        <f t="shared" si="79"/>
        <v>0</v>
      </c>
      <c r="G765" s="311">
        <f t="shared" si="79"/>
        <v>0</v>
      </c>
      <c r="H765" s="311">
        <f t="shared" si="79"/>
        <v>0</v>
      </c>
      <c r="I765" s="311">
        <f t="shared" si="79"/>
        <v>0</v>
      </c>
    </row>
    <row r="766" spans="1:10" ht="12.75" customHeight="1" x14ac:dyDescent="0.2">
      <c r="B766" s="312"/>
      <c r="C766" s="11"/>
      <c r="D766" s="72"/>
      <c r="E766" s="172"/>
      <c r="F766" s="172"/>
      <c r="G766" s="172"/>
      <c r="H766" s="172"/>
      <c r="I766" s="313"/>
    </row>
    <row r="767" spans="1:10" ht="12.75" customHeight="1" x14ac:dyDescent="0.2">
      <c r="A767" s="312" t="s">
        <v>706</v>
      </c>
      <c r="B767" s="312"/>
      <c r="C767" s="292"/>
      <c r="D767" s="280"/>
      <c r="E767" s="292"/>
      <c r="F767" s="292"/>
      <c r="G767" s="292"/>
      <c r="H767" s="11"/>
      <c r="I767" s="11"/>
    </row>
    <row r="768" spans="1:10" ht="12.75" customHeight="1" x14ac:dyDescent="0.2">
      <c r="A768" s="312" t="s">
        <v>707</v>
      </c>
      <c r="B768" s="312"/>
      <c r="C768" s="292"/>
      <c r="D768" s="280"/>
      <c r="E768" s="292"/>
      <c r="F768" s="292"/>
      <c r="G768" s="292"/>
      <c r="H768" s="11"/>
      <c r="I768" s="11"/>
    </row>
    <row r="769" spans="1:9" ht="12.75" customHeight="1" thickBot="1" x14ac:dyDescent="0.25">
      <c r="A769" s="312"/>
      <c r="B769" s="312"/>
      <c r="C769" s="292"/>
      <c r="D769" s="280"/>
      <c r="E769" s="292"/>
      <c r="F769" s="292"/>
      <c r="G769" s="292"/>
      <c r="H769" s="11"/>
      <c r="I769" s="11"/>
    </row>
    <row r="770" spans="1:9" ht="12.75" customHeight="1" x14ac:dyDescent="0.2">
      <c r="A770" s="543" t="s">
        <v>708</v>
      </c>
      <c r="B770" s="544"/>
      <c r="C770" s="544"/>
      <c r="D770" s="545"/>
      <c r="H770" s="11"/>
    </row>
    <row r="771" spans="1:9" ht="12.75" customHeight="1" x14ac:dyDescent="0.2">
      <c r="A771" s="314" t="s">
        <v>709</v>
      </c>
      <c r="B771" s="315"/>
      <c r="C771" s="315"/>
      <c r="D771" s="316"/>
      <c r="H771" s="11"/>
    </row>
    <row r="772" spans="1:9" ht="12.75" customHeight="1" x14ac:dyDescent="0.2">
      <c r="A772" s="317" t="s">
        <v>710</v>
      </c>
      <c r="B772" s="10"/>
      <c r="C772" s="10"/>
      <c r="D772" s="318">
        <v>-175042</v>
      </c>
      <c r="H772" s="11"/>
    </row>
    <row r="773" spans="1:9" ht="12.75" customHeight="1" x14ac:dyDescent="0.2">
      <c r="A773" s="317" t="s">
        <v>711</v>
      </c>
      <c r="B773" s="10"/>
      <c r="C773" s="10"/>
      <c r="D773" s="319">
        <v>-132745</v>
      </c>
      <c r="H773" s="11"/>
    </row>
    <row r="774" spans="1:9" ht="12.75" customHeight="1" x14ac:dyDescent="0.2">
      <c r="A774" s="317" t="s">
        <v>712</v>
      </c>
      <c r="B774" s="10"/>
      <c r="C774" s="10"/>
      <c r="D774" s="319">
        <v>-2266103</v>
      </c>
      <c r="H774" s="11"/>
    </row>
    <row r="775" spans="1:9" ht="12.75" customHeight="1" x14ac:dyDescent="0.2">
      <c r="A775" s="317" t="s">
        <v>713</v>
      </c>
      <c r="B775" s="10"/>
      <c r="C775" s="10"/>
      <c r="D775" s="318">
        <v>-1034053</v>
      </c>
      <c r="H775" s="11"/>
    </row>
    <row r="776" spans="1:9" ht="12.75" customHeight="1" x14ac:dyDescent="0.2">
      <c r="A776" s="317" t="s">
        <v>714</v>
      </c>
      <c r="B776" s="10"/>
      <c r="C776" s="10"/>
      <c r="D776" s="319">
        <v>-1152333</v>
      </c>
      <c r="H776" s="11"/>
    </row>
    <row r="777" spans="1:9" ht="12.75" customHeight="1" x14ac:dyDescent="0.2">
      <c r="A777" s="317" t="s">
        <v>715</v>
      </c>
      <c r="B777" s="10"/>
      <c r="C777" s="10"/>
      <c r="D777" s="318">
        <v>-108781</v>
      </c>
      <c r="H777" s="11"/>
    </row>
    <row r="778" spans="1:9" ht="12.75" customHeight="1" x14ac:dyDescent="0.2">
      <c r="A778" s="317" t="s">
        <v>716</v>
      </c>
      <c r="B778" s="10"/>
      <c r="C778" s="10"/>
      <c r="D778" s="319">
        <v>-222995</v>
      </c>
      <c r="H778" s="11"/>
    </row>
    <row r="779" spans="1:9" ht="12.75" customHeight="1" x14ac:dyDescent="0.2">
      <c r="A779" s="317" t="s">
        <v>717</v>
      </c>
      <c r="B779" s="10"/>
      <c r="C779" s="10"/>
      <c r="D779" s="319">
        <v>-445815</v>
      </c>
      <c r="H779" s="11"/>
    </row>
    <row r="780" spans="1:9" ht="12.75" customHeight="1" x14ac:dyDescent="0.2">
      <c r="A780" s="317" t="s">
        <v>718</v>
      </c>
      <c r="B780" s="10"/>
      <c r="C780" s="10"/>
      <c r="D780" s="320">
        <v>-1216186</v>
      </c>
      <c r="H780" s="11"/>
    </row>
    <row r="781" spans="1:9" ht="12.75" customHeight="1" x14ac:dyDescent="0.2">
      <c r="A781" s="317" t="s">
        <v>719</v>
      </c>
      <c r="B781" s="10"/>
      <c r="C781" s="10"/>
      <c r="D781" s="320">
        <v>-420433</v>
      </c>
      <c r="H781" s="11"/>
    </row>
    <row r="782" spans="1:9" ht="12.75" customHeight="1" x14ac:dyDescent="0.2">
      <c r="A782" s="317" t="s">
        <v>720</v>
      </c>
      <c r="B782" s="10"/>
      <c r="C782" s="10"/>
      <c r="D782" s="320">
        <v>-5477</v>
      </c>
      <c r="H782" s="11"/>
    </row>
    <row r="783" spans="1:9" ht="12.75" customHeight="1" x14ac:dyDescent="0.2">
      <c r="A783" s="317" t="s">
        <v>720</v>
      </c>
      <c r="B783" s="10"/>
      <c r="C783" s="10"/>
      <c r="D783" s="319">
        <v>47227</v>
      </c>
      <c r="H783" s="11"/>
    </row>
    <row r="784" spans="1:9" ht="12.75" customHeight="1" x14ac:dyDescent="0.2">
      <c r="A784" s="317" t="s">
        <v>721</v>
      </c>
      <c r="B784" s="321"/>
      <c r="C784" s="321"/>
      <c r="D784" s="318">
        <v>-1442244.09</v>
      </c>
      <c r="H784" s="11"/>
    </row>
    <row r="785" spans="1:8" ht="12.75" customHeight="1" x14ac:dyDescent="0.2">
      <c r="A785" s="317" t="s">
        <v>722</v>
      </c>
      <c r="B785" s="10"/>
      <c r="C785" s="10"/>
      <c r="D785" s="322">
        <v>-982505</v>
      </c>
      <c r="H785" s="11"/>
    </row>
    <row r="786" spans="1:8" ht="12.75" customHeight="1" x14ac:dyDescent="0.2">
      <c r="A786" s="323"/>
      <c r="B786" s="321"/>
      <c r="C786" s="321"/>
      <c r="D786" s="318">
        <f>SUM(D771:D785)</f>
        <v>-9557485.0899999999</v>
      </c>
      <c r="H786" s="11"/>
    </row>
    <row r="787" spans="1:8" ht="12.75" customHeight="1" x14ac:dyDescent="0.2">
      <c r="A787" s="324" t="s">
        <v>723</v>
      </c>
      <c r="B787" s="321"/>
      <c r="C787" s="321"/>
      <c r="D787" s="318"/>
      <c r="H787" s="11"/>
    </row>
    <row r="788" spans="1:8" ht="12.75" customHeight="1" x14ac:dyDescent="0.2">
      <c r="A788" s="317" t="s">
        <v>724</v>
      </c>
      <c r="B788" s="315"/>
      <c r="C788" s="315"/>
      <c r="D788" s="319">
        <v>-182718</v>
      </c>
      <c r="H788" s="11"/>
    </row>
    <row r="789" spans="1:8" ht="12.75" customHeight="1" x14ac:dyDescent="0.2">
      <c r="A789" s="317" t="s">
        <v>725</v>
      </c>
      <c r="B789" s="10"/>
      <c r="C789" s="10"/>
      <c r="D789" s="320">
        <v>-496630.87</v>
      </c>
      <c r="H789" s="11"/>
    </row>
    <row r="790" spans="1:8" ht="12.75" customHeight="1" x14ac:dyDescent="0.2">
      <c r="A790" s="317" t="s">
        <v>726</v>
      </c>
      <c r="B790" s="10"/>
      <c r="C790" s="10"/>
      <c r="D790" s="320">
        <v>-1002920.91</v>
      </c>
      <c r="H790" s="11"/>
    </row>
    <row r="791" spans="1:8" ht="12.75" customHeight="1" x14ac:dyDescent="0.2">
      <c r="A791" s="317" t="s">
        <v>727</v>
      </c>
      <c r="B791" s="10"/>
      <c r="C791" s="10"/>
      <c r="D791" s="320">
        <v>-652960.73</v>
      </c>
      <c r="H791" s="11"/>
    </row>
    <row r="792" spans="1:8" ht="12.75" customHeight="1" x14ac:dyDescent="0.2">
      <c r="A792" s="317" t="s">
        <v>728</v>
      </c>
      <c r="B792" s="10"/>
      <c r="C792" s="10"/>
      <c r="D792" s="320">
        <v>-1324349.1599999999</v>
      </c>
      <c r="H792" s="11"/>
    </row>
    <row r="793" spans="1:8" ht="12.75" customHeight="1" x14ac:dyDescent="0.2">
      <c r="A793" s="317" t="s">
        <v>729</v>
      </c>
      <c r="B793" s="10"/>
      <c r="C793" s="10"/>
      <c r="D793" s="319">
        <v>-3286798</v>
      </c>
      <c r="H793" s="11"/>
    </row>
    <row r="794" spans="1:8" ht="12.75" customHeight="1" x14ac:dyDescent="0.2">
      <c r="A794" s="317" t="s">
        <v>730</v>
      </c>
      <c r="B794" s="10"/>
      <c r="C794" s="10"/>
      <c r="D794" s="325">
        <v>-427019</v>
      </c>
      <c r="H794" s="11"/>
    </row>
    <row r="795" spans="1:8" ht="12.75" customHeight="1" x14ac:dyDescent="0.2">
      <c r="A795" s="323"/>
      <c r="B795" s="10"/>
      <c r="C795" s="10"/>
      <c r="D795" s="319">
        <f>SUM(D788:D794)</f>
        <v>-7373396.6699999999</v>
      </c>
      <c r="H795" s="11"/>
    </row>
    <row r="796" spans="1:8" ht="12.75" customHeight="1" x14ac:dyDescent="0.2">
      <c r="A796" s="323"/>
      <c r="B796" s="10"/>
      <c r="C796" s="10"/>
      <c r="D796" s="319"/>
      <c r="H796" s="11"/>
    </row>
    <row r="797" spans="1:8" ht="12.75" customHeight="1" x14ac:dyDescent="0.2">
      <c r="A797" s="326" t="s">
        <v>731</v>
      </c>
      <c r="B797" s="10"/>
      <c r="C797" s="10"/>
      <c r="D797" s="327">
        <f>+D795+D786</f>
        <v>-16930881.759999998</v>
      </c>
      <c r="H797" s="11"/>
    </row>
    <row r="798" spans="1:8" ht="12.75" customHeight="1" x14ac:dyDescent="0.2">
      <c r="A798" s="317"/>
      <c r="B798" s="10"/>
      <c r="C798" s="10"/>
      <c r="D798" s="319"/>
      <c r="H798" s="11"/>
    </row>
    <row r="799" spans="1:8" ht="12.75" customHeight="1" x14ac:dyDescent="0.2">
      <c r="A799" s="314" t="s">
        <v>732</v>
      </c>
      <c r="B799" s="10"/>
      <c r="C799" s="10"/>
      <c r="D799" s="319"/>
      <c r="H799" s="11"/>
    </row>
    <row r="800" spans="1:8" ht="12.75" customHeight="1" x14ac:dyDescent="0.2">
      <c r="A800" s="328" t="s">
        <v>733</v>
      </c>
      <c r="B800" s="10"/>
      <c r="C800" s="10"/>
      <c r="D800" s="325">
        <v>-35000</v>
      </c>
      <c r="H800" s="11"/>
    </row>
    <row r="801" spans="1:8" ht="12.75" customHeight="1" x14ac:dyDescent="0.2">
      <c r="A801" s="317"/>
      <c r="B801" s="10"/>
      <c r="C801" s="10"/>
      <c r="D801" s="319"/>
      <c r="H801" s="11"/>
    </row>
    <row r="802" spans="1:8" ht="12.75" customHeight="1" x14ac:dyDescent="0.2">
      <c r="A802" s="326" t="s">
        <v>734</v>
      </c>
      <c r="B802" s="10"/>
      <c r="C802" s="10"/>
      <c r="D802" s="327">
        <f>+D800</f>
        <v>-35000</v>
      </c>
      <c r="H802" s="11"/>
    </row>
    <row r="803" spans="1:8" ht="12.75" customHeight="1" x14ac:dyDescent="0.2">
      <c r="A803" s="326"/>
      <c r="B803" s="10"/>
      <c r="C803" s="10"/>
      <c r="D803" s="327"/>
      <c r="H803" s="11"/>
    </row>
    <row r="804" spans="1:8" ht="12.75" customHeight="1" x14ac:dyDescent="0.2">
      <c r="A804" s="314" t="s">
        <v>735</v>
      </c>
      <c r="B804" s="10"/>
      <c r="C804" s="10"/>
      <c r="D804" s="319"/>
      <c r="H804" s="11"/>
    </row>
    <row r="805" spans="1:8" ht="12.75" customHeight="1" thickBot="1" x14ac:dyDescent="0.25">
      <c r="A805" s="329" t="s">
        <v>736</v>
      </c>
      <c r="B805" s="10"/>
      <c r="C805" s="10"/>
      <c r="D805" s="330">
        <v>-1046000</v>
      </c>
      <c r="H805" s="11"/>
    </row>
    <row r="806" spans="1:8" ht="12.75" customHeight="1" thickTop="1" x14ac:dyDescent="0.2">
      <c r="A806" s="329"/>
      <c r="B806" s="10"/>
      <c r="C806" s="10"/>
      <c r="D806" s="319"/>
      <c r="H806" s="11"/>
    </row>
    <row r="807" spans="1:8" ht="12.75" customHeight="1" x14ac:dyDescent="0.2">
      <c r="A807" s="331" t="s">
        <v>737</v>
      </c>
      <c r="B807" s="10"/>
      <c r="C807" s="10"/>
      <c r="D807" s="327">
        <f>+D805+D802+D797</f>
        <v>-18011881.759999998</v>
      </c>
      <c r="H807" s="11"/>
    </row>
    <row r="808" spans="1:8" ht="12.75" customHeight="1" x14ac:dyDescent="0.2">
      <c r="A808" s="329"/>
      <c r="B808" s="10"/>
      <c r="C808" s="10"/>
      <c r="D808" s="319"/>
      <c r="H808" s="11"/>
    </row>
    <row r="809" spans="1:8" ht="12.75" customHeight="1" x14ac:dyDescent="0.2">
      <c r="A809" s="332" t="s">
        <v>738</v>
      </c>
      <c r="B809" s="10"/>
      <c r="C809" s="10"/>
      <c r="D809" s="319"/>
      <c r="H809" s="11"/>
    </row>
    <row r="810" spans="1:8" ht="12.75" customHeight="1" x14ac:dyDescent="0.2">
      <c r="A810" s="332" t="s">
        <v>739</v>
      </c>
      <c r="B810" s="10"/>
      <c r="C810" s="10"/>
      <c r="D810" s="319"/>
      <c r="H810" s="11"/>
    </row>
    <row r="811" spans="1:8" ht="12.75" customHeight="1" thickBot="1" x14ac:dyDescent="0.25">
      <c r="A811" s="333"/>
      <c r="B811" s="334"/>
      <c r="C811" s="334"/>
      <c r="D811" s="335"/>
      <c r="H811" s="11"/>
    </row>
    <row r="812" spans="1:8" ht="12.75" customHeight="1" x14ac:dyDescent="0.2">
      <c r="C812" s="336"/>
      <c r="H812" s="11"/>
    </row>
    <row r="813" spans="1:8" ht="12.75" customHeight="1" x14ac:dyDescent="0.2">
      <c r="C813" s="336"/>
      <c r="H813" s="11"/>
    </row>
    <row r="814" spans="1:8" ht="12.75" customHeight="1" x14ac:dyDescent="0.2">
      <c r="C814" s="336"/>
      <c r="H814" s="11"/>
    </row>
    <row r="815" spans="1:8" ht="12.75" customHeight="1" x14ac:dyDescent="0.2">
      <c r="C815" s="336"/>
      <c r="H815" s="11"/>
    </row>
    <row r="816" spans="1:8" ht="12.75" customHeight="1" x14ac:dyDescent="0.2">
      <c r="C816" s="336"/>
      <c r="H816" s="11"/>
    </row>
    <row r="817" spans="3:8" ht="12.75" customHeight="1" x14ac:dyDescent="0.2">
      <c r="C817" s="336"/>
      <c r="H817" s="11"/>
    </row>
    <row r="818" spans="3:8" ht="12.75" customHeight="1" x14ac:dyDescent="0.2">
      <c r="C818" s="336"/>
      <c r="H818" s="11"/>
    </row>
    <row r="819" spans="3:8" ht="12.75" customHeight="1" x14ac:dyDescent="0.2">
      <c r="C819" s="336"/>
      <c r="H819" s="11"/>
    </row>
    <row r="820" spans="3:8" ht="12.75" customHeight="1" x14ac:dyDescent="0.2">
      <c r="C820" s="336"/>
      <c r="H820" s="11"/>
    </row>
    <row r="821" spans="3:8" ht="12.75" customHeight="1" x14ac:dyDescent="0.2">
      <c r="C821" s="336"/>
      <c r="H821" s="11"/>
    </row>
    <row r="822" spans="3:8" ht="12.75" customHeight="1" x14ac:dyDescent="0.2">
      <c r="C822" s="336"/>
      <c r="H822" s="11"/>
    </row>
    <row r="823" spans="3:8" ht="12.75" customHeight="1" x14ac:dyDescent="0.2">
      <c r="C823" s="336"/>
      <c r="H823" s="11"/>
    </row>
    <row r="824" spans="3:8" ht="12.75" customHeight="1" x14ac:dyDescent="0.2">
      <c r="C824" s="336"/>
      <c r="H824" s="11"/>
    </row>
    <row r="825" spans="3:8" ht="12.75" customHeight="1" x14ac:dyDescent="0.2">
      <c r="C825" s="336"/>
      <c r="H825" s="11"/>
    </row>
    <row r="826" spans="3:8" ht="12.75" customHeight="1" x14ac:dyDescent="0.2">
      <c r="C826" s="336"/>
      <c r="H826" s="11"/>
    </row>
    <row r="827" spans="3:8" ht="12.75" customHeight="1" x14ac:dyDescent="0.2">
      <c r="C827" s="336"/>
      <c r="H827" s="11"/>
    </row>
    <row r="828" spans="3:8" ht="12.75" customHeight="1" x14ac:dyDescent="0.2">
      <c r="C828" s="336"/>
      <c r="H828" s="11"/>
    </row>
    <row r="829" spans="3:8" ht="12.75" customHeight="1" x14ac:dyDescent="0.2">
      <c r="C829" s="336"/>
      <c r="H829" s="11"/>
    </row>
    <row r="830" spans="3:8" ht="12.75" customHeight="1" x14ac:dyDescent="0.2">
      <c r="C830" s="336"/>
      <c r="H830" s="11"/>
    </row>
    <row r="831" spans="3:8" ht="12.75" customHeight="1" x14ac:dyDescent="0.2">
      <c r="C831" s="336"/>
      <c r="H831" s="11"/>
    </row>
    <row r="832" spans="3:8" ht="12.75" customHeight="1" x14ac:dyDescent="0.2">
      <c r="H832" s="11"/>
    </row>
    <row r="833" spans="8:8" ht="12.75" customHeight="1" x14ac:dyDescent="0.2">
      <c r="H833" s="11"/>
    </row>
    <row r="834" spans="8:8" ht="12.75" customHeight="1" x14ac:dyDescent="0.2">
      <c r="H834" s="11"/>
    </row>
    <row r="835" spans="8:8" ht="12.75" customHeight="1" x14ac:dyDescent="0.2">
      <c r="H835" s="11"/>
    </row>
    <row r="836" spans="8:8" ht="12.75" customHeight="1" x14ac:dyDescent="0.2">
      <c r="H836" s="11"/>
    </row>
    <row r="837" spans="8:8" ht="12.75" customHeight="1" x14ac:dyDescent="0.2">
      <c r="H837" s="11"/>
    </row>
    <row r="838" spans="8:8" ht="12.75" customHeight="1" x14ac:dyDescent="0.2">
      <c r="H838" s="11"/>
    </row>
    <row r="839" spans="8:8" ht="12.75" customHeight="1" x14ac:dyDescent="0.2">
      <c r="H839" s="11"/>
    </row>
    <row r="840" spans="8:8" ht="12.75" customHeight="1" x14ac:dyDescent="0.2">
      <c r="H840" s="11"/>
    </row>
    <row r="841" spans="8:8" ht="12.75" customHeight="1" x14ac:dyDescent="0.2">
      <c r="H841" s="11"/>
    </row>
    <row r="842" spans="8:8" ht="12.75" customHeight="1" x14ac:dyDescent="0.2">
      <c r="H842" s="11"/>
    </row>
    <row r="843" spans="8:8" ht="12.75" customHeight="1" x14ac:dyDescent="0.2">
      <c r="H843" s="11"/>
    </row>
    <row r="844" spans="8:8" ht="12.75" customHeight="1" x14ac:dyDescent="0.2">
      <c r="H844" s="11"/>
    </row>
    <row r="845" spans="8:8" ht="12.75" customHeight="1" x14ac:dyDescent="0.2">
      <c r="H845" s="11"/>
    </row>
    <row r="846" spans="8:8" ht="12.75" customHeight="1" x14ac:dyDescent="0.2">
      <c r="H846" s="11"/>
    </row>
    <row r="847" spans="8:8" ht="12.75" customHeight="1" x14ac:dyDescent="0.2">
      <c r="H847" s="11"/>
    </row>
    <row r="848" spans="8:8" ht="12.75" customHeight="1" x14ac:dyDescent="0.2">
      <c r="H848" s="11"/>
    </row>
    <row r="849" spans="8:8" ht="12.75" customHeight="1" x14ac:dyDescent="0.2">
      <c r="H849" s="11"/>
    </row>
    <row r="850" spans="8:8" ht="12.75" customHeight="1" x14ac:dyDescent="0.2">
      <c r="H850" s="11"/>
    </row>
    <row r="851" spans="8:8" ht="12.75" customHeight="1" x14ac:dyDescent="0.2">
      <c r="H851" s="11"/>
    </row>
    <row r="852" spans="8:8" ht="12.75" customHeight="1" x14ac:dyDescent="0.2">
      <c r="H852" s="11"/>
    </row>
    <row r="853" spans="8:8" ht="12.75" customHeight="1" x14ac:dyDescent="0.2">
      <c r="H853" s="11"/>
    </row>
    <row r="854" spans="8:8" ht="12.75" customHeight="1" x14ac:dyDescent="0.2">
      <c r="H854" s="11"/>
    </row>
    <row r="855" spans="8:8" ht="12.75" customHeight="1" x14ac:dyDescent="0.2">
      <c r="H855" s="11"/>
    </row>
    <row r="856" spans="8:8" ht="12.75" customHeight="1" x14ac:dyDescent="0.2">
      <c r="H856" s="11"/>
    </row>
    <row r="857" spans="8:8" ht="12.75" customHeight="1" x14ac:dyDescent="0.2">
      <c r="H857" s="11"/>
    </row>
    <row r="858" spans="8:8" ht="12.75" customHeight="1" x14ac:dyDescent="0.2">
      <c r="H858" s="11"/>
    </row>
    <row r="859" spans="8:8" ht="12.75" customHeight="1" x14ac:dyDescent="0.2">
      <c r="H859" s="11"/>
    </row>
    <row r="860" spans="8:8" ht="12.75" customHeight="1" x14ac:dyDescent="0.2">
      <c r="H860" s="11"/>
    </row>
    <row r="861" spans="8:8" ht="12.75" customHeight="1" x14ac:dyDescent="0.2">
      <c r="H861" s="11"/>
    </row>
    <row r="862" spans="8:8" ht="12.75" customHeight="1" x14ac:dyDescent="0.2">
      <c r="H862" s="11"/>
    </row>
    <row r="863" spans="8:8" ht="12.75" customHeight="1" x14ac:dyDescent="0.2">
      <c r="H863" s="11"/>
    </row>
    <row r="864" spans="8:8" ht="12.75" customHeight="1" x14ac:dyDescent="0.2">
      <c r="H864" s="11"/>
    </row>
    <row r="865" spans="8:8" ht="12.75" customHeight="1" x14ac:dyDescent="0.2">
      <c r="H865" s="11"/>
    </row>
    <row r="866" spans="8:8" ht="12.75" customHeight="1" x14ac:dyDescent="0.2">
      <c r="H866" s="11"/>
    </row>
    <row r="867" spans="8:8" ht="12.75" customHeight="1" x14ac:dyDescent="0.2">
      <c r="H867" s="11"/>
    </row>
    <row r="868" spans="8:8" ht="12.75" customHeight="1" x14ac:dyDescent="0.2">
      <c r="H868" s="11"/>
    </row>
    <row r="869" spans="8:8" ht="12.75" customHeight="1" x14ac:dyDescent="0.2">
      <c r="H869" s="11"/>
    </row>
    <row r="870" spans="8:8" ht="12.75" customHeight="1" x14ac:dyDescent="0.2">
      <c r="H870" s="11"/>
    </row>
    <row r="871" spans="8:8" ht="12.75" customHeight="1" x14ac:dyDescent="0.2">
      <c r="H871" s="11"/>
    </row>
    <row r="872" spans="8:8" ht="12.75" customHeight="1" x14ac:dyDescent="0.2">
      <c r="H872" s="11"/>
    </row>
    <row r="873" spans="8:8" ht="12.75" customHeight="1" x14ac:dyDescent="0.2">
      <c r="H873" s="11"/>
    </row>
    <row r="874" spans="8:8" ht="12.75" customHeight="1" x14ac:dyDescent="0.2">
      <c r="H874" s="11"/>
    </row>
    <row r="875" spans="8:8" ht="12.75" customHeight="1" x14ac:dyDescent="0.2">
      <c r="H875" s="11"/>
    </row>
    <row r="876" spans="8:8" ht="12.75" customHeight="1" x14ac:dyDescent="0.2">
      <c r="H876" s="11"/>
    </row>
    <row r="877" spans="8:8" ht="12.75" customHeight="1" x14ac:dyDescent="0.2">
      <c r="H877" s="11"/>
    </row>
    <row r="878" spans="8:8" ht="12.75" customHeight="1" x14ac:dyDescent="0.2">
      <c r="H878" s="11"/>
    </row>
    <row r="879" spans="8:8" ht="12.75" customHeight="1" x14ac:dyDescent="0.2">
      <c r="H879" s="11"/>
    </row>
    <row r="880" spans="8:8" ht="12.75" customHeight="1" x14ac:dyDescent="0.2">
      <c r="H880" s="11"/>
    </row>
    <row r="881" spans="8:8" ht="12.75" customHeight="1" x14ac:dyDescent="0.2">
      <c r="H881" s="11"/>
    </row>
    <row r="882" spans="8:8" ht="12.75" customHeight="1" x14ac:dyDescent="0.2">
      <c r="H882" s="11"/>
    </row>
    <row r="883" spans="8:8" ht="12.75" customHeight="1" x14ac:dyDescent="0.2">
      <c r="H883" s="11"/>
    </row>
    <row r="884" spans="8:8" ht="12.75" customHeight="1" x14ac:dyDescent="0.2">
      <c r="H884" s="11"/>
    </row>
    <row r="885" spans="8:8" ht="12.75" customHeight="1" x14ac:dyDescent="0.2">
      <c r="H885" s="11"/>
    </row>
    <row r="886" spans="8:8" ht="12.75" customHeight="1" x14ac:dyDescent="0.2">
      <c r="H886" s="11"/>
    </row>
    <row r="887" spans="8:8" ht="12.75" customHeight="1" x14ac:dyDescent="0.2">
      <c r="H887" s="11"/>
    </row>
    <row r="888" spans="8:8" ht="12.75" customHeight="1" x14ac:dyDescent="0.2">
      <c r="H888" s="11"/>
    </row>
    <row r="889" spans="8:8" ht="12.75" customHeight="1" x14ac:dyDescent="0.2">
      <c r="H889" s="11"/>
    </row>
    <row r="890" spans="8:8" ht="12.75" customHeight="1" x14ac:dyDescent="0.2">
      <c r="H890" s="11"/>
    </row>
    <row r="891" spans="8:8" ht="12.75" customHeight="1" x14ac:dyDescent="0.2">
      <c r="H891" s="11"/>
    </row>
    <row r="892" spans="8:8" ht="12.75" customHeight="1" x14ac:dyDescent="0.2">
      <c r="H892" s="11"/>
    </row>
    <row r="893" spans="8:8" ht="12.75" customHeight="1" x14ac:dyDescent="0.2">
      <c r="H893" s="11"/>
    </row>
    <row r="894" spans="8:8" ht="12.75" customHeight="1" x14ac:dyDescent="0.2">
      <c r="H894" s="11"/>
    </row>
    <row r="895" spans="8:8" ht="12.75" customHeight="1" x14ac:dyDescent="0.2">
      <c r="H895" s="11"/>
    </row>
    <row r="896" spans="8:8" ht="12.75" customHeight="1" x14ac:dyDescent="0.2">
      <c r="H896" s="11"/>
    </row>
    <row r="897" spans="8:8" ht="12.75" customHeight="1" x14ac:dyDescent="0.2">
      <c r="H897" s="11"/>
    </row>
    <row r="898" spans="8:8" ht="12.75" customHeight="1" x14ac:dyDescent="0.2">
      <c r="H898" s="11"/>
    </row>
    <row r="899" spans="8:8" ht="12.75" customHeight="1" x14ac:dyDescent="0.2">
      <c r="H899" s="11"/>
    </row>
    <row r="900" spans="8:8" ht="12.75" customHeight="1" x14ac:dyDescent="0.2">
      <c r="H900" s="11"/>
    </row>
    <row r="901" spans="8:8" ht="12.75" customHeight="1" x14ac:dyDescent="0.2">
      <c r="H901" s="11"/>
    </row>
    <row r="902" spans="8:8" ht="12.75" customHeight="1" x14ac:dyDescent="0.2">
      <c r="H902" s="11"/>
    </row>
    <row r="903" spans="8:8" ht="12.75" customHeight="1" x14ac:dyDescent="0.2">
      <c r="H903" s="11"/>
    </row>
    <row r="904" spans="8:8" ht="12.75" customHeight="1" x14ac:dyDescent="0.2">
      <c r="H904" s="11"/>
    </row>
    <row r="905" spans="8:8" ht="12.75" customHeight="1" x14ac:dyDescent="0.2">
      <c r="H905" s="11"/>
    </row>
    <row r="906" spans="8:8" ht="12.75" customHeight="1" x14ac:dyDescent="0.2">
      <c r="H906" s="11"/>
    </row>
    <row r="907" spans="8:8" ht="12.75" customHeight="1" x14ac:dyDescent="0.2">
      <c r="H907" s="11"/>
    </row>
    <row r="908" spans="8:8" ht="12.75" customHeight="1" x14ac:dyDescent="0.2">
      <c r="H908" s="11"/>
    </row>
    <row r="909" spans="8:8" ht="12.75" customHeight="1" x14ac:dyDescent="0.2">
      <c r="H909" s="11"/>
    </row>
    <row r="910" spans="8:8" ht="12.75" customHeight="1" x14ac:dyDescent="0.2">
      <c r="H910" s="11"/>
    </row>
    <row r="911" spans="8:8" ht="12.75" customHeight="1" x14ac:dyDescent="0.2">
      <c r="H911" s="11"/>
    </row>
    <row r="912" spans="8:8" ht="12.75" customHeight="1" x14ac:dyDescent="0.2">
      <c r="H912" s="11"/>
    </row>
    <row r="913" spans="8:8" ht="12.75" customHeight="1" x14ac:dyDescent="0.2">
      <c r="H913" s="11"/>
    </row>
    <row r="914" spans="8:8" ht="12.75" customHeight="1" x14ac:dyDescent="0.2">
      <c r="H914" s="11"/>
    </row>
    <row r="915" spans="8:8" ht="12.75" customHeight="1" x14ac:dyDescent="0.2">
      <c r="H915" s="11"/>
    </row>
    <row r="916" spans="8:8" ht="12.75" customHeight="1" x14ac:dyDescent="0.2">
      <c r="H916" s="11"/>
    </row>
    <row r="917" spans="8:8" ht="12.75" customHeight="1" x14ac:dyDescent="0.2">
      <c r="H917" s="11"/>
    </row>
    <row r="918" spans="8:8" ht="12.75" customHeight="1" x14ac:dyDescent="0.2">
      <c r="H918" s="11"/>
    </row>
    <row r="919" spans="8:8" ht="12.75" customHeight="1" x14ac:dyDescent="0.2">
      <c r="H919" s="11"/>
    </row>
    <row r="920" spans="8:8" ht="12.75" customHeight="1" x14ac:dyDescent="0.2">
      <c r="H920" s="11"/>
    </row>
    <row r="921" spans="8:8" ht="12.75" customHeight="1" x14ac:dyDescent="0.2">
      <c r="H921" s="11"/>
    </row>
    <row r="922" spans="8:8" ht="12.75" customHeight="1" x14ac:dyDescent="0.2">
      <c r="H922" s="11"/>
    </row>
    <row r="923" spans="8:8" ht="12.75" customHeight="1" x14ac:dyDescent="0.2">
      <c r="H923" s="11"/>
    </row>
    <row r="924" spans="8:8" ht="12.75" customHeight="1" x14ac:dyDescent="0.2">
      <c r="H924" s="11"/>
    </row>
    <row r="925" spans="8:8" ht="12.75" customHeight="1" x14ac:dyDescent="0.2">
      <c r="H925" s="11"/>
    </row>
    <row r="926" spans="8:8" ht="12.75" customHeight="1" x14ac:dyDescent="0.2">
      <c r="H926" s="11"/>
    </row>
    <row r="927" spans="8:8" ht="12.75" customHeight="1" x14ac:dyDescent="0.2">
      <c r="H927" s="11"/>
    </row>
    <row r="928" spans="8:8" ht="12.75" customHeight="1" x14ac:dyDescent="0.2">
      <c r="H928" s="11"/>
    </row>
    <row r="929" spans="8:8" ht="12.75" customHeight="1" x14ac:dyDescent="0.2">
      <c r="H929" s="11"/>
    </row>
    <row r="930" spans="8:8" ht="12.75" customHeight="1" x14ac:dyDescent="0.2">
      <c r="H930" s="11"/>
    </row>
    <row r="931" spans="8:8" ht="12.75" customHeight="1" x14ac:dyDescent="0.2">
      <c r="H931" s="11"/>
    </row>
    <row r="932" spans="8:8" ht="12.75" customHeight="1" x14ac:dyDescent="0.2">
      <c r="H932" s="11"/>
    </row>
    <row r="933" spans="8:8" ht="12.75" customHeight="1" x14ac:dyDescent="0.2">
      <c r="H933" s="11"/>
    </row>
    <row r="934" spans="8:8" ht="12.75" customHeight="1" x14ac:dyDescent="0.2">
      <c r="H934" s="11"/>
    </row>
    <row r="935" spans="8:8" ht="12.75" customHeight="1" x14ac:dyDescent="0.2">
      <c r="H935" s="11"/>
    </row>
    <row r="936" spans="8:8" ht="12.75" customHeight="1" x14ac:dyDescent="0.2">
      <c r="H936" s="11"/>
    </row>
    <row r="937" spans="8:8" ht="12.75" customHeight="1" x14ac:dyDescent="0.2">
      <c r="H937" s="11"/>
    </row>
    <row r="938" spans="8:8" ht="12.75" customHeight="1" x14ac:dyDescent="0.2">
      <c r="H938" s="11"/>
    </row>
    <row r="939" spans="8:8" ht="12.75" customHeight="1" x14ac:dyDescent="0.2">
      <c r="H939" s="11"/>
    </row>
    <row r="940" spans="8:8" ht="12.75" customHeight="1" x14ac:dyDescent="0.2">
      <c r="H940" s="11"/>
    </row>
    <row r="941" spans="8:8" ht="12.75" customHeight="1" x14ac:dyDescent="0.2">
      <c r="H941" s="11"/>
    </row>
    <row r="942" spans="8:8" ht="12.75" customHeight="1" x14ac:dyDescent="0.2">
      <c r="H942" s="11"/>
    </row>
    <row r="943" spans="8:8" ht="12.75" customHeight="1" x14ac:dyDescent="0.2">
      <c r="H943" s="11"/>
    </row>
    <row r="944" spans="8:8" ht="12.75" customHeight="1" x14ac:dyDescent="0.2">
      <c r="H944" s="11"/>
    </row>
    <row r="945" spans="8:8" ht="12.75" customHeight="1" x14ac:dyDescent="0.2">
      <c r="H945" s="11"/>
    </row>
    <row r="946" spans="8:8" ht="12.75" customHeight="1" x14ac:dyDescent="0.2">
      <c r="H946" s="11"/>
    </row>
    <row r="947" spans="8:8" ht="12.75" customHeight="1" x14ac:dyDescent="0.2">
      <c r="H947" s="11"/>
    </row>
    <row r="948" spans="8:8" ht="12.75" customHeight="1" x14ac:dyDescent="0.2">
      <c r="H948" s="11"/>
    </row>
    <row r="949" spans="8:8" ht="12.75" customHeight="1" x14ac:dyDescent="0.2">
      <c r="H949" s="11"/>
    </row>
    <row r="950" spans="8:8" ht="12.75" customHeight="1" x14ac:dyDescent="0.2">
      <c r="H950" s="11"/>
    </row>
    <row r="951" spans="8:8" ht="12.75" customHeight="1" x14ac:dyDescent="0.2">
      <c r="H951" s="11"/>
    </row>
    <row r="952" spans="8:8" ht="12.75" customHeight="1" x14ac:dyDescent="0.2">
      <c r="H952" s="11"/>
    </row>
    <row r="953" spans="8:8" ht="12.75" customHeight="1" x14ac:dyDescent="0.2">
      <c r="H953" s="11"/>
    </row>
    <row r="954" spans="8:8" ht="12.75" customHeight="1" x14ac:dyDescent="0.2">
      <c r="H954" s="11"/>
    </row>
    <row r="955" spans="8:8" ht="12.75" customHeight="1" x14ac:dyDescent="0.2">
      <c r="H955" s="11"/>
    </row>
    <row r="956" spans="8:8" ht="12.75" customHeight="1" x14ac:dyDescent="0.2">
      <c r="H956" s="11"/>
    </row>
    <row r="957" spans="8:8" ht="12.75" customHeight="1" x14ac:dyDescent="0.2">
      <c r="H957" s="11"/>
    </row>
    <row r="958" spans="8:8" ht="12.75" customHeight="1" x14ac:dyDescent="0.2">
      <c r="H958" s="11"/>
    </row>
    <row r="959" spans="8:8" ht="12.75" customHeight="1" x14ac:dyDescent="0.2">
      <c r="H959" s="11"/>
    </row>
    <row r="960" spans="8:8" ht="12.75" customHeight="1" x14ac:dyDescent="0.2">
      <c r="H960" s="11"/>
    </row>
    <row r="961" spans="8:8" ht="12.75" customHeight="1" x14ac:dyDescent="0.2">
      <c r="H961" s="11"/>
    </row>
    <row r="962" spans="8:8" ht="12.75" customHeight="1" x14ac:dyDescent="0.2">
      <c r="H962" s="11"/>
    </row>
    <row r="963" spans="8:8" ht="12.75" customHeight="1" x14ac:dyDescent="0.2">
      <c r="H963" s="11"/>
    </row>
    <row r="964" spans="8:8" ht="12.75" customHeight="1" x14ac:dyDescent="0.2">
      <c r="H964" s="11"/>
    </row>
    <row r="965" spans="8:8" ht="12.75" customHeight="1" x14ac:dyDescent="0.2">
      <c r="H965" s="11"/>
    </row>
    <row r="966" spans="8:8" ht="12.75" customHeight="1" x14ac:dyDescent="0.2">
      <c r="H966" s="11"/>
    </row>
    <row r="967" spans="8:8" ht="12.75" customHeight="1" x14ac:dyDescent="0.2">
      <c r="H967" s="11"/>
    </row>
    <row r="968" spans="8:8" ht="12.75" customHeight="1" x14ac:dyDescent="0.2">
      <c r="H968" s="11"/>
    </row>
    <row r="969" spans="8:8" ht="12.75" customHeight="1" x14ac:dyDescent="0.2">
      <c r="H969" s="11"/>
    </row>
    <row r="970" spans="8:8" ht="12.75" customHeight="1" x14ac:dyDescent="0.2">
      <c r="H970" s="11"/>
    </row>
    <row r="971" spans="8:8" ht="12.75" customHeight="1" x14ac:dyDescent="0.2">
      <c r="H971" s="11"/>
    </row>
    <row r="972" spans="8:8" ht="12.75" customHeight="1" x14ac:dyDescent="0.2">
      <c r="H972" s="11"/>
    </row>
    <row r="973" spans="8:8" ht="12.75" customHeight="1" x14ac:dyDescent="0.2">
      <c r="H973" s="11"/>
    </row>
    <row r="974" spans="8:8" ht="12.75" customHeight="1" x14ac:dyDescent="0.2">
      <c r="H974" s="11"/>
    </row>
    <row r="975" spans="8:8" ht="12.75" customHeight="1" x14ac:dyDescent="0.2">
      <c r="H975" s="11"/>
    </row>
    <row r="976" spans="8:8" ht="12.75" customHeight="1" x14ac:dyDescent="0.2">
      <c r="H976" s="11"/>
    </row>
    <row r="977" spans="8:8" ht="12.75" customHeight="1" x14ac:dyDescent="0.2">
      <c r="H977" s="11"/>
    </row>
    <row r="978" spans="8:8" ht="12.75" customHeight="1" x14ac:dyDescent="0.2">
      <c r="H978" s="11"/>
    </row>
    <row r="979" spans="8:8" ht="12.75" customHeight="1" x14ac:dyDescent="0.2">
      <c r="H979" s="11"/>
    </row>
    <row r="980" spans="8:8" ht="12.75" customHeight="1" x14ac:dyDescent="0.2">
      <c r="H980" s="11"/>
    </row>
    <row r="981" spans="8:8" ht="12.75" customHeight="1" x14ac:dyDescent="0.2">
      <c r="H981" s="11"/>
    </row>
    <row r="982" spans="8:8" ht="12.75" customHeight="1" x14ac:dyDescent="0.2">
      <c r="H982" s="11"/>
    </row>
    <row r="983" spans="8:8" ht="12.75" customHeight="1" x14ac:dyDescent="0.2">
      <c r="H983" s="11"/>
    </row>
    <row r="984" spans="8:8" ht="12.75" customHeight="1" x14ac:dyDescent="0.2">
      <c r="H984" s="11"/>
    </row>
    <row r="985" spans="8:8" ht="12.75" customHeight="1" x14ac:dyDescent="0.2">
      <c r="H985" s="11"/>
    </row>
    <row r="986" spans="8:8" ht="12.75" customHeight="1" x14ac:dyDescent="0.2">
      <c r="H986" s="11"/>
    </row>
    <row r="987" spans="8:8" ht="12.75" customHeight="1" x14ac:dyDescent="0.2">
      <c r="H987" s="11"/>
    </row>
    <row r="988" spans="8:8" ht="12.75" customHeight="1" x14ac:dyDescent="0.2">
      <c r="H988" s="11"/>
    </row>
    <row r="989" spans="8:8" ht="12.75" customHeight="1" x14ac:dyDescent="0.2">
      <c r="H989" s="11"/>
    </row>
    <row r="990" spans="8:8" ht="12.75" customHeight="1" x14ac:dyDescent="0.2">
      <c r="H990" s="11"/>
    </row>
    <row r="991" spans="8:8" ht="12.75" customHeight="1" x14ac:dyDescent="0.2">
      <c r="H991" s="11"/>
    </row>
    <row r="992" spans="8:8" ht="12.75" customHeight="1" x14ac:dyDescent="0.2">
      <c r="H992" s="11"/>
    </row>
    <row r="993" spans="8:8" ht="12.75" customHeight="1" x14ac:dyDescent="0.2">
      <c r="H993" s="11"/>
    </row>
    <row r="994" spans="8:8" ht="12.75" customHeight="1" x14ac:dyDescent="0.2">
      <c r="H994" s="11"/>
    </row>
    <row r="995" spans="8:8" ht="12.75" customHeight="1" x14ac:dyDescent="0.2">
      <c r="H995" s="11"/>
    </row>
    <row r="996" spans="8:8" ht="12.75" customHeight="1" x14ac:dyDescent="0.2">
      <c r="H996" s="11"/>
    </row>
    <row r="997" spans="8:8" ht="12.75" customHeight="1" x14ac:dyDescent="0.2">
      <c r="H997" s="11"/>
    </row>
    <row r="998" spans="8:8" ht="12.75" customHeight="1" x14ac:dyDescent="0.2">
      <c r="H998" s="11"/>
    </row>
    <row r="999" spans="8:8" ht="12.75" customHeight="1" x14ac:dyDescent="0.2">
      <c r="H999" s="11"/>
    </row>
    <row r="1000" spans="8:8" ht="12.75" customHeight="1" x14ac:dyDescent="0.2">
      <c r="H1000" s="11"/>
    </row>
    <row r="1001" spans="8:8" ht="12.75" customHeight="1" x14ac:dyDescent="0.2">
      <c r="H1001" s="11"/>
    </row>
    <row r="1002" spans="8:8" ht="12.75" customHeight="1" x14ac:dyDescent="0.2">
      <c r="H1002" s="11"/>
    </row>
    <row r="1003" spans="8:8" ht="12.75" customHeight="1" x14ac:dyDescent="0.2">
      <c r="H1003" s="11"/>
    </row>
    <row r="1004" spans="8:8" ht="12.75" customHeight="1" x14ac:dyDescent="0.2">
      <c r="H1004" s="11"/>
    </row>
    <row r="1005" spans="8:8" ht="12.75" customHeight="1" x14ac:dyDescent="0.2">
      <c r="H1005" s="11"/>
    </row>
    <row r="1006" spans="8:8" ht="12.75" customHeight="1" x14ac:dyDescent="0.2">
      <c r="H1006" s="11"/>
    </row>
    <row r="1007" spans="8:8" ht="12.75" customHeight="1" x14ac:dyDescent="0.2">
      <c r="H1007" s="11"/>
    </row>
    <row r="1008" spans="8:8" ht="12.75" customHeight="1" x14ac:dyDescent="0.2">
      <c r="H1008" s="11"/>
    </row>
    <row r="1009" spans="8:8" ht="12.75" customHeight="1" x14ac:dyDescent="0.2">
      <c r="H1009" s="11"/>
    </row>
    <row r="1010" spans="8:8" ht="12.75" customHeight="1" x14ac:dyDescent="0.2">
      <c r="H1010" s="11"/>
    </row>
    <row r="1011" spans="8:8" ht="12.75" customHeight="1" x14ac:dyDescent="0.2">
      <c r="H1011" s="11"/>
    </row>
    <row r="1012" spans="8:8" ht="12.75" customHeight="1" x14ac:dyDescent="0.2">
      <c r="H1012" s="11"/>
    </row>
    <row r="1013" spans="8:8" ht="12.75" customHeight="1" x14ac:dyDescent="0.2">
      <c r="H1013" s="11"/>
    </row>
    <row r="1014" spans="8:8" ht="12.75" customHeight="1" x14ac:dyDescent="0.2">
      <c r="H1014" s="11"/>
    </row>
    <row r="1015" spans="8:8" ht="12.75" customHeight="1" x14ac:dyDescent="0.2">
      <c r="H1015" s="11"/>
    </row>
    <row r="1016" spans="8:8" ht="12.75" customHeight="1" x14ac:dyDescent="0.2">
      <c r="H1016" s="11"/>
    </row>
    <row r="1017" spans="8:8" ht="12.75" customHeight="1" x14ac:dyDescent="0.2">
      <c r="H1017" s="11"/>
    </row>
    <row r="1018" spans="8:8" ht="12.75" customHeight="1" x14ac:dyDescent="0.2">
      <c r="H1018" s="11"/>
    </row>
    <row r="1019" spans="8:8" ht="12.75" customHeight="1" x14ac:dyDescent="0.2">
      <c r="H1019" s="11"/>
    </row>
    <row r="1020" spans="8:8" ht="12.75" customHeight="1" x14ac:dyDescent="0.2">
      <c r="H1020" s="11"/>
    </row>
    <row r="1021" spans="8:8" ht="12.75" customHeight="1" x14ac:dyDescent="0.2">
      <c r="H1021" s="11"/>
    </row>
    <row r="1022" spans="8:8" ht="12.75" customHeight="1" x14ac:dyDescent="0.2">
      <c r="H1022" s="11"/>
    </row>
    <row r="1023" spans="8:8" ht="12.75" customHeight="1" x14ac:dyDescent="0.2">
      <c r="H1023" s="11"/>
    </row>
    <row r="1024" spans="8:8" ht="12.75" customHeight="1" x14ac:dyDescent="0.2">
      <c r="H1024" s="11"/>
    </row>
    <row r="1025" spans="8:8" ht="12.75" customHeight="1" x14ac:dyDescent="0.2">
      <c r="H1025" s="11"/>
    </row>
    <row r="1026" spans="8:8" ht="12.75" customHeight="1" x14ac:dyDescent="0.2">
      <c r="H1026" s="11"/>
    </row>
    <row r="1027" spans="8:8" ht="12.75" customHeight="1" x14ac:dyDescent="0.2">
      <c r="H1027" s="11"/>
    </row>
    <row r="1028" spans="8:8" ht="12.75" customHeight="1" x14ac:dyDescent="0.2">
      <c r="H1028" s="11"/>
    </row>
    <row r="1029" spans="8:8" ht="12.75" customHeight="1" x14ac:dyDescent="0.2">
      <c r="H1029" s="11"/>
    </row>
    <row r="1030" spans="8:8" ht="12.75" customHeight="1" x14ac:dyDescent="0.2">
      <c r="H1030" s="11"/>
    </row>
    <row r="1031" spans="8:8" ht="12.75" customHeight="1" x14ac:dyDescent="0.2">
      <c r="H1031" s="11"/>
    </row>
    <row r="1032" spans="8:8" ht="12.75" customHeight="1" x14ac:dyDescent="0.2">
      <c r="H1032" s="11"/>
    </row>
    <row r="1033" spans="8:8" ht="12.75" customHeight="1" x14ac:dyDescent="0.2">
      <c r="H1033" s="11"/>
    </row>
    <row r="1034" spans="8:8" ht="12.75" customHeight="1" x14ac:dyDescent="0.2">
      <c r="H1034" s="11"/>
    </row>
    <row r="1035" spans="8:8" ht="12.75" customHeight="1" x14ac:dyDescent="0.2">
      <c r="H1035" s="11"/>
    </row>
    <row r="1036" spans="8:8" ht="12.75" customHeight="1" x14ac:dyDescent="0.2">
      <c r="H1036" s="11"/>
    </row>
    <row r="1037" spans="8:8" ht="12.75" customHeight="1" x14ac:dyDescent="0.2">
      <c r="H1037" s="11"/>
    </row>
    <row r="1038" spans="8:8" ht="12.75" customHeight="1" x14ac:dyDescent="0.2">
      <c r="H1038" s="11"/>
    </row>
    <row r="1039" spans="8:8" ht="12.75" customHeight="1" x14ac:dyDescent="0.2">
      <c r="H1039" s="11"/>
    </row>
    <row r="1040" spans="8:8" ht="12.75" customHeight="1" x14ac:dyDescent="0.2">
      <c r="H1040" s="11"/>
    </row>
    <row r="1041" spans="8:8" ht="12.75" customHeight="1" x14ac:dyDescent="0.2">
      <c r="H1041" s="11"/>
    </row>
    <row r="1042" spans="8:8" ht="12.75" customHeight="1" x14ac:dyDescent="0.2">
      <c r="H1042" s="11"/>
    </row>
    <row r="1043" spans="8:8" ht="12.75" customHeight="1" x14ac:dyDescent="0.2">
      <c r="H1043" s="11"/>
    </row>
    <row r="1044" spans="8:8" ht="12.75" customHeight="1" x14ac:dyDescent="0.2">
      <c r="H1044" s="11"/>
    </row>
    <row r="1045" spans="8:8" ht="12.75" customHeight="1" x14ac:dyDescent="0.2">
      <c r="H1045" s="11"/>
    </row>
    <row r="1046" spans="8:8" ht="12.75" customHeight="1" x14ac:dyDescent="0.2">
      <c r="H1046" s="11"/>
    </row>
    <row r="1047" spans="8:8" ht="12.75" customHeight="1" x14ac:dyDescent="0.2">
      <c r="H1047" s="11"/>
    </row>
    <row r="1048" spans="8:8" ht="12.75" customHeight="1" x14ac:dyDescent="0.2">
      <c r="H1048" s="11"/>
    </row>
    <row r="1049" spans="8:8" ht="12.75" customHeight="1" x14ac:dyDescent="0.2">
      <c r="H1049" s="11"/>
    </row>
    <row r="1050" spans="8:8" ht="12.75" customHeight="1" x14ac:dyDescent="0.2">
      <c r="H1050" s="11"/>
    </row>
    <row r="1051" spans="8:8" ht="12.75" customHeight="1" x14ac:dyDescent="0.2">
      <c r="H1051" s="11"/>
    </row>
    <row r="1052" spans="8:8" ht="12.75" customHeight="1" x14ac:dyDescent="0.2">
      <c r="H1052" s="11"/>
    </row>
    <row r="1053" spans="8:8" ht="12.75" customHeight="1" x14ac:dyDescent="0.2">
      <c r="H1053" s="11"/>
    </row>
    <row r="1054" spans="8:8" ht="12.75" customHeight="1" x14ac:dyDescent="0.2">
      <c r="H1054" s="11"/>
    </row>
    <row r="1055" spans="8:8" ht="12.75" customHeight="1" x14ac:dyDescent="0.2">
      <c r="H1055" s="11"/>
    </row>
    <row r="1056" spans="8:8" ht="12.75" customHeight="1" x14ac:dyDescent="0.2">
      <c r="H1056" s="11"/>
    </row>
    <row r="1057" spans="8:8" ht="12.75" customHeight="1" x14ac:dyDescent="0.2">
      <c r="H1057" s="11"/>
    </row>
    <row r="1058" spans="8:8" ht="12.75" customHeight="1" x14ac:dyDescent="0.2">
      <c r="H1058" s="11"/>
    </row>
    <row r="1059" spans="8:8" ht="12.75" customHeight="1" x14ac:dyDescent="0.2">
      <c r="H1059" s="11"/>
    </row>
    <row r="1060" spans="8:8" ht="12.75" customHeight="1" x14ac:dyDescent="0.2">
      <c r="H1060" s="11"/>
    </row>
    <row r="1061" spans="8:8" ht="12.75" customHeight="1" x14ac:dyDescent="0.2">
      <c r="H1061" s="11"/>
    </row>
    <row r="1062" spans="8:8" ht="12.75" customHeight="1" x14ac:dyDescent="0.2">
      <c r="H1062" s="11"/>
    </row>
    <row r="1063" spans="8:8" ht="12.75" customHeight="1" x14ac:dyDescent="0.2">
      <c r="H1063" s="11"/>
    </row>
    <row r="1064" spans="8:8" ht="12.75" customHeight="1" x14ac:dyDescent="0.2">
      <c r="H1064" s="11"/>
    </row>
    <row r="1065" spans="8:8" ht="12.75" customHeight="1" x14ac:dyDescent="0.2">
      <c r="H1065" s="11"/>
    </row>
    <row r="1066" spans="8:8" ht="12.75" customHeight="1" x14ac:dyDescent="0.2">
      <c r="H1066" s="11"/>
    </row>
    <row r="1067" spans="8:8" ht="12.75" customHeight="1" x14ac:dyDescent="0.2">
      <c r="H1067" s="11"/>
    </row>
    <row r="1068" spans="8:8" ht="12.75" customHeight="1" x14ac:dyDescent="0.2">
      <c r="H1068" s="11"/>
    </row>
    <row r="1069" spans="8:8" ht="12.75" customHeight="1" x14ac:dyDescent="0.2">
      <c r="H1069" s="11"/>
    </row>
    <row r="1070" spans="8:8" ht="12.75" customHeight="1" x14ac:dyDescent="0.2">
      <c r="H1070" s="11"/>
    </row>
    <row r="1071" spans="8:8" ht="12.75" customHeight="1" x14ac:dyDescent="0.2">
      <c r="H1071" s="11"/>
    </row>
    <row r="1072" spans="8:8" ht="12.75" customHeight="1" x14ac:dyDescent="0.2">
      <c r="H1072" s="11"/>
    </row>
    <row r="1073" spans="8:8" ht="12.75" customHeight="1" x14ac:dyDescent="0.2">
      <c r="H1073" s="11"/>
    </row>
    <row r="1074" spans="8:8" ht="12.75" customHeight="1" x14ac:dyDescent="0.2">
      <c r="H1074" s="11"/>
    </row>
    <row r="1075" spans="8:8" ht="12.75" customHeight="1" x14ac:dyDescent="0.2">
      <c r="H1075" s="11"/>
    </row>
    <row r="1076" spans="8:8" ht="12.75" customHeight="1" x14ac:dyDescent="0.2">
      <c r="H1076" s="11"/>
    </row>
    <row r="1077" spans="8:8" ht="12.75" customHeight="1" x14ac:dyDescent="0.2">
      <c r="H1077" s="11"/>
    </row>
    <row r="1078" spans="8:8" ht="12.75" customHeight="1" x14ac:dyDescent="0.2">
      <c r="H1078" s="11"/>
    </row>
    <row r="1079" spans="8:8" ht="12.75" customHeight="1" x14ac:dyDescent="0.2">
      <c r="H1079" s="11"/>
    </row>
    <row r="1080" spans="8:8" ht="12.75" customHeight="1" x14ac:dyDescent="0.2">
      <c r="H1080" s="11"/>
    </row>
    <row r="1081" spans="8:8" ht="12.75" customHeight="1" x14ac:dyDescent="0.2">
      <c r="H1081" s="11"/>
    </row>
    <row r="1082" spans="8:8" ht="12.75" customHeight="1" x14ac:dyDescent="0.2">
      <c r="H1082" s="11"/>
    </row>
    <row r="1083" spans="8:8" ht="12.75" customHeight="1" x14ac:dyDescent="0.2">
      <c r="H1083" s="11"/>
    </row>
    <row r="1084" spans="8:8" ht="12.75" customHeight="1" x14ac:dyDescent="0.2">
      <c r="H1084" s="11"/>
    </row>
    <row r="1085" spans="8:8" ht="12.75" customHeight="1" x14ac:dyDescent="0.2">
      <c r="H1085" s="11"/>
    </row>
    <row r="1086" spans="8:8" ht="12.75" customHeight="1" x14ac:dyDescent="0.2">
      <c r="H1086" s="11"/>
    </row>
    <row r="1087" spans="8:8" ht="12.75" customHeight="1" x14ac:dyDescent="0.2">
      <c r="H1087" s="11"/>
    </row>
    <row r="1088" spans="8:8" ht="12.75" customHeight="1" x14ac:dyDescent="0.2">
      <c r="H1088" s="11"/>
    </row>
    <row r="1089" spans="8:8" ht="12.75" customHeight="1" x14ac:dyDescent="0.2">
      <c r="H1089" s="11"/>
    </row>
    <row r="1090" spans="8:8" ht="12.75" customHeight="1" x14ac:dyDescent="0.2">
      <c r="H1090" s="11"/>
    </row>
    <row r="1091" spans="8:8" ht="12.75" customHeight="1" x14ac:dyDescent="0.2">
      <c r="H1091" s="11"/>
    </row>
    <row r="1092" spans="8:8" ht="12.75" customHeight="1" x14ac:dyDescent="0.2">
      <c r="H1092" s="11"/>
    </row>
    <row r="1093" spans="8:8" ht="12.75" customHeight="1" x14ac:dyDescent="0.2">
      <c r="H1093" s="11"/>
    </row>
    <row r="1094" spans="8:8" ht="12.75" customHeight="1" x14ac:dyDescent="0.2">
      <c r="H1094" s="11"/>
    </row>
    <row r="1095" spans="8:8" ht="12.75" customHeight="1" x14ac:dyDescent="0.2">
      <c r="H1095" s="11"/>
    </row>
    <row r="1096" spans="8:8" ht="12.75" customHeight="1" x14ac:dyDescent="0.2">
      <c r="H1096" s="11"/>
    </row>
    <row r="1097" spans="8:8" ht="12.75" customHeight="1" x14ac:dyDescent="0.2">
      <c r="H1097" s="11"/>
    </row>
    <row r="1098" spans="8:8" ht="12.75" customHeight="1" x14ac:dyDescent="0.2">
      <c r="H1098" s="11"/>
    </row>
    <row r="1099" spans="8:8" ht="12.75" customHeight="1" x14ac:dyDescent="0.2">
      <c r="H1099" s="11"/>
    </row>
    <row r="1100" spans="8:8" ht="12.75" customHeight="1" x14ac:dyDescent="0.2">
      <c r="H1100" s="11"/>
    </row>
    <row r="1101" spans="8:8" ht="12.75" customHeight="1" x14ac:dyDescent="0.2">
      <c r="H1101" s="11"/>
    </row>
    <row r="1102" spans="8:8" ht="12.75" customHeight="1" x14ac:dyDescent="0.2">
      <c r="H1102" s="11"/>
    </row>
    <row r="1103" spans="8:8" ht="12.75" customHeight="1" x14ac:dyDescent="0.2">
      <c r="H1103" s="11"/>
    </row>
    <row r="1104" spans="8:8" ht="12.75" customHeight="1" x14ac:dyDescent="0.2">
      <c r="H1104" s="11"/>
    </row>
    <row r="1105" spans="8:8" ht="12.75" customHeight="1" x14ac:dyDescent="0.2">
      <c r="H1105" s="11"/>
    </row>
    <row r="1106" spans="8:8" ht="12.75" customHeight="1" x14ac:dyDescent="0.2">
      <c r="H1106" s="11"/>
    </row>
    <row r="1107" spans="8:8" ht="12.75" customHeight="1" x14ac:dyDescent="0.2">
      <c r="H1107" s="11"/>
    </row>
    <row r="1108" spans="8:8" ht="12.75" customHeight="1" x14ac:dyDescent="0.2">
      <c r="H1108" s="11"/>
    </row>
    <row r="1109" spans="8:8" ht="12.75" customHeight="1" x14ac:dyDescent="0.2">
      <c r="H1109" s="11"/>
    </row>
    <row r="1110" spans="8:8" ht="12.75" customHeight="1" x14ac:dyDescent="0.2">
      <c r="H1110" s="11"/>
    </row>
    <row r="1111" spans="8:8" ht="12.75" customHeight="1" x14ac:dyDescent="0.2">
      <c r="H1111" s="11"/>
    </row>
    <row r="1112" spans="8:8" ht="12.75" customHeight="1" x14ac:dyDescent="0.2">
      <c r="H1112" s="11"/>
    </row>
    <row r="1113" spans="8:8" ht="12.75" customHeight="1" x14ac:dyDescent="0.2">
      <c r="H1113" s="11"/>
    </row>
    <row r="1114" spans="8:8" ht="12.75" customHeight="1" x14ac:dyDescent="0.2">
      <c r="H1114" s="11"/>
    </row>
    <row r="1115" spans="8:8" ht="12.75" customHeight="1" x14ac:dyDescent="0.2">
      <c r="H1115" s="11"/>
    </row>
    <row r="1116" spans="8:8" ht="12.75" customHeight="1" x14ac:dyDescent="0.2">
      <c r="H1116" s="11"/>
    </row>
    <row r="1117" spans="8:8" ht="12.75" customHeight="1" x14ac:dyDescent="0.2">
      <c r="H1117" s="11"/>
    </row>
    <row r="1118" spans="8:8" ht="12.75" customHeight="1" x14ac:dyDescent="0.2">
      <c r="H1118" s="11"/>
    </row>
    <row r="1119" spans="8:8" ht="12.75" customHeight="1" x14ac:dyDescent="0.2">
      <c r="H1119" s="11"/>
    </row>
    <row r="1120" spans="8:8" ht="12.75" customHeight="1" x14ac:dyDescent="0.2">
      <c r="H1120" s="11"/>
    </row>
    <row r="1121" spans="8:8" ht="12.75" customHeight="1" x14ac:dyDescent="0.2">
      <c r="H1121" s="11"/>
    </row>
    <row r="1122" spans="8:8" ht="12.75" customHeight="1" x14ac:dyDescent="0.2">
      <c r="H1122" s="11"/>
    </row>
    <row r="1123" spans="8:8" ht="12.75" customHeight="1" x14ac:dyDescent="0.2">
      <c r="H1123" s="11"/>
    </row>
    <row r="1124" spans="8:8" ht="12.75" customHeight="1" x14ac:dyDescent="0.2">
      <c r="H1124" s="11"/>
    </row>
    <row r="1125" spans="8:8" ht="12.75" customHeight="1" x14ac:dyDescent="0.2">
      <c r="H1125" s="11"/>
    </row>
    <row r="1126" spans="8:8" ht="12.75" customHeight="1" x14ac:dyDescent="0.2">
      <c r="H1126" s="11"/>
    </row>
    <row r="1127" spans="8:8" ht="12.75" customHeight="1" x14ac:dyDescent="0.2">
      <c r="H1127" s="11"/>
    </row>
    <row r="1128" spans="8:8" ht="12.75" customHeight="1" x14ac:dyDescent="0.2">
      <c r="H1128" s="11"/>
    </row>
    <row r="1129" spans="8:8" ht="12.75" customHeight="1" x14ac:dyDescent="0.2">
      <c r="H1129" s="11"/>
    </row>
    <row r="1130" spans="8:8" ht="12.75" customHeight="1" x14ac:dyDescent="0.2">
      <c r="H1130" s="11"/>
    </row>
    <row r="1131" spans="8:8" ht="12.75" customHeight="1" x14ac:dyDescent="0.2">
      <c r="H1131" s="11"/>
    </row>
    <row r="1132" spans="8:8" ht="12.75" customHeight="1" x14ac:dyDescent="0.2">
      <c r="H1132" s="11"/>
    </row>
    <row r="1133" spans="8:8" ht="12.75" customHeight="1" x14ac:dyDescent="0.2">
      <c r="H1133" s="11"/>
    </row>
    <row r="1134" spans="8:8" ht="12.75" customHeight="1" x14ac:dyDescent="0.2">
      <c r="H1134" s="11"/>
    </row>
    <row r="1135" spans="8:8" ht="12.75" customHeight="1" x14ac:dyDescent="0.2">
      <c r="H1135" s="11"/>
    </row>
    <row r="1136" spans="8:8" ht="12.75" customHeight="1" x14ac:dyDescent="0.2">
      <c r="H1136" s="11"/>
    </row>
    <row r="1137" spans="8:8" ht="12.75" customHeight="1" x14ac:dyDescent="0.2">
      <c r="H1137" s="11"/>
    </row>
    <row r="1138" spans="8:8" ht="12.75" customHeight="1" x14ac:dyDescent="0.2">
      <c r="H1138" s="11"/>
    </row>
    <row r="1139" spans="8:8" ht="12.75" customHeight="1" x14ac:dyDescent="0.2">
      <c r="H1139" s="11"/>
    </row>
    <row r="1140" spans="8:8" ht="12.75" customHeight="1" x14ac:dyDescent="0.2">
      <c r="H1140" s="11"/>
    </row>
    <row r="1141" spans="8:8" ht="12.75" customHeight="1" x14ac:dyDescent="0.2">
      <c r="H1141" s="11"/>
    </row>
    <row r="1142" spans="8:8" ht="12.75" customHeight="1" x14ac:dyDescent="0.2">
      <c r="H1142" s="11"/>
    </row>
    <row r="1143" spans="8:8" ht="12.75" customHeight="1" x14ac:dyDescent="0.2">
      <c r="H1143" s="11"/>
    </row>
    <row r="1144" spans="8:8" ht="12.75" customHeight="1" x14ac:dyDescent="0.2">
      <c r="H1144" s="11"/>
    </row>
    <row r="1145" spans="8:8" ht="12.75" customHeight="1" x14ac:dyDescent="0.2">
      <c r="H1145" s="11"/>
    </row>
    <row r="1146" spans="8:8" ht="12.75" customHeight="1" x14ac:dyDescent="0.2">
      <c r="H1146" s="11"/>
    </row>
    <row r="1147" spans="8:8" ht="12.75" customHeight="1" x14ac:dyDescent="0.2">
      <c r="H1147" s="11"/>
    </row>
    <row r="1148" spans="8:8" ht="12.75" customHeight="1" x14ac:dyDescent="0.2">
      <c r="H1148" s="11"/>
    </row>
    <row r="1149" spans="8:8" ht="12.75" customHeight="1" x14ac:dyDescent="0.2">
      <c r="H1149" s="11"/>
    </row>
    <row r="1150" spans="8:8" ht="12.75" customHeight="1" x14ac:dyDescent="0.2">
      <c r="H1150" s="11"/>
    </row>
    <row r="1151" spans="8:8" ht="12.75" customHeight="1" x14ac:dyDescent="0.2">
      <c r="H1151" s="11"/>
    </row>
    <row r="1152" spans="8:8" ht="12.75" customHeight="1" x14ac:dyDescent="0.2">
      <c r="H1152" s="11"/>
    </row>
    <row r="1153" spans="8:8" ht="12.75" customHeight="1" x14ac:dyDescent="0.2">
      <c r="H1153" s="11"/>
    </row>
    <row r="1154" spans="8:8" ht="12.75" customHeight="1" x14ac:dyDescent="0.2">
      <c r="H1154" s="11"/>
    </row>
    <row r="1155" spans="8:8" ht="12.75" customHeight="1" x14ac:dyDescent="0.2">
      <c r="H1155" s="11"/>
    </row>
    <row r="1156" spans="8:8" ht="12.75" customHeight="1" x14ac:dyDescent="0.2">
      <c r="H1156" s="11"/>
    </row>
    <row r="1157" spans="8:8" ht="12.75" customHeight="1" x14ac:dyDescent="0.2">
      <c r="H1157" s="11"/>
    </row>
    <row r="1158" spans="8:8" ht="12.75" customHeight="1" x14ac:dyDescent="0.2">
      <c r="H1158" s="11"/>
    </row>
    <row r="1159" spans="8:8" ht="12.75" customHeight="1" x14ac:dyDescent="0.2">
      <c r="H1159" s="11"/>
    </row>
    <row r="1160" spans="8:8" ht="12.75" customHeight="1" x14ac:dyDescent="0.2">
      <c r="H1160" s="11"/>
    </row>
    <row r="1161" spans="8:8" ht="12.75" customHeight="1" x14ac:dyDescent="0.2">
      <c r="H1161" s="11"/>
    </row>
    <row r="1162" spans="8:8" ht="12.75" customHeight="1" x14ac:dyDescent="0.2">
      <c r="H1162" s="11"/>
    </row>
    <row r="1163" spans="8:8" ht="12.75" customHeight="1" x14ac:dyDescent="0.2">
      <c r="H1163" s="11"/>
    </row>
    <row r="1164" spans="8:8" ht="12.75" customHeight="1" x14ac:dyDescent="0.2">
      <c r="H1164" s="11"/>
    </row>
    <row r="1165" spans="8:8" ht="12.75" customHeight="1" x14ac:dyDescent="0.2">
      <c r="H1165" s="10"/>
    </row>
    <row r="1166" spans="8:8" ht="12.75" customHeight="1" x14ac:dyDescent="0.2">
      <c r="H1166" s="10"/>
    </row>
    <row r="1167" spans="8:8" ht="12.75" customHeight="1" x14ac:dyDescent="0.2">
      <c r="H1167" s="10"/>
    </row>
    <row r="1168" spans="8:8" ht="12.75" customHeight="1" x14ac:dyDescent="0.2">
      <c r="H1168" s="10"/>
    </row>
    <row r="1169" spans="8:8" ht="12.75" customHeight="1" x14ac:dyDescent="0.2">
      <c r="H1169" s="10"/>
    </row>
    <row r="1170" spans="8:8" ht="12.75" customHeight="1" x14ac:dyDescent="0.2">
      <c r="H1170" s="10"/>
    </row>
    <row r="1171" spans="8:8" ht="12.75" customHeight="1" x14ac:dyDescent="0.2">
      <c r="H1171" s="10"/>
    </row>
    <row r="1172" spans="8:8" ht="12.75" customHeight="1" x14ac:dyDescent="0.2">
      <c r="H1172" s="10"/>
    </row>
    <row r="1173" spans="8:8" ht="12.75" customHeight="1" x14ac:dyDescent="0.2">
      <c r="H1173" s="10"/>
    </row>
    <row r="1174" spans="8:8" ht="12.75" customHeight="1" x14ac:dyDescent="0.2">
      <c r="H1174" s="10"/>
    </row>
    <row r="1175" spans="8:8" ht="12.75" customHeight="1" x14ac:dyDescent="0.2">
      <c r="H1175" s="10"/>
    </row>
    <row r="1176" spans="8:8" ht="12.75" customHeight="1" x14ac:dyDescent="0.2">
      <c r="H1176" s="10"/>
    </row>
    <row r="1177" spans="8:8" ht="12.75" customHeight="1" x14ac:dyDescent="0.2">
      <c r="H1177" s="10"/>
    </row>
    <row r="1178" spans="8:8" ht="12.75" customHeight="1" x14ac:dyDescent="0.2">
      <c r="H1178" s="10"/>
    </row>
    <row r="1179" spans="8:8" ht="12.75" customHeight="1" x14ac:dyDescent="0.2">
      <c r="H1179" s="10"/>
    </row>
    <row r="1180" spans="8:8" ht="12.75" customHeight="1" x14ac:dyDescent="0.2">
      <c r="H1180" s="10"/>
    </row>
    <row r="1181" spans="8:8" ht="12.75" customHeight="1" x14ac:dyDescent="0.2">
      <c r="H1181" s="10"/>
    </row>
    <row r="1182" spans="8:8" ht="12.75" customHeight="1" x14ac:dyDescent="0.2">
      <c r="H1182" s="10"/>
    </row>
    <row r="1183" spans="8:8" ht="12.75" customHeight="1" x14ac:dyDescent="0.2">
      <c r="H1183" s="10"/>
    </row>
    <row r="1184" spans="8:8" ht="12.75" customHeight="1" x14ac:dyDescent="0.2">
      <c r="H1184" s="10"/>
    </row>
    <row r="1185" spans="8:8" ht="12.75" customHeight="1" x14ac:dyDescent="0.2">
      <c r="H1185" s="10"/>
    </row>
    <row r="1186" spans="8:8" ht="12.75" customHeight="1" x14ac:dyDescent="0.2">
      <c r="H1186" s="10"/>
    </row>
    <row r="1187" spans="8:8" ht="12.75" customHeight="1" x14ac:dyDescent="0.2">
      <c r="H1187" s="10"/>
    </row>
    <row r="1188" spans="8:8" ht="12.75" customHeight="1" x14ac:dyDescent="0.2">
      <c r="H1188" s="10"/>
    </row>
    <row r="1189" spans="8:8" ht="12.75" customHeight="1" x14ac:dyDescent="0.2">
      <c r="H1189" s="10"/>
    </row>
    <row r="1190" spans="8:8" ht="12.75" customHeight="1" x14ac:dyDescent="0.2">
      <c r="H1190" s="10"/>
    </row>
    <row r="1191" spans="8:8" ht="12.75" customHeight="1" x14ac:dyDescent="0.2">
      <c r="H1191" s="10"/>
    </row>
    <row r="1192" spans="8:8" ht="12.75" customHeight="1" x14ac:dyDescent="0.2">
      <c r="H1192" s="10"/>
    </row>
    <row r="1193" spans="8:8" ht="12.75" customHeight="1" x14ac:dyDescent="0.2">
      <c r="H1193" s="10"/>
    </row>
    <row r="1194" spans="8:8" ht="12.75" customHeight="1" x14ac:dyDescent="0.2">
      <c r="H1194" s="10"/>
    </row>
    <row r="1195" spans="8:8" ht="12.75" customHeight="1" x14ac:dyDescent="0.2">
      <c r="H1195" s="10"/>
    </row>
    <row r="1196" spans="8:8" ht="12.75" customHeight="1" x14ac:dyDescent="0.2">
      <c r="H1196" s="10"/>
    </row>
    <row r="1197" spans="8:8" ht="12.75" customHeight="1" x14ac:dyDescent="0.2">
      <c r="H1197" s="10"/>
    </row>
    <row r="1198" spans="8:8" ht="12.75" customHeight="1" x14ac:dyDescent="0.2">
      <c r="H1198" s="10"/>
    </row>
    <row r="1199" spans="8:8" ht="12.75" customHeight="1" x14ac:dyDescent="0.2">
      <c r="H1199" s="10"/>
    </row>
    <row r="1200" spans="8:8" ht="12.75" customHeight="1" x14ac:dyDescent="0.2">
      <c r="H1200" s="10"/>
    </row>
    <row r="1201" spans="8:8" ht="12.75" customHeight="1" x14ac:dyDescent="0.2">
      <c r="H1201" s="10"/>
    </row>
    <row r="1202" spans="8:8" ht="12.75" customHeight="1" x14ac:dyDescent="0.2">
      <c r="H1202" s="10"/>
    </row>
    <row r="1203" spans="8:8" ht="12.75" customHeight="1" x14ac:dyDescent="0.2">
      <c r="H1203" s="10"/>
    </row>
    <row r="1204" spans="8:8" ht="12.75" customHeight="1" x14ac:dyDescent="0.2">
      <c r="H1204" s="10"/>
    </row>
    <row r="1205" spans="8:8" ht="12.75" customHeight="1" x14ac:dyDescent="0.2">
      <c r="H1205" s="10"/>
    </row>
    <row r="1206" spans="8:8" ht="12.75" customHeight="1" x14ac:dyDescent="0.2">
      <c r="H1206" s="10"/>
    </row>
    <row r="1207" spans="8:8" ht="12.75" customHeight="1" x14ac:dyDescent="0.2">
      <c r="H1207" s="10"/>
    </row>
    <row r="1208" spans="8:8" ht="12.75" customHeight="1" x14ac:dyDescent="0.2">
      <c r="H1208" s="10"/>
    </row>
    <row r="1209" spans="8:8" ht="12.75" customHeight="1" x14ac:dyDescent="0.2">
      <c r="H1209" s="10"/>
    </row>
    <row r="1210" spans="8:8" ht="12.75" customHeight="1" x14ac:dyDescent="0.2">
      <c r="H1210" s="10"/>
    </row>
    <row r="1211" spans="8:8" ht="12.75" customHeight="1" x14ac:dyDescent="0.2">
      <c r="H1211" s="10"/>
    </row>
    <row r="1212" spans="8:8" ht="12.75" customHeight="1" x14ac:dyDescent="0.2">
      <c r="H1212" s="10"/>
    </row>
    <row r="1213" spans="8:8" ht="12.75" customHeight="1" x14ac:dyDescent="0.2">
      <c r="H1213" s="10"/>
    </row>
    <row r="1214" spans="8:8" ht="12.75" customHeight="1" x14ac:dyDescent="0.2">
      <c r="H1214" s="10"/>
    </row>
    <row r="1215" spans="8:8" ht="12.75" customHeight="1" x14ac:dyDescent="0.2">
      <c r="H1215" s="10"/>
    </row>
    <row r="1216" spans="8:8" ht="12.75" customHeight="1" x14ac:dyDescent="0.2">
      <c r="H1216" s="10"/>
    </row>
    <row r="1217" spans="8:8" ht="12.75" customHeight="1" x14ac:dyDescent="0.2">
      <c r="H1217" s="10"/>
    </row>
    <row r="1218" spans="8:8" ht="12.75" customHeight="1" x14ac:dyDescent="0.2">
      <c r="H1218" s="10"/>
    </row>
    <row r="1219" spans="8:8" ht="12.75" customHeight="1" x14ac:dyDescent="0.2">
      <c r="H1219" s="10"/>
    </row>
    <row r="1220" spans="8:8" ht="12.75" customHeight="1" x14ac:dyDescent="0.2">
      <c r="H1220" s="10"/>
    </row>
    <row r="1221" spans="8:8" ht="12.75" customHeight="1" x14ac:dyDescent="0.2">
      <c r="H1221" s="10"/>
    </row>
    <row r="1222" spans="8:8" ht="12.75" customHeight="1" x14ac:dyDescent="0.2">
      <c r="H1222" s="10"/>
    </row>
    <row r="1223" spans="8:8" ht="12.75" customHeight="1" x14ac:dyDescent="0.2">
      <c r="H1223" s="10"/>
    </row>
    <row r="1224" spans="8:8" ht="12.75" customHeight="1" x14ac:dyDescent="0.2">
      <c r="H1224" s="10"/>
    </row>
    <row r="1225" spans="8:8" ht="12.75" customHeight="1" x14ac:dyDescent="0.2">
      <c r="H1225" s="10"/>
    </row>
    <row r="1226" spans="8:8" ht="12.75" customHeight="1" x14ac:dyDescent="0.2">
      <c r="H1226" s="10"/>
    </row>
    <row r="1227" spans="8:8" ht="12.75" customHeight="1" x14ac:dyDescent="0.2">
      <c r="H1227" s="10"/>
    </row>
    <row r="1228" spans="8:8" ht="12.75" customHeight="1" x14ac:dyDescent="0.2">
      <c r="H1228" s="10"/>
    </row>
    <row r="1229" spans="8:8" ht="12.75" customHeight="1" x14ac:dyDescent="0.2">
      <c r="H1229" s="10"/>
    </row>
    <row r="1230" spans="8:8" ht="12.75" customHeight="1" x14ac:dyDescent="0.2">
      <c r="H1230" s="10"/>
    </row>
    <row r="1231" spans="8:8" ht="12.75" customHeight="1" x14ac:dyDescent="0.2">
      <c r="H1231" s="10"/>
    </row>
    <row r="1232" spans="8:8" ht="12.75" customHeight="1" x14ac:dyDescent="0.2">
      <c r="H1232" s="10"/>
    </row>
    <row r="1233" spans="8:8" ht="12.75" customHeight="1" x14ac:dyDescent="0.2">
      <c r="H1233" s="10"/>
    </row>
    <row r="1234" spans="8:8" ht="12.75" customHeight="1" x14ac:dyDescent="0.2">
      <c r="H1234" s="10"/>
    </row>
    <row r="1235" spans="8:8" ht="12.75" customHeight="1" x14ac:dyDescent="0.2">
      <c r="H1235" s="10"/>
    </row>
    <row r="1236" spans="8:8" ht="12.75" customHeight="1" x14ac:dyDescent="0.2">
      <c r="H1236" s="10"/>
    </row>
    <row r="1237" spans="8:8" ht="12.75" customHeight="1" x14ac:dyDescent="0.2">
      <c r="H1237" s="10"/>
    </row>
    <row r="1238" spans="8:8" ht="12.75" customHeight="1" x14ac:dyDescent="0.2">
      <c r="H1238" s="10"/>
    </row>
    <row r="1239" spans="8:8" ht="12.75" customHeight="1" x14ac:dyDescent="0.2">
      <c r="H1239" s="10"/>
    </row>
    <row r="1240" spans="8:8" ht="12.75" customHeight="1" x14ac:dyDescent="0.2">
      <c r="H1240" s="10"/>
    </row>
    <row r="1241" spans="8:8" ht="12.75" customHeight="1" x14ac:dyDescent="0.2">
      <c r="H1241" s="10"/>
    </row>
    <row r="1242" spans="8:8" ht="12.75" customHeight="1" x14ac:dyDescent="0.2">
      <c r="H1242" s="10"/>
    </row>
    <row r="1243" spans="8:8" ht="12.75" customHeight="1" x14ac:dyDescent="0.2">
      <c r="H1243" s="10"/>
    </row>
    <row r="1244" spans="8:8" ht="12.75" customHeight="1" x14ac:dyDescent="0.2">
      <c r="H1244" s="10"/>
    </row>
    <row r="1245" spans="8:8" ht="12.75" customHeight="1" x14ac:dyDescent="0.2">
      <c r="H1245" s="10"/>
    </row>
    <row r="1246" spans="8:8" ht="12.75" customHeight="1" x14ac:dyDescent="0.2">
      <c r="H1246" s="10"/>
    </row>
    <row r="1247" spans="8:8" ht="12.75" customHeight="1" x14ac:dyDescent="0.2">
      <c r="H1247" s="10"/>
    </row>
    <row r="1248" spans="8:8" ht="12.75" customHeight="1" x14ac:dyDescent="0.2">
      <c r="H1248" s="10"/>
    </row>
    <row r="1249" spans="8:8" ht="12.75" customHeight="1" x14ac:dyDescent="0.2">
      <c r="H1249" s="10"/>
    </row>
    <row r="1250" spans="8:8" ht="12.75" customHeight="1" x14ac:dyDescent="0.2">
      <c r="H1250" s="10"/>
    </row>
    <row r="1251" spans="8:8" ht="12.75" customHeight="1" x14ac:dyDescent="0.2">
      <c r="H1251" s="10"/>
    </row>
    <row r="1252" spans="8:8" ht="12.75" customHeight="1" x14ac:dyDescent="0.2">
      <c r="H1252" s="10"/>
    </row>
    <row r="1253" spans="8:8" ht="12.75" customHeight="1" x14ac:dyDescent="0.2">
      <c r="H1253" s="10"/>
    </row>
    <row r="1254" spans="8:8" ht="12.75" customHeight="1" x14ac:dyDescent="0.2">
      <c r="H1254" s="10"/>
    </row>
    <row r="1255" spans="8:8" ht="12.75" customHeight="1" x14ac:dyDescent="0.2">
      <c r="H1255" s="10"/>
    </row>
    <row r="1256" spans="8:8" ht="12.75" customHeight="1" x14ac:dyDescent="0.2">
      <c r="H1256" s="10"/>
    </row>
    <row r="1257" spans="8:8" ht="12.75" customHeight="1" x14ac:dyDescent="0.2">
      <c r="H1257" s="10"/>
    </row>
    <row r="1258" spans="8:8" ht="12.75" customHeight="1" x14ac:dyDescent="0.2">
      <c r="H1258" s="10"/>
    </row>
    <row r="1259" spans="8:8" ht="12.75" customHeight="1" x14ac:dyDescent="0.2">
      <c r="H1259" s="10"/>
    </row>
    <row r="1260" spans="8:8" ht="12.75" customHeight="1" x14ac:dyDescent="0.2">
      <c r="H1260" s="10"/>
    </row>
    <row r="1261" spans="8:8" ht="12.75" customHeight="1" x14ac:dyDescent="0.2">
      <c r="H1261" s="10"/>
    </row>
    <row r="1262" spans="8:8" ht="12.75" customHeight="1" x14ac:dyDescent="0.2">
      <c r="H1262" s="10"/>
    </row>
    <row r="1263" spans="8:8" ht="12.75" customHeight="1" x14ac:dyDescent="0.2">
      <c r="H1263" s="10"/>
    </row>
    <row r="1264" spans="8:8" ht="12.75" customHeight="1" x14ac:dyDescent="0.2">
      <c r="H1264" s="10"/>
    </row>
    <row r="1265" spans="8:8" ht="12.75" customHeight="1" x14ac:dyDescent="0.2">
      <c r="H1265" s="10"/>
    </row>
    <row r="1266" spans="8:8" ht="12.75" customHeight="1" x14ac:dyDescent="0.2">
      <c r="H1266" s="10"/>
    </row>
    <row r="1267" spans="8:8" ht="12.75" customHeight="1" x14ac:dyDescent="0.2">
      <c r="H1267" s="10"/>
    </row>
    <row r="1268" spans="8:8" ht="12.75" customHeight="1" x14ac:dyDescent="0.2">
      <c r="H1268" s="10"/>
    </row>
    <row r="1269" spans="8:8" ht="12.75" customHeight="1" x14ac:dyDescent="0.2">
      <c r="H1269" s="10"/>
    </row>
    <row r="1270" spans="8:8" ht="12.75" customHeight="1" x14ac:dyDescent="0.2">
      <c r="H1270" s="10"/>
    </row>
    <row r="1271" spans="8:8" ht="12.75" customHeight="1" x14ac:dyDescent="0.2">
      <c r="H1271" s="10"/>
    </row>
    <row r="1272" spans="8:8" ht="12.75" customHeight="1" x14ac:dyDescent="0.2">
      <c r="H1272" s="10"/>
    </row>
    <row r="1273" spans="8:8" ht="12.75" customHeight="1" x14ac:dyDescent="0.2">
      <c r="H1273" s="10"/>
    </row>
    <row r="1274" spans="8:8" ht="12.75" customHeight="1" x14ac:dyDescent="0.2">
      <c r="H1274" s="10"/>
    </row>
    <row r="1275" spans="8:8" ht="12.75" customHeight="1" x14ac:dyDescent="0.2">
      <c r="H1275" s="10"/>
    </row>
    <row r="1276" spans="8:8" ht="12.75" customHeight="1" x14ac:dyDescent="0.2">
      <c r="H1276" s="10"/>
    </row>
    <row r="1277" spans="8:8" ht="12.75" customHeight="1" x14ac:dyDescent="0.2">
      <c r="H1277" s="10"/>
    </row>
    <row r="1278" spans="8:8" ht="12.75" customHeight="1" x14ac:dyDescent="0.2">
      <c r="H1278" s="10"/>
    </row>
    <row r="1279" spans="8:8" ht="12.75" customHeight="1" x14ac:dyDescent="0.2">
      <c r="H1279" s="10"/>
    </row>
    <row r="1280" spans="8:8" ht="12.75" customHeight="1" x14ac:dyDescent="0.2">
      <c r="H1280" s="10"/>
    </row>
    <row r="1281" spans="8:8" ht="12.75" customHeight="1" x14ac:dyDescent="0.2">
      <c r="H1281" s="10"/>
    </row>
    <row r="1282" spans="8:8" ht="12.75" customHeight="1" x14ac:dyDescent="0.2">
      <c r="H1282" s="10"/>
    </row>
    <row r="1283" spans="8:8" ht="12.75" customHeight="1" x14ac:dyDescent="0.2">
      <c r="H1283" s="10"/>
    </row>
    <row r="1284" spans="8:8" ht="12.75" customHeight="1" x14ac:dyDescent="0.2">
      <c r="H1284" s="10"/>
    </row>
    <row r="1285" spans="8:8" ht="12.75" customHeight="1" x14ac:dyDescent="0.2">
      <c r="H1285" s="10"/>
    </row>
    <row r="1286" spans="8:8" ht="12.75" customHeight="1" x14ac:dyDescent="0.2">
      <c r="H1286" s="10"/>
    </row>
    <row r="1287" spans="8:8" ht="12.75" customHeight="1" x14ac:dyDescent="0.2">
      <c r="H1287" s="10"/>
    </row>
    <row r="1288" spans="8:8" ht="12.75" customHeight="1" x14ac:dyDescent="0.2">
      <c r="H1288" s="10"/>
    </row>
    <row r="1289" spans="8:8" ht="12.75" customHeight="1" x14ac:dyDescent="0.2">
      <c r="H1289" s="10"/>
    </row>
    <row r="1290" spans="8:8" ht="12.75" customHeight="1" x14ac:dyDescent="0.2">
      <c r="H1290" s="10"/>
    </row>
    <row r="1291" spans="8:8" ht="12.75" customHeight="1" x14ac:dyDescent="0.2">
      <c r="H1291" s="10"/>
    </row>
    <row r="1292" spans="8:8" ht="12.75" customHeight="1" x14ac:dyDescent="0.2">
      <c r="H1292" s="10"/>
    </row>
    <row r="1293" spans="8:8" ht="12.75" customHeight="1" x14ac:dyDescent="0.2">
      <c r="H1293" s="10"/>
    </row>
    <row r="1294" spans="8:8" ht="12.75" customHeight="1" x14ac:dyDescent="0.2">
      <c r="H1294" s="10"/>
    </row>
    <row r="1295" spans="8:8" ht="12.75" customHeight="1" x14ac:dyDescent="0.2">
      <c r="H1295" s="10"/>
    </row>
    <row r="1296" spans="8:8" ht="12.75" customHeight="1" x14ac:dyDescent="0.2">
      <c r="H1296" s="10"/>
    </row>
    <row r="1297" spans="8:8" ht="12.75" customHeight="1" x14ac:dyDescent="0.2">
      <c r="H1297" s="10"/>
    </row>
    <row r="1298" spans="8:8" ht="12.75" customHeight="1" x14ac:dyDescent="0.2">
      <c r="H1298" s="10"/>
    </row>
    <row r="1299" spans="8:8" ht="12.75" customHeight="1" x14ac:dyDescent="0.2">
      <c r="H1299" s="10"/>
    </row>
    <row r="1300" spans="8:8" ht="12.75" customHeight="1" x14ac:dyDescent="0.2">
      <c r="H1300" s="10"/>
    </row>
    <row r="1301" spans="8:8" ht="12.75" customHeight="1" x14ac:dyDescent="0.2">
      <c r="H1301" s="10"/>
    </row>
    <row r="1302" spans="8:8" ht="12.75" customHeight="1" x14ac:dyDescent="0.2">
      <c r="H1302" s="10"/>
    </row>
    <row r="1303" spans="8:8" ht="12.75" customHeight="1" x14ac:dyDescent="0.2">
      <c r="H1303" s="10"/>
    </row>
    <row r="1304" spans="8:8" ht="12.75" customHeight="1" x14ac:dyDescent="0.2">
      <c r="H1304" s="10"/>
    </row>
    <row r="1305" spans="8:8" ht="12.75" customHeight="1" x14ac:dyDescent="0.2">
      <c r="H1305" s="10"/>
    </row>
    <row r="1306" spans="8:8" ht="12.75" customHeight="1" x14ac:dyDescent="0.2">
      <c r="H1306" s="10"/>
    </row>
    <row r="1307" spans="8:8" ht="12.75" customHeight="1" x14ac:dyDescent="0.2">
      <c r="H1307" s="10"/>
    </row>
    <row r="1308" spans="8:8" ht="12.75" customHeight="1" x14ac:dyDescent="0.2">
      <c r="H1308" s="10"/>
    </row>
    <row r="1309" spans="8:8" ht="12.75" customHeight="1" x14ac:dyDescent="0.2">
      <c r="H1309" s="10"/>
    </row>
    <row r="1310" spans="8:8" ht="12.75" customHeight="1" x14ac:dyDescent="0.2">
      <c r="H1310" s="10"/>
    </row>
    <row r="1311" spans="8:8" ht="12.75" customHeight="1" x14ac:dyDescent="0.2">
      <c r="H1311" s="10"/>
    </row>
    <row r="1312" spans="8:8" ht="12.75" customHeight="1" x14ac:dyDescent="0.2">
      <c r="H1312" s="10"/>
    </row>
    <row r="1313" spans="8:8" ht="12.75" customHeight="1" x14ac:dyDescent="0.2">
      <c r="H1313" s="10"/>
    </row>
    <row r="1314" spans="8:8" ht="12.75" customHeight="1" x14ac:dyDescent="0.2">
      <c r="H1314" s="10"/>
    </row>
    <row r="1315" spans="8:8" ht="12.75" customHeight="1" x14ac:dyDescent="0.2">
      <c r="H1315" s="10"/>
    </row>
    <row r="1316" spans="8:8" ht="12.75" customHeight="1" x14ac:dyDescent="0.2">
      <c r="H1316" s="10"/>
    </row>
    <row r="1317" spans="8:8" ht="12.75" customHeight="1" x14ac:dyDescent="0.2">
      <c r="H1317" s="10"/>
    </row>
    <row r="1318" spans="8:8" ht="12.75" customHeight="1" x14ac:dyDescent="0.2">
      <c r="H1318" s="10"/>
    </row>
    <row r="1319" spans="8:8" ht="12.75" customHeight="1" x14ac:dyDescent="0.2">
      <c r="H1319" s="10"/>
    </row>
    <row r="1320" spans="8:8" ht="12.75" customHeight="1" x14ac:dyDescent="0.2">
      <c r="H1320" s="10"/>
    </row>
    <row r="1321" spans="8:8" ht="12.75" customHeight="1" x14ac:dyDescent="0.2">
      <c r="H1321" s="10"/>
    </row>
    <row r="1322" spans="8:8" ht="12.75" customHeight="1" x14ac:dyDescent="0.2">
      <c r="H1322" s="10"/>
    </row>
    <row r="1323" spans="8:8" ht="12.75" customHeight="1" x14ac:dyDescent="0.2">
      <c r="H1323" s="10"/>
    </row>
    <row r="1324" spans="8:8" ht="12.75" customHeight="1" x14ac:dyDescent="0.2">
      <c r="H1324" s="10"/>
    </row>
    <row r="1325" spans="8:8" ht="12.75" customHeight="1" x14ac:dyDescent="0.2">
      <c r="H1325" s="10"/>
    </row>
    <row r="1326" spans="8:8" ht="12.75" customHeight="1" x14ac:dyDescent="0.2">
      <c r="H1326" s="10"/>
    </row>
    <row r="1327" spans="8:8" ht="12.75" customHeight="1" x14ac:dyDescent="0.2">
      <c r="H1327" s="10"/>
    </row>
    <row r="1328" spans="8:8" ht="12.75" customHeight="1" x14ac:dyDescent="0.2">
      <c r="H1328" s="10"/>
    </row>
    <row r="1329" spans="8:8" ht="12.75" customHeight="1" x14ac:dyDescent="0.2">
      <c r="H1329" s="10"/>
    </row>
    <row r="1330" spans="8:8" ht="12.75" customHeight="1" x14ac:dyDescent="0.2">
      <c r="H1330" s="10"/>
    </row>
    <row r="1331" spans="8:8" ht="12.75" customHeight="1" x14ac:dyDescent="0.2">
      <c r="H1331" s="10"/>
    </row>
    <row r="1332" spans="8:8" ht="12.75" customHeight="1" x14ac:dyDescent="0.2">
      <c r="H1332" s="10"/>
    </row>
    <row r="1333" spans="8:8" ht="12.75" customHeight="1" x14ac:dyDescent="0.2">
      <c r="H1333" s="10"/>
    </row>
    <row r="1334" spans="8:8" ht="12.75" customHeight="1" x14ac:dyDescent="0.2">
      <c r="H1334" s="10"/>
    </row>
    <row r="1335" spans="8:8" ht="12.75" customHeight="1" x14ac:dyDescent="0.2">
      <c r="H1335" s="10"/>
    </row>
    <row r="1336" spans="8:8" ht="12.75" customHeight="1" x14ac:dyDescent="0.2">
      <c r="H1336" s="10"/>
    </row>
    <row r="1337" spans="8:8" ht="12.75" customHeight="1" x14ac:dyDescent="0.2">
      <c r="H1337" s="10"/>
    </row>
    <row r="1338" spans="8:8" ht="12.75" customHeight="1" x14ac:dyDescent="0.2">
      <c r="H1338" s="10"/>
    </row>
    <row r="1339" spans="8:8" ht="12.75" customHeight="1" x14ac:dyDescent="0.2">
      <c r="H1339" s="10"/>
    </row>
    <row r="1340" spans="8:8" ht="12.75" customHeight="1" x14ac:dyDescent="0.2">
      <c r="H1340" s="10"/>
    </row>
    <row r="1341" spans="8:8" ht="12.75" customHeight="1" x14ac:dyDescent="0.2">
      <c r="H1341" s="10"/>
    </row>
    <row r="1342" spans="8:8" ht="12.75" customHeight="1" x14ac:dyDescent="0.2">
      <c r="H1342" s="10"/>
    </row>
    <row r="1343" spans="8:8" ht="12.75" customHeight="1" x14ac:dyDescent="0.2">
      <c r="H1343" s="10"/>
    </row>
    <row r="1344" spans="8:8" ht="12.75" customHeight="1" x14ac:dyDescent="0.2">
      <c r="H1344" s="10"/>
    </row>
    <row r="1345" spans="8:8" ht="12.75" customHeight="1" x14ac:dyDescent="0.2">
      <c r="H1345" s="10"/>
    </row>
    <row r="1346" spans="8:8" ht="12.75" customHeight="1" x14ac:dyDescent="0.2">
      <c r="H1346" s="10"/>
    </row>
    <row r="1347" spans="8:8" ht="12.75" customHeight="1" x14ac:dyDescent="0.2">
      <c r="H1347" s="10"/>
    </row>
    <row r="1348" spans="8:8" ht="12.75" customHeight="1" x14ac:dyDescent="0.2">
      <c r="H1348" s="10"/>
    </row>
    <row r="1349" spans="8:8" ht="12.75" customHeight="1" x14ac:dyDescent="0.2">
      <c r="H1349" s="10"/>
    </row>
    <row r="1350" spans="8:8" ht="12.75" customHeight="1" x14ac:dyDescent="0.2">
      <c r="H1350" s="10"/>
    </row>
    <row r="1351" spans="8:8" ht="12.75" customHeight="1" x14ac:dyDescent="0.2">
      <c r="H1351" s="10"/>
    </row>
    <row r="1352" spans="8:8" ht="12.75" customHeight="1" x14ac:dyDescent="0.2">
      <c r="H1352" s="10"/>
    </row>
    <row r="1353" spans="8:8" ht="12.75" customHeight="1" x14ac:dyDescent="0.2">
      <c r="H1353" s="10"/>
    </row>
    <row r="1354" spans="8:8" ht="12.75" customHeight="1" x14ac:dyDescent="0.2">
      <c r="H1354" s="10"/>
    </row>
    <row r="1355" spans="8:8" ht="12.75" customHeight="1" x14ac:dyDescent="0.2">
      <c r="H1355" s="10"/>
    </row>
    <row r="1356" spans="8:8" ht="12.75" customHeight="1" x14ac:dyDescent="0.2">
      <c r="H1356" s="10"/>
    </row>
    <row r="1357" spans="8:8" ht="12.75" customHeight="1" x14ac:dyDescent="0.2">
      <c r="H1357" s="10"/>
    </row>
    <row r="1358" spans="8:8" ht="12.75" customHeight="1" x14ac:dyDescent="0.2">
      <c r="H1358" s="10"/>
    </row>
    <row r="1359" spans="8:8" ht="12.75" customHeight="1" x14ac:dyDescent="0.2">
      <c r="H1359" s="10"/>
    </row>
    <row r="1360" spans="8:8" ht="12.75" customHeight="1" x14ac:dyDescent="0.2">
      <c r="H1360" s="10"/>
    </row>
    <row r="1361" spans="8:8" ht="12.75" customHeight="1" x14ac:dyDescent="0.2">
      <c r="H1361" s="10"/>
    </row>
    <row r="1362" spans="8:8" ht="12.75" customHeight="1" x14ac:dyDescent="0.2">
      <c r="H1362" s="10"/>
    </row>
    <row r="1363" spans="8:8" ht="12.75" customHeight="1" x14ac:dyDescent="0.2">
      <c r="H1363" s="10"/>
    </row>
    <row r="1364" spans="8:8" ht="12.75" customHeight="1" x14ac:dyDescent="0.2">
      <c r="H1364" s="10"/>
    </row>
    <row r="1365" spans="8:8" ht="12.75" customHeight="1" x14ac:dyDescent="0.2">
      <c r="H1365" s="10"/>
    </row>
    <row r="1366" spans="8:8" ht="12.75" customHeight="1" x14ac:dyDescent="0.2">
      <c r="H1366" s="10"/>
    </row>
    <row r="1367" spans="8:8" ht="12.75" customHeight="1" x14ac:dyDescent="0.2">
      <c r="H1367" s="10"/>
    </row>
    <row r="1368" spans="8:8" ht="12.75" customHeight="1" x14ac:dyDescent="0.2">
      <c r="H1368" s="10"/>
    </row>
    <row r="1369" spans="8:8" ht="12.75" customHeight="1" x14ac:dyDescent="0.2">
      <c r="H1369" s="10"/>
    </row>
    <row r="1370" spans="8:8" ht="12.75" customHeight="1" x14ac:dyDescent="0.2">
      <c r="H1370" s="10"/>
    </row>
    <row r="1371" spans="8:8" ht="12.75" customHeight="1" x14ac:dyDescent="0.2">
      <c r="H1371" s="10"/>
    </row>
    <row r="1372" spans="8:8" ht="12.75" customHeight="1" x14ac:dyDescent="0.2">
      <c r="H1372" s="10"/>
    </row>
    <row r="1373" spans="8:8" ht="12.75" customHeight="1" x14ac:dyDescent="0.2">
      <c r="H1373" s="10"/>
    </row>
    <row r="1374" spans="8:8" ht="12.75" customHeight="1" x14ac:dyDescent="0.2">
      <c r="H1374" s="10"/>
    </row>
    <row r="1375" spans="8:8" ht="12.75" customHeight="1" x14ac:dyDescent="0.2">
      <c r="H1375" s="10"/>
    </row>
    <row r="1376" spans="8:8" ht="12.75" customHeight="1" x14ac:dyDescent="0.2">
      <c r="H1376" s="10"/>
    </row>
    <row r="1377" spans="8:8" ht="12.75" customHeight="1" x14ac:dyDescent="0.2">
      <c r="H1377" s="10"/>
    </row>
    <row r="1378" spans="8:8" ht="12.75" customHeight="1" x14ac:dyDescent="0.2">
      <c r="H1378" s="10"/>
    </row>
    <row r="1379" spans="8:8" ht="12.75" customHeight="1" x14ac:dyDescent="0.2">
      <c r="H1379" s="10"/>
    </row>
    <row r="1380" spans="8:8" ht="12.75" customHeight="1" x14ac:dyDescent="0.2">
      <c r="H1380" s="10"/>
    </row>
    <row r="1381" spans="8:8" ht="12.75" customHeight="1" x14ac:dyDescent="0.2">
      <c r="H1381" s="10"/>
    </row>
    <row r="1382" spans="8:8" ht="12.75" customHeight="1" x14ac:dyDescent="0.2">
      <c r="H1382" s="10"/>
    </row>
    <row r="1383" spans="8:8" ht="12.75" customHeight="1" x14ac:dyDescent="0.2">
      <c r="H1383" s="10"/>
    </row>
    <row r="1384" spans="8:8" ht="12.75" customHeight="1" x14ac:dyDescent="0.2">
      <c r="H1384" s="10"/>
    </row>
    <row r="1385" spans="8:8" ht="12.75" customHeight="1" x14ac:dyDescent="0.2">
      <c r="H1385" s="10"/>
    </row>
    <row r="1386" spans="8:8" ht="12.75" customHeight="1" x14ac:dyDescent="0.2">
      <c r="H1386" s="10"/>
    </row>
    <row r="1387" spans="8:8" ht="12.75" customHeight="1" x14ac:dyDescent="0.2">
      <c r="H1387" s="10"/>
    </row>
    <row r="1388" spans="8:8" ht="12.75" customHeight="1" x14ac:dyDescent="0.2">
      <c r="H1388" s="10"/>
    </row>
    <row r="1389" spans="8:8" ht="12.75" customHeight="1" x14ac:dyDescent="0.2">
      <c r="H1389" s="10"/>
    </row>
    <row r="1390" spans="8:8" ht="12.75" customHeight="1" x14ac:dyDescent="0.2">
      <c r="H1390" s="10"/>
    </row>
    <row r="1391" spans="8:8" ht="12.75" customHeight="1" x14ac:dyDescent="0.2">
      <c r="H1391" s="10"/>
    </row>
    <row r="1392" spans="8:8" ht="12.75" customHeight="1" x14ac:dyDescent="0.2">
      <c r="H1392" s="10"/>
    </row>
    <row r="1393" spans="8:8" ht="12.75" customHeight="1" x14ac:dyDescent="0.2">
      <c r="H1393" s="10"/>
    </row>
    <row r="1394" spans="8:8" ht="12.75" customHeight="1" x14ac:dyDescent="0.2">
      <c r="H1394" s="10"/>
    </row>
    <row r="1395" spans="8:8" ht="12.75" customHeight="1" x14ac:dyDescent="0.2">
      <c r="H1395" s="10"/>
    </row>
    <row r="1396" spans="8:8" ht="12.75" customHeight="1" x14ac:dyDescent="0.2">
      <c r="H1396" s="10"/>
    </row>
    <row r="1397" spans="8:8" ht="12.75" customHeight="1" x14ac:dyDescent="0.2">
      <c r="H1397" s="10"/>
    </row>
    <row r="1398" spans="8:8" ht="12.75" customHeight="1" x14ac:dyDescent="0.2">
      <c r="H1398" s="10"/>
    </row>
    <row r="1399" spans="8:8" ht="12.75" customHeight="1" x14ac:dyDescent="0.2">
      <c r="H1399" s="10"/>
    </row>
    <row r="1400" spans="8:8" ht="12.75" customHeight="1" x14ac:dyDescent="0.2">
      <c r="H1400" s="10"/>
    </row>
    <row r="1401" spans="8:8" ht="12.75" customHeight="1" x14ac:dyDescent="0.2">
      <c r="H1401" s="10"/>
    </row>
    <row r="1402" spans="8:8" ht="12.75" customHeight="1" x14ac:dyDescent="0.2">
      <c r="H1402" s="10"/>
    </row>
    <row r="1403" spans="8:8" ht="12.75" customHeight="1" x14ac:dyDescent="0.2">
      <c r="H1403" s="10"/>
    </row>
    <row r="1404" spans="8:8" ht="12.75" customHeight="1" x14ac:dyDescent="0.2">
      <c r="H1404" s="10"/>
    </row>
    <row r="1405" spans="8:8" ht="12.75" customHeight="1" x14ac:dyDescent="0.2">
      <c r="H1405" s="10"/>
    </row>
    <row r="1406" spans="8:8" ht="12.75" customHeight="1" x14ac:dyDescent="0.2">
      <c r="H1406" s="10"/>
    </row>
    <row r="1407" spans="8:8" ht="12.75" customHeight="1" x14ac:dyDescent="0.2">
      <c r="H1407" s="10"/>
    </row>
    <row r="1408" spans="8:8" ht="12.75" customHeight="1" x14ac:dyDescent="0.2">
      <c r="H1408" s="10"/>
    </row>
    <row r="1409" spans="8:8" ht="12.75" customHeight="1" x14ac:dyDescent="0.2">
      <c r="H1409" s="10"/>
    </row>
    <row r="1410" spans="8:8" ht="12.75" customHeight="1" x14ac:dyDescent="0.2">
      <c r="H1410" s="10"/>
    </row>
    <row r="1411" spans="8:8" ht="12.75" customHeight="1" x14ac:dyDescent="0.2">
      <c r="H1411" s="10"/>
    </row>
    <row r="1412" spans="8:8" ht="12.75" customHeight="1" x14ac:dyDescent="0.2">
      <c r="H1412" s="10"/>
    </row>
    <row r="1413" spans="8:8" ht="12.75" customHeight="1" x14ac:dyDescent="0.2">
      <c r="H1413" s="10"/>
    </row>
    <row r="1414" spans="8:8" ht="12.75" customHeight="1" x14ac:dyDescent="0.2">
      <c r="H1414" s="10"/>
    </row>
    <row r="1415" spans="8:8" ht="12.75" customHeight="1" x14ac:dyDescent="0.2">
      <c r="H1415" s="10"/>
    </row>
    <row r="1416" spans="8:8" ht="12.75" customHeight="1" x14ac:dyDescent="0.2">
      <c r="H1416" s="10"/>
    </row>
    <row r="1417" spans="8:8" ht="12.75" customHeight="1" x14ac:dyDescent="0.2">
      <c r="H1417" s="10"/>
    </row>
    <row r="1418" spans="8:8" ht="12.75" customHeight="1" x14ac:dyDescent="0.2">
      <c r="H1418" s="10"/>
    </row>
    <row r="1419" spans="8:8" ht="12.75" customHeight="1" x14ac:dyDescent="0.2">
      <c r="H1419" s="10"/>
    </row>
    <row r="1420" spans="8:8" ht="12.75" customHeight="1" x14ac:dyDescent="0.2">
      <c r="H1420" s="10"/>
    </row>
    <row r="1421" spans="8:8" ht="12.75" customHeight="1" x14ac:dyDescent="0.2">
      <c r="H1421" s="10"/>
    </row>
    <row r="1422" spans="8:8" ht="12.75" customHeight="1" x14ac:dyDescent="0.2">
      <c r="H1422" s="10"/>
    </row>
    <row r="1423" spans="8:8" ht="12.75" customHeight="1" x14ac:dyDescent="0.2">
      <c r="H1423" s="10"/>
    </row>
    <row r="1424" spans="8:8" ht="12.75" customHeight="1" x14ac:dyDescent="0.2">
      <c r="H1424" s="10"/>
    </row>
    <row r="1425" spans="8:8" ht="12.75" customHeight="1" x14ac:dyDescent="0.2">
      <c r="H1425" s="10"/>
    </row>
    <row r="1426" spans="8:8" ht="12.75" customHeight="1" x14ac:dyDescent="0.2">
      <c r="H1426" s="10"/>
    </row>
    <row r="1427" spans="8:8" ht="12.75" customHeight="1" x14ac:dyDescent="0.2">
      <c r="H1427" s="10"/>
    </row>
    <row r="1428" spans="8:8" ht="12.75" customHeight="1" x14ac:dyDescent="0.2">
      <c r="H1428" s="10"/>
    </row>
    <row r="1429" spans="8:8" ht="12.75" customHeight="1" x14ac:dyDescent="0.2">
      <c r="H1429" s="10"/>
    </row>
    <row r="1430" spans="8:8" ht="12.75" customHeight="1" x14ac:dyDescent="0.2">
      <c r="H1430" s="10"/>
    </row>
    <row r="1431" spans="8:8" ht="12.75" customHeight="1" x14ac:dyDescent="0.2">
      <c r="H1431" s="10"/>
    </row>
    <row r="1432" spans="8:8" ht="12.75" customHeight="1" x14ac:dyDescent="0.2">
      <c r="H1432" s="10"/>
    </row>
    <row r="1433" spans="8:8" ht="12.75" customHeight="1" x14ac:dyDescent="0.2">
      <c r="H1433" s="10"/>
    </row>
    <row r="1434" spans="8:8" ht="12.75" customHeight="1" x14ac:dyDescent="0.2">
      <c r="H1434" s="10"/>
    </row>
    <row r="1435" spans="8:8" ht="12.75" customHeight="1" x14ac:dyDescent="0.2">
      <c r="H1435" s="10"/>
    </row>
    <row r="1436" spans="8:8" ht="12.75" customHeight="1" x14ac:dyDescent="0.2">
      <c r="H1436" s="10"/>
    </row>
    <row r="1437" spans="8:8" ht="12.75" customHeight="1" x14ac:dyDescent="0.2">
      <c r="H1437" s="10"/>
    </row>
    <row r="1438" spans="8:8" ht="12.75" customHeight="1" x14ac:dyDescent="0.2">
      <c r="H1438" s="10"/>
    </row>
    <row r="1439" spans="8:8" ht="12.75" customHeight="1" x14ac:dyDescent="0.2">
      <c r="H1439" s="10"/>
    </row>
    <row r="1440" spans="8:8" ht="12.75" customHeight="1" x14ac:dyDescent="0.2">
      <c r="H1440" s="10"/>
    </row>
    <row r="1441" spans="8:8" ht="12.75" customHeight="1" x14ac:dyDescent="0.2">
      <c r="H1441" s="10"/>
    </row>
    <row r="1442" spans="8:8" ht="12.75" customHeight="1" x14ac:dyDescent="0.2">
      <c r="H1442" s="10"/>
    </row>
    <row r="1443" spans="8:8" ht="12.75" customHeight="1" x14ac:dyDescent="0.2">
      <c r="H1443" s="10"/>
    </row>
    <row r="1444" spans="8:8" ht="12.75" customHeight="1" x14ac:dyDescent="0.2">
      <c r="H1444" s="10"/>
    </row>
    <row r="1445" spans="8:8" ht="12.75" customHeight="1" x14ac:dyDescent="0.2">
      <c r="H1445" s="10"/>
    </row>
    <row r="1446" spans="8:8" ht="12.75" customHeight="1" x14ac:dyDescent="0.2">
      <c r="H1446" s="10"/>
    </row>
    <row r="1447" spans="8:8" ht="12.75" customHeight="1" x14ac:dyDescent="0.2">
      <c r="H1447" s="10"/>
    </row>
    <row r="1448" spans="8:8" ht="12.75" customHeight="1" x14ac:dyDescent="0.2">
      <c r="H1448" s="10"/>
    </row>
    <row r="1449" spans="8:8" ht="12.75" customHeight="1" x14ac:dyDescent="0.2">
      <c r="H1449" s="10"/>
    </row>
    <row r="1450" spans="8:8" ht="12.75" customHeight="1" x14ac:dyDescent="0.2">
      <c r="H1450" s="10"/>
    </row>
    <row r="1451" spans="8:8" ht="12.75" customHeight="1" x14ac:dyDescent="0.2">
      <c r="H1451" s="10"/>
    </row>
    <row r="1452" spans="8:8" ht="12.75" customHeight="1" x14ac:dyDescent="0.2">
      <c r="H1452" s="10"/>
    </row>
    <row r="1453" spans="8:8" ht="12.75" customHeight="1" x14ac:dyDescent="0.2">
      <c r="H1453" s="10"/>
    </row>
    <row r="1454" spans="8:8" ht="12.75" customHeight="1" x14ac:dyDescent="0.2">
      <c r="H1454" s="10"/>
    </row>
    <row r="1455" spans="8:8" ht="12.75" customHeight="1" x14ac:dyDescent="0.2">
      <c r="H1455" s="10"/>
    </row>
    <row r="1456" spans="8:8" ht="12.75" customHeight="1" x14ac:dyDescent="0.2">
      <c r="H1456" s="10"/>
    </row>
    <row r="1457" spans="8:8" ht="12.75" customHeight="1" x14ac:dyDescent="0.2">
      <c r="H1457" s="10"/>
    </row>
    <row r="1458" spans="8:8" ht="12.75" customHeight="1" x14ac:dyDescent="0.2">
      <c r="H1458" s="10"/>
    </row>
    <row r="1459" spans="8:8" ht="12.75" customHeight="1" x14ac:dyDescent="0.2">
      <c r="H1459" s="10"/>
    </row>
    <row r="1460" spans="8:8" ht="12.75" customHeight="1" x14ac:dyDescent="0.2">
      <c r="H1460" s="10"/>
    </row>
    <row r="1461" spans="8:8" ht="12.75" customHeight="1" x14ac:dyDescent="0.2">
      <c r="H1461" s="10"/>
    </row>
    <row r="1462" spans="8:8" ht="12.75" customHeight="1" x14ac:dyDescent="0.2">
      <c r="H1462" s="10"/>
    </row>
    <row r="1463" spans="8:8" ht="12.75" customHeight="1" x14ac:dyDescent="0.2">
      <c r="H1463" s="10"/>
    </row>
    <row r="1464" spans="8:8" ht="12.75" customHeight="1" x14ac:dyDescent="0.2">
      <c r="H1464" s="10"/>
    </row>
    <row r="1465" spans="8:8" ht="12.75" customHeight="1" x14ac:dyDescent="0.2">
      <c r="H1465" s="10"/>
    </row>
    <row r="1466" spans="8:8" ht="12.75" customHeight="1" x14ac:dyDescent="0.2">
      <c r="H1466" s="10"/>
    </row>
    <row r="1467" spans="8:8" ht="12.75" customHeight="1" x14ac:dyDescent="0.2">
      <c r="H1467" s="10"/>
    </row>
    <row r="1468" spans="8:8" ht="12.75" customHeight="1" x14ac:dyDescent="0.2">
      <c r="H1468" s="10"/>
    </row>
    <row r="1469" spans="8:8" ht="12.75" customHeight="1" x14ac:dyDescent="0.2">
      <c r="H1469" s="10"/>
    </row>
    <row r="1470" spans="8:8" ht="12.75" customHeight="1" x14ac:dyDescent="0.2">
      <c r="H1470" s="10"/>
    </row>
    <row r="1471" spans="8:8" ht="12.75" customHeight="1" x14ac:dyDescent="0.2">
      <c r="H1471" s="10"/>
    </row>
    <row r="1472" spans="8:8" ht="12.75" customHeight="1" x14ac:dyDescent="0.2">
      <c r="H1472" s="10"/>
    </row>
    <row r="1473" spans="8:8" ht="12.75" customHeight="1" x14ac:dyDescent="0.2">
      <c r="H1473" s="10"/>
    </row>
    <row r="1474" spans="8:8" ht="12.75" customHeight="1" x14ac:dyDescent="0.2">
      <c r="H1474" s="10"/>
    </row>
    <row r="1475" spans="8:8" ht="12.75" customHeight="1" x14ac:dyDescent="0.2">
      <c r="H1475" s="10"/>
    </row>
    <row r="1476" spans="8:8" ht="12.75" customHeight="1" x14ac:dyDescent="0.2">
      <c r="H1476" s="10"/>
    </row>
    <row r="1477" spans="8:8" ht="12.75" customHeight="1" x14ac:dyDescent="0.2">
      <c r="H1477" s="10"/>
    </row>
    <row r="1478" spans="8:8" ht="12.75" customHeight="1" x14ac:dyDescent="0.2">
      <c r="H1478" s="10"/>
    </row>
    <row r="1479" spans="8:8" ht="12.75" customHeight="1" x14ac:dyDescent="0.2">
      <c r="H1479" s="10"/>
    </row>
    <row r="1480" spans="8:8" ht="12.75" customHeight="1" x14ac:dyDescent="0.2">
      <c r="H1480" s="10"/>
    </row>
    <row r="1481" spans="8:8" ht="12.75" customHeight="1" x14ac:dyDescent="0.2">
      <c r="H1481" s="10"/>
    </row>
    <row r="1482" spans="8:8" ht="12.75" customHeight="1" x14ac:dyDescent="0.2">
      <c r="H1482" s="10"/>
    </row>
    <row r="1483" spans="8:8" ht="12.75" customHeight="1" x14ac:dyDescent="0.2">
      <c r="H1483" s="10"/>
    </row>
    <row r="1484" spans="8:8" ht="12.75" customHeight="1" x14ac:dyDescent="0.2">
      <c r="H1484" s="10"/>
    </row>
    <row r="1485" spans="8:8" ht="12.75" customHeight="1" x14ac:dyDescent="0.2">
      <c r="H1485" s="10"/>
    </row>
    <row r="1486" spans="8:8" ht="12.75" customHeight="1" x14ac:dyDescent="0.2">
      <c r="H1486" s="10"/>
    </row>
    <row r="1487" spans="8:8" ht="12.75" customHeight="1" x14ac:dyDescent="0.2">
      <c r="H1487" s="10"/>
    </row>
    <row r="1488" spans="8:8" ht="12.75" customHeight="1" x14ac:dyDescent="0.2">
      <c r="H1488" s="10"/>
    </row>
    <row r="1489" spans="8:8" ht="12.75" customHeight="1" x14ac:dyDescent="0.2">
      <c r="H1489" s="10"/>
    </row>
    <row r="1490" spans="8:8" ht="12.75" customHeight="1" x14ac:dyDescent="0.2">
      <c r="H1490" s="10"/>
    </row>
    <row r="1491" spans="8:8" ht="12.75" customHeight="1" x14ac:dyDescent="0.2">
      <c r="H1491" s="10"/>
    </row>
    <row r="1492" spans="8:8" ht="12.75" customHeight="1" x14ac:dyDescent="0.2">
      <c r="H1492" s="10"/>
    </row>
    <row r="1493" spans="8:8" ht="12.75" customHeight="1" x14ac:dyDescent="0.2">
      <c r="H1493" s="10"/>
    </row>
    <row r="1494" spans="8:8" ht="12.75" customHeight="1" x14ac:dyDescent="0.2">
      <c r="H1494" s="10"/>
    </row>
    <row r="1495" spans="8:8" ht="12.75" customHeight="1" x14ac:dyDescent="0.2">
      <c r="H1495" s="10"/>
    </row>
    <row r="1496" spans="8:8" ht="12.75" customHeight="1" x14ac:dyDescent="0.2">
      <c r="H1496" s="10"/>
    </row>
    <row r="1497" spans="8:8" ht="12.75" customHeight="1" x14ac:dyDescent="0.2">
      <c r="H1497" s="10"/>
    </row>
    <row r="1498" spans="8:8" ht="12.75" customHeight="1" x14ac:dyDescent="0.2">
      <c r="H1498" s="10"/>
    </row>
    <row r="1499" spans="8:8" ht="12.75" customHeight="1" x14ac:dyDescent="0.2">
      <c r="H1499" s="10"/>
    </row>
    <row r="1500" spans="8:8" ht="12.75" customHeight="1" x14ac:dyDescent="0.2">
      <c r="H1500" s="10"/>
    </row>
    <row r="1501" spans="8:8" ht="12.75" customHeight="1" x14ac:dyDescent="0.2">
      <c r="H1501" s="10"/>
    </row>
    <row r="1502" spans="8:8" ht="12.75" customHeight="1" x14ac:dyDescent="0.2">
      <c r="H1502" s="10"/>
    </row>
    <row r="1503" spans="8:8" ht="12.75" customHeight="1" x14ac:dyDescent="0.2">
      <c r="H1503" s="10"/>
    </row>
    <row r="1504" spans="8:8" ht="12.75" customHeight="1" x14ac:dyDescent="0.2">
      <c r="H1504" s="10"/>
    </row>
    <row r="1505" spans="8:8" ht="12.75" customHeight="1" x14ac:dyDescent="0.2">
      <c r="H1505" s="10"/>
    </row>
    <row r="1506" spans="8:8" ht="12.75" customHeight="1" x14ac:dyDescent="0.2">
      <c r="H1506" s="10"/>
    </row>
    <row r="1507" spans="8:8" ht="12.75" customHeight="1" x14ac:dyDescent="0.2">
      <c r="H1507" s="10"/>
    </row>
    <row r="1508" spans="8:8" ht="12.75" customHeight="1" x14ac:dyDescent="0.2">
      <c r="H1508" s="10"/>
    </row>
    <row r="1509" spans="8:8" ht="12.75" customHeight="1" x14ac:dyDescent="0.2">
      <c r="H1509" s="10"/>
    </row>
    <row r="1510" spans="8:8" ht="12.75" customHeight="1" x14ac:dyDescent="0.2">
      <c r="H1510" s="10"/>
    </row>
    <row r="1511" spans="8:8" ht="12.75" customHeight="1" x14ac:dyDescent="0.2">
      <c r="H1511" s="10"/>
    </row>
    <row r="1512" spans="8:8" ht="12.75" customHeight="1" x14ac:dyDescent="0.2">
      <c r="H1512" s="10"/>
    </row>
    <row r="1513" spans="8:8" ht="12.75" customHeight="1" x14ac:dyDescent="0.2">
      <c r="H1513" s="10"/>
    </row>
    <row r="1514" spans="8:8" ht="12.75" customHeight="1" x14ac:dyDescent="0.2">
      <c r="H1514" s="10"/>
    </row>
    <row r="1515" spans="8:8" ht="12.75" customHeight="1" x14ac:dyDescent="0.2">
      <c r="H1515" s="10"/>
    </row>
    <row r="1516" spans="8:8" ht="12.75" customHeight="1" x14ac:dyDescent="0.2">
      <c r="H1516" s="10"/>
    </row>
    <row r="1517" spans="8:8" ht="12.75" customHeight="1" x14ac:dyDescent="0.2">
      <c r="H1517" s="10"/>
    </row>
    <row r="1518" spans="8:8" ht="12.75" customHeight="1" x14ac:dyDescent="0.2">
      <c r="H1518" s="10"/>
    </row>
    <row r="1519" spans="8:8" ht="12.75" customHeight="1" x14ac:dyDescent="0.2">
      <c r="H1519" s="10"/>
    </row>
    <row r="1520" spans="8:8" ht="12.75" customHeight="1" x14ac:dyDescent="0.2">
      <c r="H1520" s="10"/>
    </row>
    <row r="1521" spans="8:8" ht="12.75" customHeight="1" x14ac:dyDescent="0.2">
      <c r="H1521" s="10"/>
    </row>
    <row r="1522" spans="8:8" ht="12.75" customHeight="1" x14ac:dyDescent="0.2">
      <c r="H1522" s="10"/>
    </row>
    <row r="1523" spans="8:8" ht="12.75" customHeight="1" x14ac:dyDescent="0.2">
      <c r="H1523" s="10"/>
    </row>
    <row r="1524" spans="8:8" ht="12.75" customHeight="1" x14ac:dyDescent="0.2">
      <c r="H1524" s="10"/>
    </row>
    <row r="1525" spans="8:8" ht="12.75" customHeight="1" x14ac:dyDescent="0.2">
      <c r="H1525" s="10"/>
    </row>
    <row r="1526" spans="8:8" ht="12.75" customHeight="1" x14ac:dyDescent="0.2">
      <c r="H1526" s="10"/>
    </row>
    <row r="1527" spans="8:8" ht="12.75" customHeight="1" x14ac:dyDescent="0.2">
      <c r="H1527" s="10"/>
    </row>
    <row r="1528" spans="8:8" ht="12.75" customHeight="1" x14ac:dyDescent="0.2">
      <c r="H1528" s="10"/>
    </row>
    <row r="1529" spans="8:8" ht="12.75" customHeight="1" x14ac:dyDescent="0.2">
      <c r="H1529" s="10"/>
    </row>
    <row r="1530" spans="8:8" ht="12.75" customHeight="1" x14ac:dyDescent="0.2">
      <c r="H1530" s="10"/>
    </row>
    <row r="1531" spans="8:8" ht="12.75" customHeight="1" x14ac:dyDescent="0.2">
      <c r="H1531" s="10"/>
    </row>
    <row r="1532" spans="8:8" ht="12.75" customHeight="1" x14ac:dyDescent="0.2">
      <c r="H1532" s="10"/>
    </row>
    <row r="1533" spans="8:8" ht="12.75" customHeight="1" x14ac:dyDescent="0.2">
      <c r="H1533" s="10"/>
    </row>
    <row r="1534" spans="8:8" ht="12.75" customHeight="1" x14ac:dyDescent="0.2">
      <c r="H1534" s="10"/>
    </row>
    <row r="1535" spans="8:8" ht="12.75" customHeight="1" x14ac:dyDescent="0.2">
      <c r="H1535" s="10"/>
    </row>
    <row r="1536" spans="8:8" ht="12.75" customHeight="1" x14ac:dyDescent="0.2">
      <c r="H1536" s="10"/>
    </row>
    <row r="1537" spans="8:8" ht="12.75" customHeight="1" x14ac:dyDescent="0.2">
      <c r="H1537" s="10"/>
    </row>
    <row r="1538" spans="8:8" ht="12.75" customHeight="1" x14ac:dyDescent="0.2">
      <c r="H1538" s="10"/>
    </row>
    <row r="1539" spans="8:8" ht="12.75" customHeight="1" x14ac:dyDescent="0.2">
      <c r="H1539" s="10"/>
    </row>
    <row r="1540" spans="8:8" ht="12.75" customHeight="1" x14ac:dyDescent="0.2">
      <c r="H1540" s="10"/>
    </row>
    <row r="1541" spans="8:8" ht="12.75" customHeight="1" x14ac:dyDescent="0.2">
      <c r="H1541" s="10"/>
    </row>
    <row r="1542" spans="8:8" ht="12.75" customHeight="1" x14ac:dyDescent="0.2">
      <c r="H1542" s="10"/>
    </row>
    <row r="1543" spans="8:8" ht="12.75" customHeight="1" x14ac:dyDescent="0.2">
      <c r="H1543" s="10"/>
    </row>
    <row r="1544" spans="8:8" ht="12.75" customHeight="1" x14ac:dyDescent="0.2">
      <c r="H1544" s="10"/>
    </row>
    <row r="1545" spans="8:8" ht="12.75" customHeight="1" x14ac:dyDescent="0.2">
      <c r="H1545" s="10"/>
    </row>
    <row r="1546" spans="8:8" ht="12.75" customHeight="1" x14ac:dyDescent="0.2">
      <c r="H1546" s="10"/>
    </row>
    <row r="1547" spans="8:8" ht="12.75" customHeight="1" x14ac:dyDescent="0.2">
      <c r="H1547" s="10"/>
    </row>
    <row r="1548" spans="8:8" ht="12.75" customHeight="1" x14ac:dyDescent="0.2">
      <c r="H1548" s="10"/>
    </row>
    <row r="1549" spans="8:8" ht="12.75" customHeight="1" x14ac:dyDescent="0.2">
      <c r="H1549" s="10"/>
    </row>
    <row r="1550" spans="8:8" ht="12.75" customHeight="1" x14ac:dyDescent="0.2">
      <c r="H1550" s="10"/>
    </row>
    <row r="1551" spans="8:8" ht="12.75" customHeight="1" x14ac:dyDescent="0.2">
      <c r="H1551" s="10"/>
    </row>
    <row r="1552" spans="8:8" ht="12.75" customHeight="1" x14ac:dyDescent="0.2">
      <c r="H1552" s="10"/>
    </row>
    <row r="1553" spans="8:8" ht="12.75" customHeight="1" x14ac:dyDescent="0.2">
      <c r="H1553" s="10"/>
    </row>
    <row r="1554" spans="8:8" ht="12.75" customHeight="1" x14ac:dyDescent="0.2">
      <c r="H1554" s="10"/>
    </row>
    <row r="1555" spans="8:8" ht="12.75" customHeight="1" x14ac:dyDescent="0.2">
      <c r="H1555" s="10"/>
    </row>
    <row r="1556" spans="8:8" ht="12.75" customHeight="1" x14ac:dyDescent="0.2">
      <c r="H1556" s="10"/>
    </row>
    <row r="1557" spans="8:8" ht="12.75" customHeight="1" x14ac:dyDescent="0.2">
      <c r="H1557" s="10"/>
    </row>
    <row r="1558" spans="8:8" ht="12.75" customHeight="1" x14ac:dyDescent="0.2">
      <c r="H1558" s="10"/>
    </row>
    <row r="1559" spans="8:8" ht="12.75" customHeight="1" x14ac:dyDescent="0.2">
      <c r="H1559" s="10"/>
    </row>
    <row r="1560" spans="8:8" ht="12.75" customHeight="1" x14ac:dyDescent="0.2">
      <c r="H1560" s="10"/>
    </row>
    <row r="1561" spans="8:8" ht="12.75" customHeight="1" x14ac:dyDescent="0.2">
      <c r="H1561" s="10"/>
    </row>
    <row r="1562" spans="8:8" ht="12.75" customHeight="1" x14ac:dyDescent="0.2">
      <c r="H1562" s="10"/>
    </row>
    <row r="1563" spans="8:8" ht="12.75" customHeight="1" x14ac:dyDescent="0.2">
      <c r="H1563" s="10"/>
    </row>
    <row r="1564" spans="8:8" ht="12.75" customHeight="1" x14ac:dyDescent="0.2">
      <c r="H1564" s="10"/>
    </row>
    <row r="1565" spans="8:8" ht="12.75" customHeight="1" x14ac:dyDescent="0.2">
      <c r="H1565" s="10"/>
    </row>
    <row r="1566" spans="8:8" ht="12.75" customHeight="1" x14ac:dyDescent="0.2">
      <c r="H1566" s="10"/>
    </row>
    <row r="1567" spans="8:8" ht="12.75" customHeight="1" x14ac:dyDescent="0.2">
      <c r="H1567" s="10"/>
    </row>
    <row r="1568" spans="8:8" ht="12.75" customHeight="1" x14ac:dyDescent="0.2">
      <c r="H1568" s="10"/>
    </row>
    <row r="1569" spans="8:8" ht="12.75" customHeight="1" x14ac:dyDescent="0.2">
      <c r="H1569" s="10"/>
    </row>
    <row r="1570" spans="8:8" ht="12.75" customHeight="1" x14ac:dyDescent="0.2">
      <c r="H1570" s="10"/>
    </row>
    <row r="1571" spans="8:8" ht="12.75" customHeight="1" x14ac:dyDescent="0.2">
      <c r="H1571" s="10"/>
    </row>
    <row r="1572" spans="8:8" ht="12.75" customHeight="1" x14ac:dyDescent="0.2">
      <c r="H1572" s="10"/>
    </row>
    <row r="1573" spans="8:8" ht="12.75" customHeight="1" x14ac:dyDescent="0.2">
      <c r="H1573" s="10"/>
    </row>
    <row r="1574" spans="8:8" ht="12.75" customHeight="1" x14ac:dyDescent="0.2">
      <c r="H1574" s="10"/>
    </row>
    <row r="1575" spans="8:8" ht="12.75" customHeight="1" x14ac:dyDescent="0.2">
      <c r="H1575" s="10"/>
    </row>
    <row r="1576" spans="8:8" ht="12.75" customHeight="1" x14ac:dyDescent="0.2">
      <c r="H1576" s="10"/>
    </row>
    <row r="1577" spans="8:8" ht="12.75" customHeight="1" x14ac:dyDescent="0.2">
      <c r="H1577" s="10"/>
    </row>
    <row r="1578" spans="8:8" ht="12.75" customHeight="1" x14ac:dyDescent="0.2">
      <c r="H1578" s="10"/>
    </row>
    <row r="1579" spans="8:8" ht="12.75" customHeight="1" x14ac:dyDescent="0.2">
      <c r="H1579" s="10"/>
    </row>
    <row r="1580" spans="8:8" ht="12.75" customHeight="1" x14ac:dyDescent="0.2">
      <c r="H1580" s="10"/>
    </row>
    <row r="1581" spans="8:8" ht="12.75" customHeight="1" x14ac:dyDescent="0.2">
      <c r="H1581" s="10"/>
    </row>
    <row r="1582" spans="8:8" ht="12.75" customHeight="1" x14ac:dyDescent="0.2">
      <c r="H1582" s="10"/>
    </row>
    <row r="1583" spans="8:8" ht="12.75" customHeight="1" x14ac:dyDescent="0.2">
      <c r="H1583" s="10"/>
    </row>
    <row r="1584" spans="8:8" ht="12.75" customHeight="1" x14ac:dyDescent="0.2">
      <c r="H1584" s="10"/>
    </row>
    <row r="1585" spans="8:8" ht="12.75" customHeight="1" x14ac:dyDescent="0.2">
      <c r="H1585" s="10"/>
    </row>
    <row r="1586" spans="8:8" ht="12.75" customHeight="1" x14ac:dyDescent="0.2">
      <c r="H1586" s="10"/>
    </row>
    <row r="1587" spans="8:8" ht="12.75" customHeight="1" x14ac:dyDescent="0.2">
      <c r="H1587" s="10"/>
    </row>
    <row r="1588" spans="8:8" ht="12.75" customHeight="1" x14ac:dyDescent="0.2">
      <c r="H1588" s="10"/>
    </row>
    <row r="1589" spans="8:8" ht="12.75" customHeight="1" x14ac:dyDescent="0.2">
      <c r="H1589" s="10"/>
    </row>
    <row r="1590" spans="8:8" ht="12.75" customHeight="1" x14ac:dyDescent="0.2">
      <c r="H1590" s="10"/>
    </row>
    <row r="1591" spans="8:8" ht="12.75" customHeight="1" x14ac:dyDescent="0.2">
      <c r="H1591" s="10"/>
    </row>
    <row r="1592" spans="8:8" ht="12.75" customHeight="1" x14ac:dyDescent="0.2">
      <c r="H1592" s="10"/>
    </row>
    <row r="1593" spans="8:8" ht="12.75" customHeight="1" x14ac:dyDescent="0.2">
      <c r="H1593" s="10"/>
    </row>
    <row r="1594" spans="8:8" ht="12.75" customHeight="1" x14ac:dyDescent="0.2">
      <c r="H1594" s="10"/>
    </row>
    <row r="1595" spans="8:8" ht="12.75" customHeight="1" x14ac:dyDescent="0.2">
      <c r="H1595" s="10"/>
    </row>
    <row r="1596" spans="8:8" ht="12.75" customHeight="1" x14ac:dyDescent="0.2">
      <c r="H1596" s="10"/>
    </row>
    <row r="1597" spans="8:8" ht="12.75" customHeight="1" x14ac:dyDescent="0.2">
      <c r="H1597" s="10"/>
    </row>
    <row r="1598" spans="8:8" ht="12.75" customHeight="1" x14ac:dyDescent="0.2">
      <c r="H1598" s="10"/>
    </row>
    <row r="1599" spans="8:8" ht="12.75" customHeight="1" x14ac:dyDescent="0.2">
      <c r="H1599" s="10"/>
    </row>
    <row r="1600" spans="8:8" ht="12.75" customHeight="1" x14ac:dyDescent="0.2">
      <c r="H1600" s="10"/>
    </row>
    <row r="1601" spans="8:8" ht="12.75" customHeight="1" x14ac:dyDescent="0.2">
      <c r="H1601" s="10"/>
    </row>
    <row r="1602" spans="8:8" ht="12.75" customHeight="1" x14ac:dyDescent="0.2">
      <c r="H1602" s="10"/>
    </row>
    <row r="1603" spans="8:8" ht="12.75" customHeight="1" x14ac:dyDescent="0.2">
      <c r="H1603" s="10"/>
    </row>
    <row r="1604" spans="8:8" ht="12.75" customHeight="1" x14ac:dyDescent="0.2">
      <c r="H1604" s="10"/>
    </row>
    <row r="1605" spans="8:8" ht="12.75" customHeight="1" x14ac:dyDescent="0.2">
      <c r="H1605" s="10"/>
    </row>
    <row r="1606" spans="8:8" ht="12.75" customHeight="1" x14ac:dyDescent="0.2">
      <c r="H1606" s="10"/>
    </row>
    <row r="1607" spans="8:8" ht="12.75" customHeight="1" x14ac:dyDescent="0.2">
      <c r="H1607" s="10"/>
    </row>
    <row r="1608" spans="8:8" ht="12.75" customHeight="1" x14ac:dyDescent="0.2">
      <c r="H1608" s="10"/>
    </row>
    <row r="1609" spans="8:8" ht="12.75" customHeight="1" x14ac:dyDescent="0.2">
      <c r="H1609" s="10"/>
    </row>
    <row r="1610" spans="8:8" ht="12.75" customHeight="1" x14ac:dyDescent="0.2">
      <c r="H1610" s="10"/>
    </row>
    <row r="1611" spans="8:8" ht="12.75" customHeight="1" x14ac:dyDescent="0.2">
      <c r="H1611" s="10"/>
    </row>
    <row r="1612" spans="8:8" ht="12.75" customHeight="1" x14ac:dyDescent="0.2">
      <c r="H1612" s="10"/>
    </row>
    <row r="1613" spans="8:8" ht="12.75" customHeight="1" x14ac:dyDescent="0.2">
      <c r="H1613" s="10"/>
    </row>
    <row r="1614" spans="8:8" ht="12.75" customHeight="1" x14ac:dyDescent="0.2">
      <c r="H1614" s="10"/>
    </row>
    <row r="1615" spans="8:8" ht="12.75" customHeight="1" x14ac:dyDescent="0.2">
      <c r="H1615" s="10"/>
    </row>
    <row r="1616" spans="8:8" ht="12.75" customHeight="1" x14ac:dyDescent="0.2">
      <c r="H1616" s="10"/>
    </row>
    <row r="1617" spans="8:8" ht="12.75" customHeight="1" x14ac:dyDescent="0.2">
      <c r="H1617" s="10"/>
    </row>
    <row r="1618" spans="8:8" ht="12.75" customHeight="1" x14ac:dyDescent="0.2">
      <c r="H1618" s="10"/>
    </row>
    <row r="1619" spans="8:8" ht="12.75" customHeight="1" x14ac:dyDescent="0.2">
      <c r="H1619" s="10"/>
    </row>
    <row r="1620" spans="8:8" ht="12.75" customHeight="1" x14ac:dyDescent="0.2">
      <c r="H1620" s="10"/>
    </row>
    <row r="1621" spans="8:8" ht="12.75" customHeight="1" x14ac:dyDescent="0.2">
      <c r="H1621" s="10"/>
    </row>
    <row r="1622" spans="8:8" ht="12.75" customHeight="1" x14ac:dyDescent="0.2">
      <c r="H1622" s="10"/>
    </row>
    <row r="1623" spans="8:8" ht="12.75" customHeight="1" x14ac:dyDescent="0.2">
      <c r="H1623" s="10"/>
    </row>
    <row r="1624" spans="8:8" ht="12.75" customHeight="1" x14ac:dyDescent="0.2">
      <c r="H1624" s="10"/>
    </row>
    <row r="1625" spans="8:8" ht="12.75" customHeight="1" x14ac:dyDescent="0.2">
      <c r="H1625" s="10"/>
    </row>
    <row r="1626" spans="8:8" ht="12.75" customHeight="1" x14ac:dyDescent="0.2">
      <c r="H1626" s="10"/>
    </row>
    <row r="1627" spans="8:8" ht="12.75" customHeight="1" x14ac:dyDescent="0.2">
      <c r="H1627" s="10"/>
    </row>
    <row r="1628" spans="8:8" ht="12.75" customHeight="1" x14ac:dyDescent="0.2">
      <c r="H1628" s="10"/>
    </row>
    <row r="1629" spans="8:8" ht="12.75" customHeight="1" x14ac:dyDescent="0.2">
      <c r="H1629" s="10"/>
    </row>
    <row r="1630" spans="8:8" ht="12.75" customHeight="1" x14ac:dyDescent="0.2">
      <c r="H1630" s="10"/>
    </row>
    <row r="1631" spans="8:8" ht="12.75" customHeight="1" x14ac:dyDescent="0.2">
      <c r="H1631" s="10"/>
    </row>
    <row r="1632" spans="8:8" ht="12.75" customHeight="1" x14ac:dyDescent="0.2">
      <c r="H1632" s="10"/>
    </row>
    <row r="1633" spans="8:8" ht="12.75" customHeight="1" x14ac:dyDescent="0.2">
      <c r="H1633" s="10"/>
    </row>
    <row r="1634" spans="8:8" ht="12.75" customHeight="1" x14ac:dyDescent="0.2">
      <c r="H1634" s="10"/>
    </row>
    <row r="1635" spans="8:8" ht="12.75" customHeight="1" x14ac:dyDescent="0.2">
      <c r="H1635" s="10"/>
    </row>
    <row r="1636" spans="8:8" ht="12.75" customHeight="1" x14ac:dyDescent="0.2">
      <c r="H1636" s="10"/>
    </row>
    <row r="1637" spans="8:8" ht="12.75" customHeight="1" x14ac:dyDescent="0.2">
      <c r="H1637" s="10"/>
    </row>
    <row r="1638" spans="8:8" ht="12.75" customHeight="1" x14ac:dyDescent="0.2">
      <c r="H1638" s="10"/>
    </row>
    <row r="1639" spans="8:8" ht="12.75" customHeight="1" x14ac:dyDescent="0.2">
      <c r="H1639" s="10"/>
    </row>
    <row r="1640" spans="8:8" ht="12.75" customHeight="1" x14ac:dyDescent="0.2">
      <c r="H1640" s="10"/>
    </row>
    <row r="1641" spans="8:8" ht="12.75" customHeight="1" x14ac:dyDescent="0.2">
      <c r="H1641" s="10"/>
    </row>
    <row r="1642" spans="8:8" ht="12.75" customHeight="1" x14ac:dyDescent="0.2">
      <c r="H1642" s="10"/>
    </row>
    <row r="1643" spans="8:8" ht="12.75" customHeight="1" x14ac:dyDescent="0.2">
      <c r="H1643" s="10"/>
    </row>
    <row r="1644" spans="8:8" ht="12.75" customHeight="1" x14ac:dyDescent="0.2">
      <c r="H1644" s="10"/>
    </row>
    <row r="1645" spans="8:8" ht="12.75" customHeight="1" x14ac:dyDescent="0.2">
      <c r="H1645" s="10"/>
    </row>
    <row r="1646" spans="8:8" ht="12.75" customHeight="1" x14ac:dyDescent="0.2">
      <c r="H1646" s="10"/>
    </row>
    <row r="1647" spans="8:8" ht="12.75" customHeight="1" x14ac:dyDescent="0.2">
      <c r="H1647" s="10"/>
    </row>
    <row r="1648" spans="8:8" ht="12.75" customHeight="1" x14ac:dyDescent="0.2">
      <c r="H1648" s="10"/>
    </row>
    <row r="1649" spans="8:8" ht="12.75" customHeight="1" x14ac:dyDescent="0.2">
      <c r="H1649" s="10"/>
    </row>
    <row r="1650" spans="8:8" ht="12.75" customHeight="1" x14ac:dyDescent="0.2">
      <c r="H1650" s="10"/>
    </row>
    <row r="1651" spans="8:8" ht="12.75" customHeight="1" x14ac:dyDescent="0.2">
      <c r="H1651" s="10"/>
    </row>
    <row r="1652" spans="8:8" ht="12.75" customHeight="1" x14ac:dyDescent="0.2">
      <c r="H1652" s="10"/>
    </row>
    <row r="1653" spans="8:8" ht="12.75" customHeight="1" x14ac:dyDescent="0.2">
      <c r="H1653" s="10"/>
    </row>
    <row r="1654" spans="8:8" ht="12.75" customHeight="1" x14ac:dyDescent="0.2">
      <c r="H1654" s="10"/>
    </row>
    <row r="1655" spans="8:8" ht="12.75" customHeight="1" x14ac:dyDescent="0.2">
      <c r="H1655" s="10"/>
    </row>
    <row r="1656" spans="8:8" ht="12.75" customHeight="1" x14ac:dyDescent="0.2">
      <c r="H1656" s="10"/>
    </row>
    <row r="1657" spans="8:8" ht="12.75" customHeight="1" x14ac:dyDescent="0.2">
      <c r="H1657" s="10"/>
    </row>
    <row r="1658" spans="8:8" ht="12.75" customHeight="1" x14ac:dyDescent="0.2">
      <c r="H1658" s="10"/>
    </row>
    <row r="1659" spans="8:8" ht="12.75" customHeight="1" x14ac:dyDescent="0.2">
      <c r="H1659" s="10"/>
    </row>
    <row r="1660" spans="8:8" ht="12.75" customHeight="1" x14ac:dyDescent="0.2">
      <c r="H1660" s="10"/>
    </row>
    <row r="1661" spans="8:8" ht="12.75" customHeight="1" x14ac:dyDescent="0.2">
      <c r="H1661" s="10"/>
    </row>
    <row r="1662" spans="8:8" ht="12.75" customHeight="1" x14ac:dyDescent="0.2">
      <c r="H1662" s="10"/>
    </row>
    <row r="1663" spans="8:8" ht="12.75" customHeight="1" x14ac:dyDescent="0.2">
      <c r="H1663" s="10"/>
    </row>
    <row r="1664" spans="8:8" ht="12.75" customHeight="1" x14ac:dyDescent="0.2">
      <c r="H1664" s="10"/>
    </row>
    <row r="1665" spans="8:8" ht="12.75" customHeight="1" x14ac:dyDescent="0.2">
      <c r="H1665" s="10"/>
    </row>
    <row r="1666" spans="8:8" ht="12.75" customHeight="1" x14ac:dyDescent="0.2">
      <c r="H1666" s="10"/>
    </row>
    <row r="1667" spans="8:8" ht="12.75" customHeight="1" x14ac:dyDescent="0.2">
      <c r="H1667" s="10"/>
    </row>
    <row r="1668" spans="8:8" ht="12.75" customHeight="1" x14ac:dyDescent="0.2">
      <c r="H1668" s="10"/>
    </row>
    <row r="1669" spans="8:8" ht="12.75" customHeight="1" x14ac:dyDescent="0.2">
      <c r="H1669" s="10"/>
    </row>
    <row r="1670" spans="8:8" ht="12.75" customHeight="1" x14ac:dyDescent="0.2">
      <c r="H1670" s="10"/>
    </row>
    <row r="1671" spans="8:8" ht="12.75" customHeight="1" x14ac:dyDescent="0.2">
      <c r="H1671" s="10"/>
    </row>
    <row r="1672" spans="8:8" ht="12.75" customHeight="1" x14ac:dyDescent="0.2">
      <c r="H1672" s="10"/>
    </row>
    <row r="1673" spans="8:8" ht="12.75" customHeight="1" x14ac:dyDescent="0.2">
      <c r="H1673" s="10"/>
    </row>
    <row r="1674" spans="8:8" ht="12.75" customHeight="1" x14ac:dyDescent="0.2">
      <c r="H1674" s="10"/>
    </row>
    <row r="1675" spans="8:8" ht="12.75" customHeight="1" x14ac:dyDescent="0.2">
      <c r="H1675" s="10"/>
    </row>
    <row r="1676" spans="8:8" ht="12.75" customHeight="1" x14ac:dyDescent="0.2">
      <c r="H1676" s="10"/>
    </row>
    <row r="1677" spans="8:8" ht="12.75" customHeight="1" x14ac:dyDescent="0.2">
      <c r="H1677" s="10"/>
    </row>
    <row r="1678" spans="8:8" ht="12.75" customHeight="1" x14ac:dyDescent="0.2">
      <c r="H1678" s="10"/>
    </row>
    <row r="1679" spans="8:8" ht="12.75" customHeight="1" x14ac:dyDescent="0.2">
      <c r="H1679" s="10"/>
    </row>
    <row r="1680" spans="8:8" ht="12.75" customHeight="1" x14ac:dyDescent="0.2">
      <c r="H1680" s="10"/>
    </row>
    <row r="1681" spans="8:8" ht="12.75" customHeight="1" x14ac:dyDescent="0.2">
      <c r="H1681" s="10"/>
    </row>
    <row r="1682" spans="8:8" ht="12.75" customHeight="1" x14ac:dyDescent="0.2">
      <c r="H1682" s="10"/>
    </row>
    <row r="1683" spans="8:8" ht="12.75" customHeight="1" x14ac:dyDescent="0.2">
      <c r="H1683" s="10"/>
    </row>
    <row r="1684" spans="8:8" ht="12.75" customHeight="1" x14ac:dyDescent="0.2">
      <c r="H1684" s="10"/>
    </row>
    <row r="1685" spans="8:8" ht="12.75" customHeight="1" x14ac:dyDescent="0.2">
      <c r="H1685" s="10"/>
    </row>
    <row r="1686" spans="8:8" ht="12.75" customHeight="1" x14ac:dyDescent="0.2">
      <c r="H1686" s="10"/>
    </row>
    <row r="1687" spans="8:8" ht="12.75" customHeight="1" x14ac:dyDescent="0.2">
      <c r="H1687" s="10"/>
    </row>
    <row r="1688" spans="8:8" ht="12.75" customHeight="1" x14ac:dyDescent="0.2">
      <c r="H1688" s="10"/>
    </row>
    <row r="1689" spans="8:8" ht="12.75" customHeight="1" x14ac:dyDescent="0.2">
      <c r="H1689" s="10"/>
    </row>
    <row r="1690" spans="8:8" ht="12.75" customHeight="1" x14ac:dyDescent="0.2">
      <c r="H1690" s="10"/>
    </row>
    <row r="1691" spans="8:8" ht="12.75" customHeight="1" x14ac:dyDescent="0.2">
      <c r="H1691" s="10"/>
    </row>
    <row r="1692" spans="8:8" ht="12.75" customHeight="1" x14ac:dyDescent="0.2">
      <c r="H1692" s="10"/>
    </row>
    <row r="1693" spans="8:8" ht="12.75" customHeight="1" x14ac:dyDescent="0.2">
      <c r="H1693" s="10"/>
    </row>
    <row r="1694" spans="8:8" ht="12.75" customHeight="1" x14ac:dyDescent="0.2">
      <c r="H1694" s="10"/>
    </row>
    <row r="1695" spans="8:8" ht="12.75" customHeight="1" x14ac:dyDescent="0.2">
      <c r="H1695" s="10"/>
    </row>
    <row r="1696" spans="8:8" ht="12.75" customHeight="1" x14ac:dyDescent="0.2">
      <c r="H1696" s="10"/>
    </row>
    <row r="1697" spans="8:8" ht="12.75" customHeight="1" x14ac:dyDescent="0.2">
      <c r="H1697" s="10"/>
    </row>
    <row r="1698" spans="8:8" ht="12.75" customHeight="1" x14ac:dyDescent="0.2">
      <c r="H1698" s="10"/>
    </row>
    <row r="1699" spans="8:8" ht="12.75" customHeight="1" x14ac:dyDescent="0.2">
      <c r="H1699" s="10"/>
    </row>
    <row r="1700" spans="8:8" ht="12.75" customHeight="1" x14ac:dyDescent="0.2">
      <c r="H1700" s="10"/>
    </row>
    <row r="1701" spans="8:8" ht="12.75" customHeight="1" x14ac:dyDescent="0.2">
      <c r="H1701" s="10"/>
    </row>
    <row r="1702" spans="8:8" ht="12.75" customHeight="1" x14ac:dyDescent="0.2">
      <c r="H1702" s="10"/>
    </row>
    <row r="1703" spans="8:8" ht="12.75" customHeight="1" x14ac:dyDescent="0.2">
      <c r="H1703" s="10"/>
    </row>
    <row r="1704" spans="8:8" ht="12.75" customHeight="1" x14ac:dyDescent="0.2">
      <c r="H1704" s="10"/>
    </row>
    <row r="1705" spans="8:8" ht="12.75" customHeight="1" x14ac:dyDescent="0.2">
      <c r="H1705" s="10"/>
    </row>
    <row r="1706" spans="8:8" ht="12.75" customHeight="1" x14ac:dyDescent="0.2">
      <c r="H1706" s="10"/>
    </row>
    <row r="1707" spans="8:8" ht="12.75" customHeight="1" x14ac:dyDescent="0.2">
      <c r="H1707" s="10"/>
    </row>
    <row r="1708" spans="8:8" ht="12.75" customHeight="1" x14ac:dyDescent="0.2">
      <c r="H1708" s="10"/>
    </row>
    <row r="1709" spans="8:8" ht="12.75" customHeight="1" x14ac:dyDescent="0.2">
      <c r="H1709" s="10"/>
    </row>
    <row r="1710" spans="8:8" ht="12.75" customHeight="1" x14ac:dyDescent="0.2">
      <c r="H1710" s="10"/>
    </row>
    <row r="1711" spans="8:8" ht="12.75" customHeight="1" x14ac:dyDescent="0.2">
      <c r="H1711" s="10"/>
    </row>
    <row r="1712" spans="8:8" ht="12.75" customHeight="1" x14ac:dyDescent="0.2">
      <c r="H1712" s="10"/>
    </row>
    <row r="1713" spans="8:8" ht="12.75" customHeight="1" x14ac:dyDescent="0.2">
      <c r="H1713" s="10"/>
    </row>
    <row r="1714" spans="8:8" ht="12.75" customHeight="1" x14ac:dyDescent="0.2">
      <c r="H1714" s="10"/>
    </row>
    <row r="1715" spans="8:8" ht="12.75" customHeight="1" x14ac:dyDescent="0.2">
      <c r="H1715" s="10"/>
    </row>
    <row r="1716" spans="8:8" ht="12.75" customHeight="1" x14ac:dyDescent="0.2">
      <c r="H1716" s="10"/>
    </row>
    <row r="1717" spans="8:8" ht="12.75" customHeight="1" x14ac:dyDescent="0.2">
      <c r="H1717" s="10"/>
    </row>
    <row r="1718" spans="8:8" ht="12.75" customHeight="1" x14ac:dyDescent="0.2">
      <c r="H1718" s="10"/>
    </row>
    <row r="1719" spans="8:8" ht="12.75" customHeight="1" x14ac:dyDescent="0.2">
      <c r="H1719" s="10"/>
    </row>
    <row r="1720" spans="8:8" ht="12.75" customHeight="1" x14ac:dyDescent="0.2">
      <c r="H1720" s="10"/>
    </row>
    <row r="1721" spans="8:8" ht="12.75" customHeight="1" x14ac:dyDescent="0.2">
      <c r="H1721" s="10"/>
    </row>
    <row r="1722" spans="8:8" ht="12.75" customHeight="1" x14ac:dyDescent="0.2">
      <c r="H1722" s="10"/>
    </row>
    <row r="1723" spans="8:8" ht="12.75" customHeight="1" x14ac:dyDescent="0.2">
      <c r="H1723" s="10"/>
    </row>
    <row r="1724" spans="8:8" ht="12.75" customHeight="1" x14ac:dyDescent="0.2">
      <c r="H1724" s="10"/>
    </row>
    <row r="1725" spans="8:8" ht="12.75" customHeight="1" x14ac:dyDescent="0.2">
      <c r="H1725" s="10"/>
    </row>
    <row r="1726" spans="8:8" ht="12.75" customHeight="1" x14ac:dyDescent="0.2">
      <c r="H1726" s="10"/>
    </row>
    <row r="1727" spans="8:8" ht="12.75" customHeight="1" x14ac:dyDescent="0.2">
      <c r="H1727" s="10"/>
    </row>
    <row r="1728" spans="8:8" ht="12.75" customHeight="1" x14ac:dyDescent="0.2">
      <c r="H1728" s="10"/>
    </row>
    <row r="1729" spans="8:8" ht="12.75" customHeight="1" x14ac:dyDescent="0.2">
      <c r="H1729" s="10"/>
    </row>
    <row r="1730" spans="8:8" ht="12.75" customHeight="1" x14ac:dyDescent="0.2">
      <c r="H1730" s="10"/>
    </row>
    <row r="1731" spans="8:8" ht="12.75" customHeight="1" x14ac:dyDescent="0.2">
      <c r="H1731" s="10"/>
    </row>
    <row r="1732" spans="8:8" ht="12.75" customHeight="1" x14ac:dyDescent="0.2">
      <c r="H1732" s="10"/>
    </row>
    <row r="1733" spans="8:8" ht="12.75" customHeight="1" x14ac:dyDescent="0.2">
      <c r="H1733" s="10"/>
    </row>
    <row r="1734" spans="8:8" ht="12.75" customHeight="1" x14ac:dyDescent="0.2">
      <c r="H1734" s="10"/>
    </row>
    <row r="1735" spans="8:8" ht="12.75" customHeight="1" x14ac:dyDescent="0.2">
      <c r="H1735" s="10"/>
    </row>
    <row r="1736" spans="8:8" ht="12.75" customHeight="1" x14ac:dyDescent="0.2">
      <c r="H1736" s="10"/>
    </row>
    <row r="1737" spans="8:8" ht="12.75" customHeight="1" x14ac:dyDescent="0.2">
      <c r="H1737" s="10"/>
    </row>
    <row r="1738" spans="8:8" ht="12.75" customHeight="1" x14ac:dyDescent="0.2">
      <c r="H1738" s="10"/>
    </row>
    <row r="1739" spans="8:8" ht="12.75" customHeight="1" x14ac:dyDescent="0.2">
      <c r="H1739" s="10"/>
    </row>
    <row r="1740" spans="8:8" ht="12.75" customHeight="1" x14ac:dyDescent="0.2">
      <c r="H1740" s="10"/>
    </row>
    <row r="1741" spans="8:8" ht="12.75" customHeight="1" x14ac:dyDescent="0.2">
      <c r="H1741" s="10"/>
    </row>
    <row r="1742" spans="8:8" ht="12.75" customHeight="1" x14ac:dyDescent="0.2">
      <c r="H1742" s="10"/>
    </row>
    <row r="1743" spans="8:8" ht="12.75" customHeight="1" x14ac:dyDescent="0.2">
      <c r="H1743" s="10"/>
    </row>
    <row r="1744" spans="8:8" ht="12.75" customHeight="1" x14ac:dyDescent="0.2">
      <c r="H1744" s="10"/>
    </row>
    <row r="1745" spans="8:8" ht="12.75" customHeight="1" x14ac:dyDescent="0.2">
      <c r="H1745" s="10"/>
    </row>
    <row r="1746" spans="8:8" ht="12.75" customHeight="1" x14ac:dyDescent="0.2">
      <c r="H1746" s="10"/>
    </row>
    <row r="1747" spans="8:8" ht="12.75" customHeight="1" x14ac:dyDescent="0.2">
      <c r="H1747" s="10"/>
    </row>
    <row r="1748" spans="8:8" ht="12.75" customHeight="1" x14ac:dyDescent="0.2">
      <c r="H1748" s="10"/>
    </row>
    <row r="1749" spans="8:8" ht="12.75" customHeight="1" x14ac:dyDescent="0.2">
      <c r="H1749" s="10"/>
    </row>
    <row r="1750" spans="8:8" ht="12.75" customHeight="1" x14ac:dyDescent="0.2">
      <c r="H1750" s="10"/>
    </row>
    <row r="1751" spans="8:8" ht="12.75" customHeight="1" x14ac:dyDescent="0.2">
      <c r="H1751" s="10"/>
    </row>
    <row r="1752" spans="8:8" ht="12.75" customHeight="1" x14ac:dyDescent="0.2">
      <c r="H1752" s="10"/>
    </row>
    <row r="1753" spans="8:8" ht="12.75" customHeight="1" x14ac:dyDescent="0.2">
      <c r="H1753" s="10"/>
    </row>
    <row r="1754" spans="8:8" ht="12.75" customHeight="1" x14ac:dyDescent="0.2">
      <c r="H1754" s="10"/>
    </row>
    <row r="1755" spans="8:8" ht="12.75" customHeight="1" x14ac:dyDescent="0.2">
      <c r="H1755" s="10"/>
    </row>
    <row r="1756" spans="8:8" ht="12.75" customHeight="1" x14ac:dyDescent="0.2">
      <c r="H1756" s="10"/>
    </row>
    <row r="1757" spans="8:8" ht="12.75" customHeight="1" x14ac:dyDescent="0.2">
      <c r="H1757" s="10"/>
    </row>
    <row r="1758" spans="8:8" ht="12.75" customHeight="1" x14ac:dyDescent="0.2">
      <c r="H1758" s="10"/>
    </row>
    <row r="1759" spans="8:8" ht="12.75" customHeight="1" x14ac:dyDescent="0.2">
      <c r="H1759" s="10"/>
    </row>
    <row r="1760" spans="8:8" ht="12.75" customHeight="1" x14ac:dyDescent="0.2">
      <c r="H1760" s="10"/>
    </row>
    <row r="1761" spans="8:8" ht="12.75" customHeight="1" x14ac:dyDescent="0.2">
      <c r="H1761" s="10"/>
    </row>
    <row r="1762" spans="8:8" ht="12.75" customHeight="1" x14ac:dyDescent="0.2">
      <c r="H1762" s="10"/>
    </row>
    <row r="1763" spans="8:8" ht="12.75" customHeight="1" x14ac:dyDescent="0.2">
      <c r="H1763" s="10"/>
    </row>
    <row r="1764" spans="8:8" ht="12.75" customHeight="1" x14ac:dyDescent="0.2">
      <c r="H1764" s="10"/>
    </row>
    <row r="1765" spans="8:8" ht="12.75" customHeight="1" x14ac:dyDescent="0.2">
      <c r="H1765" s="10"/>
    </row>
    <row r="1766" spans="8:8" ht="12.75" customHeight="1" x14ac:dyDescent="0.2">
      <c r="H1766" s="10"/>
    </row>
    <row r="1767" spans="8:8" ht="12.75" customHeight="1" x14ac:dyDescent="0.2">
      <c r="H1767" s="10"/>
    </row>
    <row r="1768" spans="8:8" ht="12.75" customHeight="1" x14ac:dyDescent="0.2">
      <c r="H1768" s="10"/>
    </row>
    <row r="1769" spans="8:8" ht="12.75" customHeight="1" x14ac:dyDescent="0.2">
      <c r="H1769" s="10"/>
    </row>
    <row r="1770" spans="8:8" ht="12.75" customHeight="1" x14ac:dyDescent="0.2">
      <c r="H1770" s="10"/>
    </row>
    <row r="1771" spans="8:8" ht="12.75" customHeight="1" x14ac:dyDescent="0.2">
      <c r="H1771" s="10"/>
    </row>
    <row r="1772" spans="8:8" ht="12.75" customHeight="1" x14ac:dyDescent="0.2">
      <c r="H1772" s="10"/>
    </row>
    <row r="1773" spans="8:8" ht="12.75" customHeight="1" x14ac:dyDescent="0.2">
      <c r="H1773" s="10"/>
    </row>
    <row r="1774" spans="8:8" ht="12.75" customHeight="1" x14ac:dyDescent="0.2">
      <c r="H1774" s="10"/>
    </row>
    <row r="1775" spans="8:8" ht="12.75" customHeight="1" x14ac:dyDescent="0.2">
      <c r="H1775" s="10"/>
    </row>
    <row r="1776" spans="8:8" ht="12.75" customHeight="1" x14ac:dyDescent="0.2">
      <c r="H1776" s="10"/>
    </row>
    <row r="1777" spans="8:8" ht="12.75" customHeight="1" x14ac:dyDescent="0.2">
      <c r="H1777" s="10"/>
    </row>
    <row r="1778" spans="8:8" ht="12.75" customHeight="1" x14ac:dyDescent="0.2">
      <c r="H1778" s="10"/>
    </row>
    <row r="1779" spans="8:8" ht="12.75" customHeight="1" x14ac:dyDescent="0.2">
      <c r="H1779" s="10"/>
    </row>
    <row r="1780" spans="8:8" ht="12.75" customHeight="1" x14ac:dyDescent="0.2">
      <c r="H1780" s="10"/>
    </row>
    <row r="1781" spans="8:8" ht="12.75" customHeight="1" x14ac:dyDescent="0.2">
      <c r="H1781" s="10"/>
    </row>
    <row r="1782" spans="8:8" ht="12.75" customHeight="1" x14ac:dyDescent="0.2">
      <c r="H1782" s="10"/>
    </row>
    <row r="1783" spans="8:8" ht="12.75" customHeight="1" x14ac:dyDescent="0.2">
      <c r="H1783" s="10"/>
    </row>
    <row r="1784" spans="8:8" ht="12.75" customHeight="1" x14ac:dyDescent="0.2">
      <c r="H1784" s="10"/>
    </row>
    <row r="1785" spans="8:8" ht="12.75" customHeight="1" x14ac:dyDescent="0.2">
      <c r="H1785" s="10"/>
    </row>
    <row r="1786" spans="8:8" ht="12.75" customHeight="1" x14ac:dyDescent="0.2">
      <c r="H1786" s="10"/>
    </row>
    <row r="1787" spans="8:8" ht="12.75" customHeight="1" x14ac:dyDescent="0.2">
      <c r="H1787" s="10"/>
    </row>
    <row r="1788" spans="8:8" ht="12.75" customHeight="1" x14ac:dyDescent="0.2">
      <c r="H1788" s="10"/>
    </row>
    <row r="1789" spans="8:8" ht="12.75" customHeight="1" x14ac:dyDescent="0.2">
      <c r="H1789" s="10"/>
    </row>
    <row r="1790" spans="8:8" ht="12.75" customHeight="1" x14ac:dyDescent="0.2">
      <c r="H1790" s="10"/>
    </row>
    <row r="1791" spans="8:8" ht="12.75" customHeight="1" x14ac:dyDescent="0.2">
      <c r="H1791" s="10"/>
    </row>
    <row r="1792" spans="8:8" ht="12.75" customHeight="1" x14ac:dyDescent="0.2">
      <c r="H1792" s="10"/>
    </row>
    <row r="1793" spans="8:8" ht="12.75" customHeight="1" x14ac:dyDescent="0.2">
      <c r="H1793" s="10"/>
    </row>
    <row r="1794" spans="8:8" ht="12.75" customHeight="1" x14ac:dyDescent="0.2">
      <c r="H1794" s="10"/>
    </row>
    <row r="1795" spans="8:8" ht="12.75" customHeight="1" x14ac:dyDescent="0.2">
      <c r="H1795" s="10"/>
    </row>
    <row r="1796" spans="8:8" ht="12.75" customHeight="1" x14ac:dyDescent="0.2">
      <c r="H1796" s="10"/>
    </row>
    <row r="1797" spans="8:8" ht="12.75" customHeight="1" x14ac:dyDescent="0.2">
      <c r="H1797" s="10"/>
    </row>
    <row r="1798" spans="8:8" ht="12.75" customHeight="1" x14ac:dyDescent="0.2">
      <c r="H1798" s="10"/>
    </row>
    <row r="1799" spans="8:8" ht="12.75" customHeight="1" x14ac:dyDescent="0.2">
      <c r="H1799" s="10"/>
    </row>
    <row r="1800" spans="8:8" ht="12.75" customHeight="1" x14ac:dyDescent="0.2">
      <c r="H1800" s="10"/>
    </row>
    <row r="1801" spans="8:8" ht="12.75" customHeight="1" x14ac:dyDescent="0.2">
      <c r="H1801" s="10"/>
    </row>
    <row r="1802" spans="8:8" ht="12.75" customHeight="1" x14ac:dyDescent="0.2">
      <c r="H1802" s="10"/>
    </row>
    <row r="1803" spans="8:8" ht="12.75" customHeight="1" x14ac:dyDescent="0.2">
      <c r="H1803" s="10"/>
    </row>
    <row r="1804" spans="8:8" ht="12.75" customHeight="1" x14ac:dyDescent="0.2">
      <c r="H1804" s="10"/>
    </row>
    <row r="1805" spans="8:8" ht="12.75" customHeight="1" x14ac:dyDescent="0.2">
      <c r="H1805" s="10"/>
    </row>
    <row r="1806" spans="8:8" ht="12.75" customHeight="1" x14ac:dyDescent="0.2">
      <c r="H1806" s="10"/>
    </row>
    <row r="1807" spans="8:8" ht="12.75" customHeight="1" x14ac:dyDescent="0.2">
      <c r="H1807" s="10"/>
    </row>
    <row r="1808" spans="8:8" ht="12.75" customHeight="1" x14ac:dyDescent="0.2">
      <c r="H1808" s="10"/>
    </row>
    <row r="1809" spans="8:8" ht="12.75" customHeight="1" x14ac:dyDescent="0.2">
      <c r="H1809" s="10"/>
    </row>
    <row r="1810" spans="8:8" ht="12.75" customHeight="1" x14ac:dyDescent="0.2">
      <c r="H1810" s="10"/>
    </row>
    <row r="1811" spans="8:8" ht="12.75" customHeight="1" x14ac:dyDescent="0.2">
      <c r="H1811" s="10"/>
    </row>
    <row r="1812" spans="8:8" ht="12.75" customHeight="1" x14ac:dyDescent="0.2">
      <c r="H1812" s="10"/>
    </row>
    <row r="1813" spans="8:8" ht="12.75" customHeight="1" x14ac:dyDescent="0.2">
      <c r="H1813" s="10"/>
    </row>
    <row r="1814" spans="8:8" ht="12.75" customHeight="1" x14ac:dyDescent="0.2">
      <c r="H1814" s="10"/>
    </row>
    <row r="1815" spans="8:8" ht="12.75" customHeight="1" x14ac:dyDescent="0.2">
      <c r="H1815" s="10"/>
    </row>
    <row r="1816" spans="8:8" ht="12.75" customHeight="1" x14ac:dyDescent="0.2">
      <c r="H1816" s="10"/>
    </row>
    <row r="1817" spans="8:8" ht="12.75" customHeight="1" x14ac:dyDescent="0.2">
      <c r="H1817" s="10"/>
    </row>
    <row r="1818" spans="8:8" ht="12.75" customHeight="1" x14ac:dyDescent="0.2">
      <c r="H1818" s="10"/>
    </row>
    <row r="1819" spans="8:8" ht="12.75" customHeight="1" x14ac:dyDescent="0.2">
      <c r="H1819" s="10"/>
    </row>
    <row r="1820" spans="8:8" ht="12.75" customHeight="1" x14ac:dyDescent="0.2">
      <c r="H1820" s="10"/>
    </row>
    <row r="1821" spans="8:8" ht="12.75" customHeight="1" x14ac:dyDescent="0.2">
      <c r="H1821" s="10"/>
    </row>
    <row r="1822" spans="8:8" ht="12.75" customHeight="1" x14ac:dyDescent="0.2">
      <c r="H1822" s="10"/>
    </row>
    <row r="1823" spans="8:8" ht="12.75" customHeight="1" x14ac:dyDescent="0.2">
      <c r="H1823" s="10"/>
    </row>
    <row r="1824" spans="8:8" ht="12.75" customHeight="1" x14ac:dyDescent="0.2">
      <c r="H1824" s="10"/>
    </row>
    <row r="1825" spans="8:8" ht="12.75" customHeight="1" x14ac:dyDescent="0.2">
      <c r="H1825" s="10"/>
    </row>
    <row r="1826" spans="8:8" ht="12.75" customHeight="1" x14ac:dyDescent="0.2">
      <c r="H1826" s="10"/>
    </row>
    <row r="1827" spans="8:8" ht="12.75" customHeight="1" x14ac:dyDescent="0.2">
      <c r="H1827" s="10"/>
    </row>
    <row r="1828" spans="8:8" ht="12.75" customHeight="1" x14ac:dyDescent="0.2">
      <c r="H1828" s="10"/>
    </row>
    <row r="1829" spans="8:8" ht="12.75" customHeight="1" x14ac:dyDescent="0.2">
      <c r="H1829" s="10"/>
    </row>
    <row r="1830" spans="8:8" ht="12.75" customHeight="1" x14ac:dyDescent="0.2">
      <c r="H1830" s="10"/>
    </row>
    <row r="1831" spans="8:8" ht="12.75" customHeight="1" x14ac:dyDescent="0.2">
      <c r="H1831" s="10"/>
    </row>
    <row r="1832" spans="8:8" ht="12.75" customHeight="1" x14ac:dyDescent="0.2">
      <c r="H1832" s="10"/>
    </row>
    <row r="1833" spans="8:8" ht="12.75" customHeight="1" x14ac:dyDescent="0.2">
      <c r="H1833" s="10"/>
    </row>
    <row r="1834" spans="8:8" ht="12.75" customHeight="1" x14ac:dyDescent="0.2">
      <c r="H1834" s="10"/>
    </row>
    <row r="1835" spans="8:8" ht="12.75" customHeight="1" x14ac:dyDescent="0.2">
      <c r="H1835" s="10"/>
    </row>
    <row r="1836" spans="8:8" ht="12.75" customHeight="1" x14ac:dyDescent="0.2">
      <c r="H1836" s="10"/>
    </row>
    <row r="1837" spans="8:8" ht="12.75" customHeight="1" x14ac:dyDescent="0.2">
      <c r="H1837" s="10"/>
    </row>
    <row r="1838" spans="8:8" ht="12.75" customHeight="1" x14ac:dyDescent="0.2">
      <c r="H1838" s="10"/>
    </row>
    <row r="1839" spans="8:8" ht="12.75" customHeight="1" x14ac:dyDescent="0.2">
      <c r="H1839" s="10"/>
    </row>
    <row r="1840" spans="8:8" ht="12.75" customHeight="1" x14ac:dyDescent="0.2">
      <c r="H1840" s="10"/>
    </row>
    <row r="1841" spans="8:8" ht="12.75" customHeight="1" x14ac:dyDescent="0.2">
      <c r="H1841" s="10"/>
    </row>
    <row r="1842" spans="8:8" ht="12.75" customHeight="1" x14ac:dyDescent="0.2">
      <c r="H1842" s="10"/>
    </row>
    <row r="1843" spans="8:8" ht="12.75" customHeight="1" x14ac:dyDescent="0.2">
      <c r="H1843" s="10"/>
    </row>
    <row r="1844" spans="8:8" ht="12.75" customHeight="1" x14ac:dyDescent="0.2">
      <c r="H1844" s="10"/>
    </row>
    <row r="1845" spans="8:8" ht="12.75" customHeight="1" x14ac:dyDescent="0.2">
      <c r="H1845" s="10"/>
    </row>
    <row r="1846" spans="8:8" ht="12.75" customHeight="1" x14ac:dyDescent="0.2">
      <c r="H1846" s="10"/>
    </row>
    <row r="1847" spans="8:8" ht="12.75" customHeight="1" x14ac:dyDescent="0.2">
      <c r="H1847" s="10"/>
    </row>
    <row r="1848" spans="8:8" ht="12.75" customHeight="1" x14ac:dyDescent="0.2">
      <c r="H1848" s="10"/>
    </row>
    <row r="1849" spans="8:8" ht="12.75" customHeight="1" x14ac:dyDescent="0.2">
      <c r="H1849" s="10"/>
    </row>
    <row r="1850" spans="8:8" ht="12.75" customHeight="1" x14ac:dyDescent="0.2">
      <c r="H1850" s="10"/>
    </row>
    <row r="1851" spans="8:8" ht="12.75" customHeight="1" x14ac:dyDescent="0.2">
      <c r="H1851" s="10"/>
    </row>
    <row r="1852" spans="8:8" ht="12.75" customHeight="1" x14ac:dyDescent="0.2">
      <c r="H1852" s="10"/>
    </row>
    <row r="1853" spans="8:8" ht="12.75" customHeight="1" x14ac:dyDescent="0.2">
      <c r="H1853" s="10"/>
    </row>
    <row r="1854" spans="8:8" ht="12.75" customHeight="1" x14ac:dyDescent="0.2">
      <c r="H1854" s="10"/>
    </row>
    <row r="1855" spans="8:8" ht="12.75" customHeight="1" x14ac:dyDescent="0.2">
      <c r="H1855" s="10"/>
    </row>
    <row r="1856" spans="8:8" ht="12.75" customHeight="1" x14ac:dyDescent="0.2">
      <c r="H1856" s="10"/>
    </row>
    <row r="1857" spans="8:8" ht="12.75" customHeight="1" x14ac:dyDescent="0.2">
      <c r="H1857" s="10"/>
    </row>
    <row r="1858" spans="8:8" ht="12.75" customHeight="1" x14ac:dyDescent="0.2">
      <c r="H1858" s="10"/>
    </row>
    <row r="1859" spans="8:8" ht="12.75" customHeight="1" x14ac:dyDescent="0.2">
      <c r="H1859" s="10"/>
    </row>
    <row r="1860" spans="8:8" ht="12.75" customHeight="1" x14ac:dyDescent="0.2">
      <c r="H1860" s="10"/>
    </row>
    <row r="1861" spans="8:8" ht="12.75" customHeight="1" x14ac:dyDescent="0.2">
      <c r="H1861" s="10"/>
    </row>
    <row r="1862" spans="8:8" ht="12.75" customHeight="1" x14ac:dyDescent="0.2">
      <c r="H1862" s="10"/>
    </row>
    <row r="1863" spans="8:8" ht="12.75" customHeight="1" x14ac:dyDescent="0.2">
      <c r="H1863" s="10"/>
    </row>
    <row r="1864" spans="8:8" ht="12.75" customHeight="1" x14ac:dyDescent="0.2">
      <c r="H1864" s="10"/>
    </row>
    <row r="1865" spans="8:8" ht="12.75" customHeight="1" x14ac:dyDescent="0.2">
      <c r="H1865" s="10"/>
    </row>
    <row r="1866" spans="8:8" ht="12.75" customHeight="1" x14ac:dyDescent="0.2">
      <c r="H1866" s="10"/>
    </row>
    <row r="1867" spans="8:8" ht="12.75" customHeight="1" x14ac:dyDescent="0.2">
      <c r="H1867" s="10"/>
    </row>
    <row r="1868" spans="8:8" ht="12.75" customHeight="1" x14ac:dyDescent="0.2">
      <c r="H1868" s="10"/>
    </row>
    <row r="1869" spans="8:8" ht="12.75" customHeight="1" x14ac:dyDescent="0.2">
      <c r="H1869" s="10"/>
    </row>
    <row r="1870" spans="8:8" ht="12.75" customHeight="1" x14ac:dyDescent="0.2">
      <c r="H1870" s="10"/>
    </row>
    <row r="1871" spans="8:8" ht="12.75" customHeight="1" x14ac:dyDescent="0.2">
      <c r="H1871" s="10"/>
    </row>
    <row r="1872" spans="8:8" ht="12.75" customHeight="1" x14ac:dyDescent="0.2">
      <c r="H1872" s="10"/>
    </row>
    <row r="1873" spans="8:8" ht="12.75" customHeight="1" x14ac:dyDescent="0.2">
      <c r="H1873" s="10"/>
    </row>
    <row r="1874" spans="8:8" ht="12.75" customHeight="1" x14ac:dyDescent="0.2">
      <c r="H1874" s="10"/>
    </row>
    <row r="1875" spans="8:8" ht="12.75" customHeight="1" x14ac:dyDescent="0.2">
      <c r="H1875" s="10"/>
    </row>
    <row r="1876" spans="8:8" ht="12.75" customHeight="1" x14ac:dyDescent="0.2">
      <c r="H1876" s="10"/>
    </row>
    <row r="1877" spans="8:8" ht="12.75" customHeight="1" x14ac:dyDescent="0.2">
      <c r="H1877" s="10"/>
    </row>
    <row r="1878" spans="8:8" ht="12.75" customHeight="1" x14ac:dyDescent="0.2">
      <c r="H1878" s="10"/>
    </row>
    <row r="1879" spans="8:8" ht="12.75" customHeight="1" x14ac:dyDescent="0.2">
      <c r="H1879" s="10"/>
    </row>
    <row r="1880" spans="8:8" ht="12.75" customHeight="1" x14ac:dyDescent="0.2">
      <c r="H1880" s="10"/>
    </row>
    <row r="1881" spans="8:8" ht="12.75" customHeight="1" x14ac:dyDescent="0.2">
      <c r="H1881" s="10"/>
    </row>
    <row r="1882" spans="8:8" ht="12.75" customHeight="1" x14ac:dyDescent="0.2">
      <c r="H1882" s="10"/>
    </row>
    <row r="1883" spans="8:8" ht="12.75" customHeight="1" x14ac:dyDescent="0.2">
      <c r="H1883" s="10"/>
    </row>
    <row r="1884" spans="8:8" ht="12.75" customHeight="1" x14ac:dyDescent="0.2">
      <c r="H1884" s="10"/>
    </row>
    <row r="1885" spans="8:8" ht="12.75" customHeight="1" x14ac:dyDescent="0.2">
      <c r="H1885" s="10"/>
    </row>
    <row r="1886" spans="8:8" ht="12.75" customHeight="1" x14ac:dyDescent="0.2">
      <c r="H1886" s="10"/>
    </row>
    <row r="1887" spans="8:8" ht="12.75" customHeight="1" x14ac:dyDescent="0.2">
      <c r="H1887" s="10"/>
    </row>
    <row r="1888" spans="8:8" ht="12.75" customHeight="1" x14ac:dyDescent="0.2">
      <c r="H1888" s="10"/>
    </row>
    <row r="1889" spans="8:8" ht="12.75" customHeight="1" x14ac:dyDescent="0.2">
      <c r="H1889" s="10"/>
    </row>
  </sheetData>
  <mergeCells count="7">
    <mergeCell ref="A752:D752"/>
    <mergeCell ref="A770:D770"/>
    <mergeCell ref="A2:I3"/>
    <mergeCell ref="A4:I4"/>
    <mergeCell ref="A6:I6"/>
    <mergeCell ref="A10:A11"/>
    <mergeCell ref="D10:I10"/>
  </mergeCells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6</xdr:row>
                <xdr:rowOff>0</xdr:rowOff>
              </to>
            </anchor>
          </objectPr>
        </oleObject>
      </mc:Choice>
      <mc:Fallback>
        <oleObject progId="MSPhotoEd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3"/>
  <sheetViews>
    <sheetView topLeftCell="A155" zoomScale="75" workbookViewId="0">
      <selection activeCell="J4" sqref="J4"/>
    </sheetView>
  </sheetViews>
  <sheetFormatPr defaultRowHeight="12.75" x14ac:dyDescent="0.2"/>
  <cols>
    <col min="1" max="1" width="62.85546875" customWidth="1"/>
    <col min="2" max="6" width="0" hidden="1" customWidth="1"/>
    <col min="7" max="7" width="17" style="3" customWidth="1"/>
    <col min="8" max="8" width="18.140625" customWidth="1"/>
    <col min="9" max="9" width="17" customWidth="1"/>
    <col min="10" max="10" width="18.5703125" customWidth="1"/>
    <col min="11" max="11" width="17" customWidth="1"/>
    <col min="12" max="12" width="16.85546875" customWidth="1"/>
    <col min="13" max="13" width="6.28515625" hidden="1" customWidth="1"/>
    <col min="14" max="14" width="15.140625" hidden="1" customWidth="1"/>
    <col min="15" max="15" width="22.85546875" hidden="1" customWidth="1"/>
    <col min="16" max="16" width="13" hidden="1" customWidth="1"/>
    <col min="17" max="17" width="8.85546875" hidden="1" customWidth="1"/>
    <col min="18" max="18" width="17" hidden="1" customWidth="1"/>
    <col min="19" max="19" width="9.140625" style="3"/>
  </cols>
  <sheetData>
    <row r="1" spans="1:19" x14ac:dyDescent="0.2">
      <c r="G1"/>
    </row>
    <row r="2" spans="1:19" x14ac:dyDescent="0.2">
      <c r="G2"/>
    </row>
    <row r="3" spans="1:19" ht="27.75" x14ac:dyDescent="0.4">
      <c r="G3" s="1"/>
      <c r="H3" s="1" t="s">
        <v>741</v>
      </c>
      <c r="J3" s="3"/>
      <c r="K3" s="5"/>
      <c r="L3" s="5"/>
    </row>
    <row r="4" spans="1:19" ht="27.75" x14ac:dyDescent="0.4">
      <c r="H4" s="1" t="s">
        <v>1</v>
      </c>
      <c r="J4" s="3"/>
      <c r="K4" s="5"/>
      <c r="L4" s="5"/>
    </row>
    <row r="5" spans="1:19" x14ac:dyDescent="0.2">
      <c r="G5"/>
    </row>
    <row r="6" spans="1:19" x14ac:dyDescent="0.2">
      <c r="G6"/>
    </row>
    <row r="7" spans="1:19" ht="0.75" customHeight="1" x14ac:dyDescent="0.2">
      <c r="G7"/>
    </row>
    <row r="8" spans="1:19" hidden="1" x14ac:dyDescent="0.2">
      <c r="G8"/>
    </row>
    <row r="9" spans="1:19" s="3" customFormat="1" ht="12.75" customHeight="1" x14ac:dyDescent="0.2">
      <c r="A9" s="547" t="str">
        <f>'[2]Origination Summary'!A6:I6</f>
        <v>As of 09/28/01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358"/>
    </row>
    <row r="10" spans="1:19" s="3" customFormat="1" ht="12.75" customHeight="1" x14ac:dyDescent="0.2">
      <c r="A10" s="359"/>
      <c r="B10" s="359"/>
      <c r="C10" s="359"/>
      <c r="D10" s="359"/>
      <c r="E10" s="359"/>
      <c r="F10" s="359"/>
      <c r="G10" s="359"/>
      <c r="H10" s="359"/>
      <c r="I10" s="359"/>
      <c r="J10" s="359"/>
      <c r="K10" s="359"/>
      <c r="L10" s="360"/>
      <c r="M10" s="359"/>
      <c r="N10" s="359"/>
      <c r="O10" s="359"/>
      <c r="P10" s="359"/>
      <c r="Q10" s="359"/>
      <c r="R10" s="359"/>
    </row>
    <row r="11" spans="1:19" x14ac:dyDescent="0.2">
      <c r="G11"/>
    </row>
    <row r="12" spans="1:19" ht="13.5" thickBot="1" x14ac:dyDescent="0.25">
      <c r="G12"/>
    </row>
    <row r="13" spans="1:19" s="366" customFormat="1" ht="18.75" customHeight="1" thickBot="1" x14ac:dyDescent="0.3">
      <c r="A13" s="361"/>
      <c r="B13" s="362"/>
      <c r="C13" s="362"/>
      <c r="D13" s="362"/>
      <c r="E13" s="362"/>
      <c r="F13" s="362"/>
      <c r="G13" s="550" t="s">
        <v>4</v>
      </c>
      <c r="H13" s="563"/>
      <c r="I13" s="563"/>
      <c r="J13" s="563"/>
      <c r="K13" s="563"/>
      <c r="L13" s="564"/>
      <c r="M13" s="363"/>
      <c r="N13" s="565" t="s">
        <v>742</v>
      </c>
      <c r="O13" s="566"/>
      <c r="P13" s="567"/>
      <c r="Q13" s="364"/>
      <c r="R13" s="365"/>
    </row>
    <row r="14" spans="1:19" s="366" customFormat="1" ht="24" customHeight="1" x14ac:dyDescent="0.2">
      <c r="A14" s="16" t="s">
        <v>3</v>
      </c>
      <c r="B14" s="367" t="s">
        <v>743</v>
      </c>
      <c r="C14" s="367" t="s">
        <v>744</v>
      </c>
      <c r="D14" s="367" t="s">
        <v>745</v>
      </c>
      <c r="E14" s="367" t="s">
        <v>746</v>
      </c>
      <c r="F14" s="367" t="s">
        <v>6</v>
      </c>
      <c r="G14" s="548" t="s">
        <v>747</v>
      </c>
      <c r="H14" s="559" t="s">
        <v>748</v>
      </c>
      <c r="I14" s="549" t="s">
        <v>9</v>
      </c>
      <c r="J14" s="549" t="s">
        <v>749</v>
      </c>
      <c r="K14" s="561" t="s">
        <v>11</v>
      </c>
      <c r="L14" s="548" t="s">
        <v>750</v>
      </c>
      <c r="M14" s="368"/>
      <c r="N14" s="369" t="s">
        <v>751</v>
      </c>
      <c r="O14" s="369" t="s">
        <v>752</v>
      </c>
      <c r="P14" s="369" t="s">
        <v>753</v>
      </c>
      <c r="Q14" s="370"/>
      <c r="R14" s="371" t="s">
        <v>754</v>
      </c>
    </row>
    <row r="15" spans="1:19" s="366" customFormat="1" ht="27.75" customHeight="1" thickBot="1" x14ac:dyDescent="0.3">
      <c r="A15" s="20" t="s">
        <v>755</v>
      </c>
      <c r="B15" s="372"/>
      <c r="C15" s="372"/>
      <c r="D15" s="372"/>
      <c r="E15" s="372"/>
      <c r="F15" s="372"/>
      <c r="G15" s="558"/>
      <c r="H15" s="560"/>
      <c r="I15" s="558"/>
      <c r="J15" s="558"/>
      <c r="K15" s="562"/>
      <c r="L15" s="558"/>
      <c r="M15" s="373"/>
      <c r="N15" s="374" t="s">
        <v>756</v>
      </c>
      <c r="O15" s="375"/>
      <c r="P15" s="374" t="s">
        <v>757</v>
      </c>
      <c r="Q15" s="370"/>
      <c r="R15" s="376" t="s">
        <v>758</v>
      </c>
    </row>
    <row r="16" spans="1:19" x14ac:dyDescent="0.2">
      <c r="A16" s="377"/>
      <c r="B16" s="378"/>
      <c r="C16" s="378"/>
      <c r="D16" s="378"/>
      <c r="E16" s="378"/>
      <c r="F16" s="378"/>
      <c r="G16" s="379"/>
      <c r="H16" s="378"/>
      <c r="I16" s="378"/>
      <c r="J16" s="378"/>
      <c r="K16" s="378"/>
      <c r="L16" s="380"/>
      <c r="M16" s="379"/>
      <c r="P16" s="381"/>
      <c r="Q16" s="382"/>
      <c r="R16" s="377"/>
    </row>
    <row r="17" spans="1:19" ht="15.75" x14ac:dyDescent="0.25">
      <c r="A17" s="383" t="s">
        <v>759</v>
      </c>
      <c r="B17" s="384"/>
      <c r="C17" s="384"/>
      <c r="D17" s="384"/>
      <c r="E17" s="384"/>
      <c r="F17" s="384"/>
      <c r="G17" s="385"/>
      <c r="H17" s="384"/>
      <c r="I17" s="384"/>
      <c r="J17" s="384"/>
      <c r="K17" s="384"/>
      <c r="L17" s="386"/>
      <c r="M17" s="385"/>
      <c r="N17" s="387"/>
      <c r="O17" s="387"/>
      <c r="P17" s="388"/>
      <c r="Q17" s="389"/>
      <c r="R17" s="389"/>
    </row>
    <row r="18" spans="1:19" ht="15.75" x14ac:dyDescent="0.25">
      <c r="A18" s="383"/>
      <c r="B18" s="384"/>
      <c r="C18" s="384"/>
      <c r="D18" s="384"/>
      <c r="E18" s="384"/>
      <c r="F18" s="384"/>
      <c r="G18" s="385"/>
      <c r="H18" s="384"/>
      <c r="I18" s="384"/>
      <c r="J18" s="384"/>
      <c r="K18" s="384"/>
      <c r="L18" s="386"/>
      <c r="M18" s="385"/>
      <c r="N18" s="387"/>
      <c r="O18" s="387"/>
      <c r="P18" s="388"/>
      <c r="Q18" s="389"/>
      <c r="R18" s="389"/>
    </row>
    <row r="19" spans="1:19" x14ac:dyDescent="0.2">
      <c r="A19" s="390" t="s">
        <v>760</v>
      </c>
      <c r="B19" s="378"/>
      <c r="C19" s="378"/>
      <c r="D19" s="378"/>
      <c r="E19" s="378"/>
      <c r="F19" s="378"/>
      <c r="G19" s="379"/>
      <c r="H19" s="378"/>
      <c r="I19" s="378"/>
      <c r="J19" s="378"/>
      <c r="K19" s="378"/>
      <c r="L19" s="380"/>
      <c r="M19" s="379"/>
      <c r="P19" s="391"/>
      <c r="Q19" s="382"/>
      <c r="R19" s="382"/>
      <c r="S19"/>
    </row>
    <row r="20" spans="1:19" x14ac:dyDescent="0.2">
      <c r="A20" s="390"/>
      <c r="B20" s="378"/>
      <c r="C20" s="378"/>
      <c r="D20" s="378"/>
      <c r="E20" s="378"/>
      <c r="F20" s="378"/>
      <c r="G20" s="392"/>
      <c r="H20" s="393"/>
      <c r="I20" s="393"/>
      <c r="J20" s="393"/>
      <c r="K20" s="393"/>
      <c r="L20" s="394"/>
      <c r="M20" s="379"/>
      <c r="P20" s="391"/>
      <c r="Q20" s="382"/>
      <c r="R20" s="382"/>
      <c r="S20"/>
    </row>
    <row r="21" spans="1:19" x14ac:dyDescent="0.2">
      <c r="A21" s="395" t="s">
        <v>761</v>
      </c>
      <c r="B21" s="378"/>
      <c r="C21" s="378"/>
      <c r="D21" s="378"/>
      <c r="E21" s="378"/>
      <c r="F21" s="378"/>
      <c r="G21" s="392"/>
      <c r="H21" s="393"/>
      <c r="I21" s="393"/>
      <c r="J21" s="393"/>
      <c r="K21" s="396"/>
      <c r="L21" s="394"/>
      <c r="M21" s="379"/>
      <c r="P21" s="391"/>
      <c r="R21" s="382"/>
      <c r="S21"/>
    </row>
    <row r="22" spans="1:19" ht="9.75" hidden="1" customHeight="1" x14ac:dyDescent="0.2">
      <c r="A22" s="382" t="s">
        <v>762</v>
      </c>
      <c r="B22" s="378"/>
      <c r="C22" s="378"/>
      <c r="D22" s="378"/>
      <c r="E22" s="378"/>
      <c r="F22" s="378"/>
      <c r="G22" s="392"/>
      <c r="H22" s="397"/>
      <c r="I22" s="397"/>
      <c r="J22" s="397"/>
      <c r="K22" s="398"/>
      <c r="L22" s="399"/>
      <c r="M22" s="400"/>
      <c r="N22" s="401">
        <v>0</v>
      </c>
      <c r="O22" s="401">
        <v>0</v>
      </c>
      <c r="P22" s="401">
        <f>SUM(N22:O22)</f>
        <v>0</v>
      </c>
      <c r="Q22" s="400"/>
      <c r="R22" s="402">
        <f>L22+P22</f>
        <v>0</v>
      </c>
      <c r="S22"/>
    </row>
    <row r="23" spans="1:19" x14ac:dyDescent="0.2">
      <c r="A23" s="382"/>
      <c r="B23" s="378"/>
      <c r="C23" s="378"/>
      <c r="D23" s="378"/>
      <c r="E23" s="378"/>
      <c r="F23" s="378"/>
      <c r="G23" s="392"/>
      <c r="H23" s="397"/>
      <c r="I23" s="397"/>
      <c r="J23" s="397"/>
      <c r="K23" s="398"/>
      <c r="L23" s="399"/>
      <c r="M23" s="400"/>
      <c r="N23" s="401"/>
      <c r="O23" s="401"/>
      <c r="P23" s="401"/>
      <c r="Q23" s="400"/>
      <c r="R23" s="402"/>
      <c r="S23"/>
    </row>
    <row r="24" spans="1:19" x14ac:dyDescent="0.2">
      <c r="A24" s="382" t="s">
        <v>763</v>
      </c>
      <c r="B24" s="378"/>
      <c r="C24" s="378"/>
      <c r="D24" s="378"/>
      <c r="E24" s="378"/>
      <c r="F24" s="378"/>
      <c r="G24" s="392">
        <v>98.788549121665596</v>
      </c>
      <c r="H24" s="403">
        <v>98.788549121665596</v>
      </c>
      <c r="I24" s="403">
        <v>0</v>
      </c>
      <c r="J24" s="403">
        <v>0</v>
      </c>
      <c r="K24" s="404">
        <v>0</v>
      </c>
      <c r="L24" s="405">
        <f t="shared" ref="L24:L50" si="0">SUM(H24:K24)</f>
        <v>98.788549121665596</v>
      </c>
      <c r="M24" s="400"/>
      <c r="N24" s="401"/>
      <c r="O24" s="401"/>
      <c r="P24" s="401"/>
      <c r="Q24" s="400"/>
      <c r="R24" s="402"/>
      <c r="S24"/>
    </row>
    <row r="25" spans="1:19" s="378" customFormat="1" x14ac:dyDescent="0.2">
      <c r="A25" s="382" t="s">
        <v>764</v>
      </c>
      <c r="G25" s="392">
        <v>130.25117647058823</v>
      </c>
      <c r="H25" s="403">
        <v>7.8743070917371503</v>
      </c>
      <c r="I25" s="403">
        <v>-0.46997180221210155</v>
      </c>
      <c r="J25" s="403">
        <v>0</v>
      </c>
      <c r="K25" s="404">
        <v>0</v>
      </c>
      <c r="L25" s="405">
        <f t="shared" si="0"/>
        <v>7.4043352895250489</v>
      </c>
      <c r="M25" s="406"/>
      <c r="N25" s="397"/>
      <c r="O25" s="397"/>
      <c r="P25" s="397"/>
      <c r="Q25" s="406"/>
      <c r="R25" s="407"/>
    </row>
    <row r="26" spans="1:19" s="378" customFormat="1" x14ac:dyDescent="0.2">
      <c r="A26" s="382" t="s">
        <v>765</v>
      </c>
      <c r="G26" s="392">
        <v>47.142763157894734</v>
      </c>
      <c r="H26" s="403">
        <v>4.6286842105263162</v>
      </c>
      <c r="I26" s="403">
        <v>-0.19334434736842104</v>
      </c>
      <c r="J26" s="403">
        <v>-3.2000000000000003E-4</v>
      </c>
      <c r="K26" s="404">
        <v>0</v>
      </c>
      <c r="L26" s="405">
        <f t="shared" si="0"/>
        <v>4.435019863157895</v>
      </c>
      <c r="M26" s="406"/>
      <c r="N26" s="397"/>
      <c r="O26" s="397"/>
      <c r="P26" s="397"/>
      <c r="Q26" s="406"/>
      <c r="R26" s="407"/>
    </row>
    <row r="27" spans="1:19" s="378" customFormat="1" x14ac:dyDescent="0.2">
      <c r="A27" s="382" t="s">
        <v>766</v>
      </c>
      <c r="G27" s="392">
        <v>199.20233463035021</v>
      </c>
      <c r="H27" s="403">
        <v>23.415953307392996</v>
      </c>
      <c r="I27" s="403">
        <v>-0.81955836575875496</v>
      </c>
      <c r="J27" s="403">
        <v>-1.6433203631647211</v>
      </c>
      <c r="K27" s="404">
        <v>0</v>
      </c>
      <c r="L27" s="405">
        <f t="shared" si="0"/>
        <v>20.953074578469518</v>
      </c>
      <c r="M27" s="406"/>
      <c r="N27" s="397"/>
      <c r="O27" s="397"/>
      <c r="P27" s="397"/>
      <c r="Q27" s="406"/>
      <c r="R27" s="407"/>
    </row>
    <row r="28" spans="1:19" s="378" customFormat="1" x14ac:dyDescent="0.2">
      <c r="A28" s="408" t="s">
        <v>767</v>
      </c>
      <c r="G28" s="392">
        <v>133.10584255042292</v>
      </c>
      <c r="H28" s="403">
        <v>2.7682498373454787</v>
      </c>
      <c r="I28" s="403">
        <v>-0.54877784775536753</v>
      </c>
      <c r="J28" s="403">
        <v>-0.11190631099544568</v>
      </c>
      <c r="K28" s="404">
        <v>0</v>
      </c>
      <c r="L28" s="405">
        <f t="shared" si="0"/>
        <v>2.1075656785946655</v>
      </c>
      <c r="M28" s="406"/>
      <c r="N28" s="397"/>
      <c r="O28" s="397"/>
      <c r="P28" s="397"/>
      <c r="Q28" s="406"/>
      <c r="R28" s="407"/>
    </row>
    <row r="29" spans="1:19" s="378" customFormat="1" x14ac:dyDescent="0.2">
      <c r="A29" s="408" t="s">
        <v>768</v>
      </c>
      <c r="G29" s="392">
        <v>49.891898042785613</v>
      </c>
      <c r="H29" s="403">
        <v>5.896807334677157</v>
      </c>
      <c r="I29" s="403">
        <v>-0.1840760127446518</v>
      </c>
      <c r="J29" s="403">
        <v>0</v>
      </c>
      <c r="K29" s="404">
        <v>0</v>
      </c>
      <c r="L29" s="405">
        <f t="shared" si="0"/>
        <v>5.7127313219325053</v>
      </c>
      <c r="M29" s="406"/>
      <c r="N29" s="397"/>
      <c r="O29" s="397"/>
      <c r="P29" s="397"/>
      <c r="Q29" s="406"/>
      <c r="R29" s="407"/>
    </row>
    <row r="30" spans="1:19" s="378" customFormat="1" x14ac:dyDescent="0.2">
      <c r="A30" s="408" t="s">
        <v>769</v>
      </c>
      <c r="G30" s="392">
        <v>122.27423759672281</v>
      </c>
      <c r="H30" s="403">
        <v>15.022875349502568</v>
      </c>
      <c r="I30" s="403">
        <v>-0.50375093309057806</v>
      </c>
      <c r="J30" s="403">
        <v>-1.0566356720202874</v>
      </c>
      <c r="K30" s="404">
        <v>0</v>
      </c>
      <c r="L30" s="405">
        <f t="shared" si="0"/>
        <v>13.462488744391703</v>
      </c>
      <c r="M30" s="406"/>
      <c r="N30" s="397"/>
      <c r="O30" s="397"/>
      <c r="P30" s="397"/>
      <c r="Q30" s="406"/>
      <c r="R30" s="407"/>
    </row>
    <row r="31" spans="1:19" s="378" customFormat="1" x14ac:dyDescent="0.2">
      <c r="A31" s="408" t="s">
        <v>770</v>
      </c>
      <c r="G31" s="392">
        <v>73.336627869172261</v>
      </c>
      <c r="H31" s="403">
        <v>8.5780609922621753</v>
      </c>
      <c r="I31" s="403">
        <v>-0.28822284934000908</v>
      </c>
      <c r="J31" s="403">
        <v>-0.31601534560114442</v>
      </c>
      <c r="K31" s="404">
        <v>0</v>
      </c>
      <c r="L31" s="405">
        <f t="shared" si="0"/>
        <v>7.9738227973210218</v>
      </c>
      <c r="M31" s="406"/>
      <c r="N31" s="397"/>
      <c r="O31" s="397"/>
      <c r="P31" s="397"/>
      <c r="Q31" s="406"/>
      <c r="R31" s="407"/>
    </row>
    <row r="32" spans="1:19" s="378" customFormat="1" x14ac:dyDescent="0.2">
      <c r="A32" s="408" t="s">
        <v>771</v>
      </c>
      <c r="G32" s="392">
        <v>197.59088528025146</v>
      </c>
      <c r="H32" s="403">
        <v>18.919434258774228</v>
      </c>
      <c r="I32" s="403">
        <v>-0.75204751178627549</v>
      </c>
      <c r="J32" s="403">
        <v>-0.62008905185961238</v>
      </c>
      <c r="K32" s="404">
        <v>0</v>
      </c>
      <c r="L32" s="405">
        <f t="shared" si="0"/>
        <v>17.547297695128339</v>
      </c>
      <c r="M32" s="406"/>
      <c r="N32" s="397"/>
      <c r="O32" s="397"/>
      <c r="P32" s="397"/>
      <c r="Q32" s="406"/>
      <c r="R32" s="407"/>
    </row>
    <row r="33" spans="1:19" s="378" customFormat="1" x14ac:dyDescent="0.2">
      <c r="A33" s="408" t="s">
        <v>772</v>
      </c>
      <c r="G33" s="392">
        <v>126.95734023048718</v>
      </c>
      <c r="H33" s="403">
        <v>14.205801466736512</v>
      </c>
      <c r="I33" s="403">
        <v>-0.47305318884232583</v>
      </c>
      <c r="J33" s="403">
        <v>-0.44198533263488743</v>
      </c>
      <c r="K33" s="404">
        <v>0</v>
      </c>
      <c r="L33" s="405">
        <f t="shared" si="0"/>
        <v>13.290762945259299</v>
      </c>
      <c r="M33" s="406"/>
      <c r="N33" s="397"/>
      <c r="O33" s="397"/>
      <c r="P33" s="397"/>
      <c r="Q33" s="406"/>
      <c r="R33" s="407"/>
    </row>
    <row r="34" spans="1:19" s="2" customFormat="1" x14ac:dyDescent="0.2">
      <c r="A34" s="408" t="s">
        <v>773</v>
      </c>
      <c r="G34" s="392">
        <v>268.35542168674698</v>
      </c>
      <c r="H34" s="403">
        <v>29.119067574646419</v>
      </c>
      <c r="I34" s="403">
        <v>-0.99278891566265048</v>
      </c>
      <c r="J34" s="403">
        <v>-0.91147197485594567</v>
      </c>
      <c r="K34" s="404">
        <v>0</v>
      </c>
      <c r="L34" s="405">
        <f t="shared" si="0"/>
        <v>27.214806684127822</v>
      </c>
      <c r="M34" s="406"/>
      <c r="N34" s="397"/>
      <c r="O34" s="397"/>
      <c r="P34" s="397"/>
      <c r="Q34" s="406"/>
      <c r="R34" s="407"/>
    </row>
    <row r="35" spans="1:19" s="3" customFormat="1" x14ac:dyDescent="0.2">
      <c r="A35" s="408" t="s">
        <v>774</v>
      </c>
      <c r="B35" s="2"/>
      <c r="C35" s="2"/>
      <c r="D35" s="2"/>
      <c r="E35" s="2"/>
      <c r="F35" s="2"/>
      <c r="G35" s="392">
        <v>24.832329656067486</v>
      </c>
      <c r="H35" s="409">
        <v>4.0173913043478269</v>
      </c>
      <c r="I35" s="409">
        <v>-0.10224260869565217</v>
      </c>
      <c r="J35" s="409">
        <v>-0.28877352368591824</v>
      </c>
      <c r="K35" s="398">
        <v>0</v>
      </c>
      <c r="L35" s="405">
        <f t="shared" si="0"/>
        <v>3.6263751719662567</v>
      </c>
      <c r="M35" s="400"/>
      <c r="N35" s="401"/>
      <c r="O35" s="401"/>
      <c r="P35" s="401"/>
      <c r="Q35" s="400"/>
      <c r="R35" s="402"/>
    </row>
    <row r="36" spans="1:19" s="3" customFormat="1" x14ac:dyDescent="0.2">
      <c r="A36" s="408" t="s">
        <v>775</v>
      </c>
      <c r="B36" s="2"/>
      <c r="C36" s="2"/>
      <c r="D36" s="2"/>
      <c r="E36" s="2"/>
      <c r="F36" s="2"/>
      <c r="G36" s="392">
        <v>16.815089331952358</v>
      </c>
      <c r="H36" s="403">
        <v>2.2951838425686177</v>
      </c>
      <c r="I36" s="403">
        <v>-6.2538021750388403E-2</v>
      </c>
      <c r="J36" s="403">
        <v>0</v>
      </c>
      <c r="K36" s="404">
        <v>0</v>
      </c>
      <c r="L36" s="405">
        <f t="shared" si="0"/>
        <v>2.2326458208182292</v>
      </c>
      <c r="M36" s="400"/>
      <c r="N36" s="401"/>
      <c r="O36" s="401"/>
      <c r="P36" s="401"/>
      <c r="Q36" s="400"/>
      <c r="R36" s="402"/>
    </row>
    <row r="37" spans="1:19" x14ac:dyDescent="0.2">
      <c r="A37" s="408" t="s">
        <v>776</v>
      </c>
      <c r="B37" s="2"/>
      <c r="C37" s="2"/>
      <c r="D37" s="2"/>
      <c r="E37" s="2"/>
      <c r="F37" s="2"/>
      <c r="G37" s="392">
        <v>354.82210899709776</v>
      </c>
      <c r="H37" s="397">
        <v>12.969416317316993</v>
      </c>
      <c r="I37" s="397">
        <v>-1.4619460767494357</v>
      </c>
      <c r="J37" s="397">
        <v>-0.72557239600128987</v>
      </c>
      <c r="K37" s="398">
        <v>0</v>
      </c>
      <c r="L37" s="405">
        <f t="shared" si="0"/>
        <v>10.781897844566267</v>
      </c>
      <c r="M37" s="400">
        <v>8.763019929055142</v>
      </c>
      <c r="N37" s="401"/>
      <c r="O37" s="401"/>
      <c r="P37" s="401"/>
      <c r="Q37" s="400"/>
      <c r="R37" s="402"/>
      <c r="S37"/>
    </row>
    <row r="38" spans="1:19" x14ac:dyDescent="0.2">
      <c r="A38" s="408" t="s">
        <v>777</v>
      </c>
      <c r="B38" s="2"/>
      <c r="C38" s="2"/>
      <c r="D38" s="2"/>
      <c r="E38" s="2"/>
      <c r="F38" s="2"/>
      <c r="G38" s="392">
        <v>274.83811673653662</v>
      </c>
      <c r="H38" s="410">
        <v>24.954334085778779</v>
      </c>
      <c r="I38" s="397">
        <v>-1.1364744920993226</v>
      </c>
      <c r="J38" s="397">
        <v>-1.6949371170590133</v>
      </c>
      <c r="K38" s="398">
        <v>0</v>
      </c>
      <c r="L38" s="405">
        <f t="shared" si="0"/>
        <v>22.122922476620445</v>
      </c>
      <c r="M38" s="400">
        <v>20.553505320864236</v>
      </c>
      <c r="N38" s="401"/>
      <c r="O38" s="401"/>
      <c r="P38" s="401"/>
      <c r="Q38" s="400"/>
      <c r="R38" s="402"/>
      <c r="S38"/>
    </row>
    <row r="39" spans="1:19" x14ac:dyDescent="0.2">
      <c r="A39" s="408" t="s">
        <v>778</v>
      </c>
      <c r="B39" s="2"/>
      <c r="C39" s="2"/>
      <c r="D39" s="2"/>
      <c r="E39" s="2"/>
      <c r="F39" s="2"/>
      <c r="G39" s="392">
        <v>30.177906753030207</v>
      </c>
      <c r="H39" s="397">
        <v>2.8222664015904573</v>
      </c>
      <c r="I39" s="397">
        <v>-0.12389749502982109</v>
      </c>
      <c r="J39" s="397">
        <v>-0.19367664977874688</v>
      </c>
      <c r="K39" s="398">
        <v>0</v>
      </c>
      <c r="L39" s="405">
        <f t="shared" si="0"/>
        <v>2.5046922567818894</v>
      </c>
      <c r="M39" s="400">
        <v>2.333595716026422</v>
      </c>
      <c r="N39" s="401"/>
      <c r="O39" s="401"/>
      <c r="P39" s="401"/>
      <c r="Q39" s="400"/>
      <c r="R39" s="402"/>
      <c r="S39"/>
    </row>
    <row r="40" spans="1:19" x14ac:dyDescent="0.2">
      <c r="A40" s="408" t="s">
        <v>779</v>
      </c>
      <c r="B40" s="2"/>
      <c r="C40" s="2"/>
      <c r="D40" s="2"/>
      <c r="E40" s="2"/>
      <c r="F40" s="2"/>
      <c r="G40" s="392">
        <v>19.203610594497533</v>
      </c>
      <c r="H40" s="397">
        <v>2.1231065221573786</v>
      </c>
      <c r="I40" s="397">
        <v>-7.9082501122298476E-2</v>
      </c>
      <c r="J40" s="397">
        <v>-0.14814339767844548</v>
      </c>
      <c r="K40" s="398">
        <v>0</v>
      </c>
      <c r="L40" s="405">
        <f t="shared" si="0"/>
        <v>1.8958806233566348</v>
      </c>
      <c r="M40" s="400">
        <v>1.7866714551401273</v>
      </c>
      <c r="N40" s="401"/>
      <c r="O40" s="401"/>
      <c r="P40" s="401"/>
      <c r="Q40" s="400"/>
      <c r="R40" s="402"/>
      <c r="S40"/>
    </row>
    <row r="41" spans="1:19" x14ac:dyDescent="0.2">
      <c r="A41" s="408" t="s">
        <v>780</v>
      </c>
      <c r="B41" s="2"/>
      <c r="C41" s="2"/>
      <c r="D41" s="2"/>
      <c r="E41" s="2"/>
      <c r="F41" s="2"/>
      <c r="G41" s="392">
        <v>7.3321169290073884</v>
      </c>
      <c r="H41" s="410">
        <v>0.65700289110183108</v>
      </c>
      <c r="I41" s="397">
        <v>-3.0115065852875034E-2</v>
      </c>
      <c r="J41" s="397">
        <v>-4.497269514937359E-2</v>
      </c>
      <c r="K41" s="398">
        <v>0</v>
      </c>
      <c r="L41" s="405">
        <f t="shared" si="0"/>
        <v>0.5819151300995824</v>
      </c>
      <c r="M41" s="400">
        <v>0.54032765820751694</v>
      </c>
      <c r="N41" s="401"/>
      <c r="O41" s="401"/>
      <c r="P41" s="401"/>
      <c r="Q41" s="400"/>
      <c r="R41" s="402"/>
      <c r="S41"/>
    </row>
    <row r="42" spans="1:19" x14ac:dyDescent="0.2">
      <c r="A42" s="408" t="s">
        <v>781</v>
      </c>
      <c r="B42" s="2"/>
      <c r="C42" s="2"/>
      <c r="D42" s="2"/>
      <c r="E42" s="2"/>
      <c r="F42" s="2"/>
      <c r="G42" s="392">
        <v>8.8034307741728242</v>
      </c>
      <c r="H42" s="397">
        <v>1.4948409893992933</v>
      </c>
      <c r="I42" s="397">
        <v>-3.5600997108898171E-2</v>
      </c>
      <c r="J42" s="397">
        <v>-6.8743976871185358E-2</v>
      </c>
      <c r="K42" s="398">
        <v>0</v>
      </c>
      <c r="L42" s="405">
        <f t="shared" si="0"/>
        <v>1.3904960154192099</v>
      </c>
      <c r="M42" s="400">
        <v>1.3413327336973981</v>
      </c>
      <c r="N42" s="401"/>
      <c r="O42" s="401"/>
      <c r="P42" s="401"/>
      <c r="Q42" s="400"/>
      <c r="R42" s="402"/>
      <c r="S42"/>
    </row>
    <row r="43" spans="1:19" s="3" customFormat="1" x14ac:dyDescent="0.2">
      <c r="A43" s="408" t="s">
        <v>782</v>
      </c>
      <c r="B43" s="2"/>
      <c r="C43" s="2"/>
      <c r="D43" s="2"/>
      <c r="E43" s="2"/>
      <c r="F43" s="2"/>
      <c r="G43" s="392">
        <v>21.216715505159893</v>
      </c>
      <c r="H43" s="397">
        <v>1.7652184991718689</v>
      </c>
      <c r="I43" s="397">
        <v>-8.0317441712320026E-2</v>
      </c>
      <c r="J43" s="397">
        <v>-5.2235953624665564E-2</v>
      </c>
      <c r="K43" s="398">
        <v>0</v>
      </c>
      <c r="L43" s="399">
        <f t="shared" si="0"/>
        <v>1.6326651038348834</v>
      </c>
      <c r="M43" s="400"/>
      <c r="N43" s="401"/>
      <c r="O43" s="401"/>
      <c r="P43" s="401"/>
      <c r="Q43" s="400"/>
      <c r="R43" s="402"/>
    </row>
    <row r="44" spans="1:19" s="3" customFormat="1" x14ac:dyDescent="0.2">
      <c r="A44" s="408" t="s">
        <v>783</v>
      </c>
      <c r="B44" s="2"/>
      <c r="C44" s="2"/>
      <c r="D44" s="2"/>
      <c r="E44" s="2"/>
      <c r="F44" s="2"/>
      <c r="G44" s="392">
        <v>87.8586345381526</v>
      </c>
      <c r="H44" s="397">
        <v>6.6669344042838024</v>
      </c>
      <c r="I44" s="397">
        <v>-0.34963566265060236</v>
      </c>
      <c r="J44" s="397">
        <v>-0.23076432714986933</v>
      </c>
      <c r="K44" s="398">
        <v>0</v>
      </c>
      <c r="L44" s="399">
        <f t="shared" si="0"/>
        <v>6.0865344144833307</v>
      </c>
      <c r="M44" s="400"/>
      <c r="N44" s="401"/>
      <c r="O44" s="401"/>
      <c r="P44" s="401"/>
      <c r="Q44" s="400"/>
      <c r="R44" s="402"/>
    </row>
    <row r="45" spans="1:19" s="3" customFormat="1" x14ac:dyDescent="0.2">
      <c r="A45" s="408" t="s">
        <v>784</v>
      </c>
      <c r="B45" s="2"/>
      <c r="C45" s="2"/>
      <c r="D45" s="2"/>
      <c r="E45" s="2"/>
      <c r="F45" s="2"/>
      <c r="G45" s="392">
        <v>7.4984509466437173</v>
      </c>
      <c r="H45" s="397">
        <v>0.48862115127175365</v>
      </c>
      <c r="I45" s="397">
        <v>-2.7968674698795177E-2</v>
      </c>
      <c r="J45" s="397">
        <v>-2.2311468094600623E-2</v>
      </c>
      <c r="K45" s="398">
        <v>0</v>
      </c>
      <c r="L45" s="399">
        <f t="shared" si="0"/>
        <v>0.43834100847835789</v>
      </c>
      <c r="M45" s="400"/>
      <c r="N45" s="401"/>
      <c r="O45" s="401"/>
      <c r="P45" s="401"/>
      <c r="Q45" s="400"/>
      <c r="R45" s="402"/>
    </row>
    <row r="46" spans="1:19" s="3" customFormat="1" x14ac:dyDescent="0.2">
      <c r="A46" s="408" t="s">
        <v>785</v>
      </c>
      <c r="B46" s="2"/>
      <c r="C46" s="2"/>
      <c r="D46" s="2"/>
      <c r="E46" s="2"/>
      <c r="F46" s="2"/>
      <c r="G46" s="392">
        <v>101.81373111493595</v>
      </c>
      <c r="H46" s="397">
        <v>16.068770319372732</v>
      </c>
      <c r="I46" s="397">
        <v>-0.38439293172690758</v>
      </c>
      <c r="J46" s="397">
        <v>-0.50551411997195128</v>
      </c>
      <c r="K46" s="398">
        <v>0</v>
      </c>
      <c r="L46" s="399">
        <f t="shared" si="0"/>
        <v>15.178863267673872</v>
      </c>
      <c r="M46" s="400"/>
      <c r="N46" s="401"/>
      <c r="O46" s="401"/>
      <c r="P46" s="401"/>
      <c r="Q46" s="400"/>
      <c r="R46" s="402"/>
    </row>
    <row r="47" spans="1:19" s="3" customFormat="1" x14ac:dyDescent="0.2">
      <c r="A47" s="408" t="s">
        <v>786</v>
      </c>
      <c r="B47" s="2"/>
      <c r="C47" s="2"/>
      <c r="D47" s="2"/>
      <c r="E47" s="2"/>
      <c r="F47" s="2"/>
      <c r="G47" s="392">
        <v>7.1038439472174426</v>
      </c>
      <c r="H47" s="397">
        <v>1.2397526614394085</v>
      </c>
      <c r="I47" s="397">
        <v>-2.948441767068273E-2</v>
      </c>
      <c r="J47" s="397">
        <v>0</v>
      </c>
      <c r="K47" s="398">
        <v>0</v>
      </c>
      <c r="L47" s="399">
        <f t="shared" si="0"/>
        <v>1.2102682437687258</v>
      </c>
      <c r="M47" s="400"/>
      <c r="N47" s="401"/>
      <c r="O47" s="401"/>
      <c r="P47" s="401"/>
      <c r="Q47" s="400"/>
      <c r="R47" s="402"/>
    </row>
    <row r="48" spans="1:19" s="3" customFormat="1" x14ac:dyDescent="0.2">
      <c r="A48" s="408" t="s">
        <v>787</v>
      </c>
      <c r="B48" s="2"/>
      <c r="C48" s="2"/>
      <c r="D48" s="2"/>
      <c r="E48" s="2"/>
      <c r="F48" s="2"/>
      <c r="G48" s="392">
        <v>110.62344616561485</v>
      </c>
      <c r="H48" s="397">
        <v>17.953808886339008</v>
      </c>
      <c r="I48" s="397">
        <v>-0.44103740294511373</v>
      </c>
      <c r="J48" s="397">
        <v>-0.66806910180404155</v>
      </c>
      <c r="K48" s="398">
        <v>0</v>
      </c>
      <c r="L48" s="399">
        <f t="shared" si="0"/>
        <v>16.844702381589855</v>
      </c>
      <c r="M48" s="400"/>
      <c r="N48" s="401"/>
      <c r="O48" s="401"/>
      <c r="P48" s="401"/>
      <c r="Q48" s="400"/>
      <c r="R48" s="402"/>
    </row>
    <row r="49" spans="1:19" x14ac:dyDescent="0.2">
      <c r="A49" s="408" t="s">
        <v>788</v>
      </c>
      <c r="B49" s="378"/>
      <c r="C49" s="378"/>
      <c r="D49" s="378"/>
      <c r="E49" s="378"/>
      <c r="F49" s="378"/>
      <c r="G49" s="392">
        <v>85.760228136882134</v>
      </c>
      <c r="H49" s="397">
        <v>8.6982256020278825</v>
      </c>
      <c r="I49" s="397">
        <v>-0.35415081368821288</v>
      </c>
      <c r="J49" s="397">
        <v>-0.59949302915082381</v>
      </c>
      <c r="K49" s="398">
        <v>0</v>
      </c>
      <c r="L49" s="399">
        <f t="shared" si="0"/>
        <v>7.7445817591888462</v>
      </c>
      <c r="M49" s="400"/>
      <c r="N49" s="401"/>
      <c r="O49" s="401"/>
      <c r="P49" s="401"/>
      <c r="Q49" s="400"/>
      <c r="R49" s="402"/>
      <c r="S49"/>
    </row>
    <row r="50" spans="1:19" ht="13.5" thickBot="1" x14ac:dyDescent="0.25">
      <c r="A50" s="411" t="s">
        <v>789</v>
      </c>
      <c r="B50" s="412"/>
      <c r="C50" s="412"/>
      <c r="D50" s="412"/>
      <c r="E50" s="412"/>
      <c r="F50" s="412"/>
      <c r="G50" s="413">
        <v>297.54460076045632</v>
      </c>
      <c r="H50" s="414">
        <v>38.174112801013933</v>
      </c>
      <c r="I50" s="414">
        <v>-1.169184980988593</v>
      </c>
      <c r="J50" s="414">
        <v>-1.4024081115335869</v>
      </c>
      <c r="K50" s="415">
        <v>0</v>
      </c>
      <c r="L50" s="416">
        <f t="shared" si="0"/>
        <v>35.602519708491755</v>
      </c>
      <c r="M50" s="400"/>
      <c r="N50" s="401"/>
      <c r="O50" s="401"/>
      <c r="P50" s="401"/>
      <c r="Q50" s="400"/>
      <c r="R50" s="402"/>
      <c r="S50"/>
    </row>
    <row r="51" spans="1:19" s="378" customFormat="1" x14ac:dyDescent="0.2">
      <c r="A51" s="417" t="s">
        <v>790</v>
      </c>
      <c r="B51" s="418"/>
      <c r="C51" s="418"/>
      <c r="D51" s="418"/>
      <c r="E51" s="418"/>
      <c r="F51" s="418"/>
      <c r="G51" s="419">
        <f t="shared" ref="G51:L51" si="1">SUM(G23:G50)</f>
        <v>2903.1414375245126</v>
      </c>
      <c r="H51" s="420">
        <f t="shared" si="1"/>
        <v>371.60677722444814</v>
      </c>
      <c r="I51" s="421">
        <f t="shared" si="1"/>
        <v>-11.093661359051056</v>
      </c>
      <c r="J51" s="421">
        <f t="shared" si="1"/>
        <v>-11.747359918685556</v>
      </c>
      <c r="K51" s="421">
        <f t="shared" si="1"/>
        <v>0</v>
      </c>
      <c r="L51" s="422">
        <f t="shared" si="1"/>
        <v>348.76575594671141</v>
      </c>
      <c r="M51" s="406"/>
      <c r="N51" s="397"/>
      <c r="O51" s="397"/>
      <c r="P51" s="397"/>
      <c r="Q51" s="406"/>
      <c r="R51" s="407"/>
    </row>
    <row r="52" spans="1:19" s="378" customFormat="1" x14ac:dyDescent="0.2">
      <c r="A52" s="423"/>
      <c r="G52" s="424"/>
      <c r="H52" s="410"/>
      <c r="I52" s="397"/>
      <c r="J52" s="397"/>
      <c r="K52" s="398"/>
      <c r="L52" s="399"/>
      <c r="M52" s="406"/>
      <c r="N52" s="397"/>
      <c r="O52" s="397"/>
      <c r="P52" s="397"/>
      <c r="Q52" s="406"/>
      <c r="R52" s="407"/>
    </row>
    <row r="53" spans="1:19" s="378" customFormat="1" x14ac:dyDescent="0.2">
      <c r="A53" s="425" t="s">
        <v>791</v>
      </c>
      <c r="G53" s="424"/>
      <c r="H53" s="410"/>
      <c r="I53" s="397"/>
      <c r="J53" s="397"/>
      <c r="K53" s="398"/>
      <c r="L53" s="399"/>
      <c r="M53" s="406"/>
      <c r="N53" s="397"/>
      <c r="O53" s="397"/>
      <c r="P53" s="397"/>
      <c r="Q53" s="406"/>
      <c r="R53" s="407"/>
    </row>
    <row r="54" spans="1:19" s="378" customFormat="1" x14ac:dyDescent="0.2">
      <c r="A54" s="425"/>
      <c r="G54" s="424"/>
      <c r="H54" s="410"/>
      <c r="I54" s="397"/>
      <c r="J54" s="397"/>
      <c r="K54" s="398"/>
      <c r="L54" s="399"/>
      <c r="M54" s="406"/>
      <c r="N54" s="397"/>
      <c r="O54" s="397"/>
      <c r="P54" s="397"/>
      <c r="Q54" s="406"/>
      <c r="R54" s="407"/>
    </row>
    <row r="55" spans="1:19" s="378" customFormat="1" x14ac:dyDescent="0.2">
      <c r="A55" s="378" t="s">
        <v>792</v>
      </c>
      <c r="G55" s="392">
        <v>202.99954825438027</v>
      </c>
      <c r="H55" s="410">
        <v>27.849266709928621</v>
      </c>
      <c r="I55" s="397">
        <v>-5.5698533419857199</v>
      </c>
      <c r="J55" s="397">
        <v>-1.6430889033095393</v>
      </c>
      <c r="K55" s="398">
        <v>0</v>
      </c>
      <c r="L55" s="399">
        <f t="shared" ref="L55:L63" si="2">SUM(H55:K55)</f>
        <v>20.636324464633361</v>
      </c>
      <c r="M55" s="406"/>
      <c r="N55" s="397"/>
      <c r="O55" s="397"/>
      <c r="P55" s="397"/>
      <c r="Q55" s="406"/>
      <c r="R55" s="407"/>
    </row>
    <row r="56" spans="1:19" s="378" customFormat="1" x14ac:dyDescent="0.2">
      <c r="A56" s="2" t="s">
        <v>793</v>
      </c>
      <c r="G56" s="392">
        <f>90968*5.36/1.5593/1000</f>
        <v>312.69703071891234</v>
      </c>
      <c r="H56" s="410">
        <f>85519*0.72/1.5593/1000</f>
        <v>39.488026678637858</v>
      </c>
      <c r="I56" s="397">
        <f>-85519*0.72/1.5593/1000*0.2</f>
        <v>-7.8976053357275724</v>
      </c>
      <c r="J56" s="397">
        <f>-1268/1.5593/1000</f>
        <v>-0.8131854037067916</v>
      </c>
      <c r="K56" s="397">
        <v>0</v>
      </c>
      <c r="L56" s="399">
        <f t="shared" si="2"/>
        <v>30.777235939203493</v>
      </c>
      <c r="M56" s="406"/>
      <c r="N56" s="397"/>
      <c r="O56" s="397"/>
      <c r="P56" s="397"/>
      <c r="Q56" s="406"/>
      <c r="R56" s="407"/>
    </row>
    <row r="57" spans="1:19" s="378" customFormat="1" x14ac:dyDescent="0.2">
      <c r="A57" s="2" t="s">
        <v>794</v>
      </c>
      <c r="G57" s="392">
        <f>58432*5.16/1.5593/1000</f>
        <v>193.36184185211314</v>
      </c>
      <c r="H57" s="410">
        <f>52287*0.23/1.5593/1000</f>
        <v>7.7124414801513499</v>
      </c>
      <c r="I57" s="397">
        <f>-52287*0.23/1.5593/1000*0.2</f>
        <v>-1.5424882960302702</v>
      </c>
      <c r="J57" s="397">
        <f>-615/1.5593/1000</f>
        <v>-0.39440774706599113</v>
      </c>
      <c r="K57" s="397">
        <v>0</v>
      </c>
      <c r="L57" s="399">
        <f t="shared" si="2"/>
        <v>5.7755454370550883</v>
      </c>
      <c r="M57" s="406"/>
      <c r="N57" s="397"/>
      <c r="O57" s="397"/>
      <c r="P57" s="397"/>
      <c r="Q57" s="406"/>
      <c r="R57" s="407"/>
    </row>
    <row r="58" spans="1:19" s="378" customFormat="1" x14ac:dyDescent="0.2">
      <c r="A58" s="2" t="s">
        <v>795</v>
      </c>
      <c r="G58" s="392">
        <v>297.34683414509095</v>
      </c>
      <c r="H58" s="410">
        <v>17.841047167392979</v>
      </c>
      <c r="I58" s="397">
        <v>-3.5682094334785961</v>
      </c>
      <c r="J58" s="397">
        <v>-0.64022045629325819</v>
      </c>
      <c r="K58" s="397">
        <v>0</v>
      </c>
      <c r="L58" s="399">
        <f t="shared" si="2"/>
        <v>13.632617277621124</v>
      </c>
      <c r="M58" s="406"/>
      <c r="N58" s="397"/>
      <c r="O58" s="397"/>
      <c r="P58" s="397"/>
      <c r="Q58" s="406"/>
      <c r="R58" s="407"/>
    </row>
    <row r="59" spans="1:19" s="378" customFormat="1" x14ac:dyDescent="0.2">
      <c r="A59" s="2" t="s">
        <v>796</v>
      </c>
      <c r="G59" s="424">
        <v>231.3128431309699</v>
      </c>
      <c r="H59" s="426">
        <f>58990*0.629/1.5599/1000</f>
        <v>23.786595294570166</v>
      </c>
      <c r="I59" s="409">
        <f>-58990*0.629/1.5599/1000*0.2</f>
        <v>-4.7573190589140335</v>
      </c>
      <c r="J59" s="409">
        <f>-2956/1.5599/1000</f>
        <v>-1.8949932687992819</v>
      </c>
      <c r="K59" s="409">
        <v>0</v>
      </c>
      <c r="L59" s="399">
        <f t="shared" si="2"/>
        <v>17.134282966856851</v>
      </c>
      <c r="M59" s="406"/>
      <c r="N59" s="397"/>
      <c r="O59" s="397"/>
      <c r="P59" s="397"/>
      <c r="Q59" s="406"/>
      <c r="R59" s="407"/>
    </row>
    <row r="60" spans="1:19" s="378" customFormat="1" x14ac:dyDescent="0.2">
      <c r="A60" s="2" t="s">
        <v>797</v>
      </c>
      <c r="G60" s="424">
        <v>38.552140521828321</v>
      </c>
      <c r="H60" s="426">
        <f>7782*0.489/1.5599/1000</f>
        <v>2.4395140714148345</v>
      </c>
      <c r="I60" s="409">
        <f>-7782*0.489/1.5599/1000*0.2</f>
        <v>-0.48790281428296689</v>
      </c>
      <c r="J60" s="409">
        <f>-185/1.5599/1000</f>
        <v>-0.11859734598371691</v>
      </c>
      <c r="K60" s="409">
        <v>0</v>
      </c>
      <c r="L60" s="399">
        <f t="shared" si="2"/>
        <v>1.8330139111481507</v>
      </c>
      <c r="M60" s="406"/>
      <c r="N60" s="397"/>
      <c r="O60" s="397"/>
      <c r="P60" s="397"/>
      <c r="Q60" s="406"/>
      <c r="R60" s="407"/>
    </row>
    <row r="61" spans="1:19" s="378" customFormat="1" x14ac:dyDescent="0.2">
      <c r="A61" s="2" t="s">
        <v>798</v>
      </c>
      <c r="G61" s="424">
        <v>83.529637797294697</v>
      </c>
      <c r="H61" s="426">
        <f>20948*0.779/1.5599/1000</f>
        <v>10.46124238733252</v>
      </c>
      <c r="I61" s="409">
        <f>-20948*0.779/1.5599/1000*0.2</f>
        <v>-2.0922484774665042</v>
      </c>
      <c r="J61" s="409">
        <f>-1068/1.5599/1000</f>
        <v>-0.68465927303032248</v>
      </c>
      <c r="K61" s="409">
        <v>0</v>
      </c>
      <c r="L61" s="399">
        <f t="shared" si="2"/>
        <v>7.6843346368356942</v>
      </c>
      <c r="M61" s="406"/>
      <c r="N61" s="397"/>
      <c r="O61" s="397"/>
      <c r="P61" s="397"/>
      <c r="Q61" s="406"/>
      <c r="R61" s="407"/>
    </row>
    <row r="62" spans="1:19" s="378" customFormat="1" x14ac:dyDescent="0.2">
      <c r="A62" s="2" t="s">
        <v>799</v>
      </c>
      <c r="G62" s="424">
        <v>38.552140521828321</v>
      </c>
      <c r="H62" s="426">
        <f>9651*0.769/1.5599/1000</f>
        <v>4.75775306109366</v>
      </c>
      <c r="I62" s="409">
        <f>-9651*0.769/1.5599/1000*0.2</f>
        <v>-0.95155061221873205</v>
      </c>
      <c r="J62" s="409">
        <f>-493/1.5599/1000</f>
        <v>-0.31604590037822938</v>
      </c>
      <c r="K62" s="409">
        <v>0</v>
      </c>
      <c r="L62" s="399">
        <f t="shared" si="2"/>
        <v>3.490156548496699</v>
      </c>
      <c r="M62" s="406"/>
      <c r="N62" s="397"/>
      <c r="O62" s="397"/>
      <c r="P62" s="397"/>
      <c r="Q62" s="406"/>
      <c r="R62" s="407"/>
    </row>
    <row r="63" spans="1:19" s="378" customFormat="1" ht="13.5" thickBot="1" x14ac:dyDescent="0.25">
      <c r="A63" s="427" t="s">
        <v>800</v>
      </c>
      <c r="B63" s="412"/>
      <c r="C63" s="412"/>
      <c r="D63" s="412"/>
      <c r="E63" s="412"/>
      <c r="F63" s="412"/>
      <c r="G63" s="428">
        <v>12.850713507276108</v>
      </c>
      <c r="H63" s="429">
        <f>3218*0.75/1.5599/1000</f>
        <v>1.5472145650362201</v>
      </c>
      <c r="I63" s="430">
        <f>-3218*0.75/1.5599/1000*0.2</f>
        <v>-0.30944291300724402</v>
      </c>
      <c r="J63" s="430">
        <f>-164/1.5599/1000</f>
        <v>-0.10513494454772741</v>
      </c>
      <c r="K63" s="430">
        <v>0</v>
      </c>
      <c r="L63" s="416">
        <f t="shared" si="2"/>
        <v>1.1326367074812487</v>
      </c>
      <c r="M63" s="406"/>
      <c r="N63" s="397"/>
      <c r="O63" s="397"/>
      <c r="P63" s="397"/>
      <c r="Q63" s="406"/>
      <c r="R63" s="407"/>
    </row>
    <row r="64" spans="1:19" s="378" customFormat="1" x14ac:dyDescent="0.2">
      <c r="A64" s="431" t="s">
        <v>801</v>
      </c>
      <c r="B64" s="2"/>
      <c r="C64" s="2"/>
      <c r="D64" s="2"/>
      <c r="E64" s="2"/>
      <c r="G64" s="419">
        <f t="shared" ref="G64:L64" si="3">SUM(G53:G63)</f>
        <v>1411.2027304496942</v>
      </c>
      <c r="H64" s="420">
        <f t="shared" si="3"/>
        <v>135.88310141555823</v>
      </c>
      <c r="I64" s="421">
        <f t="shared" si="3"/>
        <v>-27.176620283111646</v>
      </c>
      <c r="J64" s="421">
        <f t="shared" si="3"/>
        <v>-6.6103332431148587</v>
      </c>
      <c r="K64" s="432">
        <f t="shared" si="3"/>
        <v>0</v>
      </c>
      <c r="L64" s="422">
        <f t="shared" si="3"/>
        <v>102.09614788933173</v>
      </c>
      <c r="M64" s="433"/>
      <c r="N64" s="397"/>
      <c r="O64" s="397"/>
      <c r="P64" s="397"/>
      <c r="Q64" s="406"/>
      <c r="R64" s="407"/>
    </row>
    <row r="65" spans="1:19" x14ac:dyDescent="0.2">
      <c r="A65" s="434"/>
      <c r="B65" s="378"/>
      <c r="C65" s="378"/>
      <c r="D65" s="378"/>
      <c r="E65" s="378"/>
      <c r="F65" s="378"/>
      <c r="G65" s="406"/>
      <c r="H65" s="435"/>
      <c r="I65" s="436"/>
      <c r="J65" s="436"/>
      <c r="K65" s="437"/>
      <c r="L65" s="438"/>
      <c r="M65" s="433"/>
      <c r="N65" s="397">
        <f>SUM(N22:N64)</f>
        <v>0</v>
      </c>
      <c r="O65" s="397">
        <f>SUM(O22:O64)</f>
        <v>0</v>
      </c>
      <c r="P65" s="399">
        <f>SUM(P22:P64)</f>
        <v>0</v>
      </c>
      <c r="Q65" s="439"/>
      <c r="R65" s="440">
        <f>SUM(R22:R64)</f>
        <v>0</v>
      </c>
      <c r="S65"/>
    </row>
    <row r="66" spans="1:19" x14ac:dyDescent="0.2">
      <c r="A66" s="441" t="s">
        <v>802</v>
      </c>
      <c r="B66" s="442"/>
      <c r="C66" s="442"/>
      <c r="D66" s="442"/>
      <c r="E66" s="442"/>
      <c r="F66" s="442"/>
      <c r="G66" s="443">
        <f t="shared" ref="G66:L66" si="4">+G64+G51</f>
        <v>4314.3441679742064</v>
      </c>
      <c r="H66" s="444">
        <f t="shared" si="4"/>
        <v>507.4898786400064</v>
      </c>
      <c r="I66" s="445">
        <f t="shared" si="4"/>
        <v>-38.270281642162701</v>
      </c>
      <c r="J66" s="445">
        <f t="shared" si="4"/>
        <v>-18.357693161800412</v>
      </c>
      <c r="K66" s="446">
        <f t="shared" si="4"/>
        <v>0</v>
      </c>
      <c r="L66" s="447">
        <f t="shared" si="4"/>
        <v>450.86190383604315</v>
      </c>
      <c r="M66" s="433"/>
      <c r="N66" s="397"/>
      <c r="O66" s="397"/>
      <c r="P66" s="399"/>
      <c r="Q66" s="439"/>
      <c r="R66" s="440"/>
      <c r="S66"/>
    </row>
    <row r="67" spans="1:19" x14ac:dyDescent="0.2">
      <c r="A67" s="434"/>
      <c r="B67" s="378"/>
      <c r="C67" s="378"/>
      <c r="D67" s="378"/>
      <c r="E67" s="378"/>
      <c r="F67" s="378"/>
      <c r="G67" s="406"/>
      <c r="H67" s="435"/>
      <c r="I67" s="436"/>
      <c r="J67" s="436"/>
      <c r="K67" s="437"/>
      <c r="L67" s="438"/>
      <c r="M67" s="433"/>
      <c r="N67" s="397"/>
      <c r="O67" s="397"/>
      <c r="P67" s="399"/>
      <c r="Q67" s="439"/>
      <c r="R67" s="440"/>
      <c r="S67"/>
    </row>
    <row r="68" spans="1:19" x14ac:dyDescent="0.2">
      <c r="A68" s="448" t="s">
        <v>803</v>
      </c>
      <c r="B68" s="378"/>
      <c r="C68" s="378"/>
      <c r="D68" s="378"/>
      <c r="E68" s="378"/>
      <c r="F68" s="378"/>
      <c r="G68" s="406"/>
      <c r="H68" s="435"/>
      <c r="I68" s="436"/>
      <c r="J68" s="436"/>
      <c r="K68" s="437"/>
      <c r="L68" s="438"/>
      <c r="M68" s="433"/>
      <c r="N68" s="397"/>
      <c r="O68" s="397"/>
      <c r="P68" s="399"/>
      <c r="Q68" s="439"/>
      <c r="R68" s="440"/>
      <c r="S68"/>
    </row>
    <row r="69" spans="1:19" x14ac:dyDescent="0.2">
      <c r="A69" s="448"/>
      <c r="B69" s="378"/>
      <c r="C69" s="378"/>
      <c r="D69" s="378"/>
      <c r="E69" s="378"/>
      <c r="F69" s="378"/>
      <c r="G69" s="406"/>
      <c r="H69" s="435"/>
      <c r="I69" s="436"/>
      <c r="J69" s="436"/>
      <c r="K69" s="437"/>
      <c r="L69" s="438"/>
      <c r="M69" s="433"/>
      <c r="N69" s="397"/>
      <c r="O69" s="397"/>
      <c r="P69" s="399"/>
      <c r="Q69" s="439"/>
      <c r="R69" s="440"/>
      <c r="S69"/>
    </row>
    <row r="70" spans="1:19" x14ac:dyDescent="0.2">
      <c r="A70" s="449" t="s">
        <v>804</v>
      </c>
      <c r="B70" s="378"/>
      <c r="C70" s="378"/>
      <c r="D70" s="378"/>
      <c r="E70" s="378"/>
      <c r="F70" s="378"/>
      <c r="G70" s="406"/>
      <c r="H70" s="435"/>
      <c r="I70" s="436"/>
      <c r="J70" s="436"/>
      <c r="K70" s="437"/>
      <c r="L70" s="438"/>
      <c r="M70" s="433"/>
      <c r="N70" s="397"/>
      <c r="O70" s="397"/>
      <c r="P70" s="399"/>
      <c r="Q70" s="439"/>
      <c r="R70" s="440"/>
      <c r="S70"/>
    </row>
    <row r="71" spans="1:19" x14ac:dyDescent="0.2">
      <c r="A71" s="434"/>
      <c r="B71" s="378"/>
      <c r="C71" s="378"/>
      <c r="D71" s="378"/>
      <c r="E71" s="378"/>
      <c r="F71" s="378"/>
      <c r="G71" s="424"/>
      <c r="H71" s="410"/>
      <c r="I71" s="397"/>
      <c r="J71" s="397"/>
      <c r="K71" s="398"/>
      <c r="L71" s="399"/>
      <c r="M71" s="433"/>
      <c r="N71" s="450"/>
      <c r="O71" s="450"/>
      <c r="P71" s="451"/>
      <c r="Q71" s="439"/>
      <c r="R71" s="439"/>
      <c r="S71"/>
    </row>
    <row r="72" spans="1:19" x14ac:dyDescent="0.2">
      <c r="A72" s="259" t="s">
        <v>805</v>
      </c>
      <c r="B72" s="378"/>
      <c r="C72" s="378"/>
      <c r="D72" s="378"/>
      <c r="E72" s="378"/>
      <c r="F72" s="378"/>
      <c r="G72" s="424">
        <v>538.04407894736835</v>
      </c>
      <c r="H72" s="410">
        <v>8.3453947368421062</v>
      </c>
      <c r="I72" s="397">
        <v>-0.60086842105263161</v>
      </c>
      <c r="J72" s="397">
        <v>0</v>
      </c>
      <c r="K72" s="398">
        <v>0</v>
      </c>
      <c r="L72" s="399">
        <f t="shared" ref="L72:L86" si="5">SUM(H72:K72)</f>
        <v>7.744526315789475</v>
      </c>
      <c r="M72" s="433"/>
      <c r="N72" s="450"/>
      <c r="O72" s="450"/>
      <c r="P72" s="451"/>
      <c r="Q72" s="439"/>
      <c r="R72" s="439"/>
      <c r="S72"/>
    </row>
    <row r="73" spans="1:19" x14ac:dyDescent="0.2">
      <c r="A73" s="259" t="s">
        <v>806</v>
      </c>
      <c r="B73" s="378"/>
      <c r="C73" s="378"/>
      <c r="D73" s="378"/>
      <c r="E73" s="378"/>
      <c r="F73" s="378"/>
      <c r="G73" s="424">
        <v>174.87631578947369</v>
      </c>
      <c r="H73" s="410">
        <v>12.588815789473685</v>
      </c>
      <c r="I73" s="397">
        <v>-0.82179789473684206</v>
      </c>
      <c r="J73" s="397">
        <v>-8.2799999999999996E-4</v>
      </c>
      <c r="K73" s="398">
        <v>0</v>
      </c>
      <c r="L73" s="399">
        <f t="shared" si="5"/>
        <v>11.766189894736842</v>
      </c>
      <c r="M73" s="433"/>
      <c r="N73" s="397"/>
      <c r="O73" s="397"/>
      <c r="P73" s="399"/>
      <c r="Q73" s="439"/>
      <c r="R73" s="440"/>
      <c r="S73"/>
    </row>
    <row r="74" spans="1:19" x14ac:dyDescent="0.2">
      <c r="A74" s="259" t="s">
        <v>807</v>
      </c>
      <c r="B74" s="452"/>
      <c r="C74" s="452"/>
      <c r="D74" s="452"/>
      <c r="E74" s="452"/>
      <c r="F74" s="452"/>
      <c r="G74" s="424">
        <v>266.7247159224442</v>
      </c>
      <c r="H74" s="410">
        <v>42.620446533490011</v>
      </c>
      <c r="I74" s="397">
        <v>-1.194472385428907</v>
      </c>
      <c r="J74" s="397">
        <v>-1.6124820472646559</v>
      </c>
      <c r="K74" s="398">
        <v>0</v>
      </c>
      <c r="L74" s="399">
        <f t="shared" si="5"/>
        <v>39.813492100796445</v>
      </c>
      <c r="M74" s="433"/>
      <c r="N74" s="397"/>
      <c r="O74" s="397"/>
      <c r="P74" s="399"/>
      <c r="Q74" s="439"/>
      <c r="R74" s="440"/>
      <c r="S74"/>
    </row>
    <row r="75" spans="1:19" x14ac:dyDescent="0.2">
      <c r="A75" s="259" t="s">
        <v>766</v>
      </c>
      <c r="B75" s="378"/>
      <c r="C75" s="378"/>
      <c r="D75" s="378"/>
      <c r="E75" s="378"/>
      <c r="F75" s="378"/>
      <c r="G75" s="424">
        <v>381.37787898503581</v>
      </c>
      <c r="H75" s="410">
        <v>41.63305139882889</v>
      </c>
      <c r="I75" s="397">
        <v>-1.795883305139883</v>
      </c>
      <c r="J75" s="397">
        <v>-2.896551724137931</v>
      </c>
      <c r="K75" s="398">
        <v>0</v>
      </c>
      <c r="L75" s="399">
        <f t="shared" si="5"/>
        <v>36.94061636955108</v>
      </c>
      <c r="M75" s="433"/>
      <c r="N75" s="450"/>
      <c r="O75" s="450"/>
      <c r="P75" s="451"/>
      <c r="Q75" s="439"/>
      <c r="R75" s="439"/>
      <c r="S75"/>
    </row>
    <row r="76" spans="1:19" x14ac:dyDescent="0.2">
      <c r="A76" s="259" t="s">
        <v>808</v>
      </c>
      <c r="B76" s="378"/>
      <c r="C76" s="378"/>
      <c r="D76" s="378"/>
      <c r="E76" s="378"/>
      <c r="F76" s="378"/>
      <c r="G76" s="424">
        <v>34.227716330513992</v>
      </c>
      <c r="H76" s="410">
        <v>0.53285621340273259</v>
      </c>
      <c r="I76" s="397">
        <v>-3.8365647364996744E-2</v>
      </c>
      <c r="J76" s="397">
        <v>0</v>
      </c>
      <c r="K76" s="398">
        <v>0</v>
      </c>
      <c r="L76" s="399">
        <f t="shared" si="5"/>
        <v>0.49449056603773583</v>
      </c>
      <c r="M76" s="433"/>
      <c r="N76" s="450"/>
      <c r="O76" s="450"/>
      <c r="P76" s="451"/>
      <c r="Q76" s="439"/>
      <c r="R76" s="439"/>
      <c r="S76"/>
    </row>
    <row r="77" spans="1:19" x14ac:dyDescent="0.2">
      <c r="A77" s="453" t="s">
        <v>773</v>
      </c>
      <c r="B77" s="378"/>
      <c r="C77" s="378"/>
      <c r="D77" s="378"/>
      <c r="E77" s="378"/>
      <c r="F77" s="378"/>
      <c r="G77" s="424">
        <v>190.79332765845993</v>
      </c>
      <c r="H77" s="410">
        <v>28.215754321634364</v>
      </c>
      <c r="I77" s="397">
        <v>-0.81201498166579367</v>
      </c>
      <c r="J77" s="397">
        <v>-0.90099528548978525</v>
      </c>
      <c r="K77" s="398">
        <v>0</v>
      </c>
      <c r="L77" s="399">
        <f t="shared" si="5"/>
        <v>26.502744054478786</v>
      </c>
      <c r="M77" s="433"/>
      <c r="N77" s="450"/>
      <c r="O77" s="450"/>
      <c r="P77" s="451"/>
      <c r="Q77" s="439"/>
      <c r="R77" s="439"/>
      <c r="S77"/>
    </row>
    <row r="78" spans="1:19" x14ac:dyDescent="0.2">
      <c r="A78" s="423" t="s">
        <v>809</v>
      </c>
      <c r="B78" s="378"/>
      <c r="C78" s="378"/>
      <c r="D78" s="378"/>
      <c r="E78" s="378"/>
      <c r="F78" s="378"/>
      <c r="G78" s="424">
        <f>+'[3]Enron Direct Canada Origination'!H51*1000</f>
        <v>4.1326795687751652</v>
      </c>
      <c r="H78" s="410">
        <f>+'[3]Enron Direct Canada Origination'!I51*1000</f>
        <v>0.8098454344720093</v>
      </c>
      <c r="I78" s="397">
        <v>-1.9168203662813348E-2</v>
      </c>
      <c r="J78" s="397">
        <v>0</v>
      </c>
      <c r="K78" s="398">
        <f>+'[3]Enron Direct Canada Origination'!L51*1000</f>
        <v>0</v>
      </c>
      <c r="L78" s="399">
        <f t="shared" si="5"/>
        <v>0.79067723080919594</v>
      </c>
      <c r="M78" s="433"/>
      <c r="N78" s="450"/>
      <c r="O78" s="450"/>
      <c r="P78" s="451"/>
      <c r="Q78" s="439"/>
      <c r="R78" s="439"/>
      <c r="S78"/>
    </row>
    <row r="79" spans="1:19" x14ac:dyDescent="0.2">
      <c r="A79" s="423" t="s">
        <v>810</v>
      </c>
      <c r="B79" s="378"/>
      <c r="C79" s="378"/>
      <c r="D79" s="378"/>
      <c r="E79" s="378"/>
      <c r="F79" s="378"/>
      <c r="G79" s="424">
        <f>+'[3]Enron Direct Canada Origination'!H52*1000</f>
        <v>9.5513723459347482</v>
      </c>
      <c r="H79" s="410">
        <f>+'[3]Enron Direct Canada Origination'!I52*1000</f>
        <v>1.9899016053858105</v>
      </c>
      <c r="I79" s="397">
        <v>-4.4997576385292594E-2</v>
      </c>
      <c r="J79" s="397">
        <v>0</v>
      </c>
      <c r="K79" s="398">
        <f>+'[3]Enron Direct Canada Origination'!L52*1000</f>
        <v>0</v>
      </c>
      <c r="L79" s="399">
        <f t="shared" si="5"/>
        <v>1.944904029000518</v>
      </c>
      <c r="M79" s="433"/>
      <c r="N79" s="450"/>
      <c r="O79" s="450"/>
      <c r="P79" s="451"/>
      <c r="Q79" s="439"/>
      <c r="R79" s="439"/>
      <c r="S79"/>
    </row>
    <row r="80" spans="1:19" x14ac:dyDescent="0.2">
      <c r="A80" s="382" t="s">
        <v>775</v>
      </c>
      <c r="B80" s="378"/>
      <c r="C80" s="378"/>
      <c r="D80" s="378"/>
      <c r="E80" s="378"/>
      <c r="F80" s="378"/>
      <c r="G80" s="424">
        <f>+'[3]Enron Direct Canada Origination'!H53*1000</f>
        <v>24.251411185914034</v>
      </c>
      <c r="H80" s="410">
        <f>+'[3]Enron Direct Canada Origination'!I53*1000</f>
        <v>4.6837778353184873</v>
      </c>
      <c r="I80" s="397">
        <v>-0.10354185396167788</v>
      </c>
      <c r="J80" s="397">
        <v>0</v>
      </c>
      <c r="K80" s="398">
        <f>+'[3]Enron Direct Canada Origination'!L53*1000</f>
        <v>0</v>
      </c>
      <c r="L80" s="399">
        <f t="shared" si="5"/>
        <v>4.5802359813568092</v>
      </c>
      <c r="M80" s="433"/>
      <c r="N80" s="450"/>
      <c r="O80" s="450"/>
      <c r="P80" s="451"/>
      <c r="Q80" s="439"/>
      <c r="R80" s="439"/>
      <c r="S80"/>
    </row>
    <row r="81" spans="1:19" x14ac:dyDescent="0.2">
      <c r="A81" t="s">
        <v>808</v>
      </c>
      <c r="B81" s="378"/>
      <c r="C81" s="378"/>
      <c r="D81" s="378"/>
      <c r="E81" s="378"/>
      <c r="F81" s="378"/>
      <c r="G81" s="424">
        <v>5.7459407831900675</v>
      </c>
      <c r="H81" s="410">
        <v>8.9143584845590582E-2</v>
      </c>
      <c r="I81" s="397">
        <v>-6.418338108882521E-3</v>
      </c>
      <c r="J81" s="397">
        <v>0</v>
      </c>
      <c r="K81" s="398">
        <v>0</v>
      </c>
      <c r="L81" s="399"/>
      <c r="M81" s="433"/>
      <c r="N81" s="450"/>
      <c r="O81" s="450"/>
      <c r="P81" s="451"/>
      <c r="Q81" s="439"/>
      <c r="R81" s="439"/>
      <c r="S81"/>
    </row>
    <row r="82" spans="1:19" x14ac:dyDescent="0.2">
      <c r="A82" s="408" t="s">
        <v>781</v>
      </c>
      <c r="B82" s="378"/>
      <c r="C82" s="378"/>
      <c r="D82" s="378"/>
      <c r="E82" s="378"/>
      <c r="F82" s="378"/>
      <c r="G82" s="424">
        <v>75.098368522072946</v>
      </c>
      <c r="H82" s="410">
        <v>14.095969289827256</v>
      </c>
      <c r="I82" s="397">
        <v>-0.34707408829174669</v>
      </c>
      <c r="J82" s="397">
        <v>-0.6513115802943058</v>
      </c>
      <c r="K82" s="398">
        <v>0</v>
      </c>
      <c r="L82" s="399">
        <f t="shared" si="5"/>
        <v>13.097583621241203</v>
      </c>
      <c r="M82" s="433"/>
      <c r="N82" s="450"/>
      <c r="O82" s="450"/>
      <c r="P82" s="451"/>
      <c r="Q82" s="439"/>
      <c r="R82" s="439"/>
      <c r="S82"/>
    </row>
    <row r="83" spans="1:19" x14ac:dyDescent="0.2">
      <c r="A83" s="408" t="s">
        <v>811</v>
      </c>
      <c r="B83" s="378"/>
      <c r="C83" s="378"/>
      <c r="D83" s="378"/>
      <c r="E83" s="378"/>
      <c r="F83" s="378"/>
      <c r="G83" s="424">
        <v>202.04500541849941</v>
      </c>
      <c r="H83" s="410">
        <v>36.662204373047743</v>
      </c>
      <c r="I83" s="397">
        <v>-0.92050334672021417</v>
      </c>
      <c r="J83" s="397">
        <v>-1.3724740230764327</v>
      </c>
      <c r="K83" s="398">
        <v>0</v>
      </c>
      <c r="L83" s="399">
        <f t="shared" si="5"/>
        <v>34.36922700325109</v>
      </c>
      <c r="M83" s="433"/>
      <c r="N83" s="450"/>
      <c r="O83" s="450"/>
      <c r="P83" s="451"/>
      <c r="Q83" s="439"/>
      <c r="R83" s="439"/>
      <c r="S83"/>
    </row>
    <row r="84" spans="1:19" x14ac:dyDescent="0.2">
      <c r="A84" s="408" t="s">
        <v>785</v>
      </c>
      <c r="B84" s="378"/>
      <c r="C84" s="378"/>
      <c r="D84" s="378"/>
      <c r="E84" s="378"/>
      <c r="F84" s="378"/>
      <c r="G84" s="424">
        <v>182.74582644102301</v>
      </c>
      <c r="H84" s="410">
        <v>33.030366458837001</v>
      </c>
      <c r="I84" s="397">
        <v>-0.83293262756075837</v>
      </c>
      <c r="J84" s="397">
        <v>-1.2361623616236161</v>
      </c>
      <c r="K84" s="398">
        <v>0</v>
      </c>
      <c r="L84" s="399">
        <f t="shared" si="5"/>
        <v>30.961271469652626</v>
      </c>
      <c r="M84" s="433"/>
      <c r="N84" s="450"/>
      <c r="O84" s="450"/>
      <c r="P84" s="451"/>
      <c r="Q84" s="439"/>
      <c r="R84" s="439"/>
      <c r="S84"/>
    </row>
    <row r="85" spans="1:19" x14ac:dyDescent="0.2">
      <c r="A85" s="408" t="s">
        <v>812</v>
      </c>
      <c r="B85" s="378"/>
      <c r="C85" s="378"/>
      <c r="D85" s="378"/>
      <c r="E85" s="378"/>
      <c r="F85" s="378"/>
      <c r="G85" s="424">
        <v>14.778156453051345</v>
      </c>
      <c r="H85" s="410">
        <v>2.2779971970951709</v>
      </c>
      <c r="I85" s="397">
        <v>-6.310052235953624E-2</v>
      </c>
      <c r="J85" s="397">
        <v>-7.2620716014778944E-2</v>
      </c>
      <c r="K85" s="398">
        <v>0</v>
      </c>
      <c r="L85" s="399">
        <f>SUM(H85:K85)</f>
        <v>2.1422759587208553</v>
      </c>
      <c r="M85" s="433"/>
      <c r="N85" s="450"/>
      <c r="O85" s="450"/>
      <c r="P85" s="451"/>
      <c r="Q85" s="439"/>
      <c r="R85" s="439"/>
      <c r="S85"/>
    </row>
    <row r="86" spans="1:19" ht="13.5" thickBot="1" x14ac:dyDescent="0.25">
      <c r="A86" s="411" t="s">
        <v>813</v>
      </c>
      <c r="B86" s="412"/>
      <c r="C86" s="412"/>
      <c r="D86" s="412"/>
      <c r="E86" s="412"/>
      <c r="F86" s="412"/>
      <c r="G86" s="428">
        <v>74.988073861827445</v>
      </c>
      <c r="H86" s="454">
        <v>13.212403693091373</v>
      </c>
      <c r="I86" s="414">
        <v>-0.32533663419293218</v>
      </c>
      <c r="J86" s="414">
        <v>-0.41579114931550465</v>
      </c>
      <c r="K86" s="415">
        <v>0</v>
      </c>
      <c r="L86" s="416">
        <f t="shared" si="5"/>
        <v>12.471275909582936</v>
      </c>
      <c r="M86" s="433"/>
      <c r="N86" s="450"/>
      <c r="O86" s="450"/>
      <c r="P86" s="451"/>
      <c r="Q86" s="439"/>
      <c r="R86" s="439"/>
      <c r="S86"/>
    </row>
    <row r="87" spans="1:19" x14ac:dyDescent="0.2">
      <c r="A87" s="455" t="s">
        <v>814</v>
      </c>
      <c r="B87" s="378"/>
      <c r="C87" s="378"/>
      <c r="D87" s="378"/>
      <c r="E87" s="378"/>
      <c r="F87" s="378"/>
      <c r="G87" s="424">
        <f t="shared" ref="G87:L87" si="6">SUM(G71:G86)</f>
        <v>2179.3808682135841</v>
      </c>
      <c r="H87" s="410">
        <f t="shared" si="6"/>
        <v>240.78792846559222</v>
      </c>
      <c r="I87" s="397">
        <f t="shared" si="6"/>
        <v>-7.9264758266329087</v>
      </c>
      <c r="J87" s="397">
        <f t="shared" si="6"/>
        <v>-9.1592168872170099</v>
      </c>
      <c r="K87" s="398">
        <f t="shared" si="6"/>
        <v>0</v>
      </c>
      <c r="L87" s="399">
        <f t="shared" si="6"/>
        <v>223.61951050500559</v>
      </c>
      <c r="M87" s="433"/>
      <c r="N87" s="450"/>
      <c r="O87" s="450"/>
      <c r="P87" s="451"/>
      <c r="Q87" s="439"/>
      <c r="R87" s="439"/>
      <c r="S87"/>
    </row>
    <row r="88" spans="1:19" x14ac:dyDescent="0.2">
      <c r="A88" s="456"/>
      <c r="B88" s="378"/>
      <c r="C88" s="378"/>
      <c r="D88" s="378"/>
      <c r="E88" s="378"/>
      <c r="F88" s="378"/>
      <c r="G88" s="424"/>
      <c r="H88" s="410"/>
      <c r="I88" s="397"/>
      <c r="J88" s="397"/>
      <c r="K88" s="398"/>
      <c r="L88" s="399"/>
      <c r="M88" s="433"/>
      <c r="N88" s="450"/>
      <c r="O88" s="450"/>
      <c r="P88" s="451"/>
      <c r="Q88" s="439"/>
      <c r="R88" s="439"/>
      <c r="S88"/>
    </row>
    <row r="89" spans="1:19" x14ac:dyDescent="0.2">
      <c r="A89" s="449" t="s">
        <v>815</v>
      </c>
      <c r="B89" s="378"/>
      <c r="C89" s="378"/>
      <c r="D89" s="378"/>
      <c r="E89" s="378"/>
      <c r="F89" s="378"/>
      <c r="G89" s="424"/>
      <c r="H89" s="410"/>
      <c r="I89" s="397"/>
      <c r="J89" s="397"/>
      <c r="K89" s="398"/>
      <c r="L89" s="399"/>
      <c r="M89" s="433"/>
      <c r="N89" s="450"/>
      <c r="O89" s="450"/>
      <c r="P89" s="451"/>
      <c r="Q89" s="439"/>
      <c r="R89" s="439"/>
      <c r="S89"/>
    </row>
    <row r="90" spans="1:19" x14ac:dyDescent="0.2">
      <c r="A90" s="449"/>
      <c r="B90" s="378"/>
      <c r="C90" s="378"/>
      <c r="D90" s="378"/>
      <c r="E90" s="378"/>
      <c r="F90" s="378"/>
      <c r="G90" s="424"/>
      <c r="H90" s="410"/>
      <c r="I90" s="397"/>
      <c r="J90" s="397"/>
      <c r="K90" s="398"/>
      <c r="L90" s="399"/>
      <c r="M90" s="433"/>
      <c r="N90" s="450"/>
      <c r="O90" s="450"/>
      <c r="P90" s="451"/>
      <c r="Q90" s="439"/>
      <c r="R90" s="439"/>
      <c r="S90"/>
    </row>
    <row r="91" spans="1:19" x14ac:dyDescent="0.2">
      <c r="A91" s="2" t="s">
        <v>792</v>
      </c>
      <c r="B91" s="378"/>
      <c r="C91" s="378"/>
      <c r="D91" s="378"/>
      <c r="E91" s="378"/>
      <c r="F91" s="378"/>
      <c r="G91" s="424">
        <v>588.35799999999995</v>
      </c>
      <c r="H91" s="410">
        <v>50.387</v>
      </c>
      <c r="I91" s="397">
        <v>-50.387</v>
      </c>
      <c r="J91" s="397">
        <v>0</v>
      </c>
      <c r="K91" s="398">
        <v>0</v>
      </c>
      <c r="L91" s="399">
        <f t="shared" ref="L91:R91" si="7">SUM(H91:K91)</f>
        <v>0</v>
      </c>
      <c r="M91" s="399">
        <f t="shared" si="7"/>
        <v>-50.387</v>
      </c>
      <c r="N91" s="397">
        <f t="shared" si="7"/>
        <v>-50.387</v>
      </c>
      <c r="O91" s="397">
        <f t="shared" si="7"/>
        <v>-100.774</v>
      </c>
      <c r="P91" s="399">
        <f t="shared" si="7"/>
        <v>-201.548</v>
      </c>
      <c r="Q91" s="407">
        <f t="shared" si="7"/>
        <v>-403.096</v>
      </c>
      <c r="R91" s="407">
        <f t="shared" si="7"/>
        <v>-755.80500000000006</v>
      </c>
      <c r="S91"/>
    </row>
    <row r="92" spans="1:19" x14ac:dyDescent="0.2">
      <c r="A92" s="2" t="s">
        <v>816</v>
      </c>
      <c r="B92" s="378"/>
      <c r="C92" s="378"/>
      <c r="D92" s="378"/>
      <c r="E92" s="378"/>
      <c r="F92" s="378"/>
      <c r="G92" s="424">
        <v>877.23500000000001</v>
      </c>
      <c r="H92" s="410">
        <v>49.823999999999998</v>
      </c>
      <c r="I92" s="397">
        <v>-49.823999999999998</v>
      </c>
      <c r="J92" s="397">
        <v>0</v>
      </c>
      <c r="K92" s="398">
        <v>0</v>
      </c>
      <c r="L92" s="399">
        <f t="shared" ref="L92:L98" si="8">SUM(H92:K92)</f>
        <v>0</v>
      </c>
      <c r="M92" s="433"/>
      <c r="N92" s="457"/>
      <c r="O92" s="457"/>
      <c r="P92" s="451"/>
      <c r="Q92" s="439"/>
      <c r="R92" s="439"/>
      <c r="S92"/>
    </row>
    <row r="93" spans="1:19" x14ac:dyDescent="0.2">
      <c r="A93" s="2" t="s">
        <v>817</v>
      </c>
      <c r="B93" s="378"/>
      <c r="C93" s="378"/>
      <c r="D93" s="378"/>
      <c r="E93" s="378"/>
      <c r="F93" s="378"/>
      <c r="G93" s="424">
        <v>420.166</v>
      </c>
      <c r="H93" s="410">
        <v>29.800999999999998</v>
      </c>
      <c r="I93" s="397">
        <v>-29.800999999999998</v>
      </c>
      <c r="J93" s="397">
        <v>0</v>
      </c>
      <c r="K93" s="398">
        <v>0</v>
      </c>
      <c r="L93" s="399">
        <f t="shared" si="8"/>
        <v>0</v>
      </c>
      <c r="M93" s="433"/>
      <c r="N93" s="450"/>
      <c r="O93" s="450"/>
      <c r="P93" s="451"/>
      <c r="Q93" s="439"/>
      <c r="R93" s="439"/>
      <c r="S93"/>
    </row>
    <row r="94" spans="1:19" x14ac:dyDescent="0.2">
      <c r="A94" s="259" t="s">
        <v>818</v>
      </c>
      <c r="B94" s="378"/>
      <c r="C94" s="378"/>
      <c r="D94" s="378"/>
      <c r="E94" s="378"/>
      <c r="F94" s="378"/>
      <c r="G94" s="424">
        <v>830.07399999999996</v>
      </c>
      <c r="H94" s="410">
        <v>47.255000000000003</v>
      </c>
      <c r="I94" s="397">
        <v>-47.255000000000003</v>
      </c>
      <c r="J94" s="397">
        <v>0</v>
      </c>
      <c r="K94" s="398">
        <v>0</v>
      </c>
      <c r="L94" s="399">
        <f t="shared" si="8"/>
        <v>0</v>
      </c>
      <c r="M94" s="433"/>
      <c r="N94" s="450"/>
      <c r="O94" s="450"/>
      <c r="P94" s="451"/>
      <c r="Q94" s="439"/>
      <c r="R94" s="439"/>
      <c r="S94"/>
    </row>
    <row r="95" spans="1:19" x14ac:dyDescent="0.2">
      <c r="A95" s="2" t="s">
        <v>819</v>
      </c>
      <c r="B95" s="378"/>
      <c r="C95" s="378"/>
      <c r="D95" s="378"/>
      <c r="E95" s="378"/>
      <c r="F95" s="378"/>
      <c r="G95" s="424">
        <v>97.955128205128204</v>
      </c>
      <c r="H95" s="410">
        <v>7.7320000000000002</v>
      </c>
      <c r="I95" s="397">
        <v>-7.7320000000000002</v>
      </c>
      <c r="J95" s="397">
        <v>0</v>
      </c>
      <c r="K95" s="398">
        <v>0</v>
      </c>
      <c r="L95" s="399">
        <f t="shared" si="8"/>
        <v>0</v>
      </c>
      <c r="M95" s="433"/>
      <c r="N95" s="458"/>
      <c r="O95" s="458"/>
      <c r="P95" s="451"/>
      <c r="Q95" s="458"/>
      <c r="R95" s="458"/>
      <c r="S95"/>
    </row>
    <row r="96" spans="1:19" x14ac:dyDescent="0.2">
      <c r="A96" s="2" t="s">
        <v>820</v>
      </c>
      <c r="B96" s="378"/>
      <c r="C96" s="378"/>
      <c r="D96" s="378"/>
      <c r="E96" s="378"/>
      <c r="F96" s="378"/>
      <c r="G96" s="424">
        <v>683.74382973267507</v>
      </c>
      <c r="H96" s="410">
        <v>48.84</v>
      </c>
      <c r="I96" s="397">
        <v>-48.84</v>
      </c>
      <c r="J96" s="397">
        <v>0</v>
      </c>
      <c r="K96" s="398">
        <v>0</v>
      </c>
      <c r="L96" s="399">
        <f t="shared" si="8"/>
        <v>0</v>
      </c>
      <c r="M96" s="433"/>
      <c r="N96" s="450"/>
      <c r="O96" s="450"/>
      <c r="P96" s="451"/>
      <c r="Q96" s="439"/>
      <c r="R96" s="439"/>
      <c r="S96"/>
    </row>
    <row r="97" spans="1:19" x14ac:dyDescent="0.2">
      <c r="A97" s="2" t="s">
        <v>821</v>
      </c>
      <c r="B97" s="378"/>
      <c r="C97" s="378"/>
      <c r="D97" s="378"/>
      <c r="E97" s="378"/>
      <c r="F97" s="378"/>
      <c r="G97" s="424">
        <v>555.53615801210583</v>
      </c>
      <c r="H97" s="410">
        <v>35.715833067856011</v>
      </c>
      <c r="I97" s="397">
        <v>-35.715833067856011</v>
      </c>
      <c r="J97" s="397">
        <v>0</v>
      </c>
      <c r="K97" s="398">
        <v>0</v>
      </c>
      <c r="L97" s="399">
        <f t="shared" si="8"/>
        <v>0</v>
      </c>
      <c r="M97" s="433"/>
      <c r="N97" s="450"/>
      <c r="O97" s="450"/>
      <c r="P97" s="451"/>
      <c r="Q97" s="439"/>
      <c r="R97" s="439"/>
      <c r="S97"/>
    </row>
    <row r="98" spans="1:19" ht="13.5" thickBot="1" x14ac:dyDescent="0.25">
      <c r="A98" s="411" t="s">
        <v>822</v>
      </c>
      <c r="B98" s="412"/>
      <c r="C98" s="412"/>
      <c r="D98" s="412"/>
      <c r="E98" s="412"/>
      <c r="F98" s="412"/>
      <c r="G98" s="428">
        <v>1511.8125</v>
      </c>
      <c r="H98" s="454">
        <v>108.02307692307693</v>
      </c>
      <c r="I98" s="414">
        <v>-108.02307692307693</v>
      </c>
      <c r="J98" s="414">
        <v>0</v>
      </c>
      <c r="K98" s="415">
        <v>0</v>
      </c>
      <c r="L98" s="416">
        <f t="shared" si="8"/>
        <v>0</v>
      </c>
      <c r="M98" s="433"/>
      <c r="N98" s="450"/>
      <c r="O98" s="450"/>
      <c r="P98" s="451"/>
      <c r="Q98" s="439"/>
      <c r="R98" s="439"/>
      <c r="S98"/>
    </row>
    <row r="99" spans="1:19" x14ac:dyDescent="0.2">
      <c r="A99" s="455" t="s">
        <v>823</v>
      </c>
      <c r="B99" s="378"/>
      <c r="C99" s="378"/>
      <c r="D99" s="378"/>
      <c r="E99" s="378"/>
      <c r="F99" s="378"/>
      <c r="G99" s="424">
        <f t="shared" ref="G99:L99" si="9">SUM(G90:G98)</f>
        <v>5564.880615949909</v>
      </c>
      <c r="H99" s="410">
        <f t="shared" si="9"/>
        <v>377.57790999093294</v>
      </c>
      <c r="I99" s="397">
        <f t="shared" si="9"/>
        <v>-377.57790999093294</v>
      </c>
      <c r="J99" s="397">
        <f t="shared" si="9"/>
        <v>0</v>
      </c>
      <c r="K99" s="398">
        <f t="shared" si="9"/>
        <v>0</v>
      </c>
      <c r="L99" s="399">
        <f t="shared" si="9"/>
        <v>0</v>
      </c>
      <c r="M99" s="433"/>
      <c r="N99" s="450"/>
      <c r="O99" s="450"/>
      <c r="P99" s="451"/>
      <c r="Q99" s="439"/>
      <c r="R99" s="439"/>
      <c r="S99"/>
    </row>
    <row r="100" spans="1:19" x14ac:dyDescent="0.2">
      <c r="A100" s="456"/>
      <c r="B100" s="378"/>
      <c r="C100" s="378"/>
      <c r="D100" s="378"/>
      <c r="E100" s="378"/>
      <c r="F100" s="378"/>
      <c r="G100" s="424"/>
      <c r="H100" s="410"/>
      <c r="I100" s="397"/>
      <c r="J100" s="397"/>
      <c r="K100" s="398"/>
      <c r="L100" s="399"/>
      <c r="M100" s="433"/>
      <c r="N100" s="450"/>
      <c r="O100" s="450"/>
      <c r="P100" s="451"/>
      <c r="Q100" s="439"/>
      <c r="R100" s="439"/>
      <c r="S100"/>
    </row>
    <row r="101" spans="1:19" x14ac:dyDescent="0.2">
      <c r="A101" s="456"/>
      <c r="B101" s="378"/>
      <c r="C101" s="378"/>
      <c r="D101" s="378"/>
      <c r="E101" s="378"/>
      <c r="F101" s="378"/>
      <c r="G101" s="424"/>
      <c r="H101" s="410"/>
      <c r="I101" s="397"/>
      <c r="J101" s="397"/>
      <c r="K101" s="398"/>
      <c r="L101" s="399"/>
      <c r="M101" s="433"/>
      <c r="N101" s="450"/>
      <c r="O101" s="450"/>
      <c r="P101" s="451"/>
      <c r="Q101" s="439"/>
      <c r="R101" s="439"/>
      <c r="S101"/>
    </row>
    <row r="102" spans="1:19" x14ac:dyDescent="0.2">
      <c r="A102" s="441" t="s">
        <v>824</v>
      </c>
      <c r="B102" s="442"/>
      <c r="C102" s="442"/>
      <c r="D102" s="442"/>
      <c r="E102" s="442"/>
      <c r="F102" s="442"/>
      <c r="G102" s="443">
        <f t="shared" ref="G102:L102" si="10">+G99+G87</f>
        <v>7744.2614841634932</v>
      </c>
      <c r="H102" s="444">
        <f t="shared" si="10"/>
        <v>618.36583845652513</v>
      </c>
      <c r="I102" s="445">
        <f t="shared" si="10"/>
        <v>-385.50438581756583</v>
      </c>
      <c r="J102" s="445">
        <f t="shared" si="10"/>
        <v>-9.1592168872170099</v>
      </c>
      <c r="K102" s="446">
        <f t="shared" si="10"/>
        <v>0</v>
      </c>
      <c r="L102" s="447">
        <f t="shared" si="10"/>
        <v>223.61951050500559</v>
      </c>
      <c r="M102" s="433"/>
      <c r="N102" s="397">
        <f>SUM(N82:N86)</f>
        <v>0</v>
      </c>
      <c r="O102" s="397">
        <f>SUM(O82:O86)</f>
        <v>0</v>
      </c>
      <c r="P102" s="399">
        <f>SUM(P82:P86)</f>
        <v>0</v>
      </c>
      <c r="Q102" s="439"/>
      <c r="R102" s="440">
        <f>SUM(R82:R86)</f>
        <v>0</v>
      </c>
      <c r="S102"/>
    </row>
    <row r="103" spans="1:19" x14ac:dyDescent="0.2">
      <c r="A103" s="434"/>
      <c r="B103" s="378"/>
      <c r="C103" s="378"/>
      <c r="D103" s="378"/>
      <c r="E103" s="378"/>
      <c r="F103" s="378"/>
      <c r="G103" s="424"/>
      <c r="H103" s="410"/>
      <c r="I103" s="397"/>
      <c r="J103" s="397"/>
      <c r="K103" s="398"/>
      <c r="L103" s="399"/>
      <c r="M103" s="433"/>
      <c r="N103" s="397"/>
      <c r="O103" s="397"/>
      <c r="P103" s="399"/>
      <c r="Q103" s="439"/>
      <c r="R103" s="440"/>
      <c r="S103"/>
    </row>
    <row r="104" spans="1:19" x14ac:dyDescent="0.2">
      <c r="A104" s="442" t="s">
        <v>825</v>
      </c>
      <c r="B104" s="378"/>
      <c r="C104" s="378"/>
      <c r="D104" s="378"/>
      <c r="E104" s="378"/>
      <c r="F104" s="378"/>
      <c r="G104" s="443"/>
      <c r="H104" s="444"/>
      <c r="I104" s="445"/>
      <c r="J104" s="445"/>
      <c r="K104" s="446"/>
      <c r="L104" s="447">
        <v>80.409000000000006</v>
      </c>
      <c r="M104" s="433"/>
      <c r="N104" s="397"/>
      <c r="O104" s="397"/>
      <c r="P104" s="399"/>
      <c r="Q104" s="439"/>
      <c r="R104" s="440"/>
      <c r="S104"/>
    </row>
    <row r="105" spans="1:19" x14ac:dyDescent="0.2">
      <c r="A105" s="382"/>
      <c r="B105" s="378"/>
      <c r="C105" s="378"/>
      <c r="D105" s="378"/>
      <c r="E105" s="378"/>
      <c r="F105" s="378"/>
      <c r="G105" s="424"/>
      <c r="H105" s="410"/>
      <c r="I105" s="397"/>
      <c r="J105" s="397"/>
      <c r="K105" s="398"/>
      <c r="L105" s="399"/>
      <c r="M105" s="433"/>
      <c r="N105" s="450"/>
      <c r="O105" s="450"/>
      <c r="P105" s="451"/>
      <c r="Q105" s="439"/>
      <c r="R105" s="439"/>
      <c r="S105"/>
    </row>
    <row r="106" spans="1:19" x14ac:dyDescent="0.2">
      <c r="A106" s="459" t="s">
        <v>826</v>
      </c>
      <c r="B106" s="378"/>
      <c r="C106" s="378"/>
      <c r="D106" s="378"/>
      <c r="E106" s="378"/>
      <c r="F106" s="378"/>
      <c r="G106" s="406">
        <f>G66+G102</f>
        <v>12058.6056521377</v>
      </c>
      <c r="H106" s="435">
        <f>H66+H102</f>
        <v>1125.8557170965314</v>
      </c>
      <c r="I106" s="436">
        <f>I66+I102</f>
        <v>-423.77466745972856</v>
      </c>
      <c r="J106" s="436">
        <f>J66+J102</f>
        <v>-27.516910049017422</v>
      </c>
      <c r="K106" s="437">
        <f>K66+K102</f>
        <v>0</v>
      </c>
      <c r="L106" s="438">
        <f>L66+L102+L104</f>
        <v>754.89041434104877</v>
      </c>
      <c r="M106" s="433"/>
      <c r="N106" s="450">
        <f>N65+N102</f>
        <v>0</v>
      </c>
      <c r="O106" s="450">
        <f>O65+O102</f>
        <v>0</v>
      </c>
      <c r="P106" s="451">
        <f>P65+P102</f>
        <v>0</v>
      </c>
      <c r="Q106" s="439"/>
      <c r="R106" s="439">
        <f>R65+R102</f>
        <v>0</v>
      </c>
      <c r="S106"/>
    </row>
    <row r="107" spans="1:19" x14ac:dyDescent="0.2">
      <c r="A107" s="382"/>
      <c r="B107" s="378"/>
      <c r="C107" s="378"/>
      <c r="D107" s="378"/>
      <c r="E107" s="378"/>
      <c r="F107" s="378"/>
      <c r="G107" s="424"/>
      <c r="H107" s="410"/>
      <c r="I107" s="397"/>
      <c r="J107" s="397"/>
      <c r="K107" s="398"/>
      <c r="L107" s="399"/>
      <c r="M107" s="433"/>
      <c r="N107" s="450"/>
      <c r="O107" s="450"/>
      <c r="P107" s="451"/>
      <c r="Q107" s="450"/>
      <c r="R107" s="439"/>
      <c r="S107"/>
    </row>
    <row r="108" spans="1:19" ht="13.5" thickBot="1" x14ac:dyDescent="0.25">
      <c r="A108" s="460"/>
      <c r="B108" s="378"/>
      <c r="C108" s="378"/>
      <c r="D108" s="378"/>
      <c r="E108" s="378"/>
      <c r="F108" s="378"/>
      <c r="G108" s="428"/>
      <c r="H108" s="454"/>
      <c r="I108" s="414"/>
      <c r="J108" s="414"/>
      <c r="K108" s="415"/>
      <c r="L108" s="416"/>
      <c r="M108" s="433"/>
      <c r="N108" s="450"/>
      <c r="O108" s="450"/>
      <c r="P108" s="451"/>
      <c r="Q108" s="450"/>
      <c r="R108" s="439"/>
    </row>
    <row r="109" spans="1:19" ht="18.75" thickBot="1" x14ac:dyDescent="0.3">
      <c r="A109" s="461" t="s">
        <v>827</v>
      </c>
      <c r="B109" s="462"/>
      <c r="C109" s="462"/>
      <c r="D109" s="462"/>
      <c r="E109" s="462"/>
      <c r="F109" s="462"/>
      <c r="G109" s="463">
        <f>G102+G66</f>
        <v>12058.6056521377</v>
      </c>
      <c r="H109" s="464">
        <f>H102+H66</f>
        <v>1125.8557170965314</v>
      </c>
      <c r="I109" s="464">
        <f>I102+I66</f>
        <v>-423.77466745972856</v>
      </c>
      <c r="J109" s="464">
        <f>J102+J66</f>
        <v>-27.516910049017422</v>
      </c>
      <c r="K109" s="465">
        <f>K102+K66</f>
        <v>0</v>
      </c>
      <c r="L109" s="466">
        <f>L102+L66+L104</f>
        <v>754.89041434104877</v>
      </c>
      <c r="M109" s="467"/>
      <c r="N109" s="468">
        <f>N106</f>
        <v>0</v>
      </c>
      <c r="O109" s="468">
        <f>O106</f>
        <v>0</v>
      </c>
      <c r="P109" s="469">
        <f>P106</f>
        <v>0</v>
      </c>
      <c r="Q109" s="470"/>
      <c r="R109" s="471">
        <f>R106</f>
        <v>0</v>
      </c>
    </row>
    <row r="110" spans="1:19" s="2" customFormat="1" ht="18.75" thickBot="1" x14ac:dyDescent="0.3">
      <c r="A110" s="472"/>
      <c r="B110" s="473"/>
      <c r="C110" s="473"/>
      <c r="D110" s="473"/>
      <c r="E110" s="473"/>
      <c r="F110" s="473"/>
      <c r="G110" s="474"/>
      <c r="H110" s="474"/>
      <c r="I110" s="474"/>
      <c r="J110" s="474"/>
      <c r="K110" s="475"/>
      <c r="L110" s="474"/>
      <c r="M110" s="476"/>
      <c r="N110" s="477"/>
      <c r="O110" s="477"/>
      <c r="P110" s="478"/>
      <c r="Q110" s="479"/>
      <c r="R110" s="480"/>
    </row>
    <row r="111" spans="1:19" s="3" customFormat="1" ht="18.75" thickBot="1" x14ac:dyDescent="0.3">
      <c r="A111" s="268" t="s">
        <v>690</v>
      </c>
      <c r="B111" s="275"/>
      <c r="C111" s="275"/>
      <c r="D111" s="275"/>
      <c r="E111" s="275"/>
      <c r="F111" s="275"/>
      <c r="G111" s="481">
        <v>0</v>
      </c>
      <c r="H111" s="482">
        <v>0</v>
      </c>
      <c r="I111" s="482">
        <v>0</v>
      </c>
      <c r="J111" s="482">
        <v>0</v>
      </c>
      <c r="K111" s="483">
        <v>0</v>
      </c>
      <c r="L111" s="484">
        <v>0</v>
      </c>
      <c r="M111" s="11"/>
      <c r="N111" s="270">
        <v>0</v>
      </c>
      <c r="O111" s="271">
        <v>0</v>
      </c>
      <c r="P111" s="272">
        <v>0</v>
      </c>
      <c r="Q111" s="11"/>
      <c r="R111" s="276">
        <v>2597.0219999999999</v>
      </c>
      <c r="S111" s="2"/>
    </row>
    <row r="112" spans="1:19" s="3" customFormat="1" ht="18.75" thickBot="1" x14ac:dyDescent="0.3">
      <c r="A112" s="268" t="s">
        <v>691</v>
      </c>
      <c r="B112" s="275"/>
      <c r="C112" s="275"/>
      <c r="D112" s="275"/>
      <c r="E112" s="275"/>
      <c r="F112" s="275"/>
      <c r="G112" s="481">
        <v>6810.0550000000003</v>
      </c>
      <c r="H112" s="482">
        <v>2519.768</v>
      </c>
      <c r="I112" s="482">
        <v>-347.88799999999998</v>
      </c>
      <c r="J112" s="482">
        <v>-10.731999999999999</v>
      </c>
      <c r="K112" s="483">
        <v>0</v>
      </c>
      <c r="L112" s="484">
        <v>2161.1480000000001</v>
      </c>
      <c r="M112" s="11"/>
      <c r="N112" s="270">
        <v>0</v>
      </c>
      <c r="O112" s="271">
        <v>0</v>
      </c>
      <c r="P112" s="272">
        <v>0</v>
      </c>
      <c r="Q112" s="11"/>
      <c r="R112" s="276">
        <v>2597.0219999999999</v>
      </c>
      <c r="S112" s="2"/>
    </row>
    <row r="113" spans="1:19" s="3" customFormat="1" ht="18.75" thickBot="1" x14ac:dyDescent="0.3">
      <c r="A113" s="268" t="s">
        <v>692</v>
      </c>
      <c r="B113" s="275"/>
      <c r="C113" s="275"/>
      <c r="D113" s="275"/>
      <c r="E113" s="275"/>
      <c r="F113" s="275"/>
      <c r="G113" s="481">
        <f t="shared" ref="G113:P113" si="11">G109</f>
        <v>12058.6056521377</v>
      </c>
      <c r="H113" s="482">
        <f t="shared" si="11"/>
        <v>1125.8557170965314</v>
      </c>
      <c r="I113" s="482">
        <f t="shared" si="11"/>
        <v>-423.77466745972856</v>
      </c>
      <c r="J113" s="482">
        <f t="shared" si="11"/>
        <v>-27.516910049017422</v>
      </c>
      <c r="K113" s="483">
        <f t="shared" si="11"/>
        <v>0</v>
      </c>
      <c r="L113" s="484">
        <f t="shared" si="11"/>
        <v>754.89041434104877</v>
      </c>
      <c r="M113" s="11">
        <f t="shared" si="11"/>
        <v>0</v>
      </c>
      <c r="N113" s="270">
        <f t="shared" si="11"/>
        <v>0</v>
      </c>
      <c r="O113" s="271">
        <f t="shared" si="11"/>
        <v>0</v>
      </c>
      <c r="P113" s="272">
        <f t="shared" si="11"/>
        <v>0</v>
      </c>
      <c r="Q113" s="11"/>
      <c r="R113" s="276">
        <f>R109</f>
        <v>0</v>
      </c>
      <c r="S113" s="2"/>
    </row>
    <row r="114" spans="1:19" s="3" customFormat="1" ht="18.75" thickBot="1" x14ac:dyDescent="0.3">
      <c r="A114" s="268" t="s">
        <v>693</v>
      </c>
      <c r="B114" s="275"/>
      <c r="C114" s="275"/>
      <c r="D114" s="275"/>
      <c r="E114" s="275"/>
      <c r="F114" s="275"/>
      <c r="G114" s="481">
        <v>0</v>
      </c>
      <c r="H114" s="482">
        <v>0</v>
      </c>
      <c r="I114" s="482">
        <v>0</v>
      </c>
      <c r="J114" s="482">
        <v>0</v>
      </c>
      <c r="K114" s="482">
        <v>0</v>
      </c>
      <c r="L114" s="484">
        <v>0</v>
      </c>
      <c r="M114" s="11"/>
      <c r="N114" s="270">
        <v>0</v>
      </c>
      <c r="O114" s="271">
        <v>0</v>
      </c>
      <c r="P114" s="272">
        <v>0</v>
      </c>
      <c r="Q114" s="11"/>
      <c r="R114" s="276">
        <v>0</v>
      </c>
      <c r="S114" s="2"/>
    </row>
    <row r="115" spans="1:19" s="3" customFormat="1" ht="18.75" thickBot="1" x14ac:dyDescent="0.3">
      <c r="A115" s="268" t="s">
        <v>694</v>
      </c>
      <c r="B115" s="275"/>
      <c r="C115" s="275"/>
      <c r="D115" s="275"/>
      <c r="E115" s="275"/>
      <c r="F115" s="275"/>
      <c r="G115" s="481">
        <f t="shared" ref="G115:L115" si="12">SUM(G111:G114)</f>
        <v>18868.6606521377</v>
      </c>
      <c r="H115" s="482">
        <f t="shared" si="12"/>
        <v>3645.6237170965314</v>
      </c>
      <c r="I115" s="482">
        <f t="shared" si="12"/>
        <v>-771.66266745972848</v>
      </c>
      <c r="J115" s="482">
        <f t="shared" si="12"/>
        <v>-38.248910049017425</v>
      </c>
      <c r="K115" s="482">
        <f t="shared" si="12"/>
        <v>0</v>
      </c>
      <c r="L115" s="484">
        <f t="shared" si="12"/>
        <v>2916.0384143410488</v>
      </c>
      <c r="M115" s="11">
        <f>SUM(M109:M114)</f>
        <v>0</v>
      </c>
      <c r="N115" s="270">
        <f>SUM(N109:N114)</f>
        <v>0</v>
      </c>
      <c r="O115" s="271">
        <f>SUM(O109:O114)</f>
        <v>0</v>
      </c>
      <c r="P115" s="272">
        <f>SUM(P109:P114)</f>
        <v>0</v>
      </c>
      <c r="Q115" s="11"/>
      <c r="R115" s="276">
        <f>SUM(R109:R114)</f>
        <v>5194.0439999999999</v>
      </c>
      <c r="S115" s="2"/>
    </row>
    <row r="116" spans="1:19" x14ac:dyDescent="0.2">
      <c r="M116" s="378"/>
    </row>
    <row r="117" spans="1:19" x14ac:dyDescent="0.2">
      <c r="M117" s="378"/>
    </row>
    <row r="118" spans="1:19" x14ac:dyDescent="0.2">
      <c r="M118" s="378"/>
    </row>
    <row r="119" spans="1:19" x14ac:dyDescent="0.2">
      <c r="G119"/>
      <c r="M119" s="378"/>
      <c r="N119" s="378"/>
      <c r="O119" s="378"/>
      <c r="P119" s="378"/>
      <c r="Q119" s="378"/>
      <c r="R119" s="378"/>
    </row>
    <row r="120" spans="1:19" x14ac:dyDescent="0.2">
      <c r="G120"/>
      <c r="M120" s="378"/>
      <c r="N120" s="378"/>
      <c r="O120" s="378"/>
      <c r="P120" s="378"/>
      <c r="Q120" s="378"/>
      <c r="R120" s="378"/>
    </row>
    <row r="121" spans="1:19" ht="27.75" x14ac:dyDescent="0.4">
      <c r="G121" s="1"/>
      <c r="H121" s="1" t="s">
        <v>828</v>
      </c>
      <c r="J121" s="3"/>
      <c r="K121" s="5"/>
      <c r="L121" s="5"/>
      <c r="M121" s="378"/>
      <c r="N121" s="378"/>
      <c r="O121" s="378"/>
      <c r="P121" s="378"/>
      <c r="Q121" s="378"/>
      <c r="R121" s="378"/>
    </row>
    <row r="122" spans="1:19" ht="27.75" x14ac:dyDescent="0.4">
      <c r="H122" s="1" t="s">
        <v>829</v>
      </c>
      <c r="J122" s="3"/>
      <c r="K122" s="5"/>
      <c r="L122" s="5"/>
      <c r="M122" s="378"/>
      <c r="N122" s="378"/>
      <c r="O122" s="378"/>
      <c r="P122" s="378"/>
      <c r="Q122" s="378"/>
      <c r="R122" s="378"/>
    </row>
    <row r="123" spans="1:19" x14ac:dyDescent="0.2">
      <c r="G123"/>
      <c r="M123" s="378"/>
      <c r="N123" s="378"/>
      <c r="O123" s="378"/>
      <c r="P123" s="378"/>
      <c r="Q123" s="378"/>
      <c r="R123" s="378"/>
    </row>
    <row r="124" spans="1:19" x14ac:dyDescent="0.2">
      <c r="G124"/>
      <c r="M124" s="378"/>
      <c r="N124" s="378"/>
      <c r="O124" s="378"/>
      <c r="P124" s="378"/>
      <c r="Q124" s="378"/>
      <c r="R124" s="378"/>
    </row>
    <row r="125" spans="1:19" x14ac:dyDescent="0.2">
      <c r="G125"/>
      <c r="M125" s="378"/>
      <c r="N125" s="378"/>
      <c r="O125" s="378"/>
      <c r="P125" s="378"/>
      <c r="Q125" s="378"/>
      <c r="R125" s="378"/>
    </row>
    <row r="126" spans="1:19" x14ac:dyDescent="0.2">
      <c r="G126"/>
      <c r="M126" s="378"/>
      <c r="N126" s="378"/>
      <c r="O126" s="378"/>
      <c r="P126" s="378"/>
      <c r="Q126" s="378"/>
      <c r="R126" s="378"/>
    </row>
    <row r="127" spans="1:19" x14ac:dyDescent="0.2">
      <c r="A127" s="553" t="str">
        <f>A9</f>
        <v>As of 09/28/01</v>
      </c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53"/>
      <c r="P127" s="553"/>
      <c r="Q127" s="553"/>
      <c r="R127" s="553"/>
    </row>
    <row r="128" spans="1:19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60"/>
      <c r="M128" s="2"/>
      <c r="N128" s="360"/>
      <c r="O128" s="360"/>
      <c r="P128" s="360"/>
      <c r="Q128" s="360"/>
      <c r="R128" s="360"/>
    </row>
    <row r="129" spans="1:18" x14ac:dyDescent="0.2">
      <c r="G129"/>
      <c r="M129" s="378"/>
      <c r="N129" s="378"/>
      <c r="O129" s="378"/>
      <c r="P129" s="378"/>
      <c r="Q129" s="378"/>
      <c r="R129" s="378"/>
    </row>
    <row r="130" spans="1:18" ht="13.5" thickBot="1" x14ac:dyDescent="0.25">
      <c r="G130"/>
      <c r="M130" s="378"/>
      <c r="N130" s="378"/>
      <c r="O130" s="378"/>
      <c r="P130" s="378"/>
      <c r="Q130" s="378"/>
      <c r="R130" s="378"/>
    </row>
    <row r="131" spans="1:18" ht="16.5" thickBot="1" x14ac:dyDescent="0.3">
      <c r="A131" s="361"/>
      <c r="B131" s="362"/>
      <c r="C131" s="362"/>
      <c r="D131" s="362"/>
      <c r="E131" s="362"/>
      <c r="F131" s="362"/>
      <c r="G131" s="554" t="s">
        <v>4</v>
      </c>
      <c r="H131" s="555"/>
      <c r="I131" s="555"/>
      <c r="J131" s="555"/>
      <c r="K131" s="555"/>
      <c r="L131" s="556"/>
      <c r="M131" s="485"/>
      <c r="N131" s="557" t="s">
        <v>742</v>
      </c>
      <c r="O131" s="557"/>
      <c r="P131" s="557"/>
      <c r="Q131" s="486"/>
      <c r="R131" s="371"/>
    </row>
    <row r="132" spans="1:18" ht="28.5" customHeight="1" x14ac:dyDescent="0.2">
      <c r="A132" s="16" t="s">
        <v>3</v>
      </c>
      <c r="B132" s="367" t="s">
        <v>743</v>
      </c>
      <c r="C132" s="367" t="s">
        <v>744</v>
      </c>
      <c r="D132" s="367" t="s">
        <v>745</v>
      </c>
      <c r="E132" s="367" t="s">
        <v>746</v>
      </c>
      <c r="F132" s="367" t="s">
        <v>6</v>
      </c>
      <c r="G132" s="548" t="s">
        <v>747</v>
      </c>
      <c r="H132" s="559" t="s">
        <v>748</v>
      </c>
      <c r="I132" s="549" t="s">
        <v>9</v>
      </c>
      <c r="J132" s="549" t="s">
        <v>830</v>
      </c>
      <c r="K132" s="561" t="s">
        <v>11</v>
      </c>
      <c r="L132" s="548" t="s">
        <v>750</v>
      </c>
      <c r="M132" s="487"/>
      <c r="N132" s="488" t="s">
        <v>751</v>
      </c>
      <c r="O132" s="488" t="s">
        <v>752</v>
      </c>
      <c r="P132" s="488" t="s">
        <v>753</v>
      </c>
      <c r="Q132" s="489"/>
      <c r="R132" s="490" t="s">
        <v>754</v>
      </c>
    </row>
    <row r="133" spans="1:18" ht="22.5" customHeight="1" thickBot="1" x14ac:dyDescent="0.3">
      <c r="A133" s="20" t="s">
        <v>831</v>
      </c>
      <c r="B133" s="372"/>
      <c r="C133" s="372"/>
      <c r="D133" s="372"/>
      <c r="E133" s="372"/>
      <c r="F133" s="372"/>
      <c r="G133" s="558"/>
      <c r="H133" s="560"/>
      <c r="I133" s="558"/>
      <c r="J133" s="558"/>
      <c r="K133" s="562"/>
      <c r="L133" s="558"/>
      <c r="M133" s="491"/>
      <c r="N133" s="492" t="s">
        <v>756</v>
      </c>
      <c r="O133" s="493"/>
      <c r="P133" s="492" t="s">
        <v>757</v>
      </c>
      <c r="Q133" s="489"/>
      <c r="R133" s="494" t="s">
        <v>758</v>
      </c>
    </row>
    <row r="134" spans="1:18" x14ac:dyDescent="0.2">
      <c r="A134" s="423"/>
      <c r="B134" s="378"/>
      <c r="C134" s="378"/>
      <c r="D134" s="378"/>
      <c r="E134" s="378"/>
      <c r="F134" s="378"/>
      <c r="G134" s="406"/>
      <c r="H134" s="457"/>
      <c r="I134" s="457"/>
      <c r="J134" s="457"/>
      <c r="K134" s="457"/>
      <c r="L134" s="458"/>
      <c r="M134" s="495"/>
      <c r="N134" s="378"/>
      <c r="O134" s="378"/>
      <c r="P134" s="491"/>
      <c r="Q134" s="378"/>
      <c r="R134" s="382"/>
    </row>
    <row r="135" spans="1:18" ht="15.75" x14ac:dyDescent="0.25">
      <c r="A135" s="496" t="s">
        <v>832</v>
      </c>
      <c r="B135" s="384"/>
      <c r="C135" s="384"/>
      <c r="D135" s="384"/>
      <c r="E135" s="384"/>
      <c r="F135" s="384"/>
      <c r="G135" s="497"/>
      <c r="H135" s="498"/>
      <c r="I135" s="498"/>
      <c r="J135" s="498"/>
      <c r="K135" s="498"/>
      <c r="L135" s="499"/>
      <c r="M135" s="500"/>
      <c r="N135" s="384"/>
      <c r="O135" s="384"/>
      <c r="P135" s="501"/>
      <c r="Q135" s="384"/>
      <c r="R135" s="389"/>
    </row>
    <row r="136" spans="1:18" ht="15.75" x14ac:dyDescent="0.25">
      <c r="A136" s="496"/>
      <c r="B136" s="384"/>
      <c r="C136" s="384"/>
      <c r="D136" s="384"/>
      <c r="E136" s="384"/>
      <c r="F136" s="384"/>
      <c r="G136" s="497"/>
      <c r="H136" s="498"/>
      <c r="I136" s="498"/>
      <c r="J136" s="498"/>
      <c r="K136" s="498"/>
      <c r="L136" s="499"/>
      <c r="M136" s="502"/>
      <c r="N136" s="384"/>
      <c r="O136" s="384"/>
      <c r="P136" s="501"/>
      <c r="Q136" s="384"/>
      <c r="R136" s="389"/>
    </row>
    <row r="137" spans="1:18" ht="15.75" x14ac:dyDescent="0.2">
      <c r="A137" s="503" t="s">
        <v>833</v>
      </c>
      <c r="B137" s="384"/>
      <c r="C137" s="384"/>
      <c r="D137" s="384"/>
      <c r="E137" s="384"/>
      <c r="F137" s="384"/>
      <c r="G137" s="504">
        <v>63689.83929207542</v>
      </c>
      <c r="H137" s="72">
        <v>17831.172354680079</v>
      </c>
      <c r="I137" s="72">
        <v>-44.824804636131603</v>
      </c>
      <c r="J137" s="72">
        <v>-59.5995500439465</v>
      </c>
      <c r="K137" s="72">
        <v>0</v>
      </c>
      <c r="L137" s="85">
        <f>SUM(H137:K137)</f>
        <v>17726.748</v>
      </c>
      <c r="M137" s="502"/>
      <c r="N137" s="505">
        <v>0</v>
      </c>
      <c r="O137" s="505">
        <v>0</v>
      </c>
      <c r="P137" s="505">
        <f>SUM(N137:O137)</f>
        <v>0</v>
      </c>
      <c r="Q137" s="506"/>
      <c r="R137" s="507">
        <f>L137+P137</f>
        <v>17726.748</v>
      </c>
    </row>
    <row r="138" spans="1:18" ht="15.75" x14ac:dyDescent="0.2">
      <c r="A138" s="503" t="s">
        <v>834</v>
      </c>
      <c r="B138" s="384"/>
      <c r="C138" s="384"/>
      <c r="D138" s="384"/>
      <c r="E138" s="384"/>
      <c r="F138" s="384"/>
      <c r="G138" s="504">
        <v>25745.674276700018</v>
      </c>
      <c r="H138" s="72">
        <v>2362.0769740000001</v>
      </c>
      <c r="I138" s="72">
        <v>0</v>
      </c>
      <c r="J138" s="72">
        <v>0</v>
      </c>
      <c r="K138" s="72">
        <v>0</v>
      </c>
      <c r="L138" s="85">
        <f>SUM(H138:K138)</f>
        <v>2362.0769740000001</v>
      </c>
      <c r="M138" s="502"/>
      <c r="N138" s="505"/>
      <c r="O138" s="505"/>
      <c r="P138" s="505"/>
      <c r="Q138" s="506"/>
      <c r="R138" s="507"/>
    </row>
    <row r="139" spans="1:18" ht="15.75" x14ac:dyDescent="0.2">
      <c r="A139" s="503" t="s">
        <v>835</v>
      </c>
      <c r="B139" s="384"/>
      <c r="C139" s="384"/>
      <c r="D139" s="384"/>
      <c r="E139" s="384"/>
      <c r="F139" s="384"/>
      <c r="G139" s="504">
        <v>7835.0639063906392</v>
      </c>
      <c r="H139" s="72">
        <v>-18</v>
      </c>
      <c r="I139" s="72">
        <v>0</v>
      </c>
      <c r="J139" s="72">
        <v>0</v>
      </c>
      <c r="K139" s="72">
        <v>0</v>
      </c>
      <c r="L139" s="85">
        <f>SUM(H139:K139)</f>
        <v>-18</v>
      </c>
      <c r="M139" s="502"/>
      <c r="N139" s="505"/>
      <c r="O139" s="505"/>
      <c r="P139" s="505"/>
      <c r="Q139" s="506"/>
      <c r="R139" s="507">
        <f>L139+P139</f>
        <v>-18</v>
      </c>
    </row>
    <row r="140" spans="1:18" ht="16.5" thickBot="1" x14ac:dyDescent="0.25">
      <c r="A140" s="503" t="s">
        <v>836</v>
      </c>
      <c r="B140" s="508"/>
      <c r="C140" s="508"/>
      <c r="D140" s="508"/>
      <c r="E140" s="508"/>
      <c r="F140" s="508"/>
      <c r="G140" s="509">
        <v>15330</v>
      </c>
      <c r="H140" s="122">
        <v>1512.9503021556779</v>
      </c>
      <c r="I140" s="123">
        <v>0</v>
      </c>
      <c r="J140" s="123">
        <v>-180</v>
      </c>
      <c r="K140" s="123">
        <v>0</v>
      </c>
      <c r="L140" s="124">
        <f>SUM(H140:K140)</f>
        <v>1332.9503021556779</v>
      </c>
      <c r="M140" s="502"/>
      <c r="N140" s="505">
        <v>0</v>
      </c>
      <c r="O140" s="505">
        <v>0</v>
      </c>
      <c r="P140" s="505">
        <f>SUM(N140:O140)</f>
        <v>0</v>
      </c>
      <c r="Q140" s="506"/>
      <c r="R140" s="507">
        <f>L140+P140</f>
        <v>1332.9503021556779</v>
      </c>
    </row>
    <row r="141" spans="1:18" ht="15" x14ac:dyDescent="0.2">
      <c r="A141" s="510" t="s">
        <v>837</v>
      </c>
      <c r="B141" s="384"/>
      <c r="C141" s="384"/>
      <c r="D141" s="384"/>
      <c r="E141" s="384"/>
      <c r="F141" s="384"/>
      <c r="G141" s="504">
        <f>SUM(G137:G140)</f>
        <v>112600.57747516608</v>
      </c>
      <c r="H141" s="511">
        <f>SUM(H137:H140)</f>
        <v>21688.199630835756</v>
      </c>
      <c r="I141" s="511">
        <f>SUM(I137:I140)</f>
        <v>-44.824804636131603</v>
      </c>
      <c r="J141" s="511">
        <f>SUM(J137:J140)</f>
        <v>-239.59955004394649</v>
      </c>
      <c r="K141" s="511">
        <v>0</v>
      </c>
      <c r="L141" s="512">
        <f>SUM(L137:L140)</f>
        <v>21403.775276155677</v>
      </c>
      <c r="M141" s="513"/>
      <c r="N141" s="505">
        <f>SUM(N137:N140)</f>
        <v>0</v>
      </c>
      <c r="O141" s="505">
        <f>SUM(O137:O140)</f>
        <v>0</v>
      </c>
      <c r="P141" s="505">
        <f>SUM(P137:P140)</f>
        <v>0</v>
      </c>
      <c r="Q141" s="514"/>
      <c r="R141" s="507">
        <f>SUM(R137:R140)</f>
        <v>19041.698302155677</v>
      </c>
    </row>
    <row r="142" spans="1:18" ht="15.75" x14ac:dyDescent="0.25">
      <c r="A142" s="503"/>
      <c r="B142" s="384"/>
      <c r="C142" s="384"/>
      <c r="D142" s="384"/>
      <c r="E142" s="384"/>
      <c r="F142" s="384"/>
      <c r="G142" s="515"/>
      <c r="H142" s="72"/>
      <c r="I142" s="72"/>
      <c r="J142" s="516"/>
      <c r="K142" s="516"/>
      <c r="L142" s="517"/>
      <c r="M142" s="502"/>
      <c r="N142" s="514"/>
      <c r="O142" s="514"/>
      <c r="P142" s="518"/>
      <c r="Q142" s="514"/>
      <c r="R142" s="519"/>
    </row>
    <row r="143" spans="1:18" ht="15.75" x14ac:dyDescent="0.25">
      <c r="A143" s="496" t="s">
        <v>838</v>
      </c>
      <c r="B143" s="384"/>
      <c r="C143" s="384"/>
      <c r="D143" s="384"/>
      <c r="E143" s="384"/>
      <c r="F143" s="384"/>
      <c r="G143" s="515"/>
      <c r="H143" s="72"/>
      <c r="I143" s="72"/>
      <c r="J143" s="516"/>
      <c r="K143" s="516"/>
      <c r="L143" s="517"/>
      <c r="M143" s="502"/>
      <c r="N143" s="514"/>
      <c r="O143" s="514"/>
      <c r="P143" s="518"/>
      <c r="Q143" s="514"/>
      <c r="R143" s="519"/>
    </row>
    <row r="144" spans="1:18" ht="15.75" x14ac:dyDescent="0.25">
      <c r="A144" s="503"/>
      <c r="B144" s="384"/>
      <c r="C144" s="384"/>
      <c r="D144" s="384"/>
      <c r="E144" s="384"/>
      <c r="F144" s="384"/>
      <c r="G144" s="515"/>
      <c r="H144" s="72"/>
      <c r="I144" s="72"/>
      <c r="J144" s="516"/>
      <c r="K144" s="516"/>
      <c r="L144" s="517"/>
      <c r="M144" s="502"/>
      <c r="N144" s="514"/>
      <c r="O144" s="514"/>
      <c r="P144" s="518"/>
      <c r="Q144" s="514"/>
      <c r="R144" s="519"/>
    </row>
    <row r="145" spans="1:19" ht="15.75" x14ac:dyDescent="0.2">
      <c r="A145" s="503" t="s">
        <v>839</v>
      </c>
      <c r="B145" s="384"/>
      <c r="C145" s="384"/>
      <c r="D145" s="384"/>
      <c r="E145" s="384"/>
      <c r="F145" s="384"/>
      <c r="G145" s="504">
        <v>266.45874107999998</v>
      </c>
      <c r="H145" s="72">
        <v>8.8507159999999985</v>
      </c>
      <c r="I145" s="72">
        <v>0</v>
      </c>
      <c r="J145" s="72">
        <v>0</v>
      </c>
      <c r="K145" s="72">
        <v>0</v>
      </c>
      <c r="L145" s="85">
        <f>SUM(H145:K145)</f>
        <v>8.8507159999999985</v>
      </c>
      <c r="M145" s="502"/>
      <c r="N145" s="505">
        <v>0</v>
      </c>
      <c r="O145" s="505">
        <v>0</v>
      </c>
      <c r="P145" s="505">
        <f>SUM(N145:O145)</f>
        <v>0</v>
      </c>
      <c r="Q145" s="514"/>
      <c r="R145" s="507">
        <f>L145+P145</f>
        <v>8.8507159999999985</v>
      </c>
    </row>
    <row r="146" spans="1:19" ht="15.75" x14ac:dyDescent="0.2">
      <c r="A146" s="503" t="s">
        <v>840</v>
      </c>
      <c r="B146" s="384"/>
      <c r="C146" s="384"/>
      <c r="D146" s="384"/>
      <c r="E146" s="384"/>
      <c r="F146" s="384"/>
      <c r="G146" s="504">
        <v>489.73753192000004</v>
      </c>
      <c r="H146" s="72">
        <v>77.072310000000002</v>
      </c>
      <c r="I146" s="72">
        <v>0</v>
      </c>
      <c r="J146" s="72">
        <v>0</v>
      </c>
      <c r="K146" s="72">
        <v>0</v>
      </c>
      <c r="L146" s="85">
        <f>SUM(H146:K146)</f>
        <v>77.072310000000002</v>
      </c>
      <c r="M146" s="502"/>
      <c r="N146" s="505"/>
      <c r="O146" s="505"/>
      <c r="P146" s="505"/>
      <c r="Q146" s="514"/>
      <c r="R146" s="507">
        <f>L146+P146</f>
        <v>77.072310000000002</v>
      </c>
    </row>
    <row r="147" spans="1:19" ht="15.75" x14ac:dyDescent="0.2">
      <c r="A147" s="503" t="s">
        <v>841</v>
      </c>
      <c r="B147" s="384"/>
      <c r="C147" s="384"/>
      <c r="D147" s="384"/>
      <c r="E147" s="384"/>
      <c r="F147" s="384"/>
      <c r="G147" s="504">
        <v>37.799999999999997</v>
      </c>
      <c r="H147" s="72">
        <v>1.6519999999999999</v>
      </c>
      <c r="I147" s="72">
        <v>0</v>
      </c>
      <c r="J147" s="72">
        <v>0</v>
      </c>
      <c r="K147" s="72">
        <v>0</v>
      </c>
      <c r="L147" s="85">
        <f t="shared" ref="L147:L152" si="13">SUM(H147:K147)</f>
        <v>1.6519999999999999</v>
      </c>
      <c r="M147" s="502"/>
      <c r="N147" s="505"/>
      <c r="O147" s="505"/>
      <c r="P147" s="505"/>
      <c r="Q147" s="514"/>
      <c r="R147" s="507"/>
    </row>
    <row r="148" spans="1:19" ht="15.75" x14ac:dyDescent="0.2">
      <c r="A148" s="503" t="s">
        <v>842</v>
      </c>
      <c r="B148" s="384"/>
      <c r="C148" s="384"/>
      <c r="D148" s="384"/>
      <c r="E148" s="384"/>
      <c r="F148" s="384"/>
      <c r="G148" s="504">
        <v>6300</v>
      </c>
      <c r="H148" s="72">
        <v>28</v>
      </c>
      <c r="I148" s="72">
        <v>0</v>
      </c>
      <c r="J148" s="72">
        <v>0</v>
      </c>
      <c r="K148" s="72">
        <v>0</v>
      </c>
      <c r="L148" s="85">
        <f t="shared" si="13"/>
        <v>28</v>
      </c>
      <c r="M148" s="502"/>
      <c r="N148" s="505"/>
      <c r="O148" s="505"/>
      <c r="P148" s="505"/>
      <c r="Q148" s="514"/>
      <c r="R148" s="507"/>
    </row>
    <row r="149" spans="1:19" ht="15.75" x14ac:dyDescent="0.2">
      <c r="A149" s="503" t="s">
        <v>843</v>
      </c>
      <c r="B149" s="384"/>
      <c r="C149" s="384"/>
      <c r="D149" s="384"/>
      <c r="E149" s="384"/>
      <c r="F149" s="384"/>
      <c r="G149" s="504">
        <v>2100</v>
      </c>
      <c r="H149" s="72">
        <v>42</v>
      </c>
      <c r="I149" s="72">
        <v>0</v>
      </c>
      <c r="J149" s="72">
        <v>0</v>
      </c>
      <c r="K149" s="72">
        <v>0</v>
      </c>
      <c r="L149" s="85">
        <f t="shared" si="13"/>
        <v>42</v>
      </c>
      <c r="M149" s="502"/>
      <c r="N149" s="505"/>
      <c r="O149" s="505"/>
      <c r="P149" s="505"/>
      <c r="Q149" s="514"/>
      <c r="R149" s="507"/>
    </row>
    <row r="150" spans="1:19" ht="15.75" x14ac:dyDescent="0.2">
      <c r="A150" s="503" t="s">
        <v>844</v>
      </c>
      <c r="B150" s="384"/>
      <c r="C150" s="384"/>
      <c r="D150" s="384"/>
      <c r="E150" s="384"/>
      <c r="F150" s="384"/>
      <c r="G150" s="504">
        <v>310.8</v>
      </c>
      <c r="H150" s="72">
        <v>2.8</v>
      </c>
      <c r="I150" s="72">
        <v>0</v>
      </c>
      <c r="J150" s="72">
        <v>0</v>
      </c>
      <c r="K150" s="72">
        <v>0</v>
      </c>
      <c r="L150" s="85">
        <f t="shared" si="13"/>
        <v>2.8</v>
      </c>
      <c r="M150" s="502"/>
      <c r="N150" s="505"/>
      <c r="O150" s="505"/>
      <c r="P150" s="505"/>
      <c r="Q150" s="514"/>
      <c r="R150" s="507"/>
    </row>
    <row r="151" spans="1:19" ht="15.75" x14ac:dyDescent="0.2">
      <c r="A151" s="503" t="s">
        <v>845</v>
      </c>
      <c r="B151" s="384"/>
      <c r="C151" s="384"/>
      <c r="D151" s="384"/>
      <c r="E151" s="384"/>
      <c r="F151" s="384"/>
      <c r="G151" s="504">
        <v>180.6</v>
      </c>
      <c r="H151" s="72">
        <v>2.8</v>
      </c>
      <c r="I151" s="72">
        <v>0</v>
      </c>
      <c r="J151" s="72">
        <v>0</v>
      </c>
      <c r="K151" s="72">
        <v>0</v>
      </c>
      <c r="L151" s="85">
        <f t="shared" si="13"/>
        <v>2.8</v>
      </c>
      <c r="M151" s="502"/>
      <c r="N151" s="505"/>
      <c r="O151" s="505"/>
      <c r="P151" s="505"/>
      <c r="Q151" s="514"/>
      <c r="R151" s="507"/>
    </row>
    <row r="152" spans="1:19" ht="15.75" x14ac:dyDescent="0.2">
      <c r="A152" s="503" t="s">
        <v>846</v>
      </c>
      <c r="B152" s="384"/>
      <c r="C152" s="384"/>
      <c r="D152" s="384"/>
      <c r="E152" s="384"/>
      <c r="F152" s="384"/>
      <c r="G152" s="504">
        <v>21300</v>
      </c>
      <c r="H152" s="72">
        <v>772</v>
      </c>
      <c r="I152" s="72">
        <v>-72</v>
      </c>
      <c r="J152" s="72">
        <v>0</v>
      </c>
      <c r="K152" s="72">
        <v>0</v>
      </c>
      <c r="L152" s="85">
        <f t="shared" si="13"/>
        <v>700</v>
      </c>
      <c r="M152" s="502"/>
      <c r="N152" s="505"/>
      <c r="O152" s="505"/>
      <c r="P152" s="505"/>
      <c r="Q152" s="514"/>
      <c r="R152" s="507"/>
    </row>
    <row r="153" spans="1:19" ht="16.5" thickBot="1" x14ac:dyDescent="0.25">
      <c r="A153" s="503" t="s">
        <v>847</v>
      </c>
      <c r="B153" s="508"/>
      <c r="C153" s="508"/>
      <c r="D153" s="508"/>
      <c r="E153" s="508"/>
      <c r="F153" s="508"/>
      <c r="G153" s="509">
        <v>100000</v>
      </c>
      <c r="H153" s="122">
        <v>170</v>
      </c>
      <c r="I153" s="123">
        <v>0</v>
      </c>
      <c r="J153" s="123">
        <v>0</v>
      </c>
      <c r="K153" s="123">
        <v>0</v>
      </c>
      <c r="L153" s="124">
        <f>SUM(H153:K153)</f>
        <v>170</v>
      </c>
      <c r="M153" s="502"/>
      <c r="N153" s="505">
        <v>0</v>
      </c>
      <c r="O153" s="505">
        <v>0</v>
      </c>
      <c r="P153" s="505">
        <f>SUM(N153:O153)</f>
        <v>0</v>
      </c>
      <c r="Q153" s="514"/>
      <c r="R153" s="507">
        <f>L153+P153</f>
        <v>170</v>
      </c>
    </row>
    <row r="154" spans="1:19" ht="15" x14ac:dyDescent="0.2">
      <c r="A154" s="510"/>
      <c r="B154" s="384"/>
      <c r="C154" s="384"/>
      <c r="D154" s="384"/>
      <c r="E154" s="384"/>
      <c r="F154" s="384"/>
      <c r="G154" s="504">
        <f t="shared" ref="G154:L154" si="14">SUM(G145:G153)</f>
        <v>130985.39627299999</v>
      </c>
      <c r="H154" s="511">
        <f t="shared" si="14"/>
        <v>1105.1750259999999</v>
      </c>
      <c r="I154" s="511">
        <f t="shared" si="14"/>
        <v>-72</v>
      </c>
      <c r="J154" s="511">
        <f t="shared" si="14"/>
        <v>0</v>
      </c>
      <c r="K154" s="511">
        <f t="shared" si="14"/>
        <v>0</v>
      </c>
      <c r="L154" s="512">
        <f t="shared" si="14"/>
        <v>1033.1750259999999</v>
      </c>
      <c r="M154" s="513"/>
      <c r="N154" s="505">
        <f>SUM(N140:N153)</f>
        <v>0</v>
      </c>
      <c r="O154" s="505">
        <f>SUM(O140:O153)</f>
        <v>0</v>
      </c>
      <c r="P154" s="505">
        <f>SUM(P140:P153)</f>
        <v>0</v>
      </c>
      <c r="Q154" s="514"/>
      <c r="R154" s="507">
        <f>SUM(R145:R153)</f>
        <v>255.92302599999999</v>
      </c>
    </row>
    <row r="155" spans="1:19" x14ac:dyDescent="0.2">
      <c r="A155" s="423"/>
      <c r="B155" s="378"/>
      <c r="C155" s="378"/>
      <c r="D155" s="378"/>
      <c r="E155" s="378"/>
      <c r="F155" s="378"/>
      <c r="G155" s="406"/>
      <c r="H155" s="457"/>
      <c r="I155" s="457"/>
      <c r="J155" s="457"/>
      <c r="K155" s="457"/>
      <c r="L155" s="458"/>
      <c r="M155" s="520"/>
      <c r="N155" s="521"/>
      <c r="O155" s="521"/>
      <c r="P155" s="522"/>
      <c r="Q155" s="521"/>
      <c r="R155" s="523"/>
    </row>
    <row r="156" spans="1:19" ht="13.5" thickBot="1" x14ac:dyDescent="0.25">
      <c r="A156" s="423"/>
      <c r="B156" s="378"/>
      <c r="C156" s="378"/>
      <c r="D156" s="378"/>
      <c r="E156" s="378"/>
      <c r="F156" s="378"/>
      <c r="G156" s="406"/>
      <c r="H156" s="457"/>
      <c r="I156" s="457"/>
      <c r="J156" s="457"/>
      <c r="K156" s="457"/>
      <c r="L156" s="458"/>
      <c r="M156" s="520"/>
      <c r="N156" s="521"/>
      <c r="O156" s="521"/>
      <c r="P156" s="522"/>
      <c r="Q156" s="521"/>
      <c r="R156" s="523"/>
    </row>
    <row r="157" spans="1:19" ht="18.75" thickBot="1" x14ac:dyDescent="0.3">
      <c r="A157" s="461" t="s">
        <v>848</v>
      </c>
      <c r="B157" s="462"/>
      <c r="C157" s="462"/>
      <c r="D157" s="462"/>
      <c r="E157" s="462"/>
      <c r="F157" s="462"/>
      <c r="G157" s="524">
        <f t="shared" ref="G157:L157" si="15">G141+G154</f>
        <v>243585.97374816606</v>
      </c>
      <c r="H157" s="525">
        <f t="shared" si="15"/>
        <v>22793.374656835756</v>
      </c>
      <c r="I157" s="525">
        <f t="shared" si="15"/>
        <v>-116.8248046361316</v>
      </c>
      <c r="J157" s="525">
        <f t="shared" si="15"/>
        <v>-239.59955004394649</v>
      </c>
      <c r="K157" s="525">
        <f t="shared" si="15"/>
        <v>0</v>
      </c>
      <c r="L157" s="526">
        <f t="shared" si="15"/>
        <v>22436.950302155677</v>
      </c>
      <c r="M157" s="467"/>
      <c r="N157" s="468">
        <f>N155</f>
        <v>0</v>
      </c>
      <c r="O157" s="468">
        <f>O155</f>
        <v>0</v>
      </c>
      <c r="P157" s="469">
        <f>P155</f>
        <v>0</v>
      </c>
      <c r="Q157" s="470"/>
      <c r="R157" s="471">
        <f>R155</f>
        <v>0</v>
      </c>
    </row>
    <row r="158" spans="1:19" ht="18.75" thickBot="1" x14ac:dyDescent="0.3">
      <c r="A158" s="472"/>
      <c r="B158" s="473"/>
      <c r="C158" s="473"/>
      <c r="D158" s="473"/>
      <c r="E158" s="473"/>
      <c r="F158" s="473"/>
      <c r="G158" s="527"/>
      <c r="H158" s="527"/>
      <c r="I158" s="527"/>
      <c r="J158" s="527"/>
      <c r="K158" s="527"/>
      <c r="L158" s="527"/>
      <c r="M158" s="476"/>
      <c r="N158" s="468"/>
      <c r="O158" s="468"/>
      <c r="P158" s="469"/>
      <c r="Q158" s="479"/>
      <c r="R158" s="471"/>
    </row>
    <row r="159" spans="1:19" s="3" customFormat="1" ht="18.75" thickBot="1" x14ac:dyDescent="0.3">
      <c r="A159" s="268" t="s">
        <v>690</v>
      </c>
      <c r="B159" s="275"/>
      <c r="C159" s="275"/>
      <c r="D159" s="275"/>
      <c r="E159" s="275"/>
      <c r="F159" s="275"/>
      <c r="G159" s="528">
        <v>196609</v>
      </c>
      <c r="H159" s="529">
        <v>37632</v>
      </c>
      <c r="I159" s="529">
        <v>-408</v>
      </c>
      <c r="J159" s="529">
        <v>272</v>
      </c>
      <c r="K159" s="529">
        <v>0</v>
      </c>
      <c r="L159" s="530">
        <f>SUM(H159:K159)</f>
        <v>37496</v>
      </c>
      <c r="M159" s="11"/>
      <c r="N159" s="270">
        <v>0</v>
      </c>
      <c r="O159" s="271">
        <v>0</v>
      </c>
      <c r="P159" s="272">
        <v>0</v>
      </c>
      <c r="Q159" s="11"/>
      <c r="R159" s="276">
        <v>2597.0219999999999</v>
      </c>
      <c r="S159" s="2"/>
    </row>
    <row r="160" spans="1:19" s="3" customFormat="1" ht="18.75" thickBot="1" x14ac:dyDescent="0.3">
      <c r="A160" s="268" t="s">
        <v>691</v>
      </c>
      <c r="B160" s="275"/>
      <c r="C160" s="275"/>
      <c r="D160" s="275"/>
      <c r="E160" s="275"/>
      <c r="F160" s="275"/>
      <c r="G160" s="528">
        <v>561437</v>
      </c>
      <c r="H160" s="529">
        <v>47465.401455884188</v>
      </c>
      <c r="I160" s="529">
        <v>-1247.8344</v>
      </c>
      <c r="J160" s="529">
        <v>-4442.5346</v>
      </c>
      <c r="K160" s="529">
        <v>-1004.7996000000001</v>
      </c>
      <c r="L160" s="530">
        <f>SUM(H160:K160)</f>
        <v>40770.232855884191</v>
      </c>
      <c r="M160" s="11"/>
      <c r="N160" s="270">
        <v>0</v>
      </c>
      <c r="O160" s="271">
        <v>0</v>
      </c>
      <c r="P160" s="272">
        <v>0</v>
      </c>
      <c r="Q160" s="11"/>
      <c r="R160" s="276">
        <v>2597.0219999999999</v>
      </c>
      <c r="S160" s="2"/>
    </row>
    <row r="161" spans="1:19" s="3" customFormat="1" ht="18.75" thickBot="1" x14ac:dyDescent="0.3">
      <c r="A161" s="268" t="s">
        <v>692</v>
      </c>
      <c r="B161" s="275"/>
      <c r="C161" s="275"/>
      <c r="D161" s="275"/>
      <c r="E161" s="275"/>
      <c r="F161" s="275"/>
      <c r="G161" s="528">
        <f t="shared" ref="G161:P161" si="16">G157</f>
        <v>243585.97374816606</v>
      </c>
      <c r="H161" s="529">
        <f t="shared" si="16"/>
        <v>22793.374656835756</v>
      </c>
      <c r="I161" s="529">
        <f t="shared" si="16"/>
        <v>-116.8248046361316</v>
      </c>
      <c r="J161" s="529">
        <f t="shared" si="16"/>
        <v>-239.59955004394649</v>
      </c>
      <c r="K161" s="529">
        <f t="shared" si="16"/>
        <v>0</v>
      </c>
      <c r="L161" s="530">
        <f t="shared" si="16"/>
        <v>22436.950302155677</v>
      </c>
      <c r="M161" s="11">
        <f t="shared" si="16"/>
        <v>0</v>
      </c>
      <c r="N161" s="270">
        <f t="shared" si="16"/>
        <v>0</v>
      </c>
      <c r="O161" s="271">
        <f t="shared" si="16"/>
        <v>0</v>
      </c>
      <c r="P161" s="272">
        <f t="shared" si="16"/>
        <v>0</v>
      </c>
      <c r="Q161" s="11"/>
      <c r="R161" s="276">
        <f>R157</f>
        <v>0</v>
      </c>
      <c r="S161" s="2"/>
    </row>
    <row r="162" spans="1:19" s="3" customFormat="1" ht="18.75" thickBot="1" x14ac:dyDescent="0.3">
      <c r="A162" s="268" t="s">
        <v>693</v>
      </c>
      <c r="B162" s="275"/>
      <c r="C162" s="275"/>
      <c r="D162" s="275"/>
      <c r="E162" s="275"/>
      <c r="F162" s="275"/>
      <c r="G162" s="528">
        <v>0</v>
      </c>
      <c r="H162" s="529">
        <v>0</v>
      </c>
      <c r="I162" s="529">
        <v>0</v>
      </c>
      <c r="J162" s="529">
        <v>0</v>
      </c>
      <c r="K162" s="529">
        <v>0</v>
      </c>
      <c r="L162" s="530">
        <v>0</v>
      </c>
      <c r="M162" s="11"/>
      <c r="N162" s="270">
        <v>0</v>
      </c>
      <c r="O162" s="271">
        <v>0</v>
      </c>
      <c r="P162" s="272">
        <v>0</v>
      </c>
      <c r="Q162" s="11"/>
      <c r="R162" s="276">
        <v>0</v>
      </c>
      <c r="S162" s="2"/>
    </row>
    <row r="163" spans="1:19" s="3" customFormat="1" ht="18.75" thickBot="1" x14ac:dyDescent="0.3">
      <c r="A163" s="268" t="s">
        <v>694</v>
      </c>
      <c r="B163" s="275"/>
      <c r="C163" s="275"/>
      <c r="D163" s="275"/>
      <c r="E163" s="275"/>
      <c r="F163" s="275"/>
      <c r="G163" s="528">
        <f t="shared" ref="G163:L163" si="17">SUM(G159:G162)</f>
        <v>1001631.9737481661</v>
      </c>
      <c r="H163" s="529">
        <f t="shared" si="17"/>
        <v>107890.77611271995</v>
      </c>
      <c r="I163" s="529">
        <f t="shared" si="17"/>
        <v>-1772.6592046361316</v>
      </c>
      <c r="J163" s="529">
        <f t="shared" si="17"/>
        <v>-4410.1341500439466</v>
      </c>
      <c r="K163" s="529">
        <f t="shared" si="17"/>
        <v>-1004.7996000000001</v>
      </c>
      <c r="L163" s="530">
        <f t="shared" si="17"/>
        <v>100703.18315803986</v>
      </c>
      <c r="M163" s="11">
        <f>SUM(M157:M162)</f>
        <v>0</v>
      </c>
      <c r="N163" s="270">
        <f>SUM(N157:N162)</f>
        <v>0</v>
      </c>
      <c r="O163" s="271">
        <f>SUM(O157:O162)</f>
        <v>0</v>
      </c>
      <c r="P163" s="272">
        <f>SUM(P157:P162)</f>
        <v>0</v>
      </c>
      <c r="Q163" s="11"/>
      <c r="R163" s="276">
        <f>SUM(R157:R162)</f>
        <v>5194.0439999999999</v>
      </c>
      <c r="S163" s="2"/>
    </row>
  </sheetData>
  <mergeCells count="18">
    <mergeCell ref="A9:R9"/>
    <mergeCell ref="G13:L13"/>
    <mergeCell ref="N13:P13"/>
    <mergeCell ref="G14:G15"/>
    <mergeCell ref="H14:H15"/>
    <mergeCell ref="I14:I15"/>
    <mergeCell ref="J14:J15"/>
    <mergeCell ref="K14:K15"/>
    <mergeCell ref="L14:L15"/>
    <mergeCell ref="A127:R127"/>
    <mergeCell ref="G131:L131"/>
    <mergeCell ref="N131:P131"/>
    <mergeCell ref="G132:G133"/>
    <mergeCell ref="H132:H133"/>
    <mergeCell ref="I132:I133"/>
    <mergeCell ref="J132:J133"/>
    <mergeCell ref="K132:K133"/>
    <mergeCell ref="L132:L133"/>
  </mergeCells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MSPhotoEd.3" shapeId="1025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142875</xdr:rowOff>
              </from>
              <to>
                <xdr:col>0</xdr:col>
                <xdr:colOff>2428875</xdr:colOff>
                <xdr:row>8</xdr:row>
                <xdr:rowOff>0</xdr:rowOff>
              </to>
            </anchor>
          </objectPr>
        </oleObject>
      </mc:Choice>
      <mc:Fallback>
        <oleObject progId="MSPhotoEd.3" shapeId="1025" r:id="rId3"/>
      </mc:Fallback>
    </mc:AlternateContent>
    <mc:AlternateContent xmlns:mc="http://schemas.openxmlformats.org/markup-compatibility/2006">
      <mc:Choice Requires="x14">
        <oleObject progId="MSPhotoEd.3" shapeId="1026" r:id="rId5">
          <objectPr defaultSize="0" autoPict="0" r:id="rId4">
            <anchor moveWithCells="1" sizeWithCells="1">
              <from>
                <xdr:col>0</xdr:col>
                <xdr:colOff>0</xdr:colOff>
                <xdr:row>118</xdr:row>
                <xdr:rowOff>142875</xdr:rowOff>
              </from>
              <to>
                <xdr:col>0</xdr:col>
                <xdr:colOff>2771775</xdr:colOff>
                <xdr:row>126</xdr:row>
                <xdr:rowOff>0</xdr:rowOff>
              </to>
            </anchor>
          </objectPr>
        </oleObject>
      </mc:Choice>
      <mc:Fallback>
        <oleObject progId="MSPhotoEd.3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Origination Summary</vt:lpstr>
      <vt:lpstr>International Origin Summary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kcutler</dc:creator>
  <cp:lastModifiedBy>Felienne</cp:lastModifiedBy>
  <dcterms:created xsi:type="dcterms:W3CDTF">2001-10-05T15:12:38Z</dcterms:created>
  <dcterms:modified xsi:type="dcterms:W3CDTF">2014-09-03T19:20:58Z</dcterms:modified>
</cp:coreProperties>
</file>