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3060" windowWidth="11970" windowHeight="31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152511"/>
</workbook>
</file>

<file path=xl/calcChain.xml><?xml version="1.0" encoding="utf-8"?>
<calcChain xmlns="http://schemas.openxmlformats.org/spreadsheetml/2006/main">
  <c r="E4" i="2" l="1"/>
  <c r="F4" i="2"/>
  <c r="G4" i="2" s="1"/>
  <c r="H4" i="2" s="1"/>
  <c r="I4" i="2" s="1"/>
  <c r="J4" i="2" s="1"/>
  <c r="K4" i="2" s="1"/>
  <c r="L4" i="2" s="1"/>
  <c r="M4" i="2" s="1"/>
  <c r="N4" i="2" s="1"/>
  <c r="B9" i="2"/>
  <c r="C9" i="2"/>
  <c r="E11" i="2"/>
  <c r="F11" i="2"/>
  <c r="G11" i="2" s="1"/>
  <c r="H11" i="2" s="1"/>
  <c r="I11" i="2" s="1"/>
  <c r="J11" i="2" s="1"/>
  <c r="K11" i="2" s="1"/>
  <c r="L11" i="2" s="1"/>
  <c r="M11" i="2" s="1"/>
  <c r="N11" i="2" s="1"/>
  <c r="B13" i="2"/>
  <c r="C13" i="2"/>
  <c r="B18" i="2"/>
  <c r="B21" i="2" s="1"/>
  <c r="B27" i="2" s="1"/>
  <c r="C18" i="2"/>
  <c r="C21" i="2"/>
  <c r="C27" i="2" s="1"/>
  <c r="E4" i="3"/>
  <c r="E25" i="3" s="1"/>
  <c r="D6" i="3"/>
  <c r="E9" i="3"/>
  <c r="B29" i="3"/>
  <c r="E36" i="3"/>
  <c r="F36" i="3" s="1"/>
  <c r="G36" i="3" s="1"/>
  <c r="H36" i="3" s="1"/>
  <c r="I36" i="3" s="1"/>
  <c r="J36" i="3" s="1"/>
  <c r="K36" i="3" s="1"/>
  <c r="L36" i="3" s="1"/>
  <c r="M36" i="3" s="1"/>
  <c r="N36" i="3" s="1"/>
  <c r="E4" i="5"/>
  <c r="F4" i="5"/>
  <c r="G4" i="5"/>
  <c r="H4" i="5" s="1"/>
  <c r="I4" i="5" s="1"/>
  <c r="J4" i="5" s="1"/>
  <c r="K4" i="5" s="1"/>
  <c r="L4" i="5"/>
  <c r="M4" i="5" s="1"/>
  <c r="N4" i="5"/>
  <c r="E5" i="5"/>
  <c r="F5" i="5" s="1"/>
  <c r="C6" i="5"/>
  <c r="B8" i="5"/>
  <c r="C8" i="5"/>
  <c r="B9" i="5"/>
  <c r="C9" i="5"/>
  <c r="C13" i="5" s="1"/>
  <c r="C16" i="5" s="1"/>
  <c r="C19" i="5" s="1"/>
  <c r="B12" i="5"/>
  <c r="C12" i="5"/>
  <c r="B13" i="5"/>
  <c r="E15" i="5"/>
  <c r="B16" i="5"/>
  <c r="B19" i="5" s="1"/>
  <c r="B21" i="5" s="1"/>
  <c r="C21" i="5"/>
  <c r="F5" i="2" l="1"/>
  <c r="F12" i="2"/>
  <c r="F10" i="3" s="1"/>
  <c r="F16" i="2"/>
  <c r="F15" i="3" s="1"/>
  <c r="F19" i="2"/>
  <c r="G5" i="5"/>
  <c r="F7" i="5"/>
  <c r="F17" i="2"/>
  <c r="F16" i="3" s="1"/>
  <c r="F8" i="2"/>
  <c r="F14" i="3" s="1"/>
  <c r="F10" i="2"/>
  <c r="F7" i="2"/>
  <c r="F13" i="3" s="1"/>
  <c r="F15" i="5"/>
  <c r="F11" i="5"/>
  <c r="F6" i="2"/>
  <c r="F9" i="5"/>
  <c r="F13" i="5" s="1"/>
  <c r="F16" i="5" s="1"/>
  <c r="E9" i="5"/>
  <c r="E11" i="5"/>
  <c r="C38" i="3"/>
  <c r="C5" i="3"/>
  <c r="B5" i="3"/>
  <c r="E8" i="2"/>
  <c r="E14" i="3" s="1"/>
  <c r="E5" i="2"/>
  <c r="E12" i="2"/>
  <c r="E10" i="3" s="1"/>
  <c r="E16" i="2"/>
  <c r="E15" i="3" s="1"/>
  <c r="E19" i="2"/>
  <c r="E11" i="3" s="1"/>
  <c r="E17" i="2"/>
  <c r="E16" i="3" s="1"/>
  <c r="E7" i="5"/>
  <c r="E10" i="2"/>
  <c r="E6" i="2"/>
  <c r="E12" i="3" s="1"/>
  <c r="E7" i="2"/>
  <c r="E13" i="3" s="1"/>
  <c r="F4" i="3"/>
  <c r="C41" i="3"/>
  <c r="F19" i="3" l="1"/>
  <c r="G9" i="3"/>
  <c r="F9" i="2"/>
  <c r="F13" i="2" s="1"/>
  <c r="F38" i="2"/>
  <c r="E38" i="2"/>
  <c r="E9" i="2"/>
  <c r="E13" i="2" s="1"/>
  <c r="E13" i="5"/>
  <c r="E16" i="5" s="1"/>
  <c r="F5" i="3"/>
  <c r="E19" i="3"/>
  <c r="F9" i="3"/>
  <c r="F12" i="3"/>
  <c r="G4" i="3"/>
  <c r="F25" i="3"/>
  <c r="B6" i="3"/>
  <c r="B7" i="3"/>
  <c r="B17" i="3" s="1"/>
  <c r="G7" i="2"/>
  <c r="G13" i="3" s="1"/>
  <c r="G10" i="2"/>
  <c r="G8" i="2"/>
  <c r="G14" i="3" s="1"/>
  <c r="G11" i="5"/>
  <c r="H5" i="5"/>
  <c r="G17" i="2"/>
  <c r="G16" i="3" s="1"/>
  <c r="G7" i="5"/>
  <c r="G16" i="2"/>
  <c r="G15" i="3" s="1"/>
  <c r="G9" i="5"/>
  <c r="G13" i="5" s="1"/>
  <c r="G15" i="5"/>
  <c r="G12" i="2"/>
  <c r="G10" i="3" s="1"/>
  <c r="G6" i="2"/>
  <c r="G12" i="3" s="1"/>
  <c r="G19" i="2"/>
  <c r="G11" i="3" s="1"/>
  <c r="G5" i="2"/>
  <c r="C6" i="3"/>
  <c r="C7" i="3" s="1"/>
  <c r="F11" i="3"/>
  <c r="C37" i="3" l="1"/>
  <c r="C39" i="3" s="1"/>
  <c r="C42" i="3" s="1"/>
  <c r="C17" i="3"/>
  <c r="C40" i="3"/>
  <c r="G16" i="5"/>
  <c r="G19" i="3"/>
  <c r="H9" i="3"/>
  <c r="F6" i="3"/>
  <c r="F7" i="3" s="1"/>
  <c r="E5" i="3"/>
  <c r="E15" i="2"/>
  <c r="E18" i="2" s="1"/>
  <c r="E27" i="2"/>
  <c r="E20" i="2"/>
  <c r="E38" i="3"/>
  <c r="F38" i="3"/>
  <c r="G38" i="2"/>
  <c r="G9" i="2"/>
  <c r="G13" i="2" s="1"/>
  <c r="H7" i="5"/>
  <c r="H9" i="5" s="1"/>
  <c r="H13" i="5" s="1"/>
  <c r="H16" i="5" s="1"/>
  <c r="H11" i="5"/>
  <c r="H15" i="5"/>
  <c r="H8" i="2"/>
  <c r="H14" i="3" s="1"/>
  <c r="H5" i="2"/>
  <c r="H12" i="2"/>
  <c r="H10" i="3" s="1"/>
  <c r="H19" i="2"/>
  <c r="H11" i="3" s="1"/>
  <c r="I5" i="5"/>
  <c r="H10" i="2"/>
  <c r="H17" i="2"/>
  <c r="H16" i="3" s="1"/>
  <c r="H16" i="2"/>
  <c r="H15" i="3" s="1"/>
  <c r="H7" i="2"/>
  <c r="H13" i="3" s="1"/>
  <c r="H6" i="2"/>
  <c r="H12" i="3" s="1"/>
  <c r="G25" i="3"/>
  <c r="H4" i="3"/>
  <c r="F27" i="2"/>
  <c r="F15" i="2"/>
  <c r="F18" i="2" s="1"/>
  <c r="F20" i="2"/>
  <c r="F37" i="3" l="1"/>
  <c r="F39" i="3" s="1"/>
  <c r="F17" i="3"/>
  <c r="F20" i="3" s="1"/>
  <c r="H5" i="3"/>
  <c r="F34" i="2"/>
  <c r="F21" i="2"/>
  <c r="F26" i="2"/>
  <c r="H19" i="3"/>
  <c r="I9" i="3"/>
  <c r="E34" i="2"/>
  <c r="F18" i="5"/>
  <c r="E18" i="5"/>
  <c r="I4" i="3"/>
  <c r="H25" i="3"/>
  <c r="I6" i="2"/>
  <c r="I12" i="3" s="1"/>
  <c r="I17" i="2"/>
  <c r="I16" i="3" s="1"/>
  <c r="I7" i="2"/>
  <c r="I13" i="3" s="1"/>
  <c r="I10" i="2"/>
  <c r="I5" i="2"/>
  <c r="I12" i="2"/>
  <c r="I10" i="3" s="1"/>
  <c r="I19" i="2"/>
  <c r="I11" i="3" s="1"/>
  <c r="I9" i="5"/>
  <c r="I11" i="5"/>
  <c r="I8" i="2"/>
  <c r="I14" i="3" s="1"/>
  <c r="J5" i="5"/>
  <c r="I7" i="5"/>
  <c r="I16" i="2"/>
  <c r="I15" i="3" s="1"/>
  <c r="I15" i="5"/>
  <c r="E26" i="2"/>
  <c r="G5" i="3"/>
  <c r="G27" i="2"/>
  <c r="G15" i="2"/>
  <c r="G18" i="2" s="1"/>
  <c r="G20" i="2"/>
  <c r="E21" i="2"/>
  <c r="G38" i="3"/>
  <c r="E6" i="3"/>
  <c r="E7" i="3" s="1"/>
  <c r="H38" i="2"/>
  <c r="H9" i="2"/>
  <c r="H13" i="2" s="1"/>
  <c r="E17" i="3" l="1"/>
  <c r="E20" i="3" s="1"/>
  <c r="E37" i="3"/>
  <c r="E39" i="3" s="1"/>
  <c r="H15" i="2"/>
  <c r="H18" i="2" s="1"/>
  <c r="H21" i="2" s="1"/>
  <c r="H27" i="2"/>
  <c r="H20" i="2"/>
  <c r="H18" i="5" s="1"/>
  <c r="H38" i="3"/>
  <c r="K5" i="5"/>
  <c r="J9" i="5"/>
  <c r="J7" i="2"/>
  <c r="J13" i="3" s="1"/>
  <c r="J10" i="2"/>
  <c r="J6" i="2"/>
  <c r="J12" i="3" s="1"/>
  <c r="J15" i="5"/>
  <c r="J5" i="2"/>
  <c r="J12" i="2"/>
  <c r="J10" i="3" s="1"/>
  <c r="J19" i="2"/>
  <c r="J11" i="3" s="1"/>
  <c r="J11" i="5"/>
  <c r="J8" i="2"/>
  <c r="J14" i="3" s="1"/>
  <c r="J17" i="2"/>
  <c r="J16" i="3" s="1"/>
  <c r="J7" i="5"/>
  <c r="J16" i="2"/>
  <c r="J15" i="3" s="1"/>
  <c r="I38" i="3"/>
  <c r="F31" i="2"/>
  <c r="F33" i="2" s="1"/>
  <c r="F23" i="3"/>
  <c r="F26" i="3" s="1"/>
  <c r="G6" i="3"/>
  <c r="G7" i="3" s="1"/>
  <c r="I13" i="5"/>
  <c r="I16" i="5" s="1"/>
  <c r="E41" i="3"/>
  <c r="F41" i="3"/>
  <c r="I25" i="3"/>
  <c r="J4" i="3"/>
  <c r="H6" i="3"/>
  <c r="H7" i="3" s="1"/>
  <c r="G34" i="2"/>
  <c r="I9" i="2"/>
  <c r="I13" i="2" s="1"/>
  <c r="I38" i="2"/>
  <c r="E32" i="2"/>
  <c r="E19" i="5"/>
  <c r="G18" i="5"/>
  <c r="G21" i="2"/>
  <c r="G26" i="2" s="1"/>
  <c r="J9" i="3"/>
  <c r="I19" i="3"/>
  <c r="F32" i="2"/>
  <c r="F19" i="5"/>
  <c r="G17" i="3" l="1"/>
  <c r="G20" i="3" s="1"/>
  <c r="G37" i="3"/>
  <c r="G39" i="3" s="1"/>
  <c r="H17" i="3"/>
  <c r="H20" i="3" s="1"/>
  <c r="H37" i="3"/>
  <c r="H39" i="3" s="1"/>
  <c r="G41" i="3"/>
  <c r="H32" i="2"/>
  <c r="H19" i="5"/>
  <c r="G32" i="2"/>
  <c r="G19" i="5"/>
  <c r="K9" i="3"/>
  <c r="J19" i="3"/>
  <c r="E20" i="5"/>
  <c r="E21" i="5"/>
  <c r="J13" i="5"/>
  <c r="J16" i="5" s="1"/>
  <c r="E31" i="2"/>
  <c r="E33" i="2" s="1"/>
  <c r="E23" i="3"/>
  <c r="E26" i="3" s="1"/>
  <c r="F20" i="5"/>
  <c r="F21" i="5"/>
  <c r="K5" i="2"/>
  <c r="K12" i="2"/>
  <c r="K10" i="3" s="1"/>
  <c r="K16" i="2"/>
  <c r="K15" i="3" s="1"/>
  <c r="K19" i="2"/>
  <c r="K11" i="3" s="1"/>
  <c r="K6" i="2"/>
  <c r="K12" i="3" s="1"/>
  <c r="K17" i="2"/>
  <c r="K16" i="3" s="1"/>
  <c r="K15" i="5"/>
  <c r="K11" i="5"/>
  <c r="K10" i="2"/>
  <c r="K7" i="5"/>
  <c r="K9" i="5" s="1"/>
  <c r="K13" i="5" s="1"/>
  <c r="K16" i="5" s="1"/>
  <c r="K7" i="2"/>
  <c r="K13" i="3" s="1"/>
  <c r="L5" i="5"/>
  <c r="K8" i="2"/>
  <c r="K14" i="3" s="1"/>
  <c r="I20" i="2"/>
  <c r="I27" i="2"/>
  <c r="I15" i="2"/>
  <c r="I18" i="2" s="1"/>
  <c r="I21" i="2" s="1"/>
  <c r="K4" i="3"/>
  <c r="J25" i="3"/>
  <c r="I5" i="3"/>
  <c r="J9" i="2"/>
  <c r="J13" i="2" s="1"/>
  <c r="J38" i="2"/>
  <c r="H34" i="2"/>
  <c r="H26" i="2"/>
  <c r="H41" i="3" s="1"/>
  <c r="K5" i="3" l="1"/>
  <c r="L4" i="3"/>
  <c r="K25" i="3"/>
  <c r="J5" i="3"/>
  <c r="H31" i="2"/>
  <c r="H33" i="2" s="1"/>
  <c r="H23" i="3"/>
  <c r="H26" i="3" s="1"/>
  <c r="L9" i="3"/>
  <c r="K19" i="3"/>
  <c r="H21" i="5"/>
  <c r="H40" i="3" s="1"/>
  <c r="H20" i="5"/>
  <c r="G23" i="3"/>
  <c r="G26" i="3" s="1"/>
  <c r="G31" i="2"/>
  <c r="G33" i="2" s="1"/>
  <c r="I26" i="2"/>
  <c r="K9" i="2"/>
  <c r="K13" i="2" s="1"/>
  <c r="K38" i="3" s="1"/>
  <c r="K38" i="2"/>
  <c r="E40" i="3"/>
  <c r="E42" i="3" s="1"/>
  <c r="E25" i="5"/>
  <c r="E35" i="2"/>
  <c r="J27" i="2"/>
  <c r="J20" i="2"/>
  <c r="J15" i="2"/>
  <c r="J18" i="2" s="1"/>
  <c r="J21" i="2" s="1"/>
  <c r="J38" i="3"/>
  <c r="I34" i="2"/>
  <c r="F25" i="5"/>
  <c r="F40" i="3"/>
  <c r="F42" i="3" s="1"/>
  <c r="F35" i="2"/>
  <c r="I7" i="3"/>
  <c r="I6" i="3"/>
  <c r="L6" i="2"/>
  <c r="L12" i="3" s="1"/>
  <c r="L17" i="2"/>
  <c r="L16" i="3" s="1"/>
  <c r="L15" i="5"/>
  <c r="L5" i="2"/>
  <c r="L12" i="2"/>
  <c r="L10" i="3" s="1"/>
  <c r="L19" i="2"/>
  <c r="L11" i="3" s="1"/>
  <c r="L9" i="5"/>
  <c r="L13" i="5" s="1"/>
  <c r="L7" i="5"/>
  <c r="L7" i="2"/>
  <c r="L13" i="3" s="1"/>
  <c r="L11" i="5"/>
  <c r="L10" i="2"/>
  <c r="M5" i="5"/>
  <c r="L8" i="2"/>
  <c r="L14" i="3" s="1"/>
  <c r="L16" i="2"/>
  <c r="L15" i="3" s="1"/>
  <c r="I18" i="5"/>
  <c r="G20" i="5"/>
  <c r="G21" i="5" s="1"/>
  <c r="H42" i="3"/>
  <c r="G40" i="3" l="1"/>
  <c r="G42" i="3" s="1"/>
  <c r="G35" i="2"/>
  <c r="M4" i="3"/>
  <c r="L25" i="3"/>
  <c r="M9" i="3"/>
  <c r="L19" i="3"/>
  <c r="J41" i="3"/>
  <c r="K6" i="3"/>
  <c r="K7" i="3" s="1"/>
  <c r="F28" i="2"/>
  <c r="F36" i="2"/>
  <c r="F37" i="2" s="1"/>
  <c r="F39" i="2" s="1"/>
  <c r="J34" i="2"/>
  <c r="I32" i="2"/>
  <c r="I19" i="5"/>
  <c r="J26" i="2"/>
  <c r="E36" i="2"/>
  <c r="E37" i="2" s="1"/>
  <c r="E39" i="2" s="1"/>
  <c r="E28" i="2"/>
  <c r="I41" i="3"/>
  <c r="M8" i="2"/>
  <c r="M14" i="3" s="1"/>
  <c r="M5" i="2"/>
  <c r="M12" i="2"/>
  <c r="M10" i="3" s="1"/>
  <c r="M16" i="2"/>
  <c r="M15" i="3" s="1"/>
  <c r="M19" i="2"/>
  <c r="M11" i="3" s="1"/>
  <c r="M7" i="2"/>
  <c r="M13" i="3" s="1"/>
  <c r="M6" i="2"/>
  <c r="M12" i="3" s="1"/>
  <c r="M15" i="5"/>
  <c r="M7" i="5"/>
  <c r="M9" i="5" s="1"/>
  <c r="M13" i="5" s="1"/>
  <c r="M16" i="5" s="1"/>
  <c r="M17" i="2"/>
  <c r="M16" i="3" s="1"/>
  <c r="M11" i="5"/>
  <c r="M10" i="2"/>
  <c r="N5" i="5"/>
  <c r="L9" i="2"/>
  <c r="L13" i="2" s="1"/>
  <c r="L38" i="2"/>
  <c r="K20" i="2"/>
  <c r="K15" i="2"/>
  <c r="K18" i="2" s="1"/>
  <c r="K27" i="2"/>
  <c r="L16" i="5"/>
  <c r="I17" i="3"/>
  <c r="I20" i="3" s="1"/>
  <c r="I37" i="3"/>
  <c r="I39" i="3" s="1"/>
  <c r="J7" i="3"/>
  <c r="J6" i="3"/>
  <c r="H35" i="2"/>
  <c r="J18" i="5"/>
  <c r="K17" i="3" l="1"/>
  <c r="K20" i="3" s="1"/>
  <c r="K37" i="3"/>
  <c r="K39" i="3" s="1"/>
  <c r="M5" i="3"/>
  <c r="J17" i="3"/>
  <c r="J20" i="3" s="1"/>
  <c r="J37" i="3"/>
  <c r="J39" i="3" s="1"/>
  <c r="M38" i="2"/>
  <c r="M9" i="2"/>
  <c r="M13" i="2" s="1"/>
  <c r="M38" i="3" s="1"/>
  <c r="I23" i="3"/>
  <c r="I26" i="3" s="1"/>
  <c r="I31" i="2"/>
  <c r="I33" i="2" s="1"/>
  <c r="N5" i="2"/>
  <c r="N12" i="2"/>
  <c r="N10" i="3" s="1"/>
  <c r="N16" i="2"/>
  <c r="N15" i="3" s="1"/>
  <c r="N19" i="2"/>
  <c r="N11" i="3" s="1"/>
  <c r="N7" i="5"/>
  <c r="N9" i="5" s="1"/>
  <c r="N13" i="5" s="1"/>
  <c r="N16" i="5" s="1"/>
  <c r="N7" i="2"/>
  <c r="N13" i="3" s="1"/>
  <c r="N6" i="2"/>
  <c r="N12" i="3" s="1"/>
  <c r="N8" i="2"/>
  <c r="N14" i="3" s="1"/>
  <c r="N10" i="2"/>
  <c r="N19" i="3" s="1"/>
  <c r="N11" i="5"/>
  <c r="N15" i="5"/>
  <c r="N17" i="2"/>
  <c r="N16" i="3" s="1"/>
  <c r="L5" i="3"/>
  <c r="N9" i="3"/>
  <c r="M19" i="3"/>
  <c r="J32" i="2"/>
  <c r="J19" i="5"/>
  <c r="K34" i="2"/>
  <c r="G28" i="2"/>
  <c r="G36" i="2"/>
  <c r="G37" i="2" s="1"/>
  <c r="G39" i="2" s="1"/>
  <c r="L20" i="2"/>
  <c r="L15" i="2"/>
  <c r="L18" i="2" s="1"/>
  <c r="L27" i="2"/>
  <c r="L38" i="3"/>
  <c r="K18" i="5"/>
  <c r="H28" i="2"/>
  <c r="H36" i="2"/>
  <c r="H37" i="2" s="1"/>
  <c r="H39" i="2" s="1"/>
  <c r="K21" i="2"/>
  <c r="K26" i="2" s="1"/>
  <c r="I20" i="5"/>
  <c r="I21" i="5" s="1"/>
  <c r="N4" i="3"/>
  <c r="N25" i="3" s="1"/>
  <c r="M25" i="3"/>
  <c r="N5" i="3" l="1"/>
  <c r="I40" i="3"/>
  <c r="I42" i="3" s="1"/>
  <c r="I35" i="2"/>
  <c r="K41" i="3"/>
  <c r="J20" i="5"/>
  <c r="J21" i="5" s="1"/>
  <c r="L34" i="2"/>
  <c r="J31" i="2"/>
  <c r="J33" i="2" s="1"/>
  <c r="J23" i="3"/>
  <c r="J26" i="3" s="1"/>
  <c r="L6" i="3"/>
  <c r="L7" i="3" s="1"/>
  <c r="N9" i="2"/>
  <c r="N13" i="2" s="1"/>
  <c r="N38" i="2"/>
  <c r="K32" i="2"/>
  <c r="K19" i="5"/>
  <c r="L18" i="5"/>
  <c r="M6" i="3"/>
  <c r="M7" i="3" s="1"/>
  <c r="N38" i="3"/>
  <c r="M15" i="2"/>
  <c r="M18" i="2" s="1"/>
  <c r="M20" i="2"/>
  <c r="M27" i="2"/>
  <c r="K31" i="2"/>
  <c r="K33" i="2" s="1"/>
  <c r="K23" i="3"/>
  <c r="K26" i="3" s="1"/>
  <c r="L21" i="2"/>
  <c r="L26" i="2" s="1"/>
  <c r="L37" i="3" l="1"/>
  <c r="L39" i="3" s="1"/>
  <c r="L17" i="3"/>
  <c r="L20" i="3" s="1"/>
  <c r="L41" i="3"/>
  <c r="M37" i="3"/>
  <c r="M39" i="3" s="1"/>
  <c r="M17" i="3"/>
  <c r="M20" i="3" s="1"/>
  <c r="J40" i="3"/>
  <c r="J42" i="3" s="1"/>
  <c r="J35" i="2"/>
  <c r="M34" i="2"/>
  <c r="N18" i="5"/>
  <c r="M21" i="2"/>
  <c r="L32" i="2"/>
  <c r="L19" i="5"/>
  <c r="K20" i="5"/>
  <c r="K21" i="5" s="1"/>
  <c r="M18" i="5"/>
  <c r="I28" i="2"/>
  <c r="I36" i="2"/>
  <c r="I37" i="2" s="1"/>
  <c r="I39" i="2" s="1"/>
  <c r="N6" i="3"/>
  <c r="N7" i="3" s="1"/>
  <c r="M26" i="2"/>
  <c r="N27" i="2"/>
  <c r="N15" i="2"/>
  <c r="N18" i="2" s="1"/>
  <c r="N21" i="2" s="1"/>
  <c r="N20" i="2"/>
  <c r="N34" i="2" s="1"/>
  <c r="N37" i="3" l="1"/>
  <c r="N39" i="3" s="1"/>
  <c r="N17" i="3"/>
  <c r="N20" i="3" s="1"/>
  <c r="N22" i="3"/>
  <c r="K40" i="3"/>
  <c r="K42" i="3" s="1"/>
  <c r="K35" i="2"/>
  <c r="L31" i="2"/>
  <c r="L33" i="2" s="1"/>
  <c r="L23" i="3"/>
  <c r="L26" i="3" s="1"/>
  <c r="N32" i="2"/>
  <c r="N19" i="5"/>
  <c r="M32" i="2"/>
  <c r="M19" i="5"/>
  <c r="J28" i="2"/>
  <c r="J36" i="2"/>
  <c r="J37" i="2" s="1"/>
  <c r="J39" i="2" s="1"/>
  <c r="M31" i="2"/>
  <c r="M33" i="2" s="1"/>
  <c r="M23" i="3"/>
  <c r="M26" i="3" s="1"/>
  <c r="M41" i="3"/>
  <c r="N26" i="2"/>
  <c r="L20" i="5"/>
  <c r="L21" i="5"/>
  <c r="L40" i="3" l="1"/>
  <c r="L42" i="3" s="1"/>
  <c r="L35" i="2"/>
  <c r="M20" i="5"/>
  <c r="M21" i="5"/>
  <c r="N31" i="2"/>
  <c r="N33" i="2" s="1"/>
  <c r="N23" i="3"/>
  <c r="N26" i="3" s="1"/>
  <c r="B28" i="3" s="1"/>
  <c r="B31" i="3" s="1"/>
  <c r="B33" i="3" s="1"/>
  <c r="N41" i="3"/>
  <c r="N42" i="3" s="1"/>
  <c r="K28" i="2"/>
  <c r="K36" i="2"/>
  <c r="K37" i="2" s="1"/>
  <c r="K39" i="2" s="1"/>
  <c r="N20" i="5"/>
  <c r="N21" i="5"/>
  <c r="N40" i="3" s="1"/>
  <c r="M40" i="3" l="1"/>
  <c r="M42" i="3" s="1"/>
  <c r="M35" i="2"/>
  <c r="L28" i="2"/>
  <c r="L36" i="2"/>
  <c r="L37" i="2" s="1"/>
  <c r="L39" i="2" s="1"/>
  <c r="N35" i="2"/>
  <c r="M36" i="2" l="1"/>
  <c r="M37" i="2" s="1"/>
  <c r="M39" i="2" s="1"/>
  <c r="M28" i="2"/>
  <c r="N36" i="2"/>
  <c r="N37" i="2" s="1"/>
  <c r="N39" i="2" s="1"/>
  <c r="N28" i="2"/>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<sst xmlns="http://schemas.openxmlformats.org/spreadsheetml/2006/main" count="152" uniqueCount="101">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</sst>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900713" cy="136384"/>
    <xdr:sp macro="" textlink="">
      <xdr:nvSpPr>
        <xdr:cNvPr id="6148" name="Text Box 4"/>
        <xdr:cNvSpPr txBox="1">
          <a:spLocks noChangeArrowheads="1"/>
        </xdr:cNvSpPr>
      </xdr:nvSpPr>
      <xdr:spPr bwMode="auto">
        <a:xfrm>
          <a:off x="4886325" y="3114675"/>
          <a:ext cx="1900713" cy="1363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topLeftCell="E3" zoomScale="90" workbookViewId="0">
      <selection activeCell="F8" sqref="F8:N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1384056.2735999997</v>
      </c>
      <c r="J5" s="3">
        <f t="shared" si="1"/>
        <v>1660867.5283199996</v>
      </c>
      <c r="K5" s="3">
        <f t="shared" si="1"/>
        <v>1993041.0339839994</v>
      </c>
      <c r="L5" s="3">
        <f t="shared" si="1"/>
        <v>2391649.2407807992</v>
      </c>
      <c r="M5" s="3">
        <f t="shared" si="1"/>
        <v>2869979.0889369589</v>
      </c>
      <c r="N5" s="3">
        <f t="shared" si="1"/>
        <v>3443974.9067243505</v>
      </c>
    </row>
    <row r="6" spans="1:25">
      <c r="A6" s="31" t="s">
        <v>57</v>
      </c>
      <c r="B6" s="31"/>
      <c r="C6" s="34">
        <f>C5/B5-1</f>
        <v>0.28877133075609729</v>
      </c>
      <c r="D6" s="82"/>
      <c r="E6" s="88">
        <v>0.45</v>
      </c>
      <c r="F6" s="88">
        <v>0.5</v>
      </c>
      <c r="G6" s="88">
        <v>0.4</v>
      </c>
      <c r="H6" s="88">
        <v>0.3</v>
      </c>
      <c r="I6" s="88">
        <v>0.2</v>
      </c>
      <c r="J6" s="88">
        <v>0.2</v>
      </c>
      <c r="K6" s="88">
        <v>0.2</v>
      </c>
      <c r="L6" s="88">
        <v>0.2</v>
      </c>
      <c r="M6" s="88">
        <v>0.2</v>
      </c>
      <c r="N6" s="88">
        <v>0.2</v>
      </c>
    </row>
    <row r="7" spans="1:25">
      <c r="A7" s="22" t="s">
        <v>46</v>
      </c>
      <c r="B7" s="23">
        <v>146290</v>
      </c>
      <c r="C7" s="23">
        <v>183510</v>
      </c>
      <c r="D7" s="83" t="s">
        <v>74</v>
      </c>
      <c r="E7" s="13">
        <f>E5*E8</f>
        <v>261939.83199999999</v>
      </c>
      <c r="F7" s="13">
        <f t="shared" ref="F7:N7" si="2">F5*F8</f>
        <v>392909.74799999996</v>
      </c>
      <c r="G7" s="13">
        <f t="shared" si="2"/>
        <v>550073.64719999989</v>
      </c>
      <c r="H7" s="13">
        <f t="shared" si="2"/>
        <v>715095.74135999987</v>
      </c>
      <c r="I7" s="13">
        <f t="shared" si="2"/>
        <v>858114.88963199977</v>
      </c>
      <c r="J7" s="13">
        <f t="shared" si="2"/>
        <v>1029737.8675583997</v>
      </c>
      <c r="K7" s="13">
        <f t="shared" si="2"/>
        <v>1235685.4410700796</v>
      </c>
      <c r="L7" s="13">
        <f t="shared" si="2"/>
        <v>1482822.5292840954</v>
      </c>
      <c r="M7" s="13">
        <f t="shared" si="2"/>
        <v>1779387.0351409146</v>
      </c>
      <c r="N7" s="13">
        <f t="shared" si="2"/>
        <v>2135264.4421690973</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0.62</v>
      </c>
      <c r="F8" s="89">
        <v>0.62</v>
      </c>
      <c r="G8" s="89">
        <v>0.62</v>
      </c>
      <c r="H8" s="89">
        <v>0.62</v>
      </c>
      <c r="I8" s="89">
        <v>0.62</v>
      </c>
      <c r="J8" s="89">
        <v>0.62</v>
      </c>
      <c r="K8" s="89">
        <v>0.62</v>
      </c>
      <c r="L8" s="89">
        <v>0.62</v>
      </c>
      <c r="M8" s="89">
        <v>0.62</v>
      </c>
      <c r="N8" s="89">
        <v>0.62</v>
      </c>
      <c r="O8" s="32"/>
      <c r="P8" s="32"/>
      <c r="Q8" s="32"/>
      <c r="R8" s="32"/>
      <c r="S8" s="32"/>
      <c r="T8" s="32"/>
      <c r="U8" s="32"/>
      <c r="V8" s="32"/>
      <c r="W8" s="32"/>
      <c r="X8" s="32"/>
      <c r="Y8" s="32"/>
    </row>
    <row r="9" spans="1:25">
      <c r="A9" s="22" t="s">
        <v>47</v>
      </c>
      <c r="B9" s="23">
        <f>B5-B7</f>
        <v>79792</v>
      </c>
      <c r="C9" s="23">
        <f>C5-C7</f>
        <v>107858</v>
      </c>
      <c r="D9" s="85"/>
      <c r="E9" s="13">
        <f t="shared" ref="E9:N9" si="3">E5-E7</f>
        <v>160543.76799999998</v>
      </c>
      <c r="F9" s="13">
        <f t="shared" si="3"/>
        <v>240815.65199999994</v>
      </c>
      <c r="G9" s="13">
        <f t="shared" si="3"/>
        <v>337141.91279999993</v>
      </c>
      <c r="H9" s="13">
        <f t="shared" si="3"/>
        <v>438284.48664000002</v>
      </c>
      <c r="I9" s="13">
        <f t="shared" si="3"/>
        <v>525941.38396799995</v>
      </c>
      <c r="J9" s="13">
        <f t="shared" si="3"/>
        <v>631129.66076159989</v>
      </c>
      <c r="K9" s="13">
        <f t="shared" si="3"/>
        <v>757355.59291391983</v>
      </c>
      <c r="L9" s="13">
        <f t="shared" si="3"/>
        <v>908826.71149670379</v>
      </c>
      <c r="M9" s="13">
        <f t="shared" si="3"/>
        <v>1090592.0537960443</v>
      </c>
      <c r="N9" s="13">
        <f t="shared" si="3"/>
        <v>1308710.4645552533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359854.63113599992</v>
      </c>
      <c r="J11" s="13">
        <f t="shared" si="4"/>
        <v>431825.55736319989</v>
      </c>
      <c r="K11" s="13">
        <f t="shared" si="4"/>
        <v>518190.66883583984</v>
      </c>
      <c r="L11" s="13">
        <f t="shared" si="4"/>
        <v>621828.80260300776</v>
      </c>
      <c r="M11" s="13">
        <f t="shared" si="4"/>
        <v>746194.56312360929</v>
      </c>
      <c r="N11" s="13">
        <f t="shared" si="4"/>
        <v>895433.47574833117</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50698.031999999977</v>
      </c>
      <c r="F13" s="23">
        <f t="shared" si="5"/>
        <v>76047.047999999952</v>
      </c>
      <c r="G13" s="23">
        <f t="shared" si="5"/>
        <v>106465.86719999998</v>
      </c>
      <c r="H13" s="23">
        <f t="shared" si="5"/>
        <v>138405.62736000004</v>
      </c>
      <c r="I13" s="23">
        <f t="shared" si="5"/>
        <v>166086.75283200003</v>
      </c>
      <c r="J13" s="23">
        <f t="shared" si="5"/>
        <v>199304.10339840001</v>
      </c>
      <c r="K13" s="23">
        <f t="shared" si="5"/>
        <v>239164.92407807999</v>
      </c>
      <c r="L13" s="23">
        <f t="shared" si="5"/>
        <v>286997.90889369603</v>
      </c>
      <c r="M13" s="23">
        <f t="shared" si="5"/>
        <v>344397.49067243503</v>
      </c>
      <c r="N13" s="23">
        <f t="shared" si="5"/>
        <v>413276.98880692211</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-4152.1688207999996</v>
      </c>
      <c r="J15" s="7">
        <f t="shared" si="6"/>
        <v>-4982.6025849599991</v>
      </c>
      <c r="K15" s="7">
        <f t="shared" si="6"/>
        <v>-5979.1231019519983</v>
      </c>
      <c r="L15" s="7">
        <f t="shared" si="6"/>
        <v>-7174.9477223423974</v>
      </c>
      <c r="M15" s="7">
        <f t="shared" si="6"/>
        <v>-8609.9372668108772</v>
      </c>
      <c r="N15" s="7">
        <f t="shared" si="6"/>
        <v>-10331.924720173052</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49430.581199999979</v>
      </c>
      <c r="F16" s="26">
        <f t="shared" si="7"/>
        <v>74145.87179999995</v>
      </c>
      <c r="G16" s="26">
        <f t="shared" si="7"/>
        <v>103804.22051999997</v>
      </c>
      <c r="H16" s="26">
        <f t="shared" si="7"/>
        <v>134945.48667600003</v>
      </c>
      <c r="I16" s="26">
        <f t="shared" si="7"/>
        <v>161934.58401120003</v>
      </c>
      <c r="J16" s="26">
        <f t="shared" si="7"/>
        <v>194321.50081344001</v>
      </c>
      <c r="K16" s="26">
        <f t="shared" si="7"/>
        <v>233185.800976128</v>
      </c>
      <c r="L16" s="26">
        <f t="shared" si="7"/>
        <v>279822.96117135364</v>
      </c>
      <c r="M16" s="26">
        <f t="shared" si="7"/>
        <v>335787.55340562417</v>
      </c>
      <c r="N16" s="26">
        <f t="shared" si="7"/>
        <v>402945.06408674904</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5825.5112935373336</v>
      </c>
      <c r="F18" s="13">
        <f>(('Balance Sheet'!E20+'Balance Sheet'!E15+'Balance Sheet'!F20+'Balance Sheet'!F15)/2)*0.094</f>
        <v>8446.28317126</v>
      </c>
      <c r="G18" s="13">
        <f>(('Balance Sheet'!F20+'Balance Sheet'!F15+'Balance Sheet'!G20+'Balance Sheet'!G15)/2)*0.094</f>
        <v>11949.811960501065</v>
      </c>
      <c r="H18" s="13">
        <f>(('Balance Sheet'!G20+'Balance Sheet'!G15+'Balance Sheet'!H20+'Balance Sheet'!H15)/2)*0.094</f>
        <v>15869.251856873654</v>
      </c>
      <c r="I18" s="13">
        <f>(('Balance Sheet'!H20+'Balance Sheet'!H15+'Balance Sheet'!I20+'Balance Sheet'!I15)/2)*0.094</f>
        <v>19615.928677976222</v>
      </c>
      <c r="J18" s="13">
        <f>(('Balance Sheet'!I20+'Balance Sheet'!I15+'Balance Sheet'!J20+'Balance Sheet'!J15)/2)*0.094</f>
        <v>23443.228267538132</v>
      </c>
      <c r="K18" s="13">
        <f>(('Balance Sheet'!J20+'Balance Sheet'!J15+'Balance Sheet'!K20+'Balance Sheet'!K15)/2)*0.094</f>
        <v>28039.131583079095</v>
      </c>
      <c r="L18" s="13">
        <f>(('Balance Sheet'!K20+'Balance Sheet'!K15+'Balance Sheet'!L20+'Balance Sheet'!L15)/2)*0.094</f>
        <v>33557.359369794911</v>
      </c>
      <c r="M18" s="13">
        <f>(('Balance Sheet'!L20+'Balance Sheet'!L15+'Balance Sheet'!M20+'Balance Sheet'!M15)/2)*0.094</f>
        <v>40182.376521920552</v>
      </c>
      <c r="N18" s="13">
        <f>(('Balance Sheet'!M20+'Balance Sheet'!M15+'Balance Sheet'!N20+'Balance Sheet'!N15)/2)*0.094</f>
        <v>48135.540912538003</v>
      </c>
      <c r="O18" s="13"/>
      <c r="P18" s="13"/>
      <c r="Q18" s="13"/>
      <c r="R18" s="13"/>
      <c r="S18" s="13"/>
      <c r="T18" s="13"/>
      <c r="U18" s="13"/>
      <c r="V18" s="13"/>
      <c r="W18" s="13"/>
      <c r="X18" s="13"/>
      <c r="Y18" s="13"/>
    </row>
    <row r="19" spans="1:25">
      <c r="A19" s="22" t="s">
        <v>51</v>
      </c>
      <c r="B19" s="23">
        <f>B16-B18</f>
        <v>11717</v>
      </c>
      <c r="C19" s="23">
        <f>C16-C18</f>
        <v>18999</v>
      </c>
      <c r="D19" s="50"/>
      <c r="E19" s="13">
        <f>E16-E18</f>
        <v>43605.069906462646</v>
      </c>
      <c r="F19" s="13">
        <f t="shared" ref="F19:N19" si="8">F16-F18</f>
        <v>65699.588628739948</v>
      </c>
      <c r="G19" s="13">
        <f t="shared" si="8"/>
        <v>91854.408559498901</v>
      </c>
      <c r="H19" s="13">
        <f t="shared" si="8"/>
        <v>119076.23481912637</v>
      </c>
      <c r="I19" s="13">
        <f t="shared" si="8"/>
        <v>142318.65533322381</v>
      </c>
      <c r="J19" s="13">
        <f t="shared" si="8"/>
        <v>170878.27254590188</v>
      </c>
      <c r="K19" s="13">
        <f t="shared" si="8"/>
        <v>205146.66939304891</v>
      </c>
      <c r="L19" s="13">
        <f t="shared" si="8"/>
        <v>246265.60180155875</v>
      </c>
      <c r="M19" s="13">
        <f t="shared" si="8"/>
        <v>295605.17688370362</v>
      </c>
      <c r="N19" s="13">
        <f t="shared" si="8"/>
        <v>354809.52317421103</v>
      </c>
      <c r="O19" s="13"/>
      <c r="P19" s="13"/>
      <c r="Q19" s="13"/>
      <c r="R19" s="13"/>
      <c r="S19" s="13"/>
      <c r="T19" s="13"/>
      <c r="U19" s="13"/>
      <c r="V19" s="13"/>
      <c r="W19" s="13"/>
      <c r="X19" s="13"/>
      <c r="Y19" s="13"/>
    </row>
    <row r="20" spans="1:25">
      <c r="A20" s="79" t="s">
        <v>52</v>
      </c>
      <c r="B20" s="80">
        <v>3632</v>
      </c>
      <c r="C20" s="80">
        <v>6080</v>
      </c>
      <c r="D20" s="59">
        <v>0.32</v>
      </c>
      <c r="E20" s="7">
        <f>$D$20*E19</f>
        <v>13953.622370068048</v>
      </c>
      <c r="F20" s="7">
        <f t="shared" ref="F20:N20" si="9">$D$20*F19</f>
        <v>21023.868361196783</v>
      </c>
      <c r="G20" s="7">
        <f t="shared" si="9"/>
        <v>29393.410739039649</v>
      </c>
      <c r="H20" s="7">
        <f t="shared" si="9"/>
        <v>38104.39514212044</v>
      </c>
      <c r="I20" s="7">
        <f t="shared" si="9"/>
        <v>45541.969706631622</v>
      </c>
      <c r="J20" s="7">
        <f t="shared" si="9"/>
        <v>54681.047214688602</v>
      </c>
      <c r="K20" s="7">
        <f t="shared" si="9"/>
        <v>65646.934205775658</v>
      </c>
      <c r="L20" s="7">
        <f t="shared" si="9"/>
        <v>78804.9925764988</v>
      </c>
      <c r="M20" s="7">
        <f t="shared" si="9"/>
        <v>94593.656602785166</v>
      </c>
      <c r="N20" s="7">
        <f t="shared" si="9"/>
        <v>113539.04741574754</v>
      </c>
      <c r="O20" s="13"/>
      <c r="P20" s="13"/>
      <c r="Q20" s="13"/>
      <c r="R20" s="13"/>
      <c r="S20" s="13"/>
      <c r="T20" s="13"/>
      <c r="U20" s="13"/>
      <c r="V20" s="13"/>
      <c r="W20" s="13"/>
      <c r="X20" s="13"/>
      <c r="Y20" s="13"/>
    </row>
    <row r="21" spans="1:25" s="20" customFormat="1">
      <c r="A21" s="27" t="s">
        <v>37</v>
      </c>
      <c r="B21" s="28">
        <f>B19-B20</f>
        <v>8085</v>
      </c>
      <c r="C21" s="28">
        <f>C19-C20</f>
        <v>12919</v>
      </c>
      <c r="D21" s="87"/>
      <c r="E21" s="29">
        <f>E19-E20</f>
        <v>29651.447536394597</v>
      </c>
      <c r="F21" s="29">
        <f t="shared" ref="F21:N21" si="10">F19-F20</f>
        <v>44675.720267543162</v>
      </c>
      <c r="G21" s="29">
        <f t="shared" si="10"/>
        <v>62460.997820459248</v>
      </c>
      <c r="H21" s="29">
        <f t="shared" si="10"/>
        <v>80971.839677005933</v>
      </c>
      <c r="I21" s="29">
        <f t="shared" si="10"/>
        <v>96776.685626592196</v>
      </c>
      <c r="J21" s="29">
        <f t="shared" si="10"/>
        <v>116197.22533121328</v>
      </c>
      <c r="K21" s="29">
        <f t="shared" si="10"/>
        <v>139499.73518727324</v>
      </c>
      <c r="L21" s="29">
        <f t="shared" si="10"/>
        <v>167460.60922505995</v>
      </c>
      <c r="M21" s="29">
        <f t="shared" si="10"/>
        <v>201011.52028091846</v>
      </c>
      <c r="N21" s="29">
        <f t="shared" si="10"/>
        <v>241270.47575846349</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2.6377944610261186</v>
      </c>
      <c r="F25" s="106">
        <f>F21/F23</f>
        <v>3.9743546185875958</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11072.450188799998</v>
      </c>
      <c r="J5" s="3">
        <f>$D$5*'Income Statement'!J5</f>
        <v>13286.940226559997</v>
      </c>
      <c r="K5" s="3">
        <f>$D$5*'Income Statement'!K5</f>
        <v>15944.328271871995</v>
      </c>
      <c r="L5" s="3">
        <f>$D$5*'Income Statement'!L5</f>
        <v>19133.193926246393</v>
      </c>
      <c r="M5" s="3">
        <f>$D$5*'Income Statement'!M5</f>
        <v>22959.83271149567</v>
      </c>
      <c r="N5" s="3">
        <f>$D$5*'Income Statement'!N5</f>
        <v>27551.799253794805</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276811.25471999997</v>
      </c>
      <c r="J6" s="3">
        <f>$D$6*'Income Statement'!J5</f>
        <v>332173.50566399994</v>
      </c>
      <c r="K6" s="3">
        <f>$D$6*'Income Statement'!K5</f>
        <v>398608.2067967999</v>
      </c>
      <c r="L6" s="3">
        <f>$D$6*'Income Statement'!L5</f>
        <v>478329.84815615986</v>
      </c>
      <c r="M6" s="3">
        <f>$D$6*'Income Statement'!M5</f>
        <v>573995.81778739183</v>
      </c>
      <c r="N6" s="3">
        <f>$D$6*'Income Statement'!N5</f>
        <v>688794.98134487018</v>
      </c>
    </row>
    <row r="7" spans="1:14">
      <c r="A7" s="3" t="s">
        <v>13</v>
      </c>
      <c r="B7" s="6">
        <v>58311</v>
      </c>
      <c r="C7" s="6">
        <v>70542</v>
      </c>
      <c r="D7" s="46">
        <v>0.24</v>
      </c>
      <c r="E7" s="3">
        <f>$D$7*'Income Statement'!E5</f>
        <v>101396.06399999998</v>
      </c>
      <c r="F7" s="3">
        <f>$D$7*'Income Statement'!F5</f>
        <v>152094.09599999996</v>
      </c>
      <c r="G7" s="3">
        <f>$D$7*'Income Statement'!G5</f>
        <v>212931.73439999996</v>
      </c>
      <c r="H7" s="3">
        <f>$D$7*'Income Statement'!H5</f>
        <v>276811.25471999997</v>
      </c>
      <c r="I7" s="3">
        <f>$D$7*'Income Statement'!I5</f>
        <v>332173.50566399994</v>
      </c>
      <c r="J7" s="3">
        <f>$D$7*'Income Statement'!J5</f>
        <v>398608.2067967999</v>
      </c>
      <c r="K7" s="3">
        <f>$D$7*'Income Statement'!K5</f>
        <v>478329.84815615986</v>
      </c>
      <c r="L7" s="3">
        <f>$D$7*'Income Statement'!L5</f>
        <v>573995.81778739183</v>
      </c>
      <c r="M7" s="3">
        <f>$D$7*'Income Statement'!M5</f>
        <v>688794.98134487018</v>
      </c>
      <c r="N7" s="3">
        <f>$D$7*'Income Statement'!N5</f>
        <v>826553.97761384409</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48441.969575999996</v>
      </c>
      <c r="J8" s="7">
        <f>$D$8*'Income Statement'!J5</f>
        <v>58130.363491199991</v>
      </c>
      <c r="K8" s="7">
        <f>$D$8*'Income Statement'!K5</f>
        <v>69756.436189439992</v>
      </c>
      <c r="L8" s="7">
        <f>$D$8*'Income Statement'!L5</f>
        <v>83707.723427327976</v>
      </c>
      <c r="M8" s="7">
        <f>$D$8*'Income Statement'!M5</f>
        <v>100449.26811279356</v>
      </c>
      <c r="N8" s="7">
        <f>$D$8*'Income Statement'!N5</f>
        <v>120539.12173535228</v>
      </c>
    </row>
    <row r="9" spans="1:14">
      <c r="A9" s="3" t="s">
        <v>15</v>
      </c>
      <c r="B9" s="6">
        <f>SUM(B5:B8)</f>
        <v>123047</v>
      </c>
      <c r="C9" s="6">
        <f>SUM(C5:C8)</f>
        <v>137870</v>
      </c>
      <c r="E9" s="6">
        <f>SUM(E5:E8)</f>
        <v>204059.57879999999</v>
      </c>
      <c r="F9" s="6">
        <f t="shared" ref="F9:N9" si="1">SUM(F5:F8)</f>
        <v>306089.36819999997</v>
      </c>
      <c r="G9" s="6">
        <f t="shared" si="1"/>
        <v>428525.11547999992</v>
      </c>
      <c r="H9" s="6">
        <f t="shared" si="1"/>
        <v>557082.65012399992</v>
      </c>
      <c r="I9" s="6">
        <f t="shared" si="1"/>
        <v>668499.1801487999</v>
      </c>
      <c r="J9" s="6">
        <f t="shared" si="1"/>
        <v>802199.01617855986</v>
      </c>
      <c r="K9" s="6">
        <f t="shared" si="1"/>
        <v>962638.81941427174</v>
      </c>
      <c r="L9" s="6">
        <f t="shared" si="1"/>
        <v>1155166.5832971262</v>
      </c>
      <c r="M9" s="6">
        <f t="shared" si="1"/>
        <v>1386199.8999565514</v>
      </c>
      <c r="N9" s="6">
        <f t="shared" si="1"/>
        <v>1663439.8799478614</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152246.19009599998</v>
      </c>
      <c r="J10" s="3">
        <f>$D$10*'Income Statement'!J5</f>
        <v>182695.42811519996</v>
      </c>
      <c r="K10" s="3">
        <f>$D$10*'Income Statement'!K5</f>
        <v>219234.51373823994</v>
      </c>
      <c r="L10" s="3">
        <f>$D$10*'Income Statement'!L5</f>
        <v>263081.41648588789</v>
      </c>
      <c r="M10" s="3">
        <f>$D$10*'Income Statement'!M5</f>
        <v>315697.69978306547</v>
      </c>
      <c r="N10" s="3">
        <f>$D$10*'Income Statement'!N5</f>
        <v>378837.23973967857</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20760.844103999996</v>
      </c>
      <c r="J12" s="7">
        <f>$D$12*'Income Statement'!J5</f>
        <v>24913.012924799994</v>
      </c>
      <c r="K12" s="7">
        <f>$D$12*'Income Statement'!K5</f>
        <v>29895.615509759991</v>
      </c>
      <c r="L12" s="7">
        <f>$D$12*'Income Statement'!L5</f>
        <v>35874.73861171199</v>
      </c>
      <c r="M12" s="7">
        <f>$D$12*'Income Statement'!M5</f>
        <v>43049.686334054386</v>
      </c>
      <c r="N12" s="7">
        <f>$D$12*'Income Statement'!N5</f>
        <v>51659.623600865256</v>
      </c>
    </row>
    <row r="13" spans="1:14" s="20" customFormat="1">
      <c r="A13" s="29" t="s">
        <v>20</v>
      </c>
      <c r="B13" s="35">
        <f>SUM(B9:B12)</f>
        <v>177470</v>
      </c>
      <c r="C13" s="35">
        <f>SUM(C9:C12)</f>
        <v>194117</v>
      </c>
      <c r="D13" s="36"/>
      <c r="E13" s="35">
        <f t="shared" ref="E13:N13" si="3">SUM(E9:E12)</f>
        <v>275169.99546666665</v>
      </c>
      <c r="F13" s="35">
        <f t="shared" si="3"/>
        <v>402973.97653333331</v>
      </c>
      <c r="G13" s="35">
        <f t="shared" si="3"/>
        <v>556464.96048000001</v>
      </c>
      <c r="H13" s="35">
        <f t="shared" si="3"/>
        <v>717662.04529066663</v>
      </c>
      <c r="I13" s="35">
        <f t="shared" si="3"/>
        <v>857282.04768213327</v>
      </c>
      <c r="J13" s="35">
        <f t="shared" si="3"/>
        <v>1024952.2572185599</v>
      </c>
      <c r="K13" s="35">
        <f t="shared" si="3"/>
        <v>1226282.7153289383</v>
      </c>
      <c r="L13" s="35">
        <f t="shared" si="3"/>
        <v>1468005.4717280595</v>
      </c>
      <c r="M13" s="35">
        <f t="shared" si="3"/>
        <v>1758198.9860736711</v>
      </c>
      <c r="N13" s="35">
        <f t="shared" si="3"/>
        <v>2106557.4099550722</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14104.089178666667</v>
      </c>
      <c r="G15" s="11">
        <f t="shared" si="4"/>
        <v>19476.273616800001</v>
      </c>
      <c r="H15" s="11">
        <f t="shared" si="4"/>
        <v>25118.171585173335</v>
      </c>
      <c r="I15" s="11">
        <f t="shared" si="4"/>
        <v>30004.871668874668</v>
      </c>
      <c r="J15" s="11">
        <f t="shared" si="4"/>
        <v>35873.329002649596</v>
      </c>
      <c r="K15" s="11">
        <f t="shared" si="4"/>
        <v>42919.895036512848</v>
      </c>
      <c r="L15" s="11">
        <f t="shared" si="4"/>
        <v>51380.191510482087</v>
      </c>
      <c r="M15" s="11">
        <f t="shared" si="4"/>
        <v>61536.964512578495</v>
      </c>
      <c r="N15" s="11">
        <f t="shared" si="4"/>
        <v>73729.509348427528</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83043.376415999985</v>
      </c>
      <c r="J16" s="11">
        <f>$D$16*'Income Statement'!J5</f>
        <v>99652.051699199976</v>
      </c>
      <c r="K16" s="11">
        <f>$D$16*'Income Statement'!K5</f>
        <v>119582.46203903997</v>
      </c>
      <c r="L16" s="11">
        <f>$D$16*'Income Statement'!L5</f>
        <v>143498.95444684796</v>
      </c>
      <c r="M16" s="11">
        <f>$D$16*'Income Statement'!M5</f>
        <v>172198.74533621754</v>
      </c>
      <c r="N16" s="11">
        <f>$D$16*'Income Statement'!N5</f>
        <v>206638.49440346102</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71970.926227199976</v>
      </c>
      <c r="J17" s="12">
        <f>$D$17*'Income Statement'!J5</f>
        <v>86365.111472639968</v>
      </c>
      <c r="K17" s="12">
        <f>$D$17*'Income Statement'!K5</f>
        <v>103638.13376716796</v>
      </c>
      <c r="L17" s="12">
        <f>$D$17*'Income Statement'!L5</f>
        <v>124365.76052060156</v>
      </c>
      <c r="M17" s="12">
        <f>$D$17*'Income Statement'!M5</f>
        <v>149238.91262472185</v>
      </c>
      <c r="N17" s="12">
        <f>$D$17*'Income Statement'!N5</f>
        <v>179086.69514966622</v>
      </c>
    </row>
    <row r="18" spans="1:14" s="11" customFormat="1">
      <c r="A18" s="11" t="s">
        <v>24</v>
      </c>
      <c r="B18" s="37">
        <f>SUM(B15:B17)</f>
        <v>32722</v>
      </c>
      <c r="C18" s="37">
        <f>SUM(C15:C17)</f>
        <v>40800</v>
      </c>
      <c r="D18" s="38"/>
      <c r="E18" s="37">
        <f t="shared" ref="E18:N18" si="5">SUM(E15:E17)</f>
        <v>56949.11304133333</v>
      </c>
      <c r="F18" s="37">
        <f t="shared" si="5"/>
        <v>85081.333978666662</v>
      </c>
      <c r="G18" s="37">
        <f t="shared" si="5"/>
        <v>118844.41633679997</v>
      </c>
      <c r="H18" s="37">
        <f t="shared" si="5"/>
        <v>154296.75712117332</v>
      </c>
      <c r="I18" s="37">
        <f t="shared" si="5"/>
        <v>185019.17431207461</v>
      </c>
      <c r="J18" s="37">
        <f t="shared" si="5"/>
        <v>221890.49217448954</v>
      </c>
      <c r="K18" s="37">
        <f t="shared" si="5"/>
        <v>266140.49084272078</v>
      </c>
      <c r="L18" s="37">
        <f t="shared" si="5"/>
        <v>319244.9064779316</v>
      </c>
      <c r="M18" s="37">
        <f t="shared" si="5"/>
        <v>382974.6224735179</v>
      </c>
      <c r="N18" s="37">
        <f t="shared" si="5"/>
        <v>459454.69890155474</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27681.125471999996</v>
      </c>
      <c r="J19" s="11">
        <f>$D$19*'Income Statement'!J5</f>
        <v>33217.350566399989</v>
      </c>
      <c r="K19" s="11">
        <f>$D$19*'Income Statement'!K5</f>
        <v>39860.820679679986</v>
      </c>
      <c r="L19" s="11">
        <f>$D$19*'Income Statement'!L5</f>
        <v>47832.984815615986</v>
      </c>
      <c r="M19" s="11">
        <f>$D$19*'Income Statement'!M5</f>
        <v>57399.581778739179</v>
      </c>
      <c r="N19" s="11">
        <f>$D$19*'Income Statement'!N5</f>
        <v>68879.498134487018</v>
      </c>
    </row>
    <row r="20" spans="1:14" s="11" customFormat="1">
      <c r="A20" s="12" t="s">
        <v>26</v>
      </c>
      <c r="B20" s="39">
        <v>46914</v>
      </c>
      <c r="C20" s="39">
        <v>44176</v>
      </c>
      <c r="D20" s="94">
        <v>0.23</v>
      </c>
      <c r="E20" s="12">
        <f>$D$20*E13</f>
        <v>63289.098957333328</v>
      </c>
      <c r="F20" s="12">
        <f t="shared" ref="F20:N20" si="6">$D$20*F13</f>
        <v>92684.014602666663</v>
      </c>
      <c r="G20" s="12">
        <f t="shared" si="6"/>
        <v>127986.94091040001</v>
      </c>
      <c r="H20" s="12">
        <f t="shared" si="6"/>
        <v>165062.27041685334</v>
      </c>
      <c r="I20" s="12">
        <f t="shared" si="6"/>
        <v>197174.87096689065</v>
      </c>
      <c r="J20" s="12">
        <f t="shared" si="6"/>
        <v>235739.01916026877</v>
      </c>
      <c r="K20" s="12">
        <f t="shared" si="6"/>
        <v>282045.02452565584</v>
      </c>
      <c r="L20" s="12">
        <f t="shared" si="6"/>
        <v>337641.2584974537</v>
      </c>
      <c r="M20" s="12">
        <f t="shared" si="6"/>
        <v>404385.76679694437</v>
      </c>
      <c r="N20" s="12">
        <f t="shared" si="6"/>
        <v>484508.20428966661</v>
      </c>
    </row>
    <row r="21" spans="1:14" s="20" customFormat="1">
      <c r="A21" s="20" t="s">
        <v>27</v>
      </c>
      <c r="B21" s="40">
        <f>SUM(B18:B20)</f>
        <v>84058</v>
      </c>
      <c r="C21" s="40">
        <f>SUM(C18:C20)</f>
        <v>89517</v>
      </c>
      <c r="D21" s="41"/>
      <c r="E21" s="40">
        <f t="shared" ref="E21:N21" si="7">SUM(E18:E20)</f>
        <v>128687.88399866666</v>
      </c>
      <c r="F21" s="40">
        <f t="shared" si="7"/>
        <v>190439.85658133333</v>
      </c>
      <c r="G21" s="40">
        <f t="shared" si="7"/>
        <v>264575.66844719998</v>
      </c>
      <c r="H21" s="40">
        <f t="shared" si="7"/>
        <v>342426.63209802669</v>
      </c>
      <c r="I21" s="40">
        <f t="shared" si="7"/>
        <v>409875.17075096525</v>
      </c>
      <c r="J21" s="40">
        <f t="shared" si="7"/>
        <v>490846.86190115829</v>
      </c>
      <c r="K21" s="40">
        <f t="shared" si="7"/>
        <v>588046.3360480566</v>
      </c>
      <c r="L21" s="40">
        <f t="shared" si="7"/>
        <v>704719.14979100134</v>
      </c>
      <c r="M21" s="40">
        <f t="shared" si="7"/>
        <v>844759.97104920144</v>
      </c>
      <c r="N21" s="40">
        <f t="shared" si="7"/>
        <v>1012842.4013257084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146482.11146799999</v>
      </c>
      <c r="F26" s="24">
        <f t="shared" ref="F26:N26" si="8">F27-F21</f>
        <v>212534.11995199998</v>
      </c>
      <c r="G26" s="24">
        <f t="shared" si="8"/>
        <v>291889.29203280003</v>
      </c>
      <c r="H26" s="24">
        <f t="shared" si="8"/>
        <v>375235.41319263994</v>
      </c>
      <c r="I26" s="24">
        <f t="shared" si="8"/>
        <v>447406.87693116802</v>
      </c>
      <c r="J26" s="24">
        <f t="shared" si="8"/>
        <v>534105.3953174015</v>
      </c>
      <c r="K26" s="24">
        <f t="shared" si="8"/>
        <v>638236.37928088172</v>
      </c>
      <c r="L26" s="24">
        <f t="shared" si="8"/>
        <v>763286.32193705812</v>
      </c>
      <c r="M26" s="24">
        <f t="shared" si="8"/>
        <v>913439.0150244697</v>
      </c>
      <c r="N26" s="24">
        <f t="shared" si="8"/>
        <v>1093715.008629364</v>
      </c>
    </row>
    <row r="27" spans="1:14" s="20" customFormat="1">
      <c r="A27" s="42" t="s">
        <v>29</v>
      </c>
      <c r="B27" s="43">
        <f>B26+B21</f>
        <v>177470</v>
      </c>
      <c r="C27" s="43">
        <f>C26+C21</f>
        <v>194117</v>
      </c>
      <c r="D27" s="44"/>
      <c r="E27" s="95">
        <f>E13</f>
        <v>275169.99546666665</v>
      </c>
      <c r="F27" s="95">
        <f t="shared" ref="F27:N27" si="9">F13</f>
        <v>402973.97653333331</v>
      </c>
      <c r="G27" s="95">
        <f t="shared" si="9"/>
        <v>556464.96048000001</v>
      </c>
      <c r="H27" s="95">
        <f t="shared" si="9"/>
        <v>717662.04529066663</v>
      </c>
      <c r="I27" s="95">
        <f t="shared" si="9"/>
        <v>857282.04768213327</v>
      </c>
      <c r="J27" s="95">
        <f t="shared" si="9"/>
        <v>1024952.2572185599</v>
      </c>
      <c r="K27" s="95">
        <f t="shared" si="9"/>
        <v>1226282.7153289383</v>
      </c>
      <c r="L27" s="95">
        <f t="shared" si="9"/>
        <v>1468005.4717280595</v>
      </c>
      <c r="M27" s="95">
        <f t="shared" si="9"/>
        <v>1758198.9860736711</v>
      </c>
      <c r="N27" s="95">
        <f t="shared" si="9"/>
        <v>2106557.4099550722</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-28002.496250666667</v>
      </c>
      <c r="F31" s="11">
        <f>'Cash Flow, DCF, Ratios'!F20</f>
        <v>-47810.93624266667</v>
      </c>
      <c r="G31" s="11">
        <f>'Cash Flow, DCF, Ratios'!G20</f>
        <v>-47415.491593066647</v>
      </c>
      <c r="H31" s="11">
        <f>'Cash Flow, DCF, Ratios'!H20</f>
        <v>-32171.100350986668</v>
      </c>
      <c r="I31" s="11">
        <f>'Cash Flow, DCF, Ratios'!I20</f>
        <v>2790.1611201493724</v>
      </c>
      <c r="J31" s="11">
        <f>'Cash Flow, DCF, Ratios'!J20</f>
        <v>3221.9866775125993</v>
      </c>
      <c r="K31" s="11">
        <f>'Cash Flow, DCF, Ratios'!K20</f>
        <v>3740.1773463484569</v>
      </c>
      <c r="L31" s="11">
        <f>'Cash Flow, DCF, Ratios'!L20</f>
        <v>4362.0061489515356</v>
      </c>
      <c r="M31" s="11">
        <f>'Cash Flow, DCF, Ratios'!M20</f>
        <v>5108.2007120749477</v>
      </c>
      <c r="N31" s="11">
        <f>'Cash Flow, DCF, Ratios'!N20</f>
        <v>6003.6341878233943</v>
      </c>
    </row>
    <row r="32" spans="1:14" s="11" customFormat="1">
      <c r="A32" s="11" t="s">
        <v>31</v>
      </c>
      <c r="D32" s="117" t="s">
        <v>82</v>
      </c>
      <c r="E32" s="11">
        <f>-('Income Statement'!E18*(1-'Income Statement'!$D$20))</f>
        <v>-3961.3476796053865</v>
      </c>
      <c r="F32" s="11">
        <f>-('Income Statement'!F18*(1-'Income Statement'!$D$20))</f>
        <v>-5743.4725564567998</v>
      </c>
      <c r="G32" s="11">
        <f>-('Income Statement'!G18*(1-'Income Statement'!$D$20))</f>
        <v>-8125.8721331407232</v>
      </c>
      <c r="H32" s="11">
        <f>-('Income Statement'!H18*(1-'Income Statement'!$D$20))</f>
        <v>-10791.091262674085</v>
      </c>
      <c r="I32" s="11">
        <f>-('Income Statement'!I18*(1-'Income Statement'!$D$20))</f>
        <v>-13338.831501023829</v>
      </c>
      <c r="J32" s="11">
        <f>-('Income Statement'!J18*(1-'Income Statement'!$D$20))</f>
        <v>-15941.395221925928</v>
      </c>
      <c r="K32" s="11">
        <f>-('Income Statement'!K18*(1-'Income Statement'!$D$20))</f>
        <v>-19066.609476493784</v>
      </c>
      <c r="L32" s="11">
        <f>-('Income Statement'!L18*(1-'Income Statement'!$D$20))</f>
        <v>-22819.004371460538</v>
      </c>
      <c r="M32" s="11">
        <f>-('Income Statement'!M18*(1-'Income Statement'!$D$20))</f>
        <v>-27324.016034905973</v>
      </c>
      <c r="N32" s="11">
        <f>-('Income Statement'!N18*(1-'Income Statement'!$D$20))</f>
        <v>-32732.167820525839</v>
      </c>
    </row>
    <row r="33" spans="1:14" s="11" customFormat="1">
      <c r="A33" s="118" t="s">
        <v>84</v>
      </c>
      <c r="D33" s="117"/>
      <c r="E33" s="11">
        <f>E31+E32</f>
        <v>-31963.843930272054</v>
      </c>
      <c r="F33" s="11">
        <f>F31+F32</f>
        <v>-53554.40879912347</v>
      </c>
      <c r="G33" s="11">
        <f t="shared" ref="G33:N33" si="10">G31+G32</f>
        <v>-55541.363726207368</v>
      </c>
      <c r="H33" s="11">
        <f t="shared" si="10"/>
        <v>-42962.191613660754</v>
      </c>
      <c r="I33" s="11">
        <f t="shared" si="10"/>
        <v>-10548.670380874457</v>
      </c>
      <c r="J33" s="11">
        <f t="shared" si="10"/>
        <v>-12719.408544413329</v>
      </c>
      <c r="K33" s="11">
        <f t="shared" si="10"/>
        <v>-15326.432130145327</v>
      </c>
      <c r="L33" s="11">
        <f t="shared" si="10"/>
        <v>-18456.998222509003</v>
      </c>
      <c r="M33" s="11">
        <f t="shared" si="10"/>
        <v>-22215.815322831026</v>
      </c>
      <c r="N33" s="11">
        <f t="shared" si="10"/>
        <v>-26728.533632702445</v>
      </c>
    </row>
    <row r="34" spans="1:14" s="11" customFormat="1">
      <c r="A34" s="11" t="s">
        <v>32</v>
      </c>
      <c r="D34" s="92" t="s">
        <v>59</v>
      </c>
      <c r="E34" s="11">
        <f>(E20+E15)-(C20+C15)</f>
        <v>21893.048798666656</v>
      </c>
      <c r="F34" s="11">
        <f>(F20+F15)-(E20+E15)</f>
        <v>33868.054982666668</v>
      </c>
      <c r="G34" s="11">
        <f t="shared" ref="G34:N34" si="11">(G20+G15)-(F20+F15)</f>
        <v>40675.110745866681</v>
      </c>
      <c r="H34" s="11">
        <f t="shared" si="11"/>
        <v>42717.227474826679</v>
      </c>
      <c r="I34" s="11">
        <f t="shared" si="11"/>
        <v>36999.300633738632</v>
      </c>
      <c r="J34" s="11">
        <f t="shared" si="11"/>
        <v>44432.605527153035</v>
      </c>
      <c r="K34" s="11">
        <f t="shared" si="11"/>
        <v>53352.571399250359</v>
      </c>
      <c r="L34" s="11">
        <f t="shared" si="11"/>
        <v>64056.530445767101</v>
      </c>
      <c r="M34" s="11">
        <f t="shared" si="11"/>
        <v>76901.281301587063</v>
      </c>
      <c r="N34" s="11">
        <f t="shared" si="11"/>
        <v>92314.982328571263</v>
      </c>
    </row>
    <row r="35" spans="1:14" s="11" customFormat="1">
      <c r="A35" s="11" t="s">
        <v>85</v>
      </c>
      <c r="D35" s="92" t="s">
        <v>100</v>
      </c>
      <c r="E35" s="11">
        <f>(E26-C26)-'Income Statement'!E21</f>
        <v>12230.663931605392</v>
      </c>
      <c r="F35" s="11">
        <f>(F26-E26)-'Income Statement'!F21</f>
        <v>21376.288216456829</v>
      </c>
      <c r="G35" s="11">
        <f>(G26-F26)-'Income Statement'!G21</f>
        <v>16894.174260340806</v>
      </c>
      <c r="H35" s="11">
        <f>(H26-G26)-'Income Statement'!H21</f>
        <v>2374.281482833976</v>
      </c>
      <c r="I35" s="11">
        <f>(I26-H26)-'Income Statement'!I21</f>
        <v>-24605.221888064116</v>
      </c>
      <c r="J35" s="11">
        <f>(J26-I26)-'Income Statement'!J21</f>
        <v>-29498.7069449798</v>
      </c>
      <c r="K35" s="11">
        <f>(K26-J26)-'Income Statement'!K21</f>
        <v>-35368.75122379302</v>
      </c>
      <c r="L35" s="11">
        <f>(L26-K26)-'Income Statement'!L21</f>
        <v>-42410.666568883549</v>
      </c>
      <c r="M35" s="11">
        <f>(M26-L26)-'Income Statement'!M21</f>
        <v>-50858.827193506877</v>
      </c>
      <c r="N35" s="11">
        <f>(N26-M26)-'Income Statement'!N21</f>
        <v>-60994.482153569232</v>
      </c>
    </row>
    <row r="36" spans="1:14" s="11" customFormat="1">
      <c r="A36" s="11" t="s">
        <v>86</v>
      </c>
      <c r="D36" s="92"/>
      <c r="E36" s="11">
        <f>E34+E35</f>
        <v>34123.712730272047</v>
      </c>
      <c r="F36" s="11">
        <f>F34+F35</f>
        <v>55244.343199123497</v>
      </c>
      <c r="G36" s="11">
        <f t="shared" ref="G36:N36" si="12">G34+G35</f>
        <v>57569.285006207487</v>
      </c>
      <c r="H36" s="11">
        <f t="shared" si="12"/>
        <v>45091.508957660655</v>
      </c>
      <c r="I36" s="11">
        <f t="shared" si="12"/>
        <v>12394.078745674517</v>
      </c>
      <c r="J36" s="11">
        <f t="shared" si="12"/>
        <v>14933.898582173235</v>
      </c>
      <c r="K36" s="11">
        <f t="shared" si="12"/>
        <v>17983.820175457338</v>
      </c>
      <c r="L36" s="11">
        <f t="shared" si="12"/>
        <v>21645.863876883552</v>
      </c>
      <c r="M36" s="11">
        <f t="shared" si="12"/>
        <v>26042.454108080186</v>
      </c>
      <c r="N36" s="11">
        <f t="shared" si="12"/>
        <v>31320.500175002031</v>
      </c>
    </row>
    <row r="37" spans="1:14" s="11" customFormat="1">
      <c r="A37" s="11" t="s">
        <v>88</v>
      </c>
      <c r="D37" s="92"/>
      <c r="E37" s="11">
        <f>E33+E36</f>
        <v>2159.8687999999929</v>
      </c>
      <c r="F37" s="11">
        <f>F33+F36</f>
        <v>1689.9344000000274</v>
      </c>
      <c r="G37" s="11">
        <f t="shared" ref="G37:N37" si="13">G33+G36</f>
        <v>2027.9212800001187</v>
      </c>
      <c r="H37" s="11">
        <f t="shared" si="13"/>
        <v>2129.3173439999009</v>
      </c>
      <c r="I37" s="11">
        <f t="shared" si="13"/>
        <v>1845.4083648000596</v>
      </c>
      <c r="J37" s="11">
        <f t="shared" si="13"/>
        <v>2214.490037759906</v>
      </c>
      <c r="K37" s="11">
        <f t="shared" si="13"/>
        <v>2657.3880453120109</v>
      </c>
      <c r="L37" s="11">
        <f t="shared" si="13"/>
        <v>3188.8656543745492</v>
      </c>
      <c r="M37" s="11">
        <f t="shared" si="13"/>
        <v>3826.6387852491607</v>
      </c>
      <c r="N37" s="11">
        <f t="shared" si="13"/>
        <v>4591.9665422995859</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1845.4083647999978</v>
      </c>
      <c r="J38" s="7">
        <f t="shared" si="14"/>
        <v>2214.4900377599988</v>
      </c>
      <c r="K38" s="7">
        <f t="shared" si="14"/>
        <v>2657.3880453119982</v>
      </c>
      <c r="L38" s="7">
        <f t="shared" si="14"/>
        <v>3188.8656543743982</v>
      </c>
      <c r="M38" s="7">
        <f t="shared" si="14"/>
        <v>3826.6387852492771</v>
      </c>
      <c r="N38" s="7">
        <f t="shared" si="14"/>
        <v>4591.9665422991347</v>
      </c>
    </row>
    <row r="39" spans="1:14">
      <c r="D39" s="67" t="s">
        <v>30</v>
      </c>
      <c r="E39" s="68">
        <f>E37-E38</f>
        <v>-6.8212102632969618E-12</v>
      </c>
      <c r="F39" s="68">
        <f>F37-F38</f>
        <v>2.7739588404074311E-11</v>
      </c>
      <c r="G39" s="68">
        <f t="shared" ref="G39:N39" si="15">G37-G38</f>
        <v>1.191438059322536E-10</v>
      </c>
      <c r="H39" s="68">
        <f t="shared" si="15"/>
        <v>-1.0004441719502211E-10</v>
      </c>
      <c r="I39" s="68">
        <f t="shared" si="15"/>
        <v>6.184563972055912E-11</v>
      </c>
      <c r="J39" s="68">
        <f t="shared" si="15"/>
        <v>-9.276845958083868E-11</v>
      </c>
      <c r="K39" s="68">
        <f t="shared" si="15"/>
        <v>1.2732925824820995E-11</v>
      </c>
      <c r="L39" s="68">
        <f t="shared" si="15"/>
        <v>1.5097612049430609E-10</v>
      </c>
      <c r="M39" s="68">
        <f t="shared" si="15"/>
        <v>-1.1641532182693481E-10</v>
      </c>
      <c r="N39" s="68">
        <f t="shared" si="15"/>
        <v>4.5110937207937241E-10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topLeftCell="A13" zoomScale="90" workbookViewId="0">
      <selection activeCell="A41" sqref="A41"/>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49430.581199999979</v>
      </c>
      <c r="F5" s="3">
        <f>'Income Statement'!F16</f>
        <v>74145.87179999995</v>
      </c>
      <c r="G5" s="3">
        <f>'Income Statement'!G16</f>
        <v>103804.22051999997</v>
      </c>
      <c r="H5" s="3">
        <f>'Income Statement'!H16</f>
        <v>134945.48667600003</v>
      </c>
      <c r="I5" s="3">
        <f>'Income Statement'!I16</f>
        <v>161934.58401120003</v>
      </c>
      <c r="J5" s="3">
        <f>'Income Statement'!J16</f>
        <v>194321.50081344001</v>
      </c>
      <c r="K5" s="3">
        <f>'Income Statement'!K16</f>
        <v>233185.800976128</v>
      </c>
      <c r="L5" s="3">
        <f>'Income Statement'!L16</f>
        <v>279822.96117135364</v>
      </c>
      <c r="M5" s="3">
        <f>'Income Statement'!M16</f>
        <v>335787.55340562417</v>
      </c>
      <c r="N5" s="3">
        <f>'Income Statement'!N16</f>
        <v>402945.06408674904</v>
      </c>
    </row>
    <row r="6" spans="1:15">
      <c r="A6" s="7" t="s">
        <v>40</v>
      </c>
      <c r="B6" s="7">
        <f>B5*('Income Statement'!B20/'Income Statement'!B19)</f>
        <v>5436.6858410856021</v>
      </c>
      <c r="C6" s="7">
        <f>C5*('Income Statement'!C20/'Income Statement'!C19)</f>
        <v>7849.0531080583187</v>
      </c>
      <c r="D6" s="105">
        <f>'Income Statement'!D20</f>
        <v>0.32</v>
      </c>
      <c r="E6" s="7">
        <f>$D$6*E5</f>
        <v>15817.785983999993</v>
      </c>
      <c r="F6" s="7">
        <f t="shared" ref="F6:N6" si="1">$D$6*F5</f>
        <v>23726.678975999985</v>
      </c>
      <c r="G6" s="7">
        <f t="shared" si="1"/>
        <v>33217.350566399989</v>
      </c>
      <c r="H6" s="7">
        <f t="shared" si="1"/>
        <v>43182.555736320013</v>
      </c>
      <c r="I6" s="7">
        <f t="shared" si="1"/>
        <v>51819.066883584012</v>
      </c>
      <c r="J6" s="7">
        <f t="shared" si="1"/>
        <v>62182.880260300808</v>
      </c>
      <c r="K6" s="7">
        <f t="shared" si="1"/>
        <v>74619.456312360955</v>
      </c>
      <c r="L6" s="7">
        <f t="shared" si="1"/>
        <v>89543.347574833169</v>
      </c>
      <c r="M6" s="7">
        <f t="shared" si="1"/>
        <v>107452.01708979975</v>
      </c>
      <c r="N6" s="7">
        <f t="shared" si="1"/>
        <v>128942.4205077597</v>
      </c>
    </row>
    <row r="7" spans="1:15">
      <c r="A7" s="2" t="s">
        <v>99</v>
      </c>
      <c r="B7" s="2">
        <f>B5-B6</f>
        <v>12102.314158914398</v>
      </c>
      <c r="C7" s="2">
        <f>C5-C6</f>
        <v>16677.946891941683</v>
      </c>
      <c r="D7" s="57"/>
      <c r="E7" s="3">
        <f>E5-E6</f>
        <v>33612.795215999984</v>
      </c>
      <c r="F7" s="3">
        <f t="shared" ref="F7:N7" si="2">F5-F6</f>
        <v>50419.192823999969</v>
      </c>
      <c r="G7" s="3">
        <f t="shared" si="2"/>
        <v>70586.869953599991</v>
      </c>
      <c r="H7" s="3">
        <f t="shared" si="2"/>
        <v>91762.930939680024</v>
      </c>
      <c r="I7" s="3">
        <f t="shared" si="2"/>
        <v>110115.51712761601</v>
      </c>
      <c r="J7" s="3">
        <f t="shared" si="2"/>
        <v>132138.62055313919</v>
      </c>
      <c r="K7" s="3">
        <f t="shared" si="2"/>
        <v>158566.34466376703</v>
      </c>
      <c r="L7" s="3">
        <f t="shared" si="2"/>
        <v>190279.61359652047</v>
      </c>
      <c r="M7" s="3">
        <f t="shared" si="2"/>
        <v>228335.53631582443</v>
      </c>
      <c r="N7" s="3">
        <f t="shared" si="2"/>
        <v>274002.64357898931</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31080.271352533331</v>
      </c>
      <c r="K9" s="3">
        <f>($D$9*'Balance Sheet'!J10)+('Balance Sheet'!J11-'Balance Sheet'!K11)</f>
        <v>37170.118956373328</v>
      </c>
      <c r="L9" s="3">
        <f>($D$9*'Balance Sheet'!K10)+('Balance Sheet'!K11-'Balance Sheet'!L11)</f>
        <v>44477.936080981322</v>
      </c>
      <c r="M9" s="3">
        <f>($D$9*'Balance Sheet'!L10)+('Balance Sheet'!L11-'Balance Sheet'!M11)</f>
        <v>53247.316630510912</v>
      </c>
      <c r="N9" s="3">
        <f>($D$9*'Balance Sheet'!M10)+('Balance Sheet'!M11-'Balance Sheet'!N11)</f>
        <v>63770.573289946427</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-3460.1406839999981</v>
      </c>
      <c r="J10" s="3">
        <f>-('Balance Sheet'!J12-'Balance Sheet'!I12)</f>
        <v>-4152.1688207999978</v>
      </c>
      <c r="K10" s="3">
        <f>-('Balance Sheet'!K12-'Balance Sheet'!J12)</f>
        <v>-4982.6025849599973</v>
      </c>
      <c r="L10" s="3">
        <f>-('Balance Sheet'!L12-'Balance Sheet'!K12)</f>
        <v>-5979.1231019519983</v>
      </c>
      <c r="M10" s="3">
        <f>-('Balance Sheet'!M12-'Balance Sheet'!L12)</f>
        <v>-7174.9477223423964</v>
      </c>
      <c r="N10" s="3">
        <f>-('Balance Sheet'!N12-'Balance Sheet'!M12)</f>
        <v>-8609.9372668108699</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4613.5209119999963</v>
      </c>
      <c r="J11" s="3">
        <f>'Balance Sheet'!J19-'Balance Sheet'!I19</f>
        <v>5536.2250943999934</v>
      </c>
      <c r="K11" s="3">
        <f>'Balance Sheet'!K19-'Balance Sheet'!J19</f>
        <v>6643.4701132799964</v>
      </c>
      <c r="L11" s="3">
        <f>'Balance Sheet'!L19-'Balance Sheet'!K19</f>
        <v>7972.1641359360001</v>
      </c>
      <c r="M11" s="3">
        <f>'Balance Sheet'!M19-'Balance Sheet'!L19</f>
        <v>9566.5969631231928</v>
      </c>
      <c r="N11" s="3">
        <f>'Balance Sheet'!N19-'Balance Sheet'!M19</f>
        <v>11479.916355747839</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-46135.209119999985</v>
      </c>
      <c r="J12" s="3">
        <f>-('Balance Sheet'!J6-'Balance Sheet'!I6)</f>
        <v>-55362.25094399997</v>
      </c>
      <c r="K12" s="3">
        <f>-('Balance Sheet'!K6-'Balance Sheet'!J6)</f>
        <v>-66434.701132799964</v>
      </c>
      <c r="L12" s="3">
        <f>-('Balance Sheet'!L6-'Balance Sheet'!K6)</f>
        <v>-79721.641359359957</v>
      </c>
      <c r="M12" s="3">
        <f>-('Balance Sheet'!M6-'Balance Sheet'!L6)</f>
        <v>-95665.969631231972</v>
      </c>
      <c r="N12" s="3">
        <f>-('Balance Sheet'!N6-'Balance Sheet'!M6)</f>
        <v>-114799.16355747834</v>
      </c>
    </row>
    <row r="13" spans="1:15">
      <c r="A13" s="14" t="s">
        <v>65</v>
      </c>
      <c r="B13" s="3">
        <v>10607</v>
      </c>
      <c r="C13" s="3">
        <v>-13892</v>
      </c>
      <c r="D13" s="90" t="s">
        <v>59</v>
      </c>
      <c r="E13" s="3">
        <f>-('Balance Sheet'!E7-'Balance Sheet'!C7)</f>
        <v>-30854.063999999984</v>
      </c>
      <c r="F13" s="3">
        <f>-('Balance Sheet'!F7-'Balance Sheet'!E7)</f>
        <v>-50698.031999999977</v>
      </c>
      <c r="G13" s="3">
        <f>-('Balance Sheet'!G7-'Balance Sheet'!F7)</f>
        <v>-60837.638399999996</v>
      </c>
      <c r="H13" s="3">
        <f>-('Balance Sheet'!H7-'Balance Sheet'!G7)</f>
        <v>-63879.520320000011</v>
      </c>
      <c r="I13" s="3">
        <f>-('Balance Sheet'!I7-'Balance Sheet'!H7)</f>
        <v>-55362.25094399997</v>
      </c>
      <c r="J13" s="3">
        <f>-('Balance Sheet'!J7-'Balance Sheet'!I7)</f>
        <v>-66434.701132799964</v>
      </c>
      <c r="K13" s="3">
        <f>-('Balance Sheet'!K7-'Balance Sheet'!J7)</f>
        <v>-79721.641359359957</v>
      </c>
      <c r="L13" s="3">
        <f>-('Balance Sheet'!L7-'Balance Sheet'!K7)</f>
        <v>-95665.969631231972</v>
      </c>
      <c r="M13" s="3">
        <f>-('Balance Sheet'!M7-'Balance Sheet'!L7)</f>
        <v>-114799.16355747834</v>
      </c>
      <c r="N13" s="3">
        <f>-('Balance Sheet'!N7-'Balance Sheet'!M7)</f>
        <v>-137758.99626897392</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-8073.6615959999981</v>
      </c>
      <c r="J14" s="3">
        <f>-('Balance Sheet'!J8-'Balance Sheet'!I8)</f>
        <v>-9688.3939151999948</v>
      </c>
      <c r="K14" s="3">
        <f>-('Balance Sheet'!K8-'Balance Sheet'!J8)</f>
        <v>-11626.072698240001</v>
      </c>
      <c r="L14" s="3">
        <f>-('Balance Sheet'!L8-'Balance Sheet'!K8)</f>
        <v>-13951.287237887984</v>
      </c>
      <c r="M14" s="3">
        <f>-('Balance Sheet'!M8-'Balance Sheet'!L8)</f>
        <v>-16741.544685465589</v>
      </c>
      <c r="N14" s="3">
        <f>-('Balance Sheet'!N8-'Balance Sheet'!M8)</f>
        <v>-20089.853622558716</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13840.562735999993</v>
      </c>
      <c r="J15" s="3">
        <f>'Balance Sheet'!J16-'Balance Sheet'!I16</f>
        <v>16608.675283199991</v>
      </c>
      <c r="K15" s="3">
        <f>'Balance Sheet'!K16-'Balance Sheet'!J16</f>
        <v>19930.410339839989</v>
      </c>
      <c r="L15" s="3">
        <f>'Balance Sheet'!L16-'Balance Sheet'!K16</f>
        <v>23916.492407807993</v>
      </c>
      <c r="M15" s="3">
        <f>'Balance Sheet'!M16-'Balance Sheet'!L16</f>
        <v>28699.790889369586</v>
      </c>
      <c r="N15" s="3">
        <f>'Balance Sheet'!N16-'Balance Sheet'!M16</f>
        <v>34439.74906724348</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11995.154371199984</v>
      </c>
      <c r="J16" s="7">
        <f>'Balance Sheet'!J17-'Balance Sheet'!I17</f>
        <v>14394.185245439992</v>
      </c>
      <c r="K16" s="7">
        <f>'Balance Sheet'!K17-'Balance Sheet'!J17</f>
        <v>17273.022294527997</v>
      </c>
      <c r="L16" s="7">
        <f>'Balance Sheet'!L17-'Balance Sheet'!K17</f>
        <v>20727.626753433593</v>
      </c>
      <c r="M16" s="7">
        <f>'Balance Sheet'!M17-'Balance Sheet'!L17</f>
        <v>24873.152104120294</v>
      </c>
      <c r="N16" s="7">
        <f>'Balance Sheet'!N17-'Balance Sheet'!M17</f>
        <v>29847.78252494437</v>
      </c>
      <c r="O16" s="13"/>
    </row>
    <row r="17" spans="1:14">
      <c r="A17" s="2" t="s">
        <v>4</v>
      </c>
      <c r="B17" s="2">
        <f>SUM(B7:B16)</f>
        <v>31642.3141589144</v>
      </c>
      <c r="C17" s="2">
        <f>SUM(C7:C16)</f>
        <v>3766.9468919416831</v>
      </c>
      <c r="D17" s="57"/>
      <c r="E17" s="3">
        <f>SUM(E7:E16)</f>
        <v>-7664.5002506666715</v>
      </c>
      <c r="F17" s="3">
        <f t="shared" ref="F17:N17" si="3">SUM(F7:F16)</f>
        <v>-15279.699042666674</v>
      </c>
      <c r="G17" s="3">
        <f t="shared" si="3"/>
        <v>-5589.6151930666601</v>
      </c>
      <c r="H17" s="3">
        <f t="shared" si="3"/>
        <v>16625.755449013344</v>
      </c>
      <c r="I17" s="3">
        <f t="shared" si="3"/>
        <v>53538.89115214935</v>
      </c>
      <c r="J17" s="3">
        <f t="shared" si="3"/>
        <v>64120.462715912581</v>
      </c>
      <c r="K17" s="3">
        <f t="shared" si="3"/>
        <v>76818.348592428432</v>
      </c>
      <c r="L17" s="3">
        <f t="shared" si="3"/>
        <v>92055.811644247471</v>
      </c>
      <c r="M17" s="3">
        <f t="shared" si="3"/>
        <v>110340.76730643011</v>
      </c>
      <c r="N17" s="3">
        <f t="shared" si="3"/>
        <v>132282.71410104958</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50748.730031999978</v>
      </c>
      <c r="J19" s="7">
        <f>('Balance Sheet'!J10-'Balance Sheet'!I10)+($D$9*'Balance Sheet'!I10)</f>
        <v>60898.476038399982</v>
      </c>
      <c r="K19" s="7">
        <f>('Balance Sheet'!K10-'Balance Sheet'!J10)+($D$9*'Balance Sheet'!J10)</f>
        <v>73078.171246079975</v>
      </c>
      <c r="L19" s="7">
        <f>('Balance Sheet'!L10-'Balance Sheet'!K10)+($D$9*'Balance Sheet'!K10)</f>
        <v>87693.805495295936</v>
      </c>
      <c r="M19" s="7">
        <f>('Balance Sheet'!M10-'Balance Sheet'!L10)+($D$9*'Balance Sheet'!L10)</f>
        <v>105232.56659435516</v>
      </c>
      <c r="N19" s="7">
        <f>('Balance Sheet'!N10-'Balance Sheet'!M10)+($D$9*'Balance Sheet'!M10)</f>
        <v>126279.07991322619</v>
      </c>
    </row>
    <row r="20" spans="1:14">
      <c r="A20" s="2" t="s">
        <v>6</v>
      </c>
      <c r="B20" s="2"/>
      <c r="C20" s="2"/>
      <c r="D20" s="57"/>
      <c r="E20" s="3">
        <f>E17-E19</f>
        <v>-28002.496250666667</v>
      </c>
      <c r="F20" s="3">
        <f t="shared" ref="F20:N20" si="4">F17-F19</f>
        <v>-47810.93624266667</v>
      </c>
      <c r="G20" s="3">
        <f t="shared" si="4"/>
        <v>-47415.491593066647</v>
      </c>
      <c r="H20" s="3">
        <f t="shared" si="4"/>
        <v>-32171.100350986668</v>
      </c>
      <c r="I20" s="3">
        <f t="shared" si="4"/>
        <v>2790.1611201493724</v>
      </c>
      <c r="J20" s="3">
        <f t="shared" si="4"/>
        <v>3221.9866775125993</v>
      </c>
      <c r="K20" s="3">
        <f t="shared" si="4"/>
        <v>3740.1773463484569</v>
      </c>
      <c r="L20" s="3">
        <f t="shared" si="4"/>
        <v>4362.0061489515356</v>
      </c>
      <c r="M20" s="3">
        <f t="shared" si="4"/>
        <v>5108.2007120749477</v>
      </c>
      <c r="N20" s="3">
        <f t="shared" si="4"/>
        <v>6003.6341878233943</v>
      </c>
    </row>
    <row r="21" spans="1:14">
      <c r="A21" s="2"/>
      <c r="B21" s="2"/>
      <c r="C21" s="2"/>
      <c r="D21" s="57"/>
    </row>
    <row r="22" spans="1:14">
      <c r="A22" s="7" t="s">
        <v>34</v>
      </c>
      <c r="B22" s="61"/>
      <c r="C22" s="61"/>
      <c r="D22" s="97">
        <v>0</v>
      </c>
      <c r="E22" s="7"/>
      <c r="F22" s="7"/>
      <c r="G22" s="7"/>
      <c r="H22" s="7"/>
      <c r="I22" s="7"/>
      <c r="J22" s="7"/>
      <c r="K22" s="7"/>
      <c r="L22" s="7"/>
      <c r="M22" s="7"/>
      <c r="N22" s="7">
        <f>N7/(D25-D22)</f>
        <v>2740026.4357898929</v>
      </c>
    </row>
    <row r="23" spans="1:14">
      <c r="A23" s="3" t="s">
        <v>80</v>
      </c>
      <c r="B23" s="2"/>
      <c r="C23" s="2"/>
      <c r="D23" s="60"/>
      <c r="E23" s="3">
        <f>E20+E22</f>
        <v>-28002.496250666667</v>
      </c>
      <c r="F23" s="3">
        <f t="shared" ref="F23:N23" si="5">F20+F22</f>
        <v>-47810.93624266667</v>
      </c>
      <c r="G23" s="3">
        <f t="shared" si="5"/>
        <v>-47415.491593066647</v>
      </c>
      <c r="H23" s="3">
        <f t="shared" si="5"/>
        <v>-32171.100350986668</v>
      </c>
      <c r="I23" s="3">
        <f t="shared" si="5"/>
        <v>2790.1611201493724</v>
      </c>
      <c r="J23" s="3">
        <f t="shared" si="5"/>
        <v>3221.9866775125993</v>
      </c>
      <c r="K23" s="3">
        <f t="shared" si="5"/>
        <v>3740.1773463484569</v>
      </c>
      <c r="L23" s="3">
        <f t="shared" si="5"/>
        <v>4362.0061489515356</v>
      </c>
      <c r="M23" s="3">
        <f t="shared" si="5"/>
        <v>5108.2007120749477</v>
      </c>
      <c r="N23" s="3">
        <f t="shared" si="5"/>
        <v>2746030.0699777165</v>
      </c>
    </row>
    <row r="24" spans="1:14">
      <c r="B24" s="2"/>
      <c r="C24" s="2"/>
      <c r="D24" s="60"/>
    </row>
    <row r="25" spans="1:14">
      <c r="A25" s="98" t="s">
        <v>7</v>
      </c>
      <c r="B25" s="98"/>
      <c r="C25" s="98"/>
      <c r="D25" s="99">
        <v>0.1</v>
      </c>
      <c r="E25" s="100">
        <f t="shared" ref="E25:N25" si="6">1/((1+$D$25)^(E4-$C$4))</f>
        <v>0.90909090909090906</v>
      </c>
      <c r="F25" s="100">
        <f t="shared" si="6"/>
        <v>0.82644628099173545</v>
      </c>
      <c r="G25" s="100">
        <f t="shared" si="6"/>
        <v>0.75131480090157754</v>
      </c>
      <c r="H25" s="100">
        <f t="shared" si="6"/>
        <v>0.68301345536507052</v>
      </c>
      <c r="I25" s="100">
        <f t="shared" si="6"/>
        <v>0.62092132305915493</v>
      </c>
      <c r="J25" s="100">
        <f t="shared" si="6"/>
        <v>0.56447393005377722</v>
      </c>
      <c r="K25" s="100">
        <f t="shared" si="6"/>
        <v>0.51315811823070645</v>
      </c>
      <c r="L25" s="100">
        <f t="shared" si="6"/>
        <v>0.46650738020973315</v>
      </c>
      <c r="M25" s="100">
        <f t="shared" si="6"/>
        <v>0.42409761837248466</v>
      </c>
      <c r="N25" s="100">
        <f t="shared" si="6"/>
        <v>0.38554328942953148</v>
      </c>
    </row>
    <row r="26" spans="1:14">
      <c r="A26" s="15" t="s">
        <v>8</v>
      </c>
      <c r="D26" s="18"/>
      <c r="E26" s="3">
        <f>E23*E25</f>
        <v>-25456.814773333332</v>
      </c>
      <c r="F26" s="3">
        <f t="shared" ref="F26:N26" si="7">F23*F25</f>
        <v>-39513.170448484845</v>
      </c>
      <c r="G26" s="3">
        <f t="shared" si="7"/>
        <v>-35623.960625895292</v>
      </c>
      <c r="H26" s="3">
        <f t="shared" si="7"/>
        <v>-21973.294413623837</v>
      </c>
      <c r="I26" s="3">
        <f t="shared" si="7"/>
        <v>1732.4705342713621</v>
      </c>
      <c r="J26" s="3">
        <f t="shared" si="7"/>
        <v>1818.727482436449</v>
      </c>
      <c r="K26" s="3">
        <f t="shared" si="7"/>
        <v>1919.3023689012914</v>
      </c>
      <c r="L26" s="3">
        <f t="shared" si="7"/>
        <v>2034.9080610061278</v>
      </c>
      <c r="M26" s="3">
        <f t="shared" si="7"/>
        <v>2166.3757561596158</v>
      </c>
      <c r="N26" s="3">
        <f t="shared" si="7"/>
        <v>1058713.4660516153</v>
      </c>
    </row>
    <row r="27" spans="1:14">
      <c r="A27" s="15"/>
      <c r="D27" s="18"/>
    </row>
    <row r="28" spans="1:14">
      <c r="A28" s="63" t="s">
        <v>35</v>
      </c>
      <c r="B28" s="71">
        <f>SUM(E26:N26)</f>
        <v>945818.00999305281</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894791.00999305281</v>
      </c>
      <c r="C31" s="24"/>
      <c r="D31" s="3"/>
    </row>
    <row r="32" spans="1:14">
      <c r="A32" s="65" t="s">
        <v>9</v>
      </c>
      <c r="B32" s="72">
        <v>11241</v>
      </c>
      <c r="C32" s="24"/>
      <c r="D32" s="3"/>
    </row>
    <row r="33" spans="1:14">
      <c r="A33" s="66" t="s">
        <v>10</v>
      </c>
      <c r="B33" s="73">
        <f>B31/B32</f>
        <v>79.600659193403857</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7.9559999999999964E-2</v>
      </c>
      <c r="F37" s="119">
        <f>F7/'Income Statement'!F5</f>
        <v>7.9559999999999964E-2</v>
      </c>
      <c r="G37" s="119">
        <f>G7/'Income Statement'!G5</f>
        <v>7.9560000000000006E-2</v>
      </c>
      <c r="H37" s="119">
        <f>H7/'Income Statement'!H5</f>
        <v>7.9560000000000033E-2</v>
      </c>
      <c r="I37" s="119">
        <f>I7/'Income Statement'!I5</f>
        <v>7.956000000000002E-2</v>
      </c>
      <c r="J37" s="119">
        <f>J7/'Income Statement'!J5</f>
        <v>7.956000000000002E-2</v>
      </c>
      <c r="K37" s="119">
        <f>K7/'Income Statement'!K5</f>
        <v>7.956000000000002E-2</v>
      </c>
      <c r="L37" s="119">
        <f>L7/'Income Statement'!L5</f>
        <v>7.9560000000000033E-2</v>
      </c>
      <c r="M37" s="119">
        <f>M7/'Income Statement'!M5</f>
        <v>7.9559999999999992E-2</v>
      </c>
      <c r="N37" s="119">
        <f>N7/'Income Statement'!N5</f>
        <v>7.9559999999999992E-2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1.8689995816994447</v>
      </c>
      <c r="G38" s="62">
        <f>'Income Statement'!G5/(('Balance Sheet'!F13+'Balance Sheet'!G13)/2)</f>
        <v>1.8494466417255071</v>
      </c>
      <c r="H38" s="62">
        <f>'Income Statement'!H5/(('Balance Sheet'!G13+'Balance Sheet'!H13)/2)</f>
        <v>1.8104635138823826</v>
      </c>
      <c r="I38" s="62">
        <f>'Income Statement'!I5/(('Balance Sheet'!H13+'Balance Sheet'!I13)/2)</f>
        <v>1.7575941644855619</v>
      </c>
      <c r="J38" s="62">
        <f>'Income Statement'!J5/(('Balance Sheet'!I13+'Balance Sheet'!J13)/2)</f>
        <v>1.7647829752073583</v>
      </c>
      <c r="K38" s="62">
        <f>'Income Statement'!K5/(('Balance Sheet'!J13+'Balance Sheet'!K13)/2)</f>
        <v>1.7706201780693498</v>
      </c>
      <c r="L38" s="62">
        <f>'Income Statement'!L5/(('Balance Sheet'!K13+'Balance Sheet'!L13)/2)</f>
        <v>1.7753477540153011</v>
      </c>
      <c r="M38" s="62">
        <f>'Income Statement'!M5/(('Balance Sheet'!L13+'Balance Sheet'!M13)/2)</f>
        <v>1.7791675180391411</v>
      </c>
      <c r="N38" s="62">
        <f>'Income Statement'!N5/(('Balance Sheet'!M13+'Balance Sheet'!N13)/2)</f>
        <v>1.7822468242827572</v>
      </c>
    </row>
    <row r="39" spans="1:14">
      <c r="A39" s="3" t="s">
        <v>39</v>
      </c>
      <c r="B39" s="75"/>
      <c r="C39" s="75">
        <f>C37*C38</f>
        <v>8.9766040749227963E-2</v>
      </c>
      <c r="D39" s="90" t="s">
        <v>97</v>
      </c>
      <c r="E39" s="119">
        <f>E37*E38</f>
        <v>0.14325048654960007</v>
      </c>
      <c r="F39" s="119">
        <f>F37*F38</f>
        <v>0.14869760672000776</v>
      </c>
      <c r="G39" s="119">
        <f t="shared" ref="G39:N39" si="9">G37*G38</f>
        <v>0.14714197481568136</v>
      </c>
      <c r="H39" s="119">
        <f t="shared" si="9"/>
        <v>0.14404047716448243</v>
      </c>
      <c r="I39" s="119">
        <f t="shared" si="9"/>
        <v>0.13983419172647135</v>
      </c>
      <c r="J39" s="119">
        <f t="shared" si="9"/>
        <v>0.14040613350749745</v>
      </c>
      <c r="K39" s="119">
        <f t="shared" si="9"/>
        <v>0.14087054136719751</v>
      </c>
      <c r="L39" s="119">
        <f t="shared" si="9"/>
        <v>0.14124666730945742</v>
      </c>
      <c r="M39" s="119">
        <f t="shared" si="9"/>
        <v>0.14155056773519406</v>
      </c>
      <c r="N39" s="119">
        <f t="shared" si="9"/>
        <v>0.14179555733993615</v>
      </c>
    </row>
    <row r="40" spans="1:14">
      <c r="A40" s="3" t="s">
        <v>93</v>
      </c>
      <c r="B40" s="120"/>
      <c r="C40" s="120">
        <f>'Income Statement'!C21/'Cash Flow, DCF, Ratios'!C7</f>
        <v>0.77461572960410963</v>
      </c>
      <c r="D40" s="103" t="s">
        <v>92</v>
      </c>
      <c r="E40" s="120">
        <f>'Income Statement'!E21/'Cash Flow, DCF, Ratios'!E7</f>
        <v>0.88214762699295679</v>
      </c>
      <c r="F40" s="120">
        <f>'Income Statement'!F21/'Cash Flow, DCF, Ratios'!F7</f>
        <v>0.88608559092753136</v>
      </c>
      <c r="G40" s="120">
        <f>'Income Statement'!G21/'Cash Flow, DCF, Ratios'!G7</f>
        <v>0.88488125144970653</v>
      </c>
      <c r="H40" s="120">
        <f>'Income Statement'!H21/'Cash Flow, DCF, Ratios'!H7</f>
        <v>0.88240250009268373</v>
      </c>
      <c r="I40" s="120">
        <f>'Income Statement'!I21/'Cash Flow, DCF, Ratios'!I7</f>
        <v>0.87886510594537681</v>
      </c>
      <c r="J40" s="120">
        <f>'Income Statement'!J21/'Cash Flow, DCF, Ratios'!J7</f>
        <v>0.87935854668987468</v>
      </c>
      <c r="K40" s="120">
        <f>'Income Statement'!K21/'Cash Flow, DCF, Ratios'!K7</f>
        <v>0.87975626532273477</v>
      </c>
      <c r="L40" s="120">
        <f>'Income Statement'!L21/'Cash Flow, DCF, Ratios'!L7</f>
        <v>0.88007646252715643</v>
      </c>
      <c r="M40" s="120">
        <f>'Income Statement'!M21/'Cash Flow, DCF, Ratios'!M7</f>
        <v>0.88033393103948343</v>
      </c>
      <c r="N40" s="120">
        <f>'Income Statement'!N21/'Cash Flow, DCF, Ratios'!N7</f>
        <v>0.88054068605695834</v>
      </c>
    </row>
    <row r="41" spans="1:14">
      <c r="A41" s="3" t="s">
        <v>94</v>
      </c>
      <c r="B41" s="62"/>
      <c r="C41" s="62">
        <f>(('Balance Sheet'!B13+'Balance Sheet'!C13)/2)/(('Balance Sheet'!B26+'Balance Sheet'!C26)/2)</f>
        <v>1.8765882875785307</v>
      </c>
      <c r="D41" s="103" t="s">
        <v>96</v>
      </c>
      <c r="E41" s="62">
        <f>(('Balance Sheet'!C13+'Balance Sheet'!E13)/2)/(('Balance Sheet'!C26+'Balance Sheet'!E26)/2)</f>
        <v>1.8690578660617825</v>
      </c>
      <c r="F41" s="62">
        <f>(('Balance Sheet'!E13+'Balance Sheet'!F13)/2)/(('Balance Sheet'!E26+'Balance Sheet'!F26)/2)</f>
        <v>1.8888950210350353</v>
      </c>
      <c r="G41" s="62">
        <f>(('Balance Sheet'!F13+'Balance Sheet'!G13)/2)/(('Balance Sheet'!F26+'Balance Sheet'!G26)/2)</f>
        <v>1.9020507657210892</v>
      </c>
      <c r="H41" s="62">
        <f>(('Balance Sheet'!G13+'Balance Sheet'!H13)/2)/(('Balance Sheet'!G26+'Balance Sheet'!H26)/2)</f>
        <v>1.9098783117919513</v>
      </c>
      <c r="I41" s="62">
        <f>(('Balance Sheet'!H13+'Balance Sheet'!I13)/2)/(('Balance Sheet'!H26+'Balance Sheet'!I26)/2)</f>
        <v>1.9144944429440531</v>
      </c>
      <c r="J41" s="62">
        <f>(('Balance Sheet'!I13+'Balance Sheet'!J13)/2)/(('Balance Sheet'!I26+'Balance Sheet'!J26)/2)</f>
        <v>1.917687998529696</v>
      </c>
      <c r="K41" s="62">
        <f>(('Balance Sheet'!J13+'Balance Sheet'!K13)/2)/(('Balance Sheet'!J26+'Balance Sheet'!K26)/2)</f>
        <v>1.9202889646399492</v>
      </c>
      <c r="L41" s="62">
        <f>(('Balance Sheet'!K13+'Balance Sheet'!L13)/2)/(('Balance Sheet'!K26+'Balance Sheet'!L26)/2)</f>
        <v>1.9224006751482723</v>
      </c>
      <c r="M41" s="62">
        <f>(('Balance Sheet'!L13+'Balance Sheet'!M13)/2)/(('Balance Sheet'!L26+'Balance Sheet'!M26)/2)</f>
        <v>1.9241102801297711</v>
      </c>
      <c r="N41" s="62">
        <f>(('Balance Sheet'!M13+'Balance Sheet'!N13)/2)/(('Balance Sheet'!M26+'Balance Sheet'!N26)/2)</f>
        <v>1.9254906950256465</v>
      </c>
    </row>
    <row r="42" spans="1:14">
      <c r="A42" s="3" t="s">
        <v>76</v>
      </c>
      <c r="B42" s="119"/>
      <c r="C42" s="119">
        <f>C39*C40*C41</f>
        <v>0.13048704118942286</v>
      </c>
      <c r="D42" s="90" t="s">
        <v>95</v>
      </c>
      <c r="E42" s="119">
        <f>E39*E40*E41</f>
        <v>0.23618924791600393</v>
      </c>
      <c r="F42" s="119">
        <f>F39*F40*F41</f>
        <v>0.24887855399094014</v>
      </c>
      <c r="G42" s="119">
        <f t="shared" ref="G42:N42" si="10">G39*G40*G41</f>
        <v>0.24765304835748353</v>
      </c>
      <c r="H42" s="119">
        <f t="shared" si="10"/>
        <v>0.24274873660882731</v>
      </c>
      <c r="I42" s="119">
        <f t="shared" si="10"/>
        <v>0.23528254452376202</v>
      </c>
      <c r="J42" s="119">
        <f t="shared" si="10"/>
        <v>0.23677182367779129</v>
      </c>
      <c r="K42" s="119">
        <f t="shared" si="10"/>
        <v>0.23798475531604163</v>
      </c>
      <c r="L42" s="119">
        <f t="shared" si="10"/>
        <v>0.23896952804194282</v>
      </c>
      <c r="M42" s="119">
        <f t="shared" si="10"/>
        <v>0.23976678332443022</v>
      </c>
      <c r="N42" s="119">
        <f t="shared" si="10"/>
        <v>0.24041052446912214</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Felienne</cp:lastModifiedBy>
  <cp:lastPrinted>1999-02-17T02:45:34Z</cp:lastPrinted>
  <dcterms:created xsi:type="dcterms:W3CDTF">1998-02-10T17:41:39Z</dcterms:created>
  <dcterms:modified xsi:type="dcterms:W3CDTF">2014-09-04T16:19:49Z</dcterms:modified>
</cp:coreProperties>
</file>