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3060" windowWidth="11970" windowHeight="3120" tabRatio="758" activeTab="3"/>
  </bookViews>
  <sheets>
    <sheet name="Greetings" sheetId="8" r:id="rId1"/>
    <sheet name="Income Statement" sheetId="5" r:id="rId2"/>
    <sheet name="Balance Sheet" sheetId="2" r:id="rId3"/>
    <sheet name="Cash Flow, DCF, Ratios" sheetId="3" r:id="rId4"/>
  </sheets>
  <definedNames>
    <definedName name="_xlnm.Print_Area" localSheetId="2">'Balance Sheet'!$A$1:$N$39</definedName>
    <definedName name="_xlnm.Print_Area" localSheetId="3">'Cash Flow, DCF, Ratios'!$A$1:$N$42</definedName>
    <definedName name="_xlnm.Print_Area" localSheetId="1">'Income Statement'!$A$1:$N$26</definedName>
  </definedNames>
  <calcPr calcId="152511"/>
</workbook>
</file>

<file path=xl/calcChain.xml><?xml version="1.0" encoding="utf-8"?>
<calcChain xmlns="http://schemas.openxmlformats.org/spreadsheetml/2006/main">
  <c r="E4" i="2" l="1"/>
  <c r="F4" i="2" s="1"/>
  <c r="G4" i="2"/>
  <c r="H4" i="2"/>
  <c r="I4" i="2"/>
  <c r="J4" i="2" s="1"/>
  <c r="K4" i="2"/>
  <c r="L4" i="2" s="1"/>
  <c r="M4" i="2" s="1"/>
  <c r="N4" i="2" s="1"/>
  <c r="B9" i="2"/>
  <c r="C9" i="2"/>
  <c r="C13" i="2" s="1"/>
  <c r="E11" i="2"/>
  <c r="F11" i="2" s="1"/>
  <c r="G11" i="2"/>
  <c r="H11" i="2" s="1"/>
  <c r="I11" i="2" s="1"/>
  <c r="J11" i="2" s="1"/>
  <c r="K11" i="2" s="1"/>
  <c r="L11" i="2"/>
  <c r="M11" i="2" s="1"/>
  <c r="N11" i="2" s="1"/>
  <c r="E12" i="2"/>
  <c r="E10" i="3" s="1"/>
  <c r="B13" i="2"/>
  <c r="C41" i="3" s="1"/>
  <c r="B18" i="2"/>
  <c r="C18" i="2"/>
  <c r="B21" i="2"/>
  <c r="C21" i="2"/>
  <c r="C27" i="2" s="1"/>
  <c r="B27" i="2"/>
  <c r="E4" i="3"/>
  <c r="F4" i="3" s="1"/>
  <c r="G4" i="3"/>
  <c r="G25" i="3" s="1"/>
  <c r="H4" i="3"/>
  <c r="B5" i="3"/>
  <c r="B6" i="3" s="1"/>
  <c r="D6" i="3"/>
  <c r="E9" i="3"/>
  <c r="E25" i="3"/>
  <c r="F25" i="3"/>
  <c r="B29" i="3"/>
  <c r="E36" i="3"/>
  <c r="F36" i="3"/>
  <c r="G36" i="3" s="1"/>
  <c r="H36" i="3" s="1"/>
  <c r="I36" i="3" s="1"/>
  <c r="J36" i="3" s="1"/>
  <c r="K36" i="3" s="1"/>
  <c r="L36" i="3" s="1"/>
  <c r="M36" i="3"/>
  <c r="N36" i="3"/>
  <c r="C38" i="3"/>
  <c r="E4" i="5"/>
  <c r="F4" i="5"/>
  <c r="G4" i="5"/>
  <c r="H4" i="5" s="1"/>
  <c r="I4" i="5" s="1"/>
  <c r="J4" i="5" s="1"/>
  <c r="K4" i="5" s="1"/>
  <c r="L4" i="5" s="1"/>
  <c r="M4" i="5" s="1"/>
  <c r="N4" i="5"/>
  <c r="E5" i="5"/>
  <c r="E7" i="2" s="1"/>
  <c r="E13" i="3" s="1"/>
  <c r="C6" i="5"/>
  <c r="E7" i="5"/>
  <c r="B8" i="5"/>
  <c r="C8" i="5"/>
  <c r="B9" i="5"/>
  <c r="C9" i="5"/>
  <c r="E11" i="5"/>
  <c r="B12" i="5"/>
  <c r="C12" i="5"/>
  <c r="B13" i="5"/>
  <c r="B16" i="5" s="1"/>
  <c r="B19" i="5" s="1"/>
  <c r="B21" i="5" s="1"/>
  <c r="C13" i="5"/>
  <c r="C16" i="5" s="1"/>
  <c r="E15" i="5"/>
  <c r="C19" i="5" l="1"/>
  <c r="C21" i="5" s="1"/>
  <c r="C5" i="3"/>
  <c r="B7" i="3"/>
  <c r="B17" i="3" s="1"/>
  <c r="E8" i="2"/>
  <c r="E14" i="3" s="1"/>
  <c r="F5" i="5"/>
  <c r="E9" i="5"/>
  <c r="E13" i="5" s="1"/>
  <c r="E16" i="5" s="1"/>
  <c r="E16" i="2"/>
  <c r="E15" i="3" s="1"/>
  <c r="E6" i="2"/>
  <c r="E12" i="3" s="1"/>
  <c r="E5" i="2"/>
  <c r="E10" i="2"/>
  <c r="E17" i="2"/>
  <c r="E16" i="3" s="1"/>
  <c r="E19" i="2"/>
  <c r="E11" i="3" s="1"/>
  <c r="I4" i="3"/>
  <c r="H25" i="3"/>
  <c r="E5" i="3" l="1"/>
  <c r="J4" i="3"/>
  <c r="I25" i="3"/>
  <c r="F7" i="5"/>
  <c r="F9" i="5" s="1"/>
  <c r="F13" i="5" s="1"/>
  <c r="F16" i="5" s="1"/>
  <c r="F11" i="5"/>
  <c r="F15" i="5"/>
  <c r="F8" i="2"/>
  <c r="F14" i="3" s="1"/>
  <c r="F6" i="2"/>
  <c r="F12" i="3" s="1"/>
  <c r="F17" i="2"/>
  <c r="F16" i="3" s="1"/>
  <c r="F10" i="2"/>
  <c r="F16" i="2"/>
  <c r="F15" i="3" s="1"/>
  <c r="F12" i="2"/>
  <c r="F10" i="3" s="1"/>
  <c r="F19" i="2"/>
  <c r="F11" i="3" s="1"/>
  <c r="G5" i="5"/>
  <c r="F5" i="2"/>
  <c r="F7" i="2"/>
  <c r="F13" i="3" s="1"/>
  <c r="E19" i="3"/>
  <c r="F9" i="3"/>
  <c r="E38" i="2"/>
  <c r="E9" i="2"/>
  <c r="E13" i="2" s="1"/>
  <c r="C7" i="3"/>
  <c r="C6" i="3"/>
  <c r="F5" i="3" l="1"/>
  <c r="E15" i="2"/>
  <c r="E18" i="2" s="1"/>
  <c r="E27" i="2"/>
  <c r="E38" i="3"/>
  <c r="E20" i="2"/>
  <c r="K4" i="3"/>
  <c r="J25" i="3"/>
  <c r="E6" i="3"/>
  <c r="E7" i="3" s="1"/>
  <c r="F19" i="3"/>
  <c r="G9" i="3"/>
  <c r="F38" i="2"/>
  <c r="F9" i="2"/>
  <c r="F13" i="2" s="1"/>
  <c r="C37" i="3"/>
  <c r="C39" i="3" s="1"/>
  <c r="C42" i="3" s="1"/>
  <c r="C17" i="3"/>
  <c r="G7" i="2"/>
  <c r="G13" i="3" s="1"/>
  <c r="G10" i="2"/>
  <c r="G7" i="5"/>
  <c r="G11" i="5"/>
  <c r="G15" i="5"/>
  <c r="G5" i="2"/>
  <c r="G17" i="2"/>
  <c r="G16" i="3" s="1"/>
  <c r="G8" i="2"/>
  <c r="G14" i="3" s="1"/>
  <c r="G16" i="2"/>
  <c r="G15" i="3" s="1"/>
  <c r="G6" i="2"/>
  <c r="G12" i="3" s="1"/>
  <c r="G12" i="2"/>
  <c r="G10" i="3" s="1"/>
  <c r="G19" i="2"/>
  <c r="G11" i="3" s="1"/>
  <c r="H5" i="5"/>
  <c r="G9" i="5"/>
  <c r="G13" i="5" s="1"/>
  <c r="G16" i="5" s="1"/>
  <c r="C40" i="3"/>
  <c r="E37" i="3" l="1"/>
  <c r="E39" i="3" s="1"/>
  <c r="E17" i="3"/>
  <c r="E20" i="3" s="1"/>
  <c r="I5" i="5"/>
  <c r="H7" i="2"/>
  <c r="H13" i="3" s="1"/>
  <c r="H10" i="2"/>
  <c r="H5" i="2"/>
  <c r="H12" i="2"/>
  <c r="H10" i="3" s="1"/>
  <c r="H16" i="2"/>
  <c r="H15" i="3" s="1"/>
  <c r="H19" i="2"/>
  <c r="H11" i="3" s="1"/>
  <c r="H17" i="2"/>
  <c r="H16" i="3" s="1"/>
  <c r="H6" i="2"/>
  <c r="H12" i="3" s="1"/>
  <c r="H11" i="5"/>
  <c r="H8" i="2"/>
  <c r="H14" i="3" s="1"/>
  <c r="H7" i="5"/>
  <c r="H9" i="5" s="1"/>
  <c r="H13" i="5" s="1"/>
  <c r="H16" i="5" s="1"/>
  <c r="H15" i="5"/>
  <c r="G38" i="2"/>
  <c r="G9" i="2"/>
  <c r="G13" i="2" s="1"/>
  <c r="F15" i="2"/>
  <c r="F18" i="2" s="1"/>
  <c r="F20" i="2"/>
  <c r="F27" i="2"/>
  <c r="F38" i="3"/>
  <c r="E34" i="2"/>
  <c r="E18" i="5"/>
  <c r="L4" i="3"/>
  <c r="K25" i="3"/>
  <c r="G19" i="3"/>
  <c r="H9" i="3"/>
  <c r="E21" i="2"/>
  <c r="E26" i="2" s="1"/>
  <c r="G5" i="3"/>
  <c r="F6" i="3"/>
  <c r="F7" i="3" s="1"/>
  <c r="F37" i="3" l="1"/>
  <c r="F39" i="3" s="1"/>
  <c r="F17" i="3"/>
  <c r="F20" i="3" s="1"/>
  <c r="H5" i="3"/>
  <c r="E41" i="3"/>
  <c r="G6" i="3"/>
  <c r="G7" i="3" s="1"/>
  <c r="G38" i="3"/>
  <c r="F26" i="2"/>
  <c r="H38" i="2"/>
  <c r="H9" i="2"/>
  <c r="H13" i="2" s="1"/>
  <c r="I9" i="3"/>
  <c r="H19" i="3"/>
  <c r="F34" i="2"/>
  <c r="L25" i="3"/>
  <c r="M4" i="3"/>
  <c r="F21" i="2"/>
  <c r="F18" i="5"/>
  <c r="G27" i="2"/>
  <c r="G20" i="2"/>
  <c r="G15" i="2"/>
  <c r="G18" i="2" s="1"/>
  <c r="G21" i="2" s="1"/>
  <c r="I6" i="2"/>
  <c r="I12" i="3" s="1"/>
  <c r="I17" i="2"/>
  <c r="I16" i="3" s="1"/>
  <c r="J5" i="5"/>
  <c r="I5" i="2"/>
  <c r="I10" i="2"/>
  <c r="I7" i="2"/>
  <c r="I13" i="3" s="1"/>
  <c r="I7" i="5"/>
  <c r="I9" i="5" s="1"/>
  <c r="I13" i="5" s="1"/>
  <c r="I16" i="5" s="1"/>
  <c r="I11" i="5"/>
  <c r="I15" i="5"/>
  <c r="I12" i="2"/>
  <c r="I10" i="3" s="1"/>
  <c r="I19" i="2"/>
  <c r="I11" i="3" s="1"/>
  <c r="I16" i="2"/>
  <c r="I15" i="3" s="1"/>
  <c r="I8" i="2"/>
  <c r="I14" i="3" s="1"/>
  <c r="E32" i="2"/>
  <c r="E19" i="5"/>
  <c r="E23" i="3"/>
  <c r="E26" i="3" s="1"/>
  <c r="E31" i="2"/>
  <c r="G37" i="3" l="1"/>
  <c r="G39" i="3" s="1"/>
  <c r="G17" i="3"/>
  <c r="G20" i="3" s="1"/>
  <c r="I5" i="3"/>
  <c r="E20" i="5"/>
  <c r="E21" i="5" s="1"/>
  <c r="F32" i="2"/>
  <c r="F19" i="5"/>
  <c r="H27" i="2"/>
  <c r="H20" i="2"/>
  <c r="H15" i="2"/>
  <c r="H18" i="2" s="1"/>
  <c r="H21" i="2" s="1"/>
  <c r="H38" i="3"/>
  <c r="F41" i="3"/>
  <c r="E33" i="2"/>
  <c r="N4" i="3"/>
  <c r="N25" i="3" s="1"/>
  <c r="M25" i="3"/>
  <c r="G18" i="5"/>
  <c r="H6" i="3"/>
  <c r="H7" i="3" s="1"/>
  <c r="J9" i="3"/>
  <c r="I19" i="3"/>
  <c r="G34" i="2"/>
  <c r="I9" i="2"/>
  <c r="I13" i="2" s="1"/>
  <c r="I38" i="2"/>
  <c r="F23" i="3"/>
  <c r="F26" i="3" s="1"/>
  <c r="F31" i="2"/>
  <c r="F33" i="2" s="1"/>
  <c r="G26" i="2"/>
  <c r="J6" i="2"/>
  <c r="J12" i="3" s="1"/>
  <c r="J17" i="2"/>
  <c r="J16" i="3" s="1"/>
  <c r="J8" i="2"/>
  <c r="J14" i="3" s="1"/>
  <c r="J12" i="2"/>
  <c r="J10" i="3" s="1"/>
  <c r="J19" i="2"/>
  <c r="J11" i="3" s="1"/>
  <c r="J5" i="2"/>
  <c r="J10" i="2"/>
  <c r="J7" i="2"/>
  <c r="J13" i="3" s="1"/>
  <c r="J7" i="5"/>
  <c r="J9" i="5" s="1"/>
  <c r="J13" i="5" s="1"/>
  <c r="J16" i="5" s="1"/>
  <c r="J11" i="5"/>
  <c r="J15" i="5"/>
  <c r="K5" i="5"/>
  <c r="J16" i="2"/>
  <c r="J15" i="3" s="1"/>
  <c r="J5" i="3" l="1"/>
  <c r="H17" i="3"/>
  <c r="H20" i="3" s="1"/>
  <c r="H37" i="3"/>
  <c r="H39" i="3" s="1"/>
  <c r="E40" i="3"/>
  <c r="E42" i="3" s="1"/>
  <c r="E25" i="5"/>
  <c r="E35" i="2"/>
  <c r="I20" i="2"/>
  <c r="I27" i="2"/>
  <c r="I15" i="2"/>
  <c r="I18" i="2" s="1"/>
  <c r="J9" i="2"/>
  <c r="J13" i="2" s="1"/>
  <c r="J38" i="2"/>
  <c r="I6" i="3"/>
  <c r="I7" i="3" s="1"/>
  <c r="G41" i="3"/>
  <c r="J38" i="3"/>
  <c r="G32" i="2"/>
  <c r="G19" i="5"/>
  <c r="K9" i="3"/>
  <c r="J19" i="3"/>
  <c r="I18" i="5"/>
  <c r="H34" i="2"/>
  <c r="I38" i="3"/>
  <c r="H26" i="2"/>
  <c r="K5" i="2"/>
  <c r="K12" i="2"/>
  <c r="K10" i="3" s="1"/>
  <c r="K16" i="2"/>
  <c r="K15" i="3" s="1"/>
  <c r="K19" i="2"/>
  <c r="K11" i="3" s="1"/>
  <c r="K7" i="5"/>
  <c r="K9" i="5" s="1"/>
  <c r="K13" i="5" s="1"/>
  <c r="K16" i="5" s="1"/>
  <c r="K11" i="5"/>
  <c r="K15" i="5"/>
  <c r="K6" i="2"/>
  <c r="K12" i="3" s="1"/>
  <c r="L5" i="5"/>
  <c r="K17" i="2"/>
  <c r="K16" i="3" s="1"/>
  <c r="K8" i="2"/>
  <c r="K14" i="3" s="1"/>
  <c r="K7" i="2"/>
  <c r="K13" i="3" s="1"/>
  <c r="K10" i="2"/>
  <c r="F20" i="5"/>
  <c r="F21" i="5" s="1"/>
  <c r="G23" i="3"/>
  <c r="G26" i="3" s="1"/>
  <c r="G31" i="2"/>
  <c r="H18" i="5"/>
  <c r="F40" i="3" l="1"/>
  <c r="F42" i="3" s="1"/>
  <c r="F25" i="5"/>
  <c r="F35" i="2"/>
  <c r="I17" i="3"/>
  <c r="I20" i="3" s="1"/>
  <c r="I37" i="3"/>
  <c r="I39" i="3" s="1"/>
  <c r="K5" i="3"/>
  <c r="E28" i="2"/>
  <c r="E36" i="2"/>
  <c r="E37" i="2" s="1"/>
  <c r="E39" i="2" s="1"/>
  <c r="G33" i="2"/>
  <c r="L5" i="2"/>
  <c r="L12" i="2"/>
  <c r="L10" i="3" s="1"/>
  <c r="L16" i="2"/>
  <c r="L15" i="3" s="1"/>
  <c r="L19" i="2"/>
  <c r="L11" i="3" s="1"/>
  <c r="L7" i="2"/>
  <c r="L13" i="3" s="1"/>
  <c r="L10" i="2"/>
  <c r="L6" i="2"/>
  <c r="L12" i="3" s="1"/>
  <c r="M5" i="5"/>
  <c r="L8" i="2"/>
  <c r="L14" i="3" s="1"/>
  <c r="L17" i="2"/>
  <c r="L16" i="3" s="1"/>
  <c r="L7" i="5"/>
  <c r="L9" i="5" s="1"/>
  <c r="L13" i="5" s="1"/>
  <c r="L16" i="5" s="1"/>
  <c r="L11" i="5"/>
  <c r="L15" i="5"/>
  <c r="K38" i="2"/>
  <c r="K9" i="2"/>
  <c r="K13" i="2" s="1"/>
  <c r="I26" i="2"/>
  <c r="J6" i="3"/>
  <c r="J7" i="3" s="1"/>
  <c r="I34" i="2"/>
  <c r="H32" i="2"/>
  <c r="H19" i="5"/>
  <c r="J20" i="2"/>
  <c r="J15" i="2"/>
  <c r="J18" i="2" s="1"/>
  <c r="J21" i="2" s="1"/>
  <c r="J27" i="2"/>
  <c r="H31" i="2"/>
  <c r="H33" i="2" s="1"/>
  <c r="H23" i="3"/>
  <c r="H26" i="3" s="1"/>
  <c r="I32" i="2"/>
  <c r="I19" i="5"/>
  <c r="H41" i="3"/>
  <c r="I21" i="2"/>
  <c r="K19" i="3"/>
  <c r="L9" i="3"/>
  <c r="G20" i="5"/>
  <c r="G21" i="5"/>
  <c r="J17" i="3" l="1"/>
  <c r="J20" i="3" s="1"/>
  <c r="J37" i="3"/>
  <c r="J39" i="3" s="1"/>
  <c r="L5" i="3"/>
  <c r="I20" i="5"/>
  <c r="I21" i="5" s="1"/>
  <c r="J34" i="2"/>
  <c r="K7" i="3"/>
  <c r="K6" i="3"/>
  <c r="H20" i="5"/>
  <c r="H21" i="5" s="1"/>
  <c r="L9" i="2"/>
  <c r="L13" i="2" s="1"/>
  <c r="L38" i="3" s="1"/>
  <c r="L38" i="2"/>
  <c r="I23" i="3"/>
  <c r="I26" i="3" s="1"/>
  <c r="I31" i="2"/>
  <c r="I33" i="2" s="1"/>
  <c r="G40" i="3"/>
  <c r="G42" i="3" s="1"/>
  <c r="G35" i="2"/>
  <c r="I41" i="3"/>
  <c r="K15" i="2"/>
  <c r="K18" i="2" s="1"/>
  <c r="K20" i="2"/>
  <c r="K18" i="5" s="1"/>
  <c r="K27" i="2"/>
  <c r="K38" i="3"/>
  <c r="M8" i="2"/>
  <c r="M14" i="3" s="1"/>
  <c r="N5" i="5"/>
  <c r="M7" i="2"/>
  <c r="M13" i="3" s="1"/>
  <c r="M7" i="5"/>
  <c r="M9" i="5" s="1"/>
  <c r="M13" i="5" s="1"/>
  <c r="M16" i="5" s="1"/>
  <c r="M11" i="5"/>
  <c r="M15" i="5"/>
  <c r="M12" i="2"/>
  <c r="M10" i="3" s="1"/>
  <c r="M19" i="2"/>
  <c r="M11" i="3" s="1"/>
  <c r="M6" i="2"/>
  <c r="M12" i="3" s="1"/>
  <c r="M16" i="2"/>
  <c r="M15" i="3" s="1"/>
  <c r="M10" i="2"/>
  <c r="M17" i="2"/>
  <c r="M16" i="3" s="1"/>
  <c r="M5" i="2"/>
  <c r="J18" i="5"/>
  <c r="F36" i="2"/>
  <c r="F37" i="2" s="1"/>
  <c r="F39" i="2" s="1"/>
  <c r="F28" i="2"/>
  <c r="J26" i="2"/>
  <c r="L19" i="3"/>
  <c r="M9" i="3"/>
  <c r="H40" i="3" l="1"/>
  <c r="H42" i="3" s="1"/>
  <c r="H35" i="2"/>
  <c r="K32" i="2"/>
  <c r="K19" i="5"/>
  <c r="M5" i="3"/>
  <c r="I40" i="3"/>
  <c r="I42" i="3" s="1"/>
  <c r="I35" i="2"/>
  <c r="J41" i="3"/>
  <c r="G28" i="2"/>
  <c r="G36" i="2"/>
  <c r="G37" i="2" s="1"/>
  <c r="G39" i="2" s="1"/>
  <c r="L7" i="3"/>
  <c r="L6" i="3"/>
  <c r="K21" i="2"/>
  <c r="K26" i="2" s="1"/>
  <c r="M38" i="2"/>
  <c r="M9" i="2"/>
  <c r="M13" i="2" s="1"/>
  <c r="K34" i="2"/>
  <c r="L27" i="2"/>
  <c r="L15" i="2"/>
  <c r="L18" i="2" s="1"/>
  <c r="L20" i="2"/>
  <c r="N9" i="3"/>
  <c r="M19" i="3"/>
  <c r="N7" i="5"/>
  <c r="N11" i="5"/>
  <c r="N8" i="2"/>
  <c r="N14" i="3" s="1"/>
  <c r="N6" i="2"/>
  <c r="N12" i="3" s="1"/>
  <c r="N17" i="2"/>
  <c r="N16" i="3" s="1"/>
  <c r="N9" i="5"/>
  <c r="N13" i="5" s="1"/>
  <c r="N16" i="5" s="1"/>
  <c r="N7" i="2"/>
  <c r="N13" i="3" s="1"/>
  <c r="N15" i="5"/>
  <c r="N12" i="2"/>
  <c r="N10" i="3" s="1"/>
  <c r="N19" i="2"/>
  <c r="N11" i="3" s="1"/>
  <c r="N10" i="2"/>
  <c r="N19" i="3" s="1"/>
  <c r="N16" i="2"/>
  <c r="N15" i="3" s="1"/>
  <c r="N5" i="2"/>
  <c r="K17" i="3"/>
  <c r="K20" i="3" s="1"/>
  <c r="K37" i="3"/>
  <c r="K39" i="3" s="1"/>
  <c r="J32" i="2"/>
  <c r="J19" i="5"/>
  <c r="J23" i="3"/>
  <c r="J26" i="3" s="1"/>
  <c r="J31" i="2"/>
  <c r="J33" i="2" s="1"/>
  <c r="K41" i="3" l="1"/>
  <c r="N5" i="3"/>
  <c r="M15" i="2"/>
  <c r="M18" i="2" s="1"/>
  <c r="M20" i="2"/>
  <c r="M27" i="2"/>
  <c r="N38" i="2"/>
  <c r="N9" i="2"/>
  <c r="N13" i="2" s="1"/>
  <c r="L21" i="2"/>
  <c r="M6" i="3"/>
  <c r="M7" i="3" s="1"/>
  <c r="I28" i="2"/>
  <c r="I36" i="2"/>
  <c r="I37" i="2" s="1"/>
  <c r="I39" i="2" s="1"/>
  <c r="K31" i="2"/>
  <c r="K33" i="2" s="1"/>
  <c r="K23" i="3"/>
  <c r="K26" i="3" s="1"/>
  <c r="L37" i="3"/>
  <c r="L39" i="3" s="1"/>
  <c r="L17" i="3"/>
  <c r="L20" i="3" s="1"/>
  <c r="L34" i="2"/>
  <c r="K20" i="5"/>
  <c r="K21" i="5"/>
  <c r="K40" i="3" s="1"/>
  <c r="K42" i="3" s="1"/>
  <c r="L26" i="2"/>
  <c r="M38" i="3"/>
  <c r="J20" i="5"/>
  <c r="J21" i="5" s="1"/>
  <c r="L18" i="5"/>
  <c r="H28" i="2"/>
  <c r="H36" i="2"/>
  <c r="H37" i="2" s="1"/>
  <c r="H39" i="2" s="1"/>
  <c r="J40" i="3" l="1"/>
  <c r="J42" i="3" s="1"/>
  <c r="J35" i="2"/>
  <c r="M37" i="3"/>
  <c r="M39" i="3" s="1"/>
  <c r="M17" i="3"/>
  <c r="M20" i="3" s="1"/>
  <c r="M21" i="2"/>
  <c r="M26" i="2" s="1"/>
  <c r="M34" i="2"/>
  <c r="N18" i="5"/>
  <c r="N15" i="2"/>
  <c r="N18" i="2" s="1"/>
  <c r="N20" i="2"/>
  <c r="N34" i="2" s="1"/>
  <c r="N27" i="2"/>
  <c r="L32" i="2"/>
  <c r="L19" i="5"/>
  <c r="M18" i="5"/>
  <c r="L31" i="2"/>
  <c r="L23" i="3"/>
  <c r="L26" i="3" s="1"/>
  <c r="N6" i="3"/>
  <c r="N7" i="3" s="1"/>
  <c r="L41" i="3"/>
  <c r="N38" i="3"/>
  <c r="K35" i="2"/>
  <c r="N22" i="3" l="1"/>
  <c r="N37" i="3"/>
  <c r="N39" i="3" s="1"/>
  <c r="N17" i="3"/>
  <c r="N20" i="3" s="1"/>
  <c r="M41" i="3"/>
  <c r="N32" i="2"/>
  <c r="N19" i="5"/>
  <c r="L20" i="5"/>
  <c r="L21" i="5" s="1"/>
  <c r="M31" i="2"/>
  <c r="M23" i="3"/>
  <c r="M26" i="3" s="1"/>
  <c r="M32" i="2"/>
  <c r="M19" i="5"/>
  <c r="K36" i="2"/>
  <c r="K37" i="2" s="1"/>
  <c r="K39" i="2" s="1"/>
  <c r="K28" i="2"/>
  <c r="N21" i="2"/>
  <c r="J36" i="2"/>
  <c r="J37" i="2" s="1"/>
  <c r="J39" i="2" s="1"/>
  <c r="J28" i="2"/>
  <c r="N26" i="2"/>
  <c r="N41" i="3" s="1"/>
  <c r="L33" i="2"/>
  <c r="L40" i="3" l="1"/>
  <c r="L42" i="3" s="1"/>
  <c r="L35" i="2"/>
  <c r="N23" i="3"/>
  <c r="N26" i="3" s="1"/>
  <c r="B28" i="3" s="1"/>
  <c r="B31" i="3" s="1"/>
  <c r="B33" i="3" s="1"/>
  <c r="N31" i="2"/>
  <c r="N33" i="2" s="1"/>
  <c r="N42" i="3"/>
  <c r="M20" i="5"/>
  <c r="M21" i="5" s="1"/>
  <c r="M33" i="2"/>
  <c r="N20" i="5"/>
  <c r="N21" i="5"/>
  <c r="N40" i="3" s="1"/>
  <c r="M40" i="3" l="1"/>
  <c r="M42" i="3" s="1"/>
  <c r="M35" i="2"/>
  <c r="N35" i="2"/>
  <c r="L28" i="2"/>
  <c r="L36" i="2"/>
  <c r="L37" i="2" s="1"/>
  <c r="L39" i="2" s="1"/>
  <c r="N36" i="2" l="1"/>
  <c r="N37" i="2" s="1"/>
  <c r="N39" i="2" s="1"/>
  <c r="N28" i="2"/>
  <c r="M36" i="2"/>
  <c r="M37" i="2" s="1"/>
  <c r="M39" i="2" s="1"/>
  <c r="M28" i="2"/>
</calcChain>
</file>

<file path=xl/comments1.xml><?xml version="1.0" encoding="utf-8"?>
<comments xmlns="http://schemas.openxmlformats.org/spreadsheetml/2006/main">
  <authors>
    <author>scott jenkins</author>
  </authors>
  <commentList>
    <comment ref="D28" authorId="0" shapeId="0">
      <text>
        <r>
          <rPr>
            <b/>
            <sz val="8"/>
            <color indexed="81"/>
            <rFont val="Tahoma"/>
          </rPr>
          <t>All of these numbers should be zero.  If not, then you have a problem in your model.</t>
        </r>
      </text>
    </comment>
    <comment ref="D39" authorId="0" shapeId="0">
      <text>
        <r>
          <rPr>
            <b/>
            <sz val="8"/>
            <color indexed="81"/>
            <rFont val="Tahoma"/>
          </rPr>
          <t>All of these numbers should be zero.  If not, then you have a problem in your model.</t>
        </r>
      </text>
    </comment>
    <comment ref="A41" authorId="0" shapeId="0">
      <text>
        <r>
          <rPr>
            <b/>
            <sz val="8"/>
            <color indexed="81"/>
            <rFont val="Tahoma"/>
          </rPr>
          <t>This Net Income data includes estimated interest expense.</t>
        </r>
      </text>
    </comment>
  </commentList>
</comments>
</file>

<file path=xl/comments2.xml><?xml version="1.0" encoding="utf-8"?>
<comments xmlns="http://schemas.openxmlformats.org/spreadsheetml/2006/main">
  <authors>
    <author>scott jenkins</author>
  </authors>
  <commentList>
    <comment ref="D19" authorId="0" shapeId="0">
      <text>
        <r>
          <rPr>
            <b/>
            <sz val="8"/>
            <color indexed="81"/>
            <rFont val="Tahoma"/>
            <family val="2"/>
          </rPr>
          <t>Only include Depreciation Expense on PP&amp;E and not Intangibles.</t>
        </r>
      </text>
    </comment>
    <comment ref="D22" authorId="0" shapeId="0">
      <text>
        <r>
          <rPr>
            <b/>
            <sz val="8"/>
            <color indexed="81"/>
            <rFont val="Tahoma"/>
            <family val="2"/>
          </rPr>
          <t>This is your estimate of annual perpetual EBI growth beyond the terminal year.</t>
        </r>
      </text>
    </comment>
    <comment ref="N22" authorId="0" shapeId="0">
      <text>
        <r>
          <rPr>
            <b/>
            <sz val="8"/>
            <color indexed="81"/>
            <rFont val="Tahoma"/>
          </rPr>
          <t>This terminal value is calculated by dividing 2002 EBI by the discount rate (D25) adjusted by any forecasted growth (D22).</t>
        </r>
      </text>
    </comment>
  </commentList>
</comments>
</file>

<file path=xl/sharedStrings.xml><?xml version="1.0" encoding="utf-8"?>
<sst xmlns="http://schemas.openxmlformats.org/spreadsheetml/2006/main" count="152" uniqueCount="101">
  <si>
    <t>Actual</t>
  </si>
  <si>
    <t>Assumptions</t>
  </si>
  <si>
    <t>Forecast</t>
  </si>
  <si>
    <t>FISCAL YEAR ENDING</t>
  </si>
  <si>
    <t>CFO (excl. int.)</t>
  </si>
  <si>
    <t>Less: Capital Expenditures</t>
  </si>
  <si>
    <t>FCF (free cash flow)</t>
  </si>
  <si>
    <t>PV Factor</t>
  </si>
  <si>
    <t>PV of cash flow</t>
  </si>
  <si>
    <t>Shrs Outstanding</t>
  </si>
  <si>
    <t>Price per share</t>
  </si>
  <si>
    <t>Cash</t>
  </si>
  <si>
    <t>Receivables</t>
  </si>
  <si>
    <t>Inventories</t>
  </si>
  <si>
    <t>Other Cur. Assets</t>
  </si>
  <si>
    <t>Total Cur. Assets</t>
  </si>
  <si>
    <t>Net PPE</t>
  </si>
  <si>
    <t>Intangibles</t>
  </si>
  <si>
    <t>deprec. over 30 years</t>
  </si>
  <si>
    <t>Other Assets</t>
  </si>
  <si>
    <t>TOTAL ASSETS</t>
  </si>
  <si>
    <t>Notes Payable</t>
  </si>
  <si>
    <t>Accounts Payable</t>
  </si>
  <si>
    <t>Accrued Expenses</t>
  </si>
  <si>
    <t>Total Cur Liab (excl L/T Debt)</t>
  </si>
  <si>
    <t>Def. Taxes</t>
  </si>
  <si>
    <t>L/T Debt (incl. cur. portion)</t>
  </si>
  <si>
    <t>TOTAL LIABILITIES</t>
  </si>
  <si>
    <t>PLUG</t>
  </si>
  <si>
    <t>TOT LIAB &amp; NET WORTH</t>
  </si>
  <si>
    <t>Unreconciled Difference</t>
  </si>
  <si>
    <t>Deduct: Int. expense (net of tax)</t>
  </si>
  <si>
    <t>Add: Increase in L/T debt</t>
  </si>
  <si>
    <t>Asset Turnover</t>
  </si>
  <si>
    <t>Terminal Value</t>
  </si>
  <si>
    <t>Total PV of Cash Flows</t>
  </si>
  <si>
    <t xml:space="preserve">FISCAL YEAR ENDING  </t>
  </si>
  <si>
    <t xml:space="preserve">NET INCOME          </t>
  </si>
  <si>
    <t>EBIT</t>
  </si>
  <si>
    <t>Return on Assets (ROA)</t>
  </si>
  <si>
    <t>Less:  Taxes on EBIT</t>
  </si>
  <si>
    <t>Common Stock, Net</t>
  </si>
  <si>
    <t>Capital Surplus</t>
  </si>
  <si>
    <t>Retained Earnings</t>
  </si>
  <si>
    <t>Other Equities</t>
  </si>
  <si>
    <t>Shareholders' Equity</t>
  </si>
  <si>
    <t>Cost of Goods Sold</t>
  </si>
  <si>
    <t>Gross Income</t>
  </si>
  <si>
    <t>Selling, Gen &amp; Admin Exp.</t>
  </si>
  <si>
    <t>Operating Income</t>
  </si>
  <si>
    <t>Interest Expense</t>
  </si>
  <si>
    <t>Pretax Income</t>
  </si>
  <si>
    <t>Income Tax</t>
  </si>
  <si>
    <t>Non-Operating Income (Expense)</t>
  </si>
  <si>
    <t>Timberland Co.</t>
  </si>
  <si>
    <t>Income Statements ($000's)</t>
  </si>
  <si>
    <t>Net Sales</t>
  </si>
  <si>
    <t xml:space="preserve">     yr.-to-yr. growth rate</t>
  </si>
  <si>
    <t xml:space="preserve">     % of Sales</t>
  </si>
  <si>
    <t>from Balance Sheet</t>
  </si>
  <si>
    <t>from Income Statement</t>
  </si>
  <si>
    <t>Add: Depreciation &amp; Amortization</t>
  </si>
  <si>
    <t xml:space="preserve">   (Inc.) Dec. in Other Assets</t>
  </si>
  <si>
    <t xml:space="preserve">   Inc. (Dec.) in Def. Tax Liab</t>
  </si>
  <si>
    <t xml:space="preserve">   (Inc.) Dec. in A/R</t>
  </si>
  <si>
    <t xml:space="preserve">   (Inc.) Dec. in Inventories</t>
  </si>
  <si>
    <t xml:space="preserve">   (Inc.) Dec. in Other C. Assets</t>
  </si>
  <si>
    <t xml:space="preserve">   Inc. (Dec.) in A/P</t>
  </si>
  <si>
    <t xml:space="preserve">   Inc. (Dec.) in Other Accruals</t>
  </si>
  <si>
    <t>Balance Sheets ($000's)</t>
  </si>
  <si>
    <t>Cash Flow and DCF Valuation ($000's)</t>
  </si>
  <si>
    <t>Ratio Analysis</t>
  </si>
  <si>
    <t>PV of shareholders' equity</t>
  </si>
  <si>
    <t>Plus:   idle assets (liabilities)</t>
  </si>
  <si>
    <t>% of Sales</t>
  </si>
  <si>
    <t>year-to-year growth</t>
  </si>
  <si>
    <t>Return on Average Equity (ROE)</t>
  </si>
  <si>
    <t>Shares Outstanding</t>
  </si>
  <si>
    <t>Earnings Per Share (EPS)</t>
  </si>
  <si>
    <t>To bring net PPE to 11% of sales</t>
  </si>
  <si>
    <t>Total Free Cash Flow</t>
  </si>
  <si>
    <t>Less:  debt</t>
  </si>
  <si>
    <t>Interest from I/S * (1-t)</t>
  </si>
  <si>
    <t>Cash per SCF:</t>
  </si>
  <si>
    <t>=CFO+CFI</t>
  </si>
  <si>
    <t>Less: Dividends (new equity)</t>
  </si>
  <si>
    <t xml:space="preserve">    =CFF</t>
  </si>
  <si>
    <t>Free Cash Flow (=CFO+CFI+(interest net of tax))</t>
  </si>
  <si>
    <t>Chg Cash per SCF (CFO+CFI+CFF)</t>
  </si>
  <si>
    <t>Chg Cash per B/S</t>
  </si>
  <si>
    <t>Profit Margin</t>
  </si>
  <si>
    <t>EBI / Sales</t>
  </si>
  <si>
    <t>Net Income/EBI</t>
  </si>
  <si>
    <t>I/S Leverage</t>
  </si>
  <si>
    <t>B/S Leverage</t>
  </si>
  <si>
    <t>Net Income/Avg Equity</t>
  </si>
  <si>
    <t>Avg Assets / Avg Equity</t>
  </si>
  <si>
    <t>EBI / Avg Assets</t>
  </si>
  <si>
    <t>Sales / Avg Assets</t>
  </si>
  <si>
    <t>EBI</t>
  </si>
  <si>
    <t>derived from plug - NI</t>
  </si>
</sst>
</file>

<file path=xl/styles.xml><?xml version="1.0" encoding="utf-8"?>
<styleSheet xmlns="http://schemas.openxmlformats.org/spreadsheetml/2006/main" xmlns:mc="http://schemas.openxmlformats.org/markup-compatibility/2006" xmlns:x14ac="http://schemas.microsoft.com/office/spreadsheetml/2009/9/ac" mc:Ignorable="x14ac">
  <numFmts count="21">
    <numFmt numFmtId="8" formatCode="&quot;$&quot;#,##0.00_);[Red]\(&quot;$&quot;#,##0.00\)"/>
    <numFmt numFmtId="164" formatCode="#,##0.0_);\(#,##0.0\)"/>
    <numFmt numFmtId="165" formatCode="0.0000"/>
    <numFmt numFmtId="166" formatCode="0.000"/>
    <numFmt numFmtId="168" formatCode="#,##0.0000_);\(#,##0.0000\)"/>
    <numFmt numFmtId="173" formatCode="0%\ &quot;Beg. Net PPE + Intangibles&quot;"/>
    <numFmt numFmtId="176" formatCode="&quot;Discount Rate of&quot;\ 0.00%"/>
    <numFmt numFmtId="177" formatCode="0%&quot; of Sales&quot;"/>
    <numFmt numFmtId="178" formatCode="0.0%&quot; of Sales&quot;"/>
    <numFmt numFmtId="179" formatCode="0.00%&quot; of Sales&quot;"/>
    <numFmt numFmtId="180" formatCode="0%&quot; Tax Rate&quot;"/>
    <numFmt numFmtId="181" formatCode="0.0%"/>
    <numFmt numFmtId="182" formatCode="&quot;Sales growth declines from &quot;0.0%&quot; to 10% in yr 5&quot;"/>
    <numFmt numFmtId="188" formatCode="&quot;&quot;0.0%&quot; --&gt; 61.5% of Sales 1st 5 yrs.; steady state thereafter&quot;"/>
    <numFmt numFmtId="189" formatCode="0.0%&quot; of Total Assets&quot;"/>
    <numFmt numFmtId="191" formatCode="0.0%&quot; of beg. Net PPE + Intgble Amort.&quot;"/>
    <numFmt numFmtId="192" formatCode="0.00%&quot; Discount Rate&quot;"/>
    <numFmt numFmtId="193" formatCode="0.00%&quot; Capitalization Rate&quot;"/>
    <numFmt numFmtId="194" formatCode="&quot;Ave. Debt Bal. * &quot;0.00%&quot; cost * (1-t)&quot;"/>
    <numFmt numFmtId="198" formatCode="0.00%&quot; perpetual annual growth&quot;"/>
    <numFmt numFmtId="201" formatCode="0.00%&quot; of Avg LTD&quot;"/>
  </numFmts>
  <fonts count="17">
    <font>
      <sz val="10"/>
      <name val="Tms Rmn"/>
    </font>
    <font>
      <sz val="10"/>
      <name val="Geneva"/>
    </font>
    <font>
      <b/>
      <sz val="10"/>
      <name val="Arial"/>
      <family val="2"/>
    </font>
    <font>
      <sz val="10"/>
      <name val="Arial"/>
      <family val="2"/>
    </font>
    <font>
      <b/>
      <sz val="10"/>
      <color indexed="12"/>
      <name val="Arial"/>
      <family val="2"/>
    </font>
    <font>
      <sz val="10"/>
      <color indexed="56"/>
      <name val="Arial"/>
      <family val="2"/>
    </font>
    <font>
      <b/>
      <sz val="10"/>
      <color indexed="56"/>
      <name val="Arial"/>
      <family val="2"/>
    </font>
    <font>
      <b/>
      <sz val="8"/>
      <color indexed="81"/>
      <name val="Tahoma"/>
    </font>
    <font>
      <b/>
      <sz val="14"/>
      <name val="Arial"/>
      <family val="2"/>
    </font>
    <font>
      <i/>
      <sz val="10"/>
      <name val="Arial"/>
      <family val="2"/>
    </font>
    <font>
      <i/>
      <sz val="9"/>
      <name val="Arial"/>
      <family val="2"/>
    </font>
    <font>
      <sz val="9"/>
      <name val="Arial"/>
      <family val="2"/>
    </font>
    <font>
      <sz val="10"/>
      <color indexed="10"/>
      <name val="Arial"/>
      <family val="2"/>
    </font>
    <font>
      <sz val="9"/>
      <color indexed="56"/>
      <name val="Arial"/>
      <family val="2"/>
    </font>
    <font>
      <i/>
      <sz val="9"/>
      <color indexed="56"/>
      <name val="Arial"/>
      <family val="2"/>
    </font>
    <font>
      <b/>
      <sz val="8"/>
      <color indexed="81"/>
      <name val="Tahoma"/>
      <family val="2"/>
    </font>
    <font>
      <sz val="8"/>
      <name val="Tms Rmn"/>
    </font>
  </fonts>
  <fills count="6">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8"/>
        <bgColor indexed="64"/>
      </patternFill>
    </fill>
    <fill>
      <patternFill patternType="solid">
        <fgColor indexed="44"/>
        <bgColor indexed="64"/>
      </patternFill>
    </fill>
  </fills>
  <borders count="1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4">
    <xf numFmtId="37" fontId="0" fillId="0" borderId="0"/>
    <xf numFmtId="40" fontId="1" fillId="0" borderId="0" applyFont="0" applyFill="0" applyBorder="0" applyAlignment="0" applyProtection="0"/>
    <xf numFmtId="8" fontId="1" fillId="0" borderId="0" applyFont="0" applyFill="0" applyBorder="0" applyAlignment="0" applyProtection="0"/>
    <xf numFmtId="9" fontId="1" fillId="0" borderId="0" applyFont="0" applyFill="0" applyBorder="0" applyAlignment="0" applyProtection="0"/>
  </cellStyleXfs>
  <cellXfs count="121">
    <xf numFmtId="37" fontId="0" fillId="0" borderId="0" xfId="0"/>
    <xf numFmtId="37" fontId="2" fillId="0" borderId="0" xfId="0" applyFont="1" applyAlignment="1"/>
    <xf numFmtId="37" fontId="2" fillId="0" borderId="0" xfId="0" applyFont="1"/>
    <xf numFmtId="37" fontId="3" fillId="0" borderId="0" xfId="0" applyFont="1"/>
    <xf numFmtId="37" fontId="2" fillId="0" borderId="0" xfId="0" applyFont="1" applyBorder="1"/>
    <xf numFmtId="37" fontId="2" fillId="0" borderId="0" xfId="0" applyFont="1" applyAlignment="1">
      <alignment horizontal="right"/>
    </xf>
    <xf numFmtId="37" fontId="3" fillId="0" borderId="0" xfId="0" applyNumberFormat="1" applyFont="1"/>
    <xf numFmtId="37" fontId="3" fillId="0" borderId="1" xfId="0" applyFont="1" applyBorder="1"/>
    <xf numFmtId="37" fontId="3" fillId="0" borderId="1" xfId="0" applyNumberFormat="1" applyFont="1" applyBorder="1"/>
    <xf numFmtId="37" fontId="3" fillId="0" borderId="0" xfId="0" applyFont="1" applyAlignment="1"/>
    <xf numFmtId="37" fontId="3" fillId="0" borderId="0" xfId="0" applyFont="1" applyAlignment="1">
      <alignment horizontal="right"/>
    </xf>
    <xf numFmtId="37" fontId="3" fillId="0" borderId="0" xfId="0" applyFont="1" applyFill="1"/>
    <xf numFmtId="37" fontId="3" fillId="0" borderId="1" xfId="0" applyFont="1" applyFill="1" applyBorder="1"/>
    <xf numFmtId="37" fontId="3" fillId="0" borderId="0" xfId="0" applyFont="1" applyBorder="1"/>
    <xf numFmtId="37" fontId="3" fillId="0" borderId="0" xfId="0" applyNumberFormat="1" applyFont="1" applyBorder="1"/>
    <xf numFmtId="164" fontId="3" fillId="0" borderId="0" xfId="0" applyNumberFormat="1" applyFont="1"/>
    <xf numFmtId="37" fontId="4" fillId="0" borderId="0" xfId="0" applyFont="1" applyBorder="1" applyAlignment="1">
      <alignment horizontal="center"/>
    </xf>
    <xf numFmtId="37" fontId="2" fillId="0" borderId="0" xfId="0" applyFont="1" applyBorder="1" applyAlignment="1">
      <alignment horizontal="center"/>
    </xf>
    <xf numFmtId="37" fontId="5" fillId="0" borderId="0" xfId="0" applyFont="1" applyAlignment="1">
      <alignment horizontal="center"/>
    </xf>
    <xf numFmtId="37" fontId="6" fillId="0" borderId="0" xfId="0" applyFont="1" applyBorder="1" applyAlignment="1">
      <alignment horizontal="center"/>
    </xf>
    <xf numFmtId="37" fontId="2" fillId="0" borderId="0" xfId="0" applyFont="1" applyFill="1"/>
    <xf numFmtId="37" fontId="8" fillId="0" borderId="0" xfId="0" applyFont="1" applyAlignment="1"/>
    <xf numFmtId="37" fontId="3" fillId="0" borderId="0" xfId="0" applyFont="1" applyBorder="1" applyAlignment="1"/>
    <xf numFmtId="37" fontId="3" fillId="0" borderId="0" xfId="0" applyFont="1" applyBorder="1" applyAlignment="1">
      <alignment horizontal="right"/>
    </xf>
    <xf numFmtId="37" fontId="3" fillId="0" borderId="0" xfId="0" applyFont="1" applyFill="1" applyBorder="1"/>
    <xf numFmtId="37" fontId="2" fillId="0" borderId="0" xfId="0" applyFont="1" applyBorder="1" applyAlignment="1"/>
    <xf numFmtId="37" fontId="2" fillId="0" borderId="0" xfId="0" applyFont="1" applyBorder="1" applyAlignment="1">
      <alignment horizontal="right"/>
    </xf>
    <xf numFmtId="37" fontId="2" fillId="0" borderId="0" xfId="0" applyFont="1" applyFill="1" applyBorder="1" applyAlignment="1"/>
    <xf numFmtId="37" fontId="2" fillId="0" borderId="0" xfId="0" applyFont="1" applyFill="1" applyBorder="1" applyAlignment="1">
      <alignment horizontal="right"/>
    </xf>
    <xf numFmtId="37" fontId="2" fillId="0" borderId="0" xfId="0" applyFont="1" applyFill="1" applyBorder="1"/>
    <xf numFmtId="37" fontId="9" fillId="0" borderId="0" xfId="0" applyFont="1" applyBorder="1" applyAlignment="1"/>
    <xf numFmtId="37" fontId="10" fillId="0" borderId="0" xfId="0" applyFont="1" applyAlignment="1">
      <alignment horizontal="right"/>
    </xf>
    <xf numFmtId="37" fontId="11" fillId="0" borderId="0" xfId="0" applyFont="1" applyBorder="1"/>
    <xf numFmtId="37" fontId="11" fillId="0" borderId="0" xfId="0" applyFont="1"/>
    <xf numFmtId="181" fontId="10" fillId="0" borderId="0" xfId="3" applyNumberFormat="1" applyFont="1" applyAlignment="1">
      <alignment horizontal="right"/>
    </xf>
    <xf numFmtId="37" fontId="2" fillId="0" borderId="0" xfId="0" applyNumberFormat="1" applyFont="1" applyFill="1" applyBorder="1"/>
    <xf numFmtId="37" fontId="6" fillId="0" borderId="0" xfId="0" applyFont="1" applyFill="1" applyBorder="1" applyAlignment="1">
      <alignment horizontal="center"/>
    </xf>
    <xf numFmtId="37" fontId="3" fillId="0" borderId="0" xfId="0" applyNumberFormat="1" applyFont="1" applyFill="1"/>
    <xf numFmtId="37" fontId="5" fillId="0" borderId="0" xfId="0" applyFont="1" applyFill="1" applyAlignment="1">
      <alignment horizontal="center"/>
    </xf>
    <xf numFmtId="37" fontId="3" fillId="0" borderId="1" xfId="0" applyNumberFormat="1" applyFont="1" applyFill="1" applyBorder="1"/>
    <xf numFmtId="37" fontId="2" fillId="0" borderId="0" xfId="0" applyNumberFormat="1" applyFont="1" applyFill="1"/>
    <xf numFmtId="37" fontId="6" fillId="0" borderId="0" xfId="0" applyFont="1" applyFill="1" applyAlignment="1">
      <alignment horizontal="center"/>
    </xf>
    <xf numFmtId="37" fontId="2" fillId="0" borderId="2" xfId="0" applyFont="1" applyFill="1" applyBorder="1"/>
    <xf numFmtId="37" fontId="2" fillId="0" borderId="2" xfId="0" applyNumberFormat="1" applyFont="1" applyFill="1" applyBorder="1"/>
    <xf numFmtId="37" fontId="6" fillId="0" borderId="1" xfId="0" applyFont="1" applyFill="1" applyBorder="1" applyAlignment="1">
      <alignment horizontal="center"/>
    </xf>
    <xf numFmtId="166" fontId="3" fillId="0" borderId="0" xfId="0" applyNumberFormat="1" applyFont="1" applyFill="1"/>
    <xf numFmtId="178" fontId="5" fillId="0" borderId="0" xfId="0" applyNumberFormat="1" applyFont="1" applyAlignment="1">
      <alignment horizontal="center"/>
    </xf>
    <xf numFmtId="189" fontId="5" fillId="0" borderId="0" xfId="0" applyNumberFormat="1" applyFont="1" applyAlignment="1">
      <alignment horizontal="center"/>
    </xf>
    <xf numFmtId="37" fontId="5" fillId="0" borderId="0" xfId="0" applyFont="1"/>
    <xf numFmtId="37" fontId="6" fillId="0" borderId="0" xfId="0" applyFont="1"/>
    <xf numFmtId="37" fontId="5" fillId="0" borderId="0" xfId="0" applyFont="1" applyBorder="1" applyAlignment="1">
      <alignment horizontal="center"/>
    </xf>
    <xf numFmtId="179" fontId="5" fillId="0" borderId="0" xfId="0" applyNumberFormat="1" applyFont="1" applyBorder="1" applyAlignment="1">
      <alignment horizontal="center"/>
    </xf>
    <xf numFmtId="179" fontId="6" fillId="0" borderId="0" xfId="0" applyNumberFormat="1" applyFont="1" applyBorder="1" applyAlignment="1">
      <alignment horizontal="center"/>
    </xf>
    <xf numFmtId="173" fontId="6" fillId="0" borderId="0" xfId="0" applyNumberFormat="1" applyFont="1" applyBorder="1" applyAlignment="1">
      <alignment horizontal="center"/>
    </xf>
    <xf numFmtId="176" fontId="6" fillId="0" borderId="0" xfId="0" applyNumberFormat="1" applyFont="1" applyBorder="1" applyAlignment="1">
      <alignment horizontal="center"/>
    </xf>
    <xf numFmtId="2" fontId="6" fillId="0" borderId="0" xfId="0" applyNumberFormat="1" applyFont="1" applyBorder="1" applyAlignment="1">
      <alignment horizontal="center"/>
    </xf>
    <xf numFmtId="37" fontId="6" fillId="0" borderId="0" xfId="0" applyNumberFormat="1" applyFont="1" applyBorder="1" applyAlignment="1">
      <alignment horizontal="center"/>
    </xf>
    <xf numFmtId="37" fontId="6" fillId="0" borderId="0" xfId="0" applyFont="1" applyAlignment="1">
      <alignment horizontal="center"/>
    </xf>
    <xf numFmtId="191" fontId="5" fillId="0" borderId="0" xfId="0" applyNumberFormat="1" applyFont="1" applyAlignment="1">
      <alignment horizontal="center"/>
    </xf>
    <xf numFmtId="180" fontId="5" fillId="0" borderId="1" xfId="0" applyNumberFormat="1" applyFont="1" applyBorder="1" applyAlignment="1">
      <alignment horizontal="center"/>
    </xf>
    <xf numFmtId="193" fontId="5" fillId="0" borderId="0" xfId="0" applyNumberFormat="1" applyFont="1" applyAlignment="1">
      <alignment horizontal="center"/>
    </xf>
    <xf numFmtId="37" fontId="2" fillId="0" borderId="1" xfId="0" applyFont="1" applyBorder="1"/>
    <xf numFmtId="39" fontId="3" fillId="0" borderId="0" xfId="0" applyNumberFormat="1" applyFont="1"/>
    <xf numFmtId="164" fontId="2" fillId="2" borderId="3" xfId="0" applyNumberFormat="1" applyFont="1" applyFill="1" applyBorder="1"/>
    <xf numFmtId="164" fontId="2" fillId="2" borderId="4" xfId="0" applyNumberFormat="1" applyFont="1" applyFill="1" applyBorder="1"/>
    <xf numFmtId="37" fontId="2" fillId="2" borderId="4" xfId="0" applyFont="1" applyFill="1" applyBorder="1"/>
    <xf numFmtId="2" fontId="2" fillId="3" borderId="5" xfId="0" applyNumberFormat="1" applyFont="1" applyFill="1" applyBorder="1"/>
    <xf numFmtId="37" fontId="12" fillId="0" borderId="0" xfId="0" applyNumberFormat="1" applyFont="1" applyAlignment="1">
      <alignment horizontal="center"/>
    </xf>
    <xf numFmtId="37" fontId="12" fillId="0" borderId="0" xfId="0" applyFont="1"/>
    <xf numFmtId="37" fontId="12" fillId="0" borderId="0" xfId="0" applyFont="1" applyFill="1" applyAlignment="1">
      <alignment horizontal="center"/>
    </xf>
    <xf numFmtId="37" fontId="12" fillId="0" borderId="0" xfId="0" applyFont="1" applyFill="1"/>
    <xf numFmtId="37" fontId="2" fillId="2" borderId="6" xfId="0" applyFont="1" applyFill="1" applyBorder="1" applyAlignment="1">
      <alignment horizontal="right"/>
    </xf>
    <xf numFmtId="37" fontId="2" fillId="2" borderId="7" xfId="0" applyFont="1" applyFill="1" applyBorder="1" applyAlignment="1">
      <alignment horizontal="right"/>
    </xf>
    <xf numFmtId="8" fontId="2" fillId="3" borderId="8" xfId="2" applyFont="1" applyFill="1" applyBorder="1" applyAlignment="1">
      <alignment horizontal="right"/>
    </xf>
    <xf numFmtId="37" fontId="2" fillId="2" borderId="9" xfId="0" applyFont="1" applyFill="1" applyBorder="1" applyAlignment="1">
      <alignment horizontal="right"/>
    </xf>
    <xf numFmtId="10" fontId="3" fillId="0" borderId="0" xfId="3" applyNumberFormat="1" applyFont="1"/>
    <xf numFmtId="37" fontId="10" fillId="0" borderId="1" xfId="0" applyFont="1" applyBorder="1" applyAlignment="1">
      <alignment horizontal="right"/>
    </xf>
    <xf numFmtId="181" fontId="10" fillId="0" borderId="1" xfId="3" applyNumberFormat="1" applyFont="1" applyBorder="1" applyAlignment="1">
      <alignment horizontal="right"/>
    </xf>
    <xf numFmtId="177" fontId="13" fillId="0" borderId="1" xfId="0" applyNumberFormat="1" applyFont="1" applyBorder="1" applyAlignment="1">
      <alignment horizontal="center"/>
    </xf>
    <xf numFmtId="37" fontId="3" fillId="0" borderId="1" xfId="0" applyFont="1" applyBorder="1" applyAlignment="1"/>
    <xf numFmtId="37" fontId="3" fillId="0" borderId="1" xfId="0" applyFont="1" applyBorder="1" applyAlignment="1">
      <alignment horizontal="right"/>
    </xf>
    <xf numFmtId="179" fontId="5" fillId="0" borderId="1" xfId="0" applyNumberFormat="1" applyFont="1" applyBorder="1" applyAlignment="1">
      <alignment horizontal="center"/>
    </xf>
    <xf numFmtId="182" fontId="3" fillId="0" borderId="0" xfId="0" applyNumberFormat="1" applyFont="1" applyBorder="1" applyAlignment="1">
      <alignment horizontal="center"/>
    </xf>
    <xf numFmtId="188" fontId="3" fillId="0" borderId="0" xfId="0" applyNumberFormat="1" applyFont="1" applyBorder="1" applyAlignment="1">
      <alignment horizontal="center"/>
    </xf>
    <xf numFmtId="188" fontId="11" fillId="0" borderId="1" xfId="0" applyNumberFormat="1" applyFont="1" applyBorder="1" applyAlignment="1">
      <alignment horizontal="center"/>
    </xf>
    <xf numFmtId="37" fontId="3" fillId="0" borderId="0" xfId="0" applyFont="1" applyBorder="1" applyAlignment="1">
      <alignment horizontal="center"/>
    </xf>
    <xf numFmtId="177" fontId="3" fillId="0" borderId="0" xfId="0" applyNumberFormat="1" applyFont="1" applyBorder="1" applyAlignment="1">
      <alignment horizontal="center"/>
    </xf>
    <xf numFmtId="37" fontId="3" fillId="0" borderId="0" xfId="0" applyFont="1" applyFill="1" applyBorder="1" applyAlignment="1">
      <alignment horizontal="center"/>
    </xf>
    <xf numFmtId="181" fontId="14" fillId="0" borderId="0" xfId="3" applyNumberFormat="1" applyFont="1"/>
    <xf numFmtId="181" fontId="14" fillId="0" borderId="1" xfId="3" applyNumberFormat="1" applyFont="1" applyBorder="1"/>
    <xf numFmtId="37" fontId="3" fillId="0" borderId="0" xfId="0" applyFont="1" applyAlignment="1">
      <alignment horizontal="center"/>
    </xf>
    <xf numFmtId="37" fontId="3" fillId="0" borderId="1" xfId="0" applyFont="1" applyFill="1" applyBorder="1" applyAlignment="1">
      <alignment horizontal="center"/>
    </xf>
    <xf numFmtId="37" fontId="3" fillId="0" borderId="0" xfId="0" applyNumberFormat="1" applyFont="1" applyFill="1" applyAlignment="1">
      <alignment horizontal="center"/>
    </xf>
    <xf numFmtId="178" fontId="5" fillId="0" borderId="1" xfId="0" applyNumberFormat="1" applyFont="1" applyBorder="1" applyAlignment="1">
      <alignment horizontal="center"/>
    </xf>
    <xf numFmtId="189" fontId="5" fillId="0" borderId="1" xfId="0" applyNumberFormat="1" applyFont="1" applyBorder="1" applyAlignment="1">
      <alignment horizontal="center"/>
    </xf>
    <xf numFmtId="37" fontId="2" fillId="0" borderId="1" xfId="0" applyFont="1" applyFill="1" applyBorder="1"/>
    <xf numFmtId="37" fontId="3" fillId="0" borderId="1" xfId="0" applyNumberFormat="1" applyFont="1" applyFill="1" applyBorder="1" applyAlignment="1">
      <alignment horizontal="center"/>
    </xf>
    <xf numFmtId="198" fontId="5" fillId="0" borderId="1" xfId="0" applyNumberFormat="1" applyFont="1" applyBorder="1" applyAlignment="1">
      <alignment horizontal="center"/>
    </xf>
    <xf numFmtId="165" fontId="3" fillId="0" borderId="1" xfId="0" applyNumberFormat="1" applyFont="1" applyBorder="1"/>
    <xf numFmtId="192" fontId="5" fillId="0" borderId="1" xfId="0" applyNumberFormat="1" applyFont="1" applyBorder="1" applyAlignment="1">
      <alignment horizontal="center"/>
    </xf>
    <xf numFmtId="168" fontId="3" fillId="0" borderId="1" xfId="0" applyNumberFormat="1" applyFont="1" applyBorder="1"/>
    <xf numFmtId="37" fontId="3" fillId="0" borderId="1" xfId="0" applyFont="1" applyBorder="1" applyAlignment="1">
      <alignment horizontal="center"/>
    </xf>
    <xf numFmtId="10" fontId="6" fillId="0" borderId="0" xfId="3" applyNumberFormat="1" applyFont="1"/>
    <xf numFmtId="37" fontId="3" fillId="0" borderId="0" xfId="0" applyNumberFormat="1" applyFont="1" applyAlignment="1">
      <alignment horizontal="center"/>
    </xf>
    <xf numFmtId="37" fontId="0" fillId="4" borderId="0" xfId="0" applyFill="1"/>
    <xf numFmtId="180" fontId="3" fillId="0" borderId="1" xfId="0" applyNumberFormat="1" applyFont="1" applyBorder="1" applyAlignment="1">
      <alignment horizontal="center"/>
    </xf>
    <xf numFmtId="8" fontId="3" fillId="0" borderId="0" xfId="2" applyFont="1"/>
    <xf numFmtId="201" fontId="5" fillId="0" borderId="1" xfId="0" applyNumberFormat="1" applyFont="1" applyBorder="1" applyAlignment="1">
      <alignment horizontal="center"/>
    </xf>
    <xf numFmtId="37" fontId="2" fillId="5" borderId="0" xfId="0" applyFont="1" applyFill="1" applyAlignment="1"/>
    <xf numFmtId="0" fontId="2" fillId="5" borderId="0" xfId="1" applyNumberFormat="1" applyFont="1" applyFill="1"/>
    <xf numFmtId="37" fontId="4" fillId="5" borderId="0" xfId="0" applyFont="1" applyFill="1" applyBorder="1" applyAlignment="1">
      <alignment horizontal="center"/>
    </xf>
    <xf numFmtId="37" fontId="3" fillId="5" borderId="0" xfId="0" applyFont="1" applyFill="1"/>
    <xf numFmtId="37" fontId="2" fillId="5" borderId="0" xfId="0" applyFont="1" applyFill="1"/>
    <xf numFmtId="1" fontId="2" fillId="5" borderId="0" xfId="0" applyNumberFormat="1" applyFont="1" applyFill="1" applyBorder="1"/>
    <xf numFmtId="37" fontId="6" fillId="5" borderId="0" xfId="0" applyFont="1" applyFill="1" applyBorder="1" applyAlignment="1">
      <alignment horizontal="center"/>
    </xf>
    <xf numFmtId="1" fontId="2" fillId="5" borderId="1" xfId="0" applyNumberFormat="1" applyFont="1" applyFill="1" applyBorder="1"/>
    <xf numFmtId="2" fontId="6" fillId="5" borderId="0" xfId="0" applyNumberFormat="1" applyFont="1" applyFill="1" applyAlignment="1">
      <alignment horizontal="center"/>
    </xf>
    <xf numFmtId="194" fontId="3" fillId="0" borderId="0" xfId="0" applyNumberFormat="1" applyFont="1" applyAlignment="1">
      <alignment horizontal="center"/>
    </xf>
    <xf numFmtId="37" fontId="3" fillId="0" borderId="0" xfId="0" quotePrefix="1" applyFont="1" applyFill="1"/>
    <xf numFmtId="181" fontId="3" fillId="0" borderId="0" xfId="3" applyNumberFormat="1" applyFont="1"/>
    <xf numFmtId="40" fontId="3" fillId="0" borderId="0" xfId="1"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257175</xdr:colOff>
      <xdr:row>1</xdr:row>
      <xdr:rowOff>85725</xdr:rowOff>
    </xdr:from>
    <xdr:to>
      <xdr:col>13</xdr:col>
      <xdr:colOff>0</xdr:colOff>
      <xdr:row>20</xdr:row>
      <xdr:rowOff>133350</xdr:rowOff>
    </xdr:to>
    <xdr:sp macro="" textlink="">
      <xdr:nvSpPr>
        <xdr:cNvPr id="6145" name="AutoShape 1"/>
        <xdr:cNvSpPr>
          <a:spLocks noChangeArrowheads="1"/>
        </xdr:cNvSpPr>
      </xdr:nvSpPr>
      <xdr:spPr bwMode="auto">
        <a:xfrm>
          <a:off x="257175" y="247650"/>
          <a:ext cx="6677025" cy="3124200"/>
        </a:xfrm>
        <a:prstGeom prst="roundRect">
          <a:avLst>
            <a:gd name="adj" fmla="val 16667"/>
          </a:avLst>
        </a:prstGeom>
        <a:gradFill rotWithShape="0">
          <a:gsLst>
            <a:gs pos="0">
              <a:srgbClr val="760000"/>
            </a:gs>
            <a:gs pos="100000">
              <a:srgbClr val="CC0000"/>
            </a:gs>
          </a:gsLst>
          <a:lin ang="2700000" scaled="1"/>
        </a:gradFill>
        <a:ln w="9525">
          <a:solidFill>
            <a:srgbClr xmlns:mc="http://schemas.openxmlformats.org/markup-compatibility/2006" xmlns:a14="http://schemas.microsoft.com/office/drawing/2010/main" val="FFFF00" mc:Ignorable="a14" a14:legacySpreadsheetColorIndex="13"/>
          </a:solidFill>
          <a:round/>
          <a:headEnd/>
          <a:tailEnd/>
        </a:ln>
      </xdr:spPr>
      <xdr:txBody>
        <a:bodyPr vertOverflow="clip" wrap="square" lIns="27432" tIns="22860" rIns="0" bIns="0" anchor="t" upright="1"/>
        <a:lstStyle/>
        <a:p>
          <a:pPr algn="l" rtl="0">
            <a:lnSpc>
              <a:spcPts val="1200"/>
            </a:lnSpc>
            <a:defRPr sz="1000"/>
          </a:pPr>
          <a:r>
            <a:rPr lang="en-US" sz="1100" b="1" i="0" u="none" strike="noStrike" baseline="0">
              <a:solidFill>
                <a:srgbClr val="FFFFFF"/>
              </a:solidFill>
              <a:latin typeface="Tms Rmn"/>
            </a:rPr>
            <a:t>Welcome to the Timberland DCF Model. </a:t>
          </a:r>
          <a:r>
            <a:rPr lang="en-US" sz="900" b="1" i="0" u="none" strike="noStrike" baseline="0">
              <a:solidFill>
                <a:srgbClr val="FFFFFF"/>
              </a:solidFill>
              <a:latin typeface="Tms Rmn"/>
            </a:rPr>
            <a:t> Let's explain a few things first.</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This spreadsheet is set up in three separate worksheets.  The first is the Income Statement.  The second contains the Balance Sheet and a cash reconciliation from the Statement of Cash Flows to the Balance Sheet.  The third worksheet contains the adjustments to EBIT to arrive at Free Cash Flow, the Discounted Cash Flow Analysis, and a Ratio Analysis.  All three sheets are linked together.</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Anything in blue font is an input.  You can enter the values that correspond to your estimates directly into those cells.  The Assumptions column contains some cells that are blue text and numbers.  These cells are actually just numbers but are formatted to include descriptive text.  For example, the cell that says  </a:t>
          </a:r>
          <a:r>
            <a:rPr lang="en-US" sz="900" b="1" i="0" u="none" strike="noStrike" baseline="0">
              <a:solidFill>
                <a:srgbClr val="3333CC"/>
              </a:solidFill>
              <a:latin typeface="Tms Rmn"/>
            </a:rPr>
            <a:t> </a:t>
          </a:r>
          <a:r>
            <a:rPr lang="en-US" sz="900" b="1" i="0" u="none" strike="noStrike" baseline="0">
              <a:solidFill>
                <a:srgbClr val="3366FF"/>
              </a:solidFill>
              <a:latin typeface="Tms Rmn"/>
            </a:rPr>
            <a:t>32% Tax Rate  </a:t>
          </a:r>
          <a:r>
            <a:rPr lang="en-US" sz="900" b="1" i="0" u="none" strike="noStrike" baseline="0">
              <a:solidFill>
                <a:srgbClr val="FFFFFF"/>
              </a:solidFill>
              <a:latin typeface="Tms Rmn"/>
            </a:rPr>
            <a:t> is really only the number   0.32  and you can change this to your estimate.</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Once you have finished entering your estimate into a blue font input cell, you can change its color to black.  This allows for an effective check to remind you which cells you have changed and which ones you have left to input. </a:t>
          </a:r>
        </a:p>
        <a:p>
          <a:pPr algn="l" rtl="0">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The text in red font relates to Unreconciled Differences, which is a check-and-balance on your balance sheet to see if you have made an error in your modeling.  These cells should always read zero.</a:t>
          </a:r>
        </a:p>
        <a:p>
          <a:pPr algn="l" rtl="0">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This model is fairly straightforward.  It would be a good idea to spend time browsing through the model and the various formula cells to understand how the numbers are calculated and how the sheets are linked.  There are cell comment cards along the way to help out.    </a:t>
          </a:r>
          <a:endParaRPr lang="en-US" sz="900" b="1" i="0" u="none" strike="noStrike" baseline="0">
            <a:solidFill>
              <a:srgbClr val="000000"/>
            </a:solidFill>
            <a:latin typeface="Tms Rmn"/>
          </a:endParaRPr>
        </a:p>
        <a:p>
          <a:pPr algn="l" rtl="0">
            <a:defRPr sz="1000"/>
          </a:pPr>
          <a:endParaRPr lang="en-US" sz="900" b="0" i="0" u="none" strike="noStrike" baseline="0">
            <a:solidFill>
              <a:srgbClr val="000000"/>
            </a:solidFill>
            <a:latin typeface="Tms Rmn"/>
          </a:endParaRPr>
        </a:p>
        <a:p>
          <a:pPr algn="l" rtl="0">
            <a:lnSpc>
              <a:spcPts val="900"/>
            </a:lnSpc>
            <a:defRPr sz="1000"/>
          </a:pPr>
          <a:endParaRPr lang="en-US" sz="900" b="0" i="0" u="none" strike="noStrike" baseline="0">
            <a:solidFill>
              <a:srgbClr val="000000"/>
            </a:solidFill>
            <a:latin typeface="Tms Rmn"/>
          </a:endParaRPr>
        </a:p>
      </xdr:txBody>
    </xdr:sp>
    <xdr:clientData/>
  </xdr:twoCellAnchor>
  <xdr:oneCellAnchor>
    <xdr:from>
      <xdr:col>9</xdr:col>
      <xdr:colOff>85725</xdr:colOff>
      <xdr:row>19</xdr:row>
      <xdr:rowOff>38100</xdr:rowOff>
    </xdr:from>
    <xdr:ext cx="1900713" cy="136384"/>
    <xdr:sp macro="" textlink="">
      <xdr:nvSpPr>
        <xdr:cNvPr id="6148" name="Text Box 4"/>
        <xdr:cNvSpPr txBox="1">
          <a:spLocks noChangeArrowheads="1"/>
        </xdr:cNvSpPr>
      </xdr:nvSpPr>
      <xdr:spPr bwMode="auto">
        <a:xfrm>
          <a:off x="4886325" y="3114675"/>
          <a:ext cx="1900713" cy="1363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800" b="0" i="0" u="none" strike="noStrike" baseline="0">
              <a:solidFill>
                <a:srgbClr val="000000"/>
              </a:solidFill>
              <a:latin typeface="Tms Rmn"/>
            </a:rPr>
            <a:t>created by:  Scott Jenkins and Cory Satin</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9"/>
  <sheetViews>
    <sheetView workbookViewId="0"/>
  </sheetViews>
  <sheetFormatPr defaultRowHeight="12.75"/>
  <sheetData>
    <row r="1" spans="1:30">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row>
    <row r="2" spans="1:30">
      <c r="A2" s="104"/>
      <c r="B2" s="104"/>
      <c r="C2" s="104"/>
      <c r="D2" s="104"/>
      <c r="E2" s="104"/>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row>
    <row r="3" spans="1:30">
      <c r="A3" s="104"/>
      <c r="B3" s="104"/>
      <c r="C3" s="104"/>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row>
    <row r="4" spans="1:30">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row>
    <row r="5" spans="1:30">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row>
    <row r="6" spans="1:30">
      <c r="A6" s="104"/>
      <c r="B6" s="104"/>
      <c r="C6" s="104"/>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row>
    <row r="7" spans="1:30">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row>
    <row r="8" spans="1:30">
      <c r="A8" s="104"/>
      <c r="B8" s="104"/>
      <c r="C8" s="104"/>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row>
    <row r="9" spans="1:30">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row>
    <row r="10" spans="1:30">
      <c r="A10" s="104"/>
      <c r="B10" s="104"/>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row>
    <row r="11" spans="1:30">
      <c r="A11" s="104"/>
      <c r="B11" s="104"/>
      <c r="C11" s="104"/>
      <c r="D11" s="104"/>
      <c r="E11" s="104"/>
      <c r="F11" s="104"/>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row>
    <row r="12" spans="1:30">
      <c r="A12" s="104"/>
      <c r="B12" s="104"/>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row>
    <row r="13" spans="1:30">
      <c r="A13" s="104"/>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row>
    <row r="14" spans="1:30">
      <c r="A14" s="104"/>
      <c r="B14" s="104"/>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row>
    <row r="15" spans="1:30">
      <c r="A15" s="104"/>
      <c r="B15" s="104"/>
      <c r="C15" s="104"/>
      <c r="D15" s="104"/>
      <c r="E15" s="104"/>
      <c r="F15" s="104"/>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row>
    <row r="16" spans="1:30">
      <c r="A16" s="104"/>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row>
    <row r="17" spans="1:30">
      <c r="A17" s="104"/>
      <c r="B17" s="104"/>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row>
    <row r="18" spans="1:30">
      <c r="A18" s="104"/>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row>
    <row r="19" spans="1:30">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row>
    <row r="20" spans="1:30">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row>
    <row r="21" spans="1:30">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c r="AD21" s="104"/>
    </row>
    <row r="22" spans="1:30">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row>
    <row r="23" spans="1:30">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row>
    <row r="24" spans="1:30">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row>
    <row r="25" spans="1:30">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row>
    <row r="26" spans="1:30">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row>
    <row r="27" spans="1:30">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row>
    <row r="28" spans="1:30">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row>
    <row r="29" spans="1:30">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row>
    <row r="30" spans="1:30">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row>
    <row r="31" spans="1:30">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row>
    <row r="32" spans="1:30">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row>
    <row r="33" spans="1:30">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row>
    <row r="34" spans="1:30">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row>
    <row r="35" spans="1:30">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row>
    <row r="36" spans="1:30">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row>
    <row r="37" spans="1:30">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row>
    <row r="38" spans="1:30">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row>
    <row r="39" spans="1:30">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row>
    <row r="40" spans="1:30">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row>
    <row r="41" spans="1:30">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row>
    <row r="42" spans="1:30">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row>
    <row r="43" spans="1:30">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row>
    <row r="44" spans="1:30">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row>
    <row r="45" spans="1:30">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row>
    <row r="46" spans="1:30">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row>
    <row r="47" spans="1:30">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row>
    <row r="48" spans="1:30">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row>
    <row r="49" spans="1:30">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row>
    <row r="50" spans="1:30">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row>
    <row r="51" spans="1:30">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row>
    <row r="52" spans="1:30">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row>
    <row r="53" spans="1:30">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row>
    <row r="54" spans="1:30">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row>
    <row r="55" spans="1:30">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row>
    <row r="56" spans="1:30">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row>
    <row r="57" spans="1:30">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row>
    <row r="58" spans="1:30">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row>
    <row r="59" spans="1:30">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row>
    <row r="60" spans="1:30">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row>
    <row r="61" spans="1:30">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row>
    <row r="62" spans="1:30">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row>
    <row r="63" spans="1:30">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row>
    <row r="64" spans="1:30">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row>
    <row r="65" spans="1:30">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row>
    <row r="66" spans="1:30">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row>
    <row r="67" spans="1:30">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row>
    <row r="68" spans="1:30">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row>
    <row r="69" spans="1:30">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row>
    <row r="70" spans="1:30">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row>
    <row r="71" spans="1:30">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row>
    <row r="72" spans="1:30">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row>
    <row r="73" spans="1:30">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row>
    <row r="74" spans="1:30">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row>
    <row r="75" spans="1:30">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row>
    <row r="76" spans="1:30">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row>
    <row r="77" spans="1:30">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row>
    <row r="78" spans="1:30">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row>
    <row r="79" spans="1:30">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row>
    <row r="80" spans="1:30">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row>
    <row r="81" spans="1:30">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row>
    <row r="82" spans="1:30">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row>
    <row r="83" spans="1:30">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row>
    <row r="84" spans="1:30">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row>
    <row r="85" spans="1:30">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row>
    <row r="86" spans="1:30">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row>
    <row r="87" spans="1:30">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row>
    <row r="88" spans="1:30">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row>
    <row r="89" spans="1:30">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row>
    <row r="90" spans="1:30">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row>
    <row r="91" spans="1:30">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row>
    <row r="92" spans="1:30">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row>
    <row r="93" spans="1:30">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row>
    <row r="94" spans="1:30">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row>
    <row r="95" spans="1:30">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row>
    <row r="96" spans="1:30">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row>
    <row r="97" spans="1:30">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row>
    <row r="98" spans="1:30">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row>
    <row r="99" spans="1:30">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row>
    <row r="100" spans="1:30">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row>
    <row r="101" spans="1:30">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row>
    <row r="102" spans="1:30">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row>
    <row r="103" spans="1:30">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row>
    <row r="104" spans="1:30">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row>
    <row r="105" spans="1:30">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row>
    <row r="106" spans="1:30">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row>
    <row r="107" spans="1:30">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row>
    <row r="108" spans="1:30">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row>
    <row r="109" spans="1:30">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row>
    <row r="110" spans="1:30">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row>
    <row r="111" spans="1:30">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row>
    <row r="112" spans="1:30">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row>
    <row r="113" spans="1:30">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row>
    <row r="114" spans="1:30">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row>
    <row r="115" spans="1:30">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row>
    <row r="116" spans="1:30">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row>
    <row r="117" spans="1:30">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row>
    <row r="118" spans="1:30">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row>
    <row r="119" spans="1:30">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row>
  </sheetData>
  <phoneticPr fontId="16" type="noConversion"/>
  <pageMargins left="0.75" right="0.75" top="1" bottom="1" header="0.5" footer="0.5"/>
  <pageSetup orientation="portrait" horizontalDpi="4294967292"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52"/>
  <sheetViews>
    <sheetView zoomScale="90" workbookViewId="0">
      <selection activeCell="E8" sqref="E8"/>
    </sheetView>
  </sheetViews>
  <sheetFormatPr defaultRowHeight="12.75"/>
  <cols>
    <col min="1" max="1" width="38.5" style="3" customWidth="1"/>
    <col min="2" max="3" width="10.33203125" style="3" bestFit="1" customWidth="1"/>
    <col min="4" max="4" width="30.1640625" style="16" customWidth="1"/>
    <col min="5" max="14" width="11.83203125" style="3" customWidth="1"/>
    <col min="15" max="16384" width="9.33203125" style="3"/>
  </cols>
  <sheetData>
    <row r="1" spans="1:25" ht="18">
      <c r="A1" s="21" t="s">
        <v>54</v>
      </c>
      <c r="D1" s="3"/>
    </row>
    <row r="2" spans="1:25">
      <c r="A2" s="1" t="s">
        <v>55</v>
      </c>
      <c r="D2" s="17"/>
    </row>
    <row r="3" spans="1:25">
      <c r="A3" s="1"/>
      <c r="B3" s="5" t="s">
        <v>0</v>
      </c>
      <c r="C3" s="5" t="s">
        <v>0</v>
      </c>
      <c r="D3" s="19" t="s">
        <v>1</v>
      </c>
      <c r="E3" s="5" t="s">
        <v>2</v>
      </c>
      <c r="F3" s="5" t="s">
        <v>2</v>
      </c>
      <c r="G3" s="5" t="s">
        <v>2</v>
      </c>
      <c r="H3" s="5" t="s">
        <v>2</v>
      </c>
      <c r="I3" s="5" t="s">
        <v>2</v>
      </c>
      <c r="J3" s="5" t="s">
        <v>2</v>
      </c>
      <c r="K3" s="5" t="s">
        <v>2</v>
      </c>
      <c r="L3" s="5" t="s">
        <v>2</v>
      </c>
      <c r="M3" s="5" t="s">
        <v>2</v>
      </c>
      <c r="N3" s="5" t="s">
        <v>2</v>
      </c>
    </row>
    <row r="4" spans="1:25" s="111" customFormat="1">
      <c r="A4" s="108" t="s">
        <v>36</v>
      </c>
      <c r="B4" s="109">
        <v>1991</v>
      </c>
      <c r="C4" s="109">
        <v>1992</v>
      </c>
      <c r="D4" s="110"/>
      <c r="E4" s="109">
        <f>C4+1</f>
        <v>1993</v>
      </c>
      <c r="F4" s="109">
        <f>E4+1</f>
        <v>1994</v>
      </c>
      <c r="G4" s="109">
        <f t="shared" ref="G4:N4" si="0">F4+1</f>
        <v>1995</v>
      </c>
      <c r="H4" s="109">
        <f t="shared" si="0"/>
        <v>1996</v>
      </c>
      <c r="I4" s="109">
        <f t="shared" si="0"/>
        <v>1997</v>
      </c>
      <c r="J4" s="109">
        <f t="shared" si="0"/>
        <v>1998</v>
      </c>
      <c r="K4" s="109">
        <f t="shared" si="0"/>
        <v>1999</v>
      </c>
      <c r="L4" s="109">
        <f t="shared" si="0"/>
        <v>2000</v>
      </c>
      <c r="M4" s="109">
        <f>L4+1</f>
        <v>2001</v>
      </c>
      <c r="N4" s="109">
        <f t="shared" si="0"/>
        <v>2002</v>
      </c>
      <c r="O4" s="109"/>
    </row>
    <row r="5" spans="1:25">
      <c r="A5" s="9" t="s">
        <v>56</v>
      </c>
      <c r="B5" s="10">
        <v>226082</v>
      </c>
      <c r="C5" s="10">
        <v>291368</v>
      </c>
      <c r="D5" s="82" t="s">
        <v>75</v>
      </c>
      <c r="E5" s="3">
        <f>C5*(1+E6)</f>
        <v>422483.6</v>
      </c>
      <c r="F5" s="3">
        <f>E5*(1+F6)</f>
        <v>633725.39999999991</v>
      </c>
      <c r="G5" s="3">
        <f t="shared" ref="G5:N5" si="1">F5*(1+G6)</f>
        <v>887215.55999999982</v>
      </c>
      <c r="H5" s="3">
        <f t="shared" si="1"/>
        <v>1153380.2279999999</v>
      </c>
      <c r="I5" s="3">
        <f t="shared" si="1"/>
        <v>1326387.2621999998</v>
      </c>
      <c r="J5" s="3">
        <f t="shared" si="1"/>
        <v>1459025.9884199998</v>
      </c>
      <c r="K5" s="3">
        <f t="shared" si="1"/>
        <v>1604928.587262</v>
      </c>
      <c r="L5" s="3">
        <f t="shared" si="1"/>
        <v>1765421.4459882001</v>
      </c>
      <c r="M5" s="3">
        <f t="shared" si="1"/>
        <v>1941963.5905870204</v>
      </c>
      <c r="N5" s="3">
        <f t="shared" si="1"/>
        <v>2136159.9496457228</v>
      </c>
    </row>
    <row r="6" spans="1:25">
      <c r="A6" s="31" t="s">
        <v>57</v>
      </c>
      <c r="B6" s="31"/>
      <c r="C6" s="34">
        <f>C5/B5-1</f>
        <v>0.28877133075609729</v>
      </c>
      <c r="D6" s="82"/>
      <c r="E6" s="88">
        <v>0.45</v>
      </c>
      <c r="F6" s="88">
        <v>0.5</v>
      </c>
      <c r="G6" s="88">
        <v>0.4</v>
      </c>
      <c r="H6" s="88">
        <v>0.3</v>
      </c>
      <c r="I6" s="88">
        <v>0.15</v>
      </c>
      <c r="J6" s="88">
        <v>0.1</v>
      </c>
      <c r="K6" s="88">
        <v>0.1</v>
      </c>
      <c r="L6" s="88">
        <v>0.1</v>
      </c>
      <c r="M6" s="88">
        <v>0.1</v>
      </c>
      <c r="N6" s="88">
        <v>0.1</v>
      </c>
    </row>
    <row r="7" spans="1:25">
      <c r="A7" s="22" t="s">
        <v>46</v>
      </c>
      <c r="B7" s="23">
        <v>146290</v>
      </c>
      <c r="C7" s="23">
        <v>183510</v>
      </c>
      <c r="D7" s="83" t="s">
        <v>74</v>
      </c>
      <c r="E7" s="13">
        <f>E5*E8</f>
        <v>270389.50400000002</v>
      </c>
      <c r="F7" s="13">
        <f t="shared" ref="F7:N7" si="2">F5*F8</f>
        <v>402415.62899999996</v>
      </c>
      <c r="G7" s="13">
        <f t="shared" si="2"/>
        <v>563381.88059999992</v>
      </c>
      <c r="H7" s="13">
        <f t="shared" si="2"/>
        <v>732396.4447799999</v>
      </c>
      <c r="I7" s="13">
        <f t="shared" si="2"/>
        <v>842255.91149699991</v>
      </c>
      <c r="J7" s="13">
        <f t="shared" si="2"/>
        <v>926481.5026466999</v>
      </c>
      <c r="K7" s="13">
        <f t="shared" si="2"/>
        <v>1019129.65291137</v>
      </c>
      <c r="L7" s="13">
        <f t="shared" si="2"/>
        <v>1121042.618202507</v>
      </c>
      <c r="M7" s="13">
        <f t="shared" si="2"/>
        <v>1233146.8800227579</v>
      </c>
      <c r="N7" s="13">
        <f t="shared" si="2"/>
        <v>1356461.5680250339</v>
      </c>
      <c r="O7" s="13"/>
      <c r="P7" s="13"/>
      <c r="Q7" s="13"/>
      <c r="R7" s="13"/>
      <c r="S7" s="13"/>
      <c r="T7" s="13"/>
      <c r="U7" s="13"/>
      <c r="V7" s="13"/>
      <c r="W7" s="13"/>
      <c r="X7" s="13"/>
      <c r="Y7" s="13"/>
    </row>
    <row r="8" spans="1:25" s="33" customFormat="1" ht="12.75" customHeight="1">
      <c r="A8" s="76" t="s">
        <v>58</v>
      </c>
      <c r="B8" s="77">
        <f>B7/B5</f>
        <v>0.64706610875699966</v>
      </c>
      <c r="C8" s="77">
        <f>C7/C5</f>
        <v>0.62982208066774659</v>
      </c>
      <c r="D8" s="84"/>
      <c r="E8" s="89">
        <v>0.64</v>
      </c>
      <c r="F8" s="89">
        <v>0.63500000000000001</v>
      </c>
      <c r="G8" s="89">
        <v>0.63500000000000001</v>
      </c>
      <c r="H8" s="89">
        <v>0.63500000000000001</v>
      </c>
      <c r="I8" s="89">
        <v>0.63500000000000001</v>
      </c>
      <c r="J8" s="89">
        <v>0.63500000000000001</v>
      </c>
      <c r="K8" s="89">
        <v>0.63500000000000001</v>
      </c>
      <c r="L8" s="89">
        <v>0.63500000000000001</v>
      </c>
      <c r="M8" s="89">
        <v>0.63500000000000001</v>
      </c>
      <c r="N8" s="89">
        <v>0.63500000000000001</v>
      </c>
      <c r="O8" s="32"/>
      <c r="P8" s="32"/>
      <c r="Q8" s="32"/>
      <c r="R8" s="32"/>
      <c r="S8" s="32"/>
      <c r="T8" s="32"/>
      <c r="U8" s="32"/>
      <c r="V8" s="32"/>
      <c r="W8" s="32"/>
      <c r="X8" s="32"/>
      <c r="Y8" s="32"/>
    </row>
    <row r="9" spans="1:25">
      <c r="A9" s="22" t="s">
        <v>47</v>
      </c>
      <c r="B9" s="23">
        <f>B5-B7</f>
        <v>79792</v>
      </c>
      <c r="C9" s="23">
        <f>C5-C7</f>
        <v>107858</v>
      </c>
      <c r="D9" s="85"/>
      <c r="E9" s="13">
        <f t="shared" ref="E9:N9" si="3">E5-E7</f>
        <v>152094.09599999996</v>
      </c>
      <c r="F9" s="13">
        <f t="shared" si="3"/>
        <v>231309.77099999995</v>
      </c>
      <c r="G9" s="13">
        <f t="shared" si="3"/>
        <v>323833.67939999991</v>
      </c>
      <c r="H9" s="13">
        <f t="shared" si="3"/>
        <v>420983.78321999998</v>
      </c>
      <c r="I9" s="13">
        <f t="shared" si="3"/>
        <v>484131.35070299986</v>
      </c>
      <c r="J9" s="13">
        <f t="shared" si="3"/>
        <v>532544.48577329994</v>
      </c>
      <c r="K9" s="13">
        <f t="shared" si="3"/>
        <v>585798.93435062992</v>
      </c>
      <c r="L9" s="13">
        <f t="shared" si="3"/>
        <v>644378.82778569311</v>
      </c>
      <c r="M9" s="13">
        <f t="shared" si="3"/>
        <v>708816.71056426247</v>
      </c>
      <c r="N9" s="13">
        <f t="shared" si="3"/>
        <v>779698.38162068883</v>
      </c>
      <c r="O9" s="13"/>
      <c r="P9" s="13"/>
      <c r="Q9" s="13"/>
      <c r="R9" s="13"/>
      <c r="S9" s="13"/>
      <c r="T9" s="13"/>
      <c r="U9" s="13"/>
      <c r="V9" s="13"/>
      <c r="W9" s="13"/>
      <c r="X9" s="13"/>
      <c r="Y9" s="13"/>
    </row>
    <row r="10" spans="1:25">
      <c r="A10" s="22"/>
      <c r="B10" s="23"/>
      <c r="C10" s="23"/>
      <c r="D10" s="85"/>
      <c r="E10" s="13"/>
      <c r="F10" s="13"/>
      <c r="G10" s="13"/>
      <c r="H10" s="13"/>
      <c r="I10" s="13"/>
      <c r="J10" s="13"/>
      <c r="K10" s="13"/>
      <c r="L10" s="13"/>
      <c r="M10" s="13"/>
      <c r="N10" s="13"/>
      <c r="O10" s="13"/>
      <c r="P10" s="13"/>
      <c r="Q10" s="13"/>
      <c r="R10" s="13"/>
      <c r="S10" s="13"/>
      <c r="T10" s="13"/>
      <c r="U10" s="13"/>
      <c r="V10" s="13"/>
      <c r="W10" s="13"/>
      <c r="X10" s="13"/>
      <c r="Y10" s="13"/>
    </row>
    <row r="11" spans="1:25">
      <c r="A11" s="22" t="s">
        <v>48</v>
      </c>
      <c r="B11" s="23">
        <v>61713</v>
      </c>
      <c r="C11" s="23">
        <v>81339</v>
      </c>
      <c r="D11" s="86" t="s">
        <v>74</v>
      </c>
      <c r="E11" s="13">
        <f>E5*E12</f>
        <v>109845.736</v>
      </c>
      <c r="F11" s="13">
        <f t="shared" ref="F11:N11" si="4">F5*F12</f>
        <v>164768.60399999999</v>
      </c>
      <c r="G11" s="13">
        <f t="shared" si="4"/>
        <v>230676.04559999995</v>
      </c>
      <c r="H11" s="13">
        <f t="shared" si="4"/>
        <v>299878.85927999998</v>
      </c>
      <c r="I11" s="13">
        <f t="shared" si="4"/>
        <v>344860.68817199994</v>
      </c>
      <c r="J11" s="13">
        <f t="shared" si="4"/>
        <v>379346.75698919996</v>
      </c>
      <c r="K11" s="13">
        <f t="shared" si="4"/>
        <v>417281.43268812</v>
      </c>
      <c r="L11" s="13">
        <f t="shared" si="4"/>
        <v>459009.57595693204</v>
      </c>
      <c r="M11" s="13">
        <f t="shared" si="4"/>
        <v>504910.53355262533</v>
      </c>
      <c r="N11" s="13">
        <f t="shared" si="4"/>
        <v>555401.58690788795</v>
      </c>
      <c r="O11" s="13"/>
      <c r="P11" s="13"/>
      <c r="Q11" s="13"/>
      <c r="R11" s="13"/>
      <c r="S11" s="13"/>
      <c r="T11" s="13"/>
      <c r="U11" s="13"/>
      <c r="V11" s="13"/>
      <c r="W11" s="13"/>
      <c r="X11" s="13"/>
      <c r="Y11" s="13"/>
    </row>
    <row r="12" spans="1:25" s="33" customFormat="1" ht="12.75" customHeight="1">
      <c r="A12" s="76" t="s">
        <v>58</v>
      </c>
      <c r="B12" s="77">
        <f>B11/B5</f>
        <v>0.27296733043762883</v>
      </c>
      <c r="C12" s="77">
        <f>C11/C5</f>
        <v>0.2791624337607424</v>
      </c>
      <c r="D12" s="78"/>
      <c r="E12" s="89">
        <v>0.26</v>
      </c>
      <c r="F12" s="89">
        <v>0.26</v>
      </c>
      <c r="G12" s="89">
        <v>0.26</v>
      </c>
      <c r="H12" s="89">
        <v>0.26</v>
      </c>
      <c r="I12" s="89">
        <v>0.26</v>
      </c>
      <c r="J12" s="89">
        <v>0.26</v>
      </c>
      <c r="K12" s="89">
        <v>0.26</v>
      </c>
      <c r="L12" s="89">
        <v>0.26</v>
      </c>
      <c r="M12" s="89">
        <v>0.26</v>
      </c>
      <c r="N12" s="89">
        <v>0.26</v>
      </c>
      <c r="O12" s="32"/>
      <c r="P12" s="32"/>
      <c r="Q12" s="32"/>
      <c r="R12" s="32"/>
      <c r="S12" s="32"/>
      <c r="T12" s="32"/>
      <c r="U12" s="32"/>
      <c r="V12" s="32"/>
      <c r="W12" s="32"/>
      <c r="X12" s="32"/>
      <c r="Y12" s="32"/>
    </row>
    <row r="13" spans="1:25">
      <c r="A13" s="22" t="s">
        <v>49</v>
      </c>
      <c r="B13" s="23">
        <f>B9-B11</f>
        <v>18079</v>
      </c>
      <c r="C13" s="23">
        <f>C9-C11</f>
        <v>26519</v>
      </c>
      <c r="D13" s="50"/>
      <c r="E13" s="23">
        <f t="shared" ref="E13:N13" si="5">E9-E11</f>
        <v>42248.359999999957</v>
      </c>
      <c r="F13" s="23">
        <f t="shared" si="5"/>
        <v>66541.166999999958</v>
      </c>
      <c r="G13" s="23">
        <f t="shared" si="5"/>
        <v>93157.633799999952</v>
      </c>
      <c r="H13" s="23">
        <f t="shared" si="5"/>
        <v>121104.92394000001</v>
      </c>
      <c r="I13" s="23">
        <f t="shared" si="5"/>
        <v>139270.66253099992</v>
      </c>
      <c r="J13" s="23">
        <f t="shared" si="5"/>
        <v>153197.72878409998</v>
      </c>
      <c r="K13" s="23">
        <f t="shared" si="5"/>
        <v>168517.50166250992</v>
      </c>
      <c r="L13" s="23">
        <f t="shared" si="5"/>
        <v>185369.25182876107</v>
      </c>
      <c r="M13" s="23">
        <f t="shared" si="5"/>
        <v>203906.17701163713</v>
      </c>
      <c r="N13" s="23">
        <f t="shared" si="5"/>
        <v>224296.79471280088</v>
      </c>
      <c r="O13" s="13"/>
      <c r="P13" s="13"/>
      <c r="Q13" s="13"/>
      <c r="R13" s="13"/>
      <c r="S13" s="13"/>
      <c r="T13" s="13"/>
      <c r="U13" s="13"/>
      <c r="V13" s="13"/>
      <c r="W13" s="13"/>
      <c r="X13" s="13"/>
      <c r="Y13" s="13"/>
    </row>
    <row r="14" spans="1:25">
      <c r="A14" s="30"/>
      <c r="B14" s="23"/>
      <c r="C14" s="23"/>
      <c r="D14" s="50"/>
      <c r="E14" s="13"/>
      <c r="F14" s="13"/>
      <c r="G14" s="13"/>
      <c r="H14" s="13"/>
      <c r="I14" s="13"/>
      <c r="J14" s="13"/>
      <c r="K14" s="13"/>
      <c r="L14" s="13"/>
      <c r="M14" s="13"/>
      <c r="N14" s="13"/>
      <c r="O14" s="13"/>
      <c r="P14" s="13"/>
      <c r="Q14" s="13"/>
      <c r="R14" s="13"/>
      <c r="S14" s="13"/>
      <c r="T14" s="13"/>
      <c r="U14" s="13"/>
      <c r="V14" s="13"/>
      <c r="W14" s="13"/>
      <c r="X14" s="13"/>
      <c r="Y14" s="13"/>
    </row>
    <row r="15" spans="1:25">
      <c r="A15" s="79" t="s">
        <v>53</v>
      </c>
      <c r="B15" s="80">
        <v>-540</v>
      </c>
      <c r="C15" s="80">
        <v>-1992</v>
      </c>
      <c r="D15" s="81">
        <v>-3.0000000000000001E-3</v>
      </c>
      <c r="E15" s="7">
        <f>E5*$D$15</f>
        <v>-1267.4507999999998</v>
      </c>
      <c r="F15" s="7">
        <f t="shared" ref="F15:N15" si="6">F5*$D$15</f>
        <v>-1901.1761999999997</v>
      </c>
      <c r="G15" s="7">
        <f t="shared" si="6"/>
        <v>-2661.6466799999994</v>
      </c>
      <c r="H15" s="7">
        <f t="shared" si="6"/>
        <v>-3460.1406839999995</v>
      </c>
      <c r="I15" s="7">
        <f t="shared" si="6"/>
        <v>-3979.1617865999992</v>
      </c>
      <c r="J15" s="7">
        <f t="shared" si="6"/>
        <v>-4377.0779652599995</v>
      </c>
      <c r="K15" s="7">
        <f t="shared" si="6"/>
        <v>-4814.785761786</v>
      </c>
      <c r="L15" s="7">
        <f t="shared" si="6"/>
        <v>-5296.2643379646006</v>
      </c>
      <c r="M15" s="7">
        <f t="shared" si="6"/>
        <v>-5825.8907717610609</v>
      </c>
      <c r="N15" s="7">
        <f t="shared" si="6"/>
        <v>-6408.4798489371688</v>
      </c>
      <c r="O15" s="13"/>
      <c r="P15" s="13"/>
      <c r="Q15" s="13"/>
      <c r="R15" s="13"/>
      <c r="S15" s="13"/>
      <c r="T15" s="13"/>
      <c r="U15" s="13"/>
      <c r="V15" s="13"/>
      <c r="W15" s="13"/>
      <c r="X15" s="13"/>
      <c r="Y15" s="13"/>
    </row>
    <row r="16" spans="1:25" s="4" customFormat="1">
      <c r="A16" s="25" t="s">
        <v>38</v>
      </c>
      <c r="B16" s="26">
        <f>B13+B15</f>
        <v>17539</v>
      </c>
      <c r="C16" s="26">
        <f>C13+C15</f>
        <v>24527</v>
      </c>
      <c r="D16" s="52"/>
      <c r="E16" s="26">
        <f t="shared" ref="E16:N16" si="7">E13+E15</f>
        <v>40980.909199999958</v>
      </c>
      <c r="F16" s="26">
        <f t="shared" si="7"/>
        <v>64639.990799999956</v>
      </c>
      <c r="G16" s="26">
        <f t="shared" si="7"/>
        <v>90495.987119999947</v>
      </c>
      <c r="H16" s="26">
        <f t="shared" si="7"/>
        <v>117644.78325600001</v>
      </c>
      <c r="I16" s="26">
        <f t="shared" si="7"/>
        <v>135291.50074439993</v>
      </c>
      <c r="J16" s="26">
        <f t="shared" si="7"/>
        <v>148820.65081883999</v>
      </c>
      <c r="K16" s="26">
        <f t="shared" si="7"/>
        <v>163702.71590072391</v>
      </c>
      <c r="L16" s="26">
        <f t="shared" si="7"/>
        <v>180072.98749079648</v>
      </c>
      <c r="M16" s="26">
        <f t="shared" si="7"/>
        <v>198080.28623987606</v>
      </c>
      <c r="N16" s="26">
        <f t="shared" si="7"/>
        <v>217888.31486386372</v>
      </c>
    </row>
    <row r="17" spans="1:25">
      <c r="A17" s="25"/>
      <c r="B17" s="23"/>
      <c r="C17" s="23"/>
      <c r="D17" s="51"/>
      <c r="E17" s="13"/>
      <c r="F17" s="13"/>
      <c r="G17" s="13"/>
      <c r="H17" s="13"/>
      <c r="I17" s="13"/>
      <c r="J17" s="13"/>
      <c r="K17" s="13"/>
      <c r="L17" s="13"/>
      <c r="M17" s="13"/>
      <c r="N17" s="13"/>
      <c r="O17" s="13"/>
      <c r="P17" s="13"/>
      <c r="Q17" s="13"/>
      <c r="R17" s="13"/>
      <c r="S17" s="13"/>
      <c r="T17" s="13"/>
      <c r="U17" s="13"/>
      <c r="V17" s="13"/>
      <c r="W17" s="13"/>
      <c r="X17" s="13"/>
      <c r="Y17" s="13"/>
    </row>
    <row r="18" spans="1:25">
      <c r="A18" s="22" t="s">
        <v>50</v>
      </c>
      <c r="B18" s="23">
        <v>5822</v>
      </c>
      <c r="C18" s="23">
        <v>5528</v>
      </c>
      <c r="D18" s="107">
        <v>9.4E-2</v>
      </c>
      <c r="E18" s="13">
        <f>(('Balance Sheet'!C20+'Balance Sheet'!C15+'Balance Sheet'!E20+'Balance Sheet'!E15)/2)*0.094</f>
        <v>5667.6502963973335</v>
      </c>
      <c r="F18" s="13">
        <f>(('Balance Sheet'!E20+'Balance Sheet'!E15+'Balance Sheet'!F20+'Balance Sheet'!F15)/2)*0.094</f>
        <v>8051.6306784099997</v>
      </c>
      <c r="G18" s="13">
        <f>(('Balance Sheet'!F20+'Balance Sheet'!F15+'Balance Sheet'!G20+'Balance Sheet'!G15)/2)*0.094</f>
        <v>11381.512370797067</v>
      </c>
      <c r="H18" s="13">
        <f>(('Balance Sheet'!G20+'Balance Sheet'!G15+'Balance Sheet'!H20+'Balance Sheet'!H15)/2)*0.094</f>
        <v>15106.783240687451</v>
      </c>
      <c r="I18" s="13">
        <f>(('Balance Sheet'!H20+'Balance Sheet'!H15+'Balance Sheet'!I20+'Balance Sheet'!I15)/2)*0.094</f>
        <v>18252.656892774899</v>
      </c>
      <c r="J18" s="13">
        <f>(('Balance Sheet'!I20+'Balance Sheet'!I15+'Balance Sheet'!J20+'Balance Sheet'!J15)/2)*0.094</f>
        <v>20437.278625247538</v>
      </c>
      <c r="K18" s="13">
        <f>(('Balance Sheet'!J20+'Balance Sheet'!J15+'Balance Sheet'!K20+'Balance Sheet'!K15)/2)*0.094</f>
        <v>22426.775798622293</v>
      </c>
      <c r="L18" s="13">
        <f>(('Balance Sheet'!K20+'Balance Sheet'!K15+'Balance Sheet'!L20+'Balance Sheet'!L15)/2)*0.094</f>
        <v>24616.794593367864</v>
      </c>
      <c r="M18" s="13">
        <f>(('Balance Sheet'!L20+'Balance Sheet'!L15+'Balance Sheet'!M20+'Balance Sheet'!M15)/2)*0.094</f>
        <v>27027.387171621314</v>
      </c>
      <c r="N18" s="13">
        <f>(('Balance Sheet'!M20+'Balance Sheet'!M15+'Balance Sheet'!N20+'Balance Sheet'!N15)/2)*0.094</f>
        <v>29680.610911733456</v>
      </c>
      <c r="O18" s="13"/>
      <c r="P18" s="13"/>
      <c r="Q18" s="13"/>
      <c r="R18" s="13"/>
      <c r="S18" s="13"/>
      <c r="T18" s="13"/>
      <c r="U18" s="13"/>
      <c r="V18" s="13"/>
      <c r="W18" s="13"/>
      <c r="X18" s="13"/>
      <c r="Y18" s="13"/>
    </row>
    <row r="19" spans="1:25">
      <c r="A19" s="22" t="s">
        <v>51</v>
      </c>
      <c r="B19" s="23">
        <f>B16-B18</f>
        <v>11717</v>
      </c>
      <c r="C19" s="23">
        <f>C16-C18</f>
        <v>18999</v>
      </c>
      <c r="D19" s="50"/>
      <c r="E19" s="13">
        <f>E16-E18</f>
        <v>35313.258903602626</v>
      </c>
      <c r="F19" s="13">
        <f t="shared" ref="F19:N19" si="8">F16-F18</f>
        <v>56588.360121589954</v>
      </c>
      <c r="G19" s="13">
        <f t="shared" si="8"/>
        <v>79114.474749202884</v>
      </c>
      <c r="H19" s="13">
        <f t="shared" si="8"/>
        <v>102538.00001531256</v>
      </c>
      <c r="I19" s="13">
        <f t="shared" si="8"/>
        <v>117038.84385162503</v>
      </c>
      <c r="J19" s="13">
        <f t="shared" si="8"/>
        <v>128383.37219359246</v>
      </c>
      <c r="K19" s="13">
        <f t="shared" si="8"/>
        <v>141275.94010210162</v>
      </c>
      <c r="L19" s="13">
        <f t="shared" si="8"/>
        <v>155456.19289742861</v>
      </c>
      <c r="M19" s="13">
        <f t="shared" si="8"/>
        <v>171052.89906825474</v>
      </c>
      <c r="N19" s="13">
        <f t="shared" si="8"/>
        <v>188207.70395213028</v>
      </c>
      <c r="O19" s="13"/>
      <c r="P19" s="13"/>
      <c r="Q19" s="13"/>
      <c r="R19" s="13"/>
      <c r="S19" s="13"/>
      <c r="T19" s="13"/>
      <c r="U19" s="13"/>
      <c r="V19" s="13"/>
      <c r="W19" s="13"/>
      <c r="X19" s="13"/>
      <c r="Y19" s="13"/>
    </row>
    <row r="20" spans="1:25">
      <c r="A20" s="79" t="s">
        <v>52</v>
      </c>
      <c r="B20" s="80">
        <v>3632</v>
      </c>
      <c r="C20" s="80">
        <v>6080</v>
      </c>
      <c r="D20" s="59">
        <v>0.32</v>
      </c>
      <c r="E20" s="7">
        <f>$D$20*E19</f>
        <v>11300.242849152841</v>
      </c>
      <c r="F20" s="7">
        <f t="shared" ref="F20:N20" si="9">$D$20*F19</f>
        <v>18108.275238908787</v>
      </c>
      <c r="G20" s="7">
        <f t="shared" si="9"/>
        <v>25316.631919744923</v>
      </c>
      <c r="H20" s="7">
        <f t="shared" si="9"/>
        <v>32812.160004900019</v>
      </c>
      <c r="I20" s="7">
        <f t="shared" si="9"/>
        <v>37452.430032520009</v>
      </c>
      <c r="J20" s="7">
        <f t="shared" si="9"/>
        <v>41082.679101949587</v>
      </c>
      <c r="K20" s="7">
        <f t="shared" si="9"/>
        <v>45208.300832672518</v>
      </c>
      <c r="L20" s="7">
        <f t="shared" si="9"/>
        <v>49745.981727177161</v>
      </c>
      <c r="M20" s="7">
        <f t="shared" si="9"/>
        <v>54736.927701841516</v>
      </c>
      <c r="N20" s="7">
        <f t="shared" si="9"/>
        <v>60226.46526468169</v>
      </c>
      <c r="O20" s="13"/>
      <c r="P20" s="13"/>
      <c r="Q20" s="13"/>
      <c r="R20" s="13"/>
      <c r="S20" s="13"/>
      <c r="T20" s="13"/>
      <c r="U20" s="13"/>
      <c r="V20" s="13"/>
      <c r="W20" s="13"/>
      <c r="X20" s="13"/>
      <c r="Y20" s="13"/>
    </row>
    <row r="21" spans="1:25" s="20" customFormat="1">
      <c r="A21" s="27" t="s">
        <v>37</v>
      </c>
      <c r="B21" s="28">
        <f>B19-B20</f>
        <v>8085</v>
      </c>
      <c r="C21" s="28">
        <f>C19-C20</f>
        <v>12919</v>
      </c>
      <c r="D21" s="87"/>
      <c r="E21" s="29">
        <f>E19-E20</f>
        <v>24013.016054449785</v>
      </c>
      <c r="F21" s="29">
        <f t="shared" ref="F21:N21" si="10">F19-F20</f>
        <v>38480.084882681171</v>
      </c>
      <c r="G21" s="29">
        <f t="shared" si="10"/>
        <v>53797.842829457964</v>
      </c>
      <c r="H21" s="29">
        <f t="shared" si="10"/>
        <v>69725.840010412532</v>
      </c>
      <c r="I21" s="29">
        <f t="shared" si="10"/>
        <v>79586.413819105015</v>
      </c>
      <c r="J21" s="29">
        <f t="shared" si="10"/>
        <v>87300.693091642868</v>
      </c>
      <c r="K21" s="29">
        <f t="shared" si="10"/>
        <v>96067.639269429113</v>
      </c>
      <c r="L21" s="29">
        <f t="shared" si="10"/>
        <v>105710.21117025145</v>
      </c>
      <c r="M21" s="29">
        <f t="shared" si="10"/>
        <v>116315.97136641323</v>
      </c>
      <c r="N21" s="29">
        <f t="shared" si="10"/>
        <v>127981.23868744858</v>
      </c>
      <c r="O21" s="29"/>
      <c r="P21" s="29"/>
      <c r="Q21" s="29"/>
      <c r="R21" s="29"/>
      <c r="S21" s="29"/>
      <c r="T21" s="29"/>
      <c r="U21" s="29"/>
      <c r="V21" s="29"/>
      <c r="W21" s="29"/>
      <c r="X21" s="29"/>
      <c r="Y21" s="29"/>
    </row>
    <row r="22" spans="1:25">
      <c r="D22" s="49"/>
    </row>
    <row r="23" spans="1:25">
      <c r="A23" s="3" t="s">
        <v>77</v>
      </c>
      <c r="D23" s="49"/>
      <c r="E23" s="3">
        <v>11241</v>
      </c>
      <c r="F23" s="3">
        <v>11241</v>
      </c>
    </row>
    <row r="24" spans="1:25">
      <c r="D24" s="49"/>
    </row>
    <row r="25" spans="1:25">
      <c r="A25" s="3" t="s">
        <v>78</v>
      </c>
      <c r="D25" s="49"/>
      <c r="E25" s="106">
        <f>E21/E23</f>
        <v>2.1361992753713892</v>
      </c>
      <c r="F25" s="106">
        <f>F21/F23</f>
        <v>3.4231905420052637</v>
      </c>
    </row>
    <row r="26" spans="1:25">
      <c r="D26" s="102"/>
    </row>
    <row r="27" spans="1:25">
      <c r="D27" s="53"/>
    </row>
    <row r="28" spans="1:25">
      <c r="D28" s="19"/>
    </row>
    <row r="29" spans="1:25">
      <c r="D29" s="19"/>
    </row>
    <row r="30" spans="1:25">
      <c r="D30" s="19"/>
    </row>
    <row r="31" spans="1:25">
      <c r="D31" s="19"/>
    </row>
    <row r="32" spans="1:25">
      <c r="D32" s="19"/>
    </row>
    <row r="33" spans="4:4">
      <c r="D33" s="19"/>
    </row>
    <row r="34" spans="4:4">
      <c r="D34" s="19"/>
    </row>
    <row r="35" spans="4:4">
      <c r="D35" s="19"/>
    </row>
    <row r="36" spans="4:4">
      <c r="D36" s="19"/>
    </row>
    <row r="37" spans="4:4">
      <c r="D37" s="19"/>
    </row>
    <row r="38" spans="4:4">
      <c r="D38" s="19"/>
    </row>
    <row r="39" spans="4:4">
      <c r="D39" s="54"/>
    </row>
    <row r="40" spans="4:4">
      <c r="D40" s="19"/>
    </row>
    <row r="41" spans="4:4">
      <c r="D41" s="19"/>
    </row>
    <row r="42" spans="4:4">
      <c r="D42" s="55"/>
    </row>
    <row r="43" spans="4:4">
      <c r="D43" s="19"/>
    </row>
    <row r="44" spans="4:4">
      <c r="D44" s="19"/>
    </row>
    <row r="45" spans="4:4">
      <c r="D45" s="19"/>
    </row>
    <row r="46" spans="4:4">
      <c r="D46" s="19"/>
    </row>
    <row r="47" spans="4:4">
      <c r="D47" s="19"/>
    </row>
    <row r="48" spans="4:4">
      <c r="D48" s="19"/>
    </row>
    <row r="49" spans="4:4">
      <c r="D49" s="19"/>
    </row>
    <row r="50" spans="4:4">
      <c r="D50" s="19"/>
    </row>
    <row r="51" spans="4:4">
      <c r="D51" s="19"/>
    </row>
    <row r="52" spans="4:4">
      <c r="D52" s="19"/>
    </row>
    <row r="53" spans="4:4">
      <c r="D53" s="19"/>
    </row>
    <row r="54" spans="4:4">
      <c r="D54" s="19"/>
    </row>
    <row r="55" spans="4:4">
      <c r="D55" s="19"/>
    </row>
    <row r="56" spans="4:4">
      <c r="D56" s="19"/>
    </row>
    <row r="57" spans="4:4">
      <c r="D57" s="19"/>
    </row>
    <row r="58" spans="4:4">
      <c r="D58" s="19"/>
    </row>
    <row r="59" spans="4:4">
      <c r="D59" s="19"/>
    </row>
    <row r="60" spans="4:4">
      <c r="D60" s="19"/>
    </row>
    <row r="61" spans="4:4">
      <c r="D61" s="19"/>
    </row>
    <row r="62" spans="4:4">
      <c r="D62" s="19"/>
    </row>
    <row r="63" spans="4:4">
      <c r="D63" s="19"/>
    </row>
    <row r="64" spans="4:4">
      <c r="D64" s="19"/>
    </row>
    <row r="65" spans="4:4">
      <c r="D65" s="19"/>
    </row>
    <row r="66" spans="4:4">
      <c r="D66" s="19"/>
    </row>
    <row r="67" spans="4:4">
      <c r="D67" s="19"/>
    </row>
    <row r="68" spans="4:4">
      <c r="D68" s="19"/>
    </row>
    <row r="69" spans="4:4">
      <c r="D69" s="19"/>
    </row>
    <row r="70" spans="4:4">
      <c r="D70" s="19"/>
    </row>
    <row r="71" spans="4:4">
      <c r="D71" s="19"/>
    </row>
    <row r="72" spans="4:4">
      <c r="D72" s="56"/>
    </row>
    <row r="73" spans="4:4">
      <c r="D73" s="56"/>
    </row>
    <row r="74" spans="4:4">
      <c r="D74" s="56"/>
    </row>
    <row r="75" spans="4:4">
      <c r="D75" s="56"/>
    </row>
    <row r="76" spans="4:4">
      <c r="D76" s="56"/>
    </row>
    <row r="77" spans="4:4">
      <c r="D77" s="56"/>
    </row>
    <row r="78" spans="4:4">
      <c r="D78" s="56"/>
    </row>
    <row r="79" spans="4:4">
      <c r="D79" s="56"/>
    </row>
    <row r="80" spans="4:4">
      <c r="D80" s="56"/>
    </row>
    <row r="81" spans="4:4">
      <c r="D81" s="56"/>
    </row>
    <row r="82" spans="4:4">
      <c r="D82" s="56"/>
    </row>
    <row r="83" spans="4:4">
      <c r="D83" s="56"/>
    </row>
    <row r="84" spans="4:4">
      <c r="D84" s="56"/>
    </row>
    <row r="85" spans="4:4">
      <c r="D85" s="56"/>
    </row>
    <row r="86" spans="4:4">
      <c r="D86" s="56"/>
    </row>
    <row r="87" spans="4:4">
      <c r="D87" s="56"/>
    </row>
    <row r="88" spans="4:4">
      <c r="D88" s="19"/>
    </row>
    <row r="89" spans="4:4">
      <c r="D89" s="19"/>
    </row>
    <row r="90" spans="4:4">
      <c r="D90" s="19"/>
    </row>
    <row r="91" spans="4:4">
      <c r="D91" s="19"/>
    </row>
    <row r="92" spans="4:4">
      <c r="D92" s="19"/>
    </row>
    <row r="93" spans="4:4">
      <c r="D93" s="19"/>
    </row>
    <row r="94" spans="4:4">
      <c r="D94" s="19"/>
    </row>
    <row r="95" spans="4:4">
      <c r="D95" s="19"/>
    </row>
    <row r="96" spans="4:4">
      <c r="D96" s="19"/>
    </row>
    <row r="97" spans="4:4">
      <c r="D97" s="19"/>
    </row>
    <row r="98" spans="4:4">
      <c r="D98" s="19"/>
    </row>
    <row r="99" spans="4:4">
      <c r="D99" s="19"/>
    </row>
    <row r="100" spans="4:4">
      <c r="D100" s="19"/>
    </row>
    <row r="101" spans="4:4">
      <c r="D101" s="19"/>
    </row>
    <row r="102" spans="4:4">
      <c r="D102" s="19"/>
    </row>
    <row r="103" spans="4:4">
      <c r="D103" s="19"/>
    </row>
    <row r="104" spans="4:4">
      <c r="D104" s="19"/>
    </row>
    <row r="105" spans="4:4">
      <c r="D105" s="19"/>
    </row>
    <row r="106" spans="4:4">
      <c r="D106" s="19"/>
    </row>
    <row r="107" spans="4:4">
      <c r="D107" s="19"/>
    </row>
    <row r="108" spans="4:4">
      <c r="D108" s="19"/>
    </row>
    <row r="109" spans="4:4">
      <c r="D109" s="19"/>
    </row>
    <row r="110" spans="4:4">
      <c r="D110" s="19"/>
    </row>
    <row r="111" spans="4:4">
      <c r="D111" s="19"/>
    </row>
    <row r="112" spans="4:4">
      <c r="D112" s="19"/>
    </row>
    <row r="113" spans="4:4">
      <c r="D113" s="19"/>
    </row>
    <row r="114" spans="4:4">
      <c r="D114" s="19"/>
    </row>
    <row r="115" spans="4:4">
      <c r="D115" s="19"/>
    </row>
    <row r="116" spans="4:4">
      <c r="D116" s="19"/>
    </row>
    <row r="117" spans="4:4">
      <c r="D117" s="19"/>
    </row>
    <row r="118" spans="4:4">
      <c r="D118" s="19"/>
    </row>
    <row r="119" spans="4:4">
      <c r="D119" s="19"/>
    </row>
    <row r="120" spans="4:4">
      <c r="D120" s="19"/>
    </row>
    <row r="121" spans="4:4">
      <c r="D121" s="19"/>
    </row>
    <row r="122" spans="4:4">
      <c r="D122" s="19"/>
    </row>
    <row r="123" spans="4:4">
      <c r="D123" s="19"/>
    </row>
    <row r="124" spans="4:4">
      <c r="D124" s="19"/>
    </row>
    <row r="125" spans="4:4">
      <c r="D125" s="19"/>
    </row>
    <row r="126" spans="4:4">
      <c r="D126" s="19"/>
    </row>
    <row r="127" spans="4:4">
      <c r="D127" s="19"/>
    </row>
    <row r="128" spans="4:4">
      <c r="D128" s="19"/>
    </row>
    <row r="129" spans="4:4">
      <c r="D129" s="19"/>
    </row>
    <row r="130" spans="4:4">
      <c r="D130" s="19"/>
    </row>
    <row r="131" spans="4:4">
      <c r="D131" s="19"/>
    </row>
    <row r="132" spans="4:4">
      <c r="D132" s="19"/>
    </row>
    <row r="133" spans="4:4">
      <c r="D133" s="19"/>
    </row>
    <row r="134" spans="4:4">
      <c r="D134" s="19"/>
    </row>
    <row r="135" spans="4:4">
      <c r="D135" s="19"/>
    </row>
    <row r="136" spans="4:4">
      <c r="D136" s="19"/>
    </row>
    <row r="137" spans="4:4">
      <c r="D137" s="19"/>
    </row>
    <row r="138" spans="4:4">
      <c r="D138" s="19"/>
    </row>
    <row r="139" spans="4:4">
      <c r="D139" s="19"/>
    </row>
    <row r="140" spans="4:4">
      <c r="D140" s="19"/>
    </row>
    <row r="141" spans="4:4">
      <c r="D141" s="19"/>
    </row>
    <row r="142" spans="4:4">
      <c r="D142" s="19"/>
    </row>
    <row r="143" spans="4:4">
      <c r="D143" s="19"/>
    </row>
    <row r="144" spans="4:4">
      <c r="D144" s="19"/>
    </row>
    <row r="145" spans="4:4">
      <c r="D145" s="19"/>
    </row>
    <row r="146" spans="4:4">
      <c r="D146" s="19"/>
    </row>
    <row r="147" spans="4:4">
      <c r="D147" s="19"/>
    </row>
    <row r="148" spans="4:4">
      <c r="D148" s="19"/>
    </row>
    <row r="149" spans="4:4">
      <c r="D149" s="19"/>
    </row>
    <row r="150" spans="4:4">
      <c r="D150" s="19"/>
    </row>
    <row r="151" spans="4:4">
      <c r="D151" s="19"/>
    </row>
    <row r="152" spans="4:4">
      <c r="D152" s="19"/>
    </row>
  </sheetData>
  <phoneticPr fontId="16" type="noConversion"/>
  <pageMargins left="0.75" right="0.75" top="1" bottom="1" header="0.5" footer="0.5"/>
  <pageSetup scale="65"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1"/>
  <sheetViews>
    <sheetView zoomScale="90" workbookViewId="0">
      <selection activeCell="D8" sqref="D8"/>
    </sheetView>
  </sheetViews>
  <sheetFormatPr defaultRowHeight="12.75"/>
  <cols>
    <col min="1" max="1" width="33.1640625" style="3" customWidth="1"/>
    <col min="2" max="3" width="10.33203125" style="3" bestFit="1" customWidth="1"/>
    <col min="4" max="4" width="34.6640625" style="18" bestFit="1" customWidth="1"/>
    <col min="5" max="14" width="11.83203125" style="3" customWidth="1"/>
    <col min="15" max="16384" width="9.33203125" style="3"/>
  </cols>
  <sheetData>
    <row r="1" spans="1:14" ht="18">
      <c r="A1" s="21" t="s">
        <v>54</v>
      </c>
    </row>
    <row r="2" spans="1:14">
      <c r="A2" s="1" t="s">
        <v>69</v>
      </c>
    </row>
    <row r="3" spans="1:14">
      <c r="A3" s="4"/>
      <c r="B3" s="5" t="s">
        <v>0</v>
      </c>
      <c r="C3" s="5" t="s">
        <v>0</v>
      </c>
      <c r="D3" s="19" t="s">
        <v>1</v>
      </c>
      <c r="E3" s="5" t="s">
        <v>2</v>
      </c>
      <c r="F3" s="5" t="s">
        <v>2</v>
      </c>
      <c r="G3" s="5" t="s">
        <v>2</v>
      </c>
      <c r="H3" s="5" t="s">
        <v>2</v>
      </c>
      <c r="I3" s="5" t="s">
        <v>2</v>
      </c>
      <c r="J3" s="5" t="s">
        <v>2</v>
      </c>
      <c r="K3" s="5" t="s">
        <v>2</v>
      </c>
      <c r="L3" s="5" t="s">
        <v>2</v>
      </c>
      <c r="M3" s="5" t="s">
        <v>2</v>
      </c>
      <c r="N3" s="5" t="s">
        <v>2</v>
      </c>
    </row>
    <row r="4" spans="1:14" s="111" customFormat="1">
      <c r="A4" s="112" t="s">
        <v>3</v>
      </c>
      <c r="B4" s="113">
        <v>1991</v>
      </c>
      <c r="C4" s="113">
        <v>1992</v>
      </c>
      <c r="D4" s="114"/>
      <c r="E4" s="115">
        <f>C4+1</f>
        <v>1993</v>
      </c>
      <c r="F4" s="115">
        <f t="shared" ref="F4:N4" si="0">E4+1</f>
        <v>1994</v>
      </c>
      <c r="G4" s="115">
        <f t="shared" si="0"/>
        <v>1995</v>
      </c>
      <c r="H4" s="115">
        <f t="shared" si="0"/>
        <v>1996</v>
      </c>
      <c r="I4" s="115">
        <f t="shared" si="0"/>
        <v>1997</v>
      </c>
      <c r="J4" s="115">
        <f t="shared" si="0"/>
        <v>1998</v>
      </c>
      <c r="K4" s="115">
        <f t="shared" si="0"/>
        <v>1999</v>
      </c>
      <c r="L4" s="115">
        <f t="shared" si="0"/>
        <v>2000</v>
      </c>
      <c r="M4" s="115">
        <f t="shared" si="0"/>
        <v>2001</v>
      </c>
      <c r="N4" s="115">
        <f t="shared" si="0"/>
        <v>2002</v>
      </c>
    </row>
    <row r="5" spans="1:14">
      <c r="A5" s="3" t="s">
        <v>11</v>
      </c>
      <c r="B5" s="6">
        <v>7509</v>
      </c>
      <c r="C5" s="6">
        <v>1220</v>
      </c>
      <c r="D5" s="46">
        <v>8.0000000000000002E-3</v>
      </c>
      <c r="E5" s="3">
        <f>$D$5*'Income Statement'!E5</f>
        <v>3379.8687999999997</v>
      </c>
      <c r="F5" s="3">
        <f>$D$5*'Income Statement'!F5</f>
        <v>5069.8031999999994</v>
      </c>
      <c r="G5" s="3">
        <f>$D$5*'Income Statement'!G5</f>
        <v>7097.7244799999989</v>
      </c>
      <c r="H5" s="3">
        <f>$D$5*'Income Statement'!H5</f>
        <v>9227.0418239999999</v>
      </c>
      <c r="I5" s="3">
        <f>$D$5*'Income Statement'!I5</f>
        <v>10611.098097599999</v>
      </c>
      <c r="J5" s="3">
        <f>$D$5*'Income Statement'!J5</f>
        <v>11672.20790736</v>
      </c>
      <c r="K5" s="3">
        <f>$D$5*'Income Statement'!K5</f>
        <v>12839.428698096001</v>
      </c>
      <c r="L5" s="3">
        <f>$D$5*'Income Statement'!L5</f>
        <v>14123.371567905602</v>
      </c>
      <c r="M5" s="3">
        <f>$D$5*'Income Statement'!M5</f>
        <v>15535.708724696164</v>
      </c>
      <c r="N5" s="3">
        <f>$D$5*'Income Statement'!N5</f>
        <v>17089.279597165783</v>
      </c>
    </row>
    <row r="6" spans="1:14">
      <c r="A6" s="3" t="s">
        <v>12</v>
      </c>
      <c r="B6" s="6">
        <v>48043</v>
      </c>
      <c r="C6" s="6">
        <v>54141</v>
      </c>
      <c r="D6" s="46">
        <v>0.2</v>
      </c>
      <c r="E6" s="3">
        <f>$D$6*'Income Statement'!E5</f>
        <v>84496.72</v>
      </c>
      <c r="F6" s="3">
        <f>$D$6*'Income Statement'!F5</f>
        <v>126745.07999999999</v>
      </c>
      <c r="G6" s="3">
        <f>$D$6*'Income Statement'!G5</f>
        <v>177443.11199999996</v>
      </c>
      <c r="H6" s="3">
        <f>$D$6*'Income Statement'!H5</f>
        <v>230676.04559999998</v>
      </c>
      <c r="I6" s="3">
        <f>$D$6*'Income Statement'!I5</f>
        <v>265277.45243999996</v>
      </c>
      <c r="J6" s="3">
        <f>$D$6*'Income Statement'!J5</f>
        <v>291805.19768399996</v>
      </c>
      <c r="K6" s="3">
        <f>$D$6*'Income Statement'!K5</f>
        <v>320985.71745240001</v>
      </c>
      <c r="L6" s="3">
        <f>$D$6*'Income Statement'!L5</f>
        <v>353084.28919764003</v>
      </c>
      <c r="M6" s="3">
        <f>$D$6*'Income Statement'!M5</f>
        <v>388392.71811740409</v>
      </c>
      <c r="N6" s="3">
        <f>$D$6*'Income Statement'!N5</f>
        <v>427231.98992914456</v>
      </c>
    </row>
    <row r="7" spans="1:14">
      <c r="A7" s="3" t="s">
        <v>13</v>
      </c>
      <c r="B7" s="6">
        <v>58311</v>
      </c>
      <c r="C7" s="6">
        <v>70542</v>
      </c>
      <c r="D7" s="46">
        <v>0.21</v>
      </c>
      <c r="E7" s="3">
        <f>$D$7*'Income Statement'!E5</f>
        <v>88721.555999999997</v>
      </c>
      <c r="F7" s="3">
        <f>$D$7*'Income Statement'!F5</f>
        <v>133082.33399999997</v>
      </c>
      <c r="G7" s="3">
        <f>$D$7*'Income Statement'!G5</f>
        <v>186315.26759999996</v>
      </c>
      <c r="H7" s="3">
        <f>$D$7*'Income Statement'!H5</f>
        <v>242209.84787999996</v>
      </c>
      <c r="I7" s="3">
        <f>$D$7*'Income Statement'!I5</f>
        <v>278541.32506199996</v>
      </c>
      <c r="J7" s="3">
        <f>$D$7*'Income Statement'!J5</f>
        <v>306395.45756819996</v>
      </c>
      <c r="K7" s="3">
        <f>$D$7*'Income Statement'!K5</f>
        <v>337035.00332501996</v>
      </c>
      <c r="L7" s="3">
        <f>$D$7*'Income Statement'!L5</f>
        <v>370738.50365752203</v>
      </c>
      <c r="M7" s="3">
        <f>$D$7*'Income Statement'!M5</f>
        <v>407812.35402327427</v>
      </c>
      <c r="N7" s="3">
        <f>$D$7*'Income Statement'!N5</f>
        <v>448593.58942560176</v>
      </c>
    </row>
    <row r="8" spans="1:14">
      <c r="A8" s="7" t="s">
        <v>14</v>
      </c>
      <c r="B8" s="8">
        <v>9184</v>
      </c>
      <c r="C8" s="8">
        <v>11967</v>
      </c>
      <c r="D8" s="93">
        <v>3.5000000000000003E-2</v>
      </c>
      <c r="E8" s="7">
        <f>$D$8*'Income Statement'!E5</f>
        <v>14786.926000000001</v>
      </c>
      <c r="F8" s="7">
        <f>$D$8*'Income Statement'!F5</f>
        <v>22180.388999999999</v>
      </c>
      <c r="G8" s="7">
        <f>$D$8*'Income Statement'!G5</f>
        <v>31052.544599999997</v>
      </c>
      <c r="H8" s="7">
        <f>$D$8*'Income Statement'!H5</f>
        <v>40368.307979999998</v>
      </c>
      <c r="I8" s="7">
        <f>$D$8*'Income Statement'!I5</f>
        <v>46423.554176999998</v>
      </c>
      <c r="J8" s="7">
        <f>$D$8*'Income Statement'!J5</f>
        <v>51065.909594700002</v>
      </c>
      <c r="K8" s="7">
        <f>$D$8*'Income Statement'!K5</f>
        <v>56172.500554170001</v>
      </c>
      <c r="L8" s="7">
        <f>$D$8*'Income Statement'!L5</f>
        <v>61789.750609587012</v>
      </c>
      <c r="M8" s="7">
        <f>$D$8*'Income Statement'!M5</f>
        <v>67968.725670545726</v>
      </c>
      <c r="N8" s="7">
        <f>$D$8*'Income Statement'!N5</f>
        <v>74765.598237600308</v>
      </c>
    </row>
    <row r="9" spans="1:14">
      <c r="A9" s="3" t="s">
        <v>15</v>
      </c>
      <c r="B9" s="6">
        <f>SUM(B5:B8)</f>
        <v>123047</v>
      </c>
      <c r="C9" s="6">
        <f>SUM(C5:C8)</f>
        <v>137870</v>
      </c>
      <c r="E9" s="6">
        <f>SUM(E5:E8)</f>
        <v>191385.07080000002</v>
      </c>
      <c r="F9" s="6">
        <f t="shared" ref="F9:N9" si="1">SUM(F5:F8)</f>
        <v>287077.60619999998</v>
      </c>
      <c r="G9" s="6">
        <f t="shared" si="1"/>
        <v>401908.64867999998</v>
      </c>
      <c r="H9" s="6">
        <f t="shared" si="1"/>
        <v>522481.24328399991</v>
      </c>
      <c r="I9" s="6">
        <f t="shared" si="1"/>
        <v>600853.42977659986</v>
      </c>
      <c r="J9" s="6">
        <f t="shared" si="1"/>
        <v>660938.77275425987</v>
      </c>
      <c r="K9" s="6">
        <f t="shared" si="1"/>
        <v>727032.65002968605</v>
      </c>
      <c r="L9" s="6">
        <f t="shared" si="1"/>
        <v>799735.91503265465</v>
      </c>
      <c r="M9" s="6">
        <f t="shared" si="1"/>
        <v>879709.5065359202</v>
      </c>
      <c r="N9" s="6">
        <f t="shared" si="1"/>
        <v>967680.45718951232</v>
      </c>
    </row>
    <row r="10" spans="1:14">
      <c r="A10" s="3" t="s">
        <v>16</v>
      </c>
      <c r="B10" s="6">
        <v>29749</v>
      </c>
      <c r="C10" s="6">
        <v>32669</v>
      </c>
      <c r="D10" s="46">
        <v>0.11</v>
      </c>
      <c r="E10" s="3">
        <f>$D$10*'Income Statement'!E5</f>
        <v>46473.195999999996</v>
      </c>
      <c r="F10" s="3">
        <f>$D$10*'Income Statement'!F5</f>
        <v>69709.793999999994</v>
      </c>
      <c r="G10" s="3">
        <f>$D$10*'Income Statement'!G5</f>
        <v>97593.711599999981</v>
      </c>
      <c r="H10" s="3">
        <f>$D$10*'Income Statement'!H5</f>
        <v>126871.82508</v>
      </c>
      <c r="I10" s="3">
        <f>$D$10*'Income Statement'!I5</f>
        <v>145902.59884199998</v>
      </c>
      <c r="J10" s="3">
        <f>$D$10*'Income Statement'!J5</f>
        <v>160492.85872619998</v>
      </c>
      <c r="K10" s="3">
        <f>$D$10*'Income Statement'!K5</f>
        <v>176542.14459881998</v>
      </c>
      <c r="L10" s="3">
        <f>$D$10*'Income Statement'!L5</f>
        <v>194196.35905870202</v>
      </c>
      <c r="M10" s="3">
        <f>$D$10*'Income Statement'!M5</f>
        <v>213615.99496457225</v>
      </c>
      <c r="N10" s="3">
        <f>$D$10*'Income Statement'!N5</f>
        <v>234977.59446102951</v>
      </c>
    </row>
    <row r="11" spans="1:14">
      <c r="A11" s="3" t="s">
        <v>17</v>
      </c>
      <c r="B11" s="6">
        <v>19608</v>
      </c>
      <c r="C11" s="6">
        <v>18931</v>
      </c>
      <c r="D11" s="90" t="s">
        <v>18</v>
      </c>
      <c r="E11" s="3">
        <f>C11-($C$11/30)</f>
        <v>18299.966666666667</v>
      </c>
      <c r="F11" s="3">
        <f>E11-($C$11/30)</f>
        <v>17668.933333333334</v>
      </c>
      <c r="G11" s="3">
        <f t="shared" ref="G11:N11" si="2">F11-($C$11/30)</f>
        <v>17037.900000000001</v>
      </c>
      <c r="H11" s="3">
        <f t="shared" si="2"/>
        <v>16406.866666666669</v>
      </c>
      <c r="I11" s="3">
        <f t="shared" si="2"/>
        <v>15775.833333333336</v>
      </c>
      <c r="J11" s="3">
        <f t="shared" si="2"/>
        <v>15144.800000000003</v>
      </c>
      <c r="K11" s="3">
        <f t="shared" si="2"/>
        <v>14513.76666666667</v>
      </c>
      <c r="L11" s="3">
        <f t="shared" si="2"/>
        <v>13882.733333333337</v>
      </c>
      <c r="M11" s="3">
        <f t="shared" si="2"/>
        <v>13251.700000000004</v>
      </c>
      <c r="N11" s="3">
        <f t="shared" si="2"/>
        <v>12620.666666666672</v>
      </c>
    </row>
    <row r="12" spans="1:14">
      <c r="A12" s="7" t="s">
        <v>19</v>
      </c>
      <c r="B12" s="8">
        <v>5066</v>
      </c>
      <c r="C12" s="8">
        <v>4647</v>
      </c>
      <c r="D12" s="93">
        <v>1.4999999999999999E-2</v>
      </c>
      <c r="E12" s="7">
        <f>$D$12*'Income Statement'!E5</f>
        <v>6337.253999999999</v>
      </c>
      <c r="F12" s="7">
        <f>$D$12*'Income Statement'!F5</f>
        <v>9505.8809999999976</v>
      </c>
      <c r="G12" s="7">
        <f>$D$12*'Income Statement'!G5</f>
        <v>13308.233399999997</v>
      </c>
      <c r="H12" s="7">
        <f>$D$12*'Income Statement'!H5</f>
        <v>17300.703419999998</v>
      </c>
      <c r="I12" s="7">
        <f>$D$12*'Income Statement'!I5</f>
        <v>19895.808932999997</v>
      </c>
      <c r="J12" s="7">
        <f>$D$12*'Income Statement'!J5</f>
        <v>21885.389826299997</v>
      </c>
      <c r="K12" s="7">
        <f>$D$12*'Income Statement'!K5</f>
        <v>24073.928808929999</v>
      </c>
      <c r="L12" s="7">
        <f>$D$12*'Income Statement'!L5</f>
        <v>26481.321689823002</v>
      </c>
      <c r="M12" s="7">
        <f>$D$12*'Income Statement'!M5</f>
        <v>29129.453858805304</v>
      </c>
      <c r="N12" s="7">
        <f>$D$12*'Income Statement'!N5</f>
        <v>32042.399244685839</v>
      </c>
    </row>
    <row r="13" spans="1:14" s="20" customFormat="1">
      <c r="A13" s="29" t="s">
        <v>20</v>
      </c>
      <c r="B13" s="35">
        <f>SUM(B9:B12)</f>
        <v>177470</v>
      </c>
      <c r="C13" s="35">
        <f>SUM(C9:C12)</f>
        <v>194117</v>
      </c>
      <c r="D13" s="36"/>
      <c r="E13" s="35">
        <f t="shared" ref="E13:N13" si="3">SUM(E9:E12)</f>
        <v>262495.48746666667</v>
      </c>
      <c r="F13" s="35">
        <f t="shared" si="3"/>
        <v>383962.21453333332</v>
      </c>
      <c r="G13" s="35">
        <f t="shared" si="3"/>
        <v>529848.49367999996</v>
      </c>
      <c r="H13" s="35">
        <f t="shared" si="3"/>
        <v>683060.63845066668</v>
      </c>
      <c r="I13" s="35">
        <f t="shared" si="3"/>
        <v>782427.67088493321</v>
      </c>
      <c r="J13" s="35">
        <f t="shared" si="3"/>
        <v>858461.82130675984</v>
      </c>
      <c r="K13" s="35">
        <f t="shared" si="3"/>
        <v>942162.49010410276</v>
      </c>
      <c r="L13" s="35">
        <f t="shared" si="3"/>
        <v>1034296.329114513</v>
      </c>
      <c r="M13" s="35">
        <f t="shared" si="3"/>
        <v>1135706.6553592978</v>
      </c>
      <c r="N13" s="35">
        <f t="shared" si="3"/>
        <v>1247321.1175618945</v>
      </c>
    </row>
    <row r="14" spans="1:14" s="11" customFormat="1">
      <c r="B14" s="37"/>
      <c r="C14" s="37"/>
      <c r="D14" s="38"/>
    </row>
    <row r="15" spans="1:14" s="11" customFormat="1">
      <c r="A15" s="11" t="s">
        <v>21</v>
      </c>
      <c r="B15" s="37">
        <v>759</v>
      </c>
      <c r="C15" s="37">
        <v>6851</v>
      </c>
      <c r="D15" s="47">
        <v>3.5000000000000003E-2</v>
      </c>
      <c r="E15" s="11">
        <f>$D$15*E13</f>
        <v>9187.3420613333346</v>
      </c>
      <c r="F15" s="11">
        <f t="shared" ref="F15:N15" si="4">$D$15*F13</f>
        <v>13438.677508666668</v>
      </c>
      <c r="G15" s="11">
        <f t="shared" si="4"/>
        <v>18544.697278799998</v>
      </c>
      <c r="H15" s="11">
        <f t="shared" si="4"/>
        <v>23907.122345773336</v>
      </c>
      <c r="I15" s="11">
        <f t="shared" si="4"/>
        <v>27384.968480972664</v>
      </c>
      <c r="J15" s="11">
        <f t="shared" si="4"/>
        <v>30046.163745736598</v>
      </c>
      <c r="K15" s="11">
        <f t="shared" si="4"/>
        <v>32975.687153643601</v>
      </c>
      <c r="L15" s="11">
        <f t="shared" si="4"/>
        <v>36200.37151900796</v>
      </c>
      <c r="M15" s="11">
        <f t="shared" si="4"/>
        <v>39749.732937575427</v>
      </c>
      <c r="N15" s="11">
        <f t="shared" si="4"/>
        <v>43656.239114666314</v>
      </c>
    </row>
    <row r="16" spans="1:14" s="11" customFormat="1">
      <c r="A16" s="11" t="s">
        <v>22</v>
      </c>
      <c r="B16" s="37">
        <v>12372</v>
      </c>
      <c r="C16" s="37">
        <v>14121</v>
      </c>
      <c r="D16" s="46">
        <v>0.06</v>
      </c>
      <c r="E16" s="11">
        <f>$D$16*'Income Statement'!E5</f>
        <v>25349.015999999996</v>
      </c>
      <c r="F16" s="11">
        <f>$D$16*'Income Statement'!F5</f>
        <v>38023.52399999999</v>
      </c>
      <c r="G16" s="11">
        <f>$D$16*'Income Statement'!G5</f>
        <v>53232.933599999989</v>
      </c>
      <c r="H16" s="11">
        <f>$D$16*'Income Statement'!H5</f>
        <v>69202.813679999992</v>
      </c>
      <c r="I16" s="11">
        <f>$D$16*'Income Statement'!I5</f>
        <v>79583.235731999986</v>
      </c>
      <c r="J16" s="11">
        <f>$D$16*'Income Statement'!J5</f>
        <v>87541.559305199989</v>
      </c>
      <c r="K16" s="11">
        <f>$D$16*'Income Statement'!K5</f>
        <v>96295.715235719996</v>
      </c>
      <c r="L16" s="11">
        <f>$D$16*'Income Statement'!L5</f>
        <v>105925.28675929201</v>
      </c>
      <c r="M16" s="11">
        <f>$D$16*'Income Statement'!M5</f>
        <v>116517.81543522122</v>
      </c>
      <c r="N16" s="11">
        <f>$D$16*'Income Statement'!N5</f>
        <v>128169.59697874336</v>
      </c>
    </row>
    <row r="17" spans="1:14" s="11" customFormat="1">
      <c r="A17" s="12" t="s">
        <v>23</v>
      </c>
      <c r="B17" s="39">
        <v>19591</v>
      </c>
      <c r="C17" s="39">
        <v>19828</v>
      </c>
      <c r="D17" s="93">
        <v>5.1999999999999998E-2</v>
      </c>
      <c r="E17" s="12">
        <f>$D$17*'Income Statement'!E5</f>
        <v>21969.147199999999</v>
      </c>
      <c r="F17" s="12">
        <f>$D$17*'Income Statement'!F5</f>
        <v>32953.720799999996</v>
      </c>
      <c r="G17" s="12">
        <f>$D$17*'Income Statement'!G5</f>
        <v>46135.209119999992</v>
      </c>
      <c r="H17" s="12">
        <f>$D$17*'Income Statement'!H5</f>
        <v>59975.771855999992</v>
      </c>
      <c r="I17" s="12">
        <f>$D$17*'Income Statement'!I5</f>
        <v>68972.137634399987</v>
      </c>
      <c r="J17" s="12">
        <f>$D$17*'Income Statement'!J5</f>
        <v>75869.351397839986</v>
      </c>
      <c r="K17" s="12">
        <f>$D$17*'Income Statement'!K5</f>
        <v>83456.286537623993</v>
      </c>
      <c r="L17" s="12">
        <f>$D$17*'Income Statement'!L5</f>
        <v>91801.915191386404</v>
      </c>
      <c r="M17" s="12">
        <f>$D$17*'Income Statement'!M5</f>
        <v>100982.10671052505</v>
      </c>
      <c r="N17" s="12">
        <f>$D$17*'Income Statement'!N5</f>
        <v>111080.31738157758</v>
      </c>
    </row>
    <row r="18" spans="1:14" s="11" customFormat="1">
      <c r="A18" s="11" t="s">
        <v>24</v>
      </c>
      <c r="B18" s="37">
        <f>SUM(B15:B17)</f>
        <v>32722</v>
      </c>
      <c r="C18" s="37">
        <f>SUM(C15:C17)</f>
        <v>40800</v>
      </c>
      <c r="D18" s="38"/>
      <c r="E18" s="37">
        <f t="shared" ref="E18:N18" si="5">SUM(E15:E17)</f>
        <v>56505.505261333332</v>
      </c>
      <c r="F18" s="37">
        <f t="shared" si="5"/>
        <v>84415.922308666661</v>
      </c>
      <c r="G18" s="37">
        <f t="shared" si="5"/>
        <v>117912.83999879999</v>
      </c>
      <c r="H18" s="37">
        <f t="shared" si="5"/>
        <v>153085.7078817733</v>
      </c>
      <c r="I18" s="37">
        <f t="shared" si="5"/>
        <v>175940.34184737265</v>
      </c>
      <c r="J18" s="37">
        <f t="shared" si="5"/>
        <v>193457.07444877658</v>
      </c>
      <c r="K18" s="37">
        <f t="shared" si="5"/>
        <v>212727.68892698758</v>
      </c>
      <c r="L18" s="37">
        <f t="shared" si="5"/>
        <v>233927.57346968638</v>
      </c>
      <c r="M18" s="37">
        <f t="shared" si="5"/>
        <v>257249.6550833217</v>
      </c>
      <c r="N18" s="37">
        <f t="shared" si="5"/>
        <v>282906.15347498725</v>
      </c>
    </row>
    <row r="19" spans="1:14" s="11" customFormat="1">
      <c r="A19" s="11" t="s">
        <v>25</v>
      </c>
      <c r="B19" s="37">
        <v>4422</v>
      </c>
      <c r="C19" s="37">
        <v>4541</v>
      </c>
      <c r="D19" s="46">
        <v>0.02</v>
      </c>
      <c r="E19" s="11">
        <f>$D$19*'Income Statement'!E5</f>
        <v>8449.6720000000005</v>
      </c>
      <c r="F19" s="11">
        <f>$D$19*'Income Statement'!F5</f>
        <v>12674.507999999998</v>
      </c>
      <c r="G19" s="11">
        <f>$D$19*'Income Statement'!G5</f>
        <v>17744.311199999996</v>
      </c>
      <c r="H19" s="11">
        <f>$D$19*'Income Statement'!H5</f>
        <v>23067.60456</v>
      </c>
      <c r="I19" s="11">
        <f>$D$19*'Income Statement'!I5</f>
        <v>26527.745243999994</v>
      </c>
      <c r="J19" s="11">
        <f>$D$19*'Income Statement'!J5</f>
        <v>29180.519768399998</v>
      </c>
      <c r="K19" s="11">
        <f>$D$19*'Income Statement'!K5</f>
        <v>32098.571745239999</v>
      </c>
      <c r="L19" s="11">
        <f>$D$19*'Income Statement'!L5</f>
        <v>35308.428919764003</v>
      </c>
      <c r="M19" s="11">
        <f>$D$19*'Income Statement'!M5</f>
        <v>38839.271811740407</v>
      </c>
      <c r="N19" s="11">
        <f>$D$19*'Income Statement'!N5</f>
        <v>42723.198992914455</v>
      </c>
    </row>
    <row r="20" spans="1:14" s="11" customFormat="1">
      <c r="A20" s="12" t="s">
        <v>26</v>
      </c>
      <c r="B20" s="39">
        <v>46914</v>
      </c>
      <c r="C20" s="39">
        <v>44176</v>
      </c>
      <c r="D20" s="94">
        <v>0.23</v>
      </c>
      <c r="E20" s="12">
        <f>$D$20*E13</f>
        <v>60373.962117333336</v>
      </c>
      <c r="F20" s="12">
        <f t="shared" ref="F20:N20" si="6">$D$20*F13</f>
        <v>88311.30934266666</v>
      </c>
      <c r="G20" s="12">
        <f t="shared" si="6"/>
        <v>121865.15354639999</v>
      </c>
      <c r="H20" s="12">
        <f t="shared" si="6"/>
        <v>157103.94684365334</v>
      </c>
      <c r="I20" s="12">
        <f t="shared" si="6"/>
        <v>179958.36430353465</v>
      </c>
      <c r="J20" s="12">
        <f t="shared" si="6"/>
        <v>197446.21890055478</v>
      </c>
      <c r="K20" s="12">
        <f t="shared" si="6"/>
        <v>216697.37272394364</v>
      </c>
      <c r="L20" s="12">
        <f t="shared" si="6"/>
        <v>237888.15569633801</v>
      </c>
      <c r="M20" s="12">
        <f t="shared" si="6"/>
        <v>261212.53073263849</v>
      </c>
      <c r="N20" s="12">
        <f t="shared" si="6"/>
        <v>286883.85703923577</v>
      </c>
    </row>
    <row r="21" spans="1:14" s="20" customFormat="1">
      <c r="A21" s="20" t="s">
        <v>27</v>
      </c>
      <c r="B21" s="40">
        <f>SUM(B18:B20)</f>
        <v>84058</v>
      </c>
      <c r="C21" s="40">
        <f>SUM(C18:C20)</f>
        <v>89517</v>
      </c>
      <c r="D21" s="41"/>
      <c r="E21" s="40">
        <f t="shared" ref="E21:N21" si="7">SUM(E18:E20)</f>
        <v>125329.13937866667</v>
      </c>
      <c r="F21" s="40">
        <f t="shared" si="7"/>
        <v>185401.73965133331</v>
      </c>
      <c r="G21" s="40">
        <f t="shared" si="7"/>
        <v>257522.30474519997</v>
      </c>
      <c r="H21" s="40">
        <f t="shared" si="7"/>
        <v>333257.25928542664</v>
      </c>
      <c r="I21" s="40">
        <f t="shared" si="7"/>
        <v>382426.45139490732</v>
      </c>
      <c r="J21" s="40">
        <f t="shared" si="7"/>
        <v>420083.81311773136</v>
      </c>
      <c r="K21" s="40">
        <f t="shared" si="7"/>
        <v>461523.63339617127</v>
      </c>
      <c r="L21" s="40">
        <f t="shared" si="7"/>
        <v>507124.15808578837</v>
      </c>
      <c r="M21" s="40">
        <f t="shared" si="7"/>
        <v>557301.45762770064</v>
      </c>
      <c r="N21" s="40">
        <f t="shared" si="7"/>
        <v>612513.20950713754</v>
      </c>
    </row>
    <row r="22" spans="1:14" s="11" customFormat="1">
      <c r="A22" s="11" t="s">
        <v>41</v>
      </c>
      <c r="B22" s="37">
        <v>107</v>
      </c>
      <c r="C22" s="37">
        <v>107</v>
      </c>
      <c r="D22" s="38"/>
    </row>
    <row r="23" spans="1:14" s="11" customFormat="1">
      <c r="A23" s="11" t="s">
        <v>42</v>
      </c>
      <c r="B23" s="37">
        <v>53293</v>
      </c>
      <c r="C23" s="37">
        <v>53758</v>
      </c>
      <c r="D23" s="38"/>
    </row>
    <row r="24" spans="1:14" s="11" customFormat="1">
      <c r="A24" s="11" t="s">
        <v>43</v>
      </c>
      <c r="B24" s="37">
        <v>38666</v>
      </c>
      <c r="C24" s="37">
        <v>51585</v>
      </c>
      <c r="D24" s="38"/>
    </row>
    <row r="25" spans="1:14" s="11" customFormat="1">
      <c r="A25" s="11" t="s">
        <v>44</v>
      </c>
      <c r="B25" s="37">
        <v>1346</v>
      </c>
      <c r="C25" s="37">
        <v>-850</v>
      </c>
      <c r="D25" s="38"/>
    </row>
    <row r="26" spans="1:14" s="11" customFormat="1">
      <c r="A26" s="12" t="s">
        <v>45</v>
      </c>
      <c r="B26" s="39">
        <v>93412</v>
      </c>
      <c r="C26" s="39">
        <v>104600</v>
      </c>
      <c r="D26" s="91" t="s">
        <v>28</v>
      </c>
      <c r="E26" s="24">
        <f>E27-E21</f>
        <v>137166.348088</v>
      </c>
      <c r="F26" s="24">
        <f t="shared" ref="F26:N26" si="8">F27-F21</f>
        <v>198560.47488200001</v>
      </c>
      <c r="G26" s="24">
        <f t="shared" si="8"/>
        <v>272326.18893479998</v>
      </c>
      <c r="H26" s="24">
        <f t="shared" si="8"/>
        <v>349803.37916524004</v>
      </c>
      <c r="I26" s="24">
        <f t="shared" si="8"/>
        <v>400001.21949002589</v>
      </c>
      <c r="J26" s="24">
        <f t="shared" si="8"/>
        <v>438378.00818902848</v>
      </c>
      <c r="K26" s="24">
        <f t="shared" si="8"/>
        <v>480638.8567079315</v>
      </c>
      <c r="L26" s="24">
        <f t="shared" si="8"/>
        <v>527172.17102872464</v>
      </c>
      <c r="M26" s="24">
        <f t="shared" si="8"/>
        <v>578405.19773159712</v>
      </c>
      <c r="N26" s="24">
        <f t="shared" si="8"/>
        <v>634807.90805475693</v>
      </c>
    </row>
    <row r="27" spans="1:14" s="20" customFormat="1">
      <c r="A27" s="42" t="s">
        <v>29</v>
      </c>
      <c r="B27" s="43">
        <f>B26+B21</f>
        <v>177470</v>
      </c>
      <c r="C27" s="43">
        <f>C26+C21</f>
        <v>194117</v>
      </c>
      <c r="D27" s="44"/>
      <c r="E27" s="95">
        <f>E13</f>
        <v>262495.48746666667</v>
      </c>
      <c r="F27" s="95">
        <f t="shared" ref="F27:N27" si="9">F13</f>
        <v>383962.21453333332</v>
      </c>
      <c r="G27" s="95">
        <f t="shared" si="9"/>
        <v>529848.49367999996</v>
      </c>
      <c r="H27" s="95">
        <f t="shared" si="9"/>
        <v>683060.63845066668</v>
      </c>
      <c r="I27" s="95">
        <f t="shared" si="9"/>
        <v>782427.67088493321</v>
      </c>
      <c r="J27" s="95">
        <f t="shared" si="9"/>
        <v>858461.82130675984</v>
      </c>
      <c r="K27" s="95">
        <f t="shared" si="9"/>
        <v>942162.49010410276</v>
      </c>
      <c r="L27" s="95">
        <f t="shared" si="9"/>
        <v>1034296.329114513</v>
      </c>
      <c r="M27" s="95">
        <f t="shared" si="9"/>
        <v>1135706.6553592978</v>
      </c>
      <c r="N27" s="95">
        <f t="shared" si="9"/>
        <v>1247321.1175618945</v>
      </c>
    </row>
    <row r="28" spans="1:14" s="11" customFormat="1">
      <c r="B28" s="45"/>
      <c r="C28" s="45"/>
      <c r="D28" s="69" t="s">
        <v>30</v>
      </c>
      <c r="E28" s="70">
        <f>E26-C26-E35-'Income Statement'!E21</f>
        <v>0</v>
      </c>
      <c r="F28" s="70">
        <f>F26-E26-F35-'Income Statement'!F21</f>
        <v>0</v>
      </c>
      <c r="G28" s="70">
        <f>G26-F26-G35-'Income Statement'!G21</f>
        <v>0</v>
      </c>
      <c r="H28" s="70">
        <f>H26-G26-H35-'Income Statement'!H21</f>
        <v>0</v>
      </c>
      <c r="I28" s="70">
        <f>I26-H26-I35-'Income Statement'!I21</f>
        <v>0</v>
      </c>
      <c r="J28" s="70">
        <f>J26-I26-J35-'Income Statement'!J21</f>
        <v>0</v>
      </c>
      <c r="K28" s="70">
        <f>K26-J26-K35-'Income Statement'!K21</f>
        <v>0</v>
      </c>
      <c r="L28" s="70">
        <f>L26-K26-L35-'Income Statement'!L21</f>
        <v>0</v>
      </c>
      <c r="M28" s="70">
        <f>M26-L26-M35-'Income Statement'!M21</f>
        <v>0</v>
      </c>
      <c r="N28" s="70">
        <f>N26-M26-N35-'Income Statement'!N21</f>
        <v>0</v>
      </c>
    </row>
    <row r="29" spans="1:14" s="11" customFormat="1">
      <c r="B29" s="45"/>
      <c r="C29" s="45"/>
      <c r="D29" s="38"/>
    </row>
    <row r="30" spans="1:14" s="11" customFormat="1">
      <c r="A30" s="2" t="s">
        <v>83</v>
      </c>
      <c r="D30" s="38"/>
    </row>
    <row r="31" spans="1:14" s="11" customFormat="1">
      <c r="A31" s="11" t="s">
        <v>87</v>
      </c>
      <c r="D31" s="38"/>
      <c r="E31" s="11">
        <f>'Cash Flow, DCF, Ratios'!E20</f>
        <v>-21073.765210666694</v>
      </c>
      <c r="F31" s="11">
        <f>'Cash Flow, DCF, Ratios'!F20</f>
        <v>-47937.681322666664</v>
      </c>
      <c r="G31" s="11">
        <f>'Cash Flow, DCF, Ratios'!G20</f>
        <v>-48860.385505066661</v>
      </c>
      <c r="H31" s="11">
        <f>'Cash Flow, DCF, Ratios'!H20</f>
        <v>-35950.638636586664</v>
      </c>
      <c r="I31" s="11">
        <f>'Cash Flow, DCF, Ratios'!I20</f>
        <v>16852.172859925311</v>
      </c>
      <c r="J31" s="11">
        <f>'Cash Flow, DCF, Ratios'!J20</f>
        <v>43733.313805784521</v>
      </c>
      <c r="K31" s="11">
        <f>'Cash Flow, DCF, Ratios'!K20</f>
        <v>48043.541853029557</v>
      </c>
      <c r="L31" s="11">
        <f>'Cash Flow, DCF, Ratios'!L20</f>
        <v>52784.79270499925</v>
      </c>
      <c r="M31" s="11">
        <f>'Cash Flow, DCF, Ratios'!M20</f>
        <v>58000.168642165772</v>
      </c>
      <c r="N31" s="11">
        <f>'Cash Flow, DCF, Ratios'!N20</f>
        <v>63737.082173049035</v>
      </c>
    </row>
    <row r="32" spans="1:14" s="11" customFormat="1">
      <c r="A32" s="11" t="s">
        <v>31</v>
      </c>
      <c r="D32" s="117" t="s">
        <v>82</v>
      </c>
      <c r="E32" s="11">
        <f>-('Income Statement'!E18*(1-'Income Statement'!$D$20))</f>
        <v>-3854.0022015501863</v>
      </c>
      <c r="F32" s="11">
        <f>-('Income Statement'!F18*(1-'Income Statement'!$D$20))</f>
        <v>-5475.1088613187994</v>
      </c>
      <c r="G32" s="11">
        <f>-('Income Statement'!G18*(1-'Income Statement'!$D$20))</f>
        <v>-7739.4284121420051</v>
      </c>
      <c r="H32" s="11">
        <f>-('Income Statement'!H18*(1-'Income Statement'!$D$20))</f>
        <v>-10272.612603667467</v>
      </c>
      <c r="I32" s="11">
        <f>-('Income Statement'!I18*(1-'Income Statement'!$D$20))</f>
        <v>-12411.80668708693</v>
      </c>
      <c r="J32" s="11">
        <f>-('Income Statement'!J18*(1-'Income Statement'!$D$20))</f>
        <v>-13897.349465168325</v>
      </c>
      <c r="K32" s="11">
        <f>-('Income Statement'!K18*(1-'Income Statement'!$D$20))</f>
        <v>-15250.207543063158</v>
      </c>
      <c r="L32" s="11">
        <f>-('Income Statement'!L18*(1-'Income Statement'!$D$20))</f>
        <v>-16739.420323490147</v>
      </c>
      <c r="M32" s="11">
        <f>-('Income Statement'!M18*(1-'Income Statement'!$D$20))</f>
        <v>-18378.623276702492</v>
      </c>
      <c r="N32" s="11">
        <f>-('Income Statement'!N18*(1-'Income Statement'!$D$20))</f>
        <v>-20182.81541997875</v>
      </c>
    </row>
    <row r="33" spans="1:14" s="11" customFormat="1">
      <c r="A33" s="118" t="s">
        <v>84</v>
      </c>
      <c r="D33" s="117"/>
      <c r="E33" s="11">
        <f>E31+E32</f>
        <v>-24927.767412216879</v>
      </c>
      <c r="F33" s="11">
        <f>F31+F32</f>
        <v>-53412.79018398546</v>
      </c>
      <c r="G33" s="11">
        <f t="shared" ref="G33:N33" si="10">G31+G32</f>
        <v>-56599.813917208667</v>
      </c>
      <c r="H33" s="11">
        <f t="shared" si="10"/>
        <v>-46223.251240254132</v>
      </c>
      <c r="I33" s="11">
        <f t="shared" si="10"/>
        <v>4440.3661728383813</v>
      </c>
      <c r="J33" s="11">
        <f t="shared" si="10"/>
        <v>29835.964340616196</v>
      </c>
      <c r="K33" s="11">
        <f t="shared" si="10"/>
        <v>32793.334309966398</v>
      </c>
      <c r="L33" s="11">
        <f t="shared" si="10"/>
        <v>36045.372381509107</v>
      </c>
      <c r="M33" s="11">
        <f t="shared" si="10"/>
        <v>39621.54536546328</v>
      </c>
      <c r="N33" s="11">
        <f t="shared" si="10"/>
        <v>43554.266753070289</v>
      </c>
    </row>
    <row r="34" spans="1:14" s="11" customFormat="1">
      <c r="A34" s="11" t="s">
        <v>32</v>
      </c>
      <c r="D34" s="92" t="s">
        <v>59</v>
      </c>
      <c r="E34" s="11">
        <f>(E20+E15)-(C20+C15)</f>
        <v>18534.304178666673</v>
      </c>
      <c r="F34" s="11">
        <f>(F20+F15)-(E20+E15)</f>
        <v>32188.682672666648</v>
      </c>
      <c r="G34" s="11">
        <f t="shared" ref="G34:N34" si="11">(G20+G15)-(F20+F15)</f>
        <v>38659.863973866653</v>
      </c>
      <c r="H34" s="11">
        <f t="shared" si="11"/>
        <v>40601.21836422669</v>
      </c>
      <c r="I34" s="11">
        <f t="shared" si="11"/>
        <v>26332.263595080643</v>
      </c>
      <c r="J34" s="11">
        <f t="shared" si="11"/>
        <v>20149.049861784064</v>
      </c>
      <c r="K34" s="11">
        <f t="shared" si="11"/>
        <v>22180.677231295878</v>
      </c>
      <c r="L34" s="11">
        <f t="shared" si="11"/>
        <v>24415.467337758746</v>
      </c>
      <c r="M34" s="11">
        <f t="shared" si="11"/>
        <v>26873.736454867932</v>
      </c>
      <c r="N34" s="11">
        <f t="shared" si="11"/>
        <v>29577.832483688137</v>
      </c>
    </row>
    <row r="35" spans="1:14" s="11" customFormat="1">
      <c r="A35" s="11" t="s">
        <v>85</v>
      </c>
      <c r="D35" s="92" t="s">
        <v>100</v>
      </c>
      <c r="E35" s="11">
        <f>(E26-C26)-'Income Statement'!E21</f>
        <v>8553.332033550214</v>
      </c>
      <c r="F35" s="11">
        <f>(F26-E26)-'Income Statement'!F21</f>
        <v>22914.04191131884</v>
      </c>
      <c r="G35" s="11">
        <f>(G26-F26)-'Income Statement'!G21</f>
        <v>19967.871223342008</v>
      </c>
      <c r="H35" s="11">
        <f>(H26-G26)-'Income Statement'!H21</f>
        <v>7751.3502200275252</v>
      </c>
      <c r="I35" s="11">
        <f>(I26-H26)-'Income Statement'!I21</f>
        <v>-29388.573494319164</v>
      </c>
      <c r="J35" s="11">
        <f>(J26-I26)-'Income Statement'!J21</f>
        <v>-48923.904392640281</v>
      </c>
      <c r="K35" s="11">
        <f>(K26-J26)-'Income Statement'!K21</f>
        <v>-53806.790750526096</v>
      </c>
      <c r="L35" s="11">
        <f>(L26-K26)-'Income Statement'!L21</f>
        <v>-59176.89684945831</v>
      </c>
      <c r="M35" s="11">
        <f>(M26-L26)-'Income Statement'!M21</f>
        <v>-65082.944663540751</v>
      </c>
      <c r="N35" s="11">
        <f>(N26-M26)-'Income Statement'!N21</f>
        <v>-71578.528364288766</v>
      </c>
    </row>
    <row r="36" spans="1:14" s="11" customFormat="1">
      <c r="A36" s="11" t="s">
        <v>86</v>
      </c>
      <c r="D36" s="92"/>
      <c r="E36" s="11">
        <f>E34+E35</f>
        <v>27087.636212216887</v>
      </c>
      <c r="F36" s="11">
        <f>F34+F35</f>
        <v>55102.724583985488</v>
      </c>
      <c r="G36" s="11">
        <f t="shared" ref="G36:N36" si="12">G34+G35</f>
        <v>58627.735197208662</v>
      </c>
      <c r="H36" s="11">
        <f t="shared" si="12"/>
        <v>48352.568584254215</v>
      </c>
      <c r="I36" s="11">
        <f t="shared" si="12"/>
        <v>-3056.3098992385203</v>
      </c>
      <c r="J36" s="11">
        <f t="shared" si="12"/>
        <v>-28774.854530856217</v>
      </c>
      <c r="K36" s="11">
        <f t="shared" si="12"/>
        <v>-31626.113519230217</v>
      </c>
      <c r="L36" s="11">
        <f t="shared" si="12"/>
        <v>-34761.429511699564</v>
      </c>
      <c r="M36" s="11">
        <f t="shared" si="12"/>
        <v>-38209.208208672819</v>
      </c>
      <c r="N36" s="11">
        <f t="shared" si="12"/>
        <v>-42000.69588060063</v>
      </c>
    </row>
    <row r="37" spans="1:14" s="11" customFormat="1">
      <c r="A37" s="11" t="s">
        <v>88</v>
      </c>
      <c r="D37" s="92"/>
      <c r="E37" s="11">
        <f>E33+E36</f>
        <v>2159.8688000000075</v>
      </c>
      <c r="F37" s="11">
        <f>F33+F36</f>
        <v>1689.9344000000274</v>
      </c>
      <c r="G37" s="11">
        <f t="shared" ref="G37:N37" si="13">G33+G36</f>
        <v>2027.921279999995</v>
      </c>
      <c r="H37" s="11">
        <f t="shared" si="13"/>
        <v>2129.3173440000828</v>
      </c>
      <c r="I37" s="11">
        <f t="shared" si="13"/>
        <v>1384.056273599861</v>
      </c>
      <c r="J37" s="11">
        <f t="shared" si="13"/>
        <v>1061.1098097599788</v>
      </c>
      <c r="K37" s="11">
        <f t="shared" si="13"/>
        <v>1167.2207907361808</v>
      </c>
      <c r="L37" s="11">
        <f t="shared" si="13"/>
        <v>1283.9428698095435</v>
      </c>
      <c r="M37" s="11">
        <f t="shared" si="13"/>
        <v>1412.3371567904614</v>
      </c>
      <c r="N37" s="11">
        <f t="shared" si="13"/>
        <v>1553.5708724696597</v>
      </c>
    </row>
    <row r="38" spans="1:14">
      <c r="A38" s="7" t="s">
        <v>89</v>
      </c>
      <c r="B38" s="7"/>
      <c r="C38" s="7"/>
      <c r="D38" s="96" t="s">
        <v>59</v>
      </c>
      <c r="E38" s="7">
        <f>E5-C5</f>
        <v>2159.8687999999997</v>
      </c>
      <c r="F38" s="7">
        <f>F5-E5</f>
        <v>1689.9343999999996</v>
      </c>
      <c r="G38" s="7">
        <f t="shared" ref="G38:N38" si="14">G5-F5</f>
        <v>2027.9212799999996</v>
      </c>
      <c r="H38" s="7">
        <f t="shared" si="14"/>
        <v>2129.317344000001</v>
      </c>
      <c r="I38" s="7">
        <f t="shared" si="14"/>
        <v>1384.0562735999993</v>
      </c>
      <c r="J38" s="7">
        <f t="shared" si="14"/>
        <v>1061.1098097600006</v>
      </c>
      <c r="K38" s="7">
        <f t="shared" si="14"/>
        <v>1167.2207907360007</v>
      </c>
      <c r="L38" s="7">
        <f t="shared" si="14"/>
        <v>1283.9428698096017</v>
      </c>
      <c r="M38" s="7">
        <f t="shared" si="14"/>
        <v>1412.3371567905615</v>
      </c>
      <c r="N38" s="7">
        <f t="shared" si="14"/>
        <v>1553.5708724696196</v>
      </c>
    </row>
    <row r="39" spans="1:14">
      <c r="D39" s="67" t="s">
        <v>30</v>
      </c>
      <c r="E39" s="68">
        <f>E37-E38</f>
        <v>7.73070496506989E-12</v>
      </c>
      <c r="F39" s="68">
        <f>F37-F38</f>
        <v>2.7739588404074311E-11</v>
      </c>
      <c r="G39" s="68">
        <f t="shared" ref="G39:N39" si="15">G37-G38</f>
        <v>-4.5474735088646412E-12</v>
      </c>
      <c r="H39" s="68">
        <f t="shared" si="15"/>
        <v>8.1854523159563541E-11</v>
      </c>
      <c r="I39" s="68">
        <f t="shared" si="15"/>
        <v>-1.3824319466948509E-10</v>
      </c>
      <c r="J39" s="68">
        <f t="shared" si="15"/>
        <v>-2.1827872842550278E-11</v>
      </c>
      <c r="K39" s="68">
        <f t="shared" si="15"/>
        <v>1.8007995095103979E-10</v>
      </c>
      <c r="L39" s="68">
        <f t="shared" si="15"/>
        <v>-5.8207660913467407E-11</v>
      </c>
      <c r="M39" s="68">
        <f t="shared" si="15"/>
        <v>-1.0004441719502211E-10</v>
      </c>
      <c r="N39" s="68">
        <f t="shared" si="15"/>
        <v>4.0017766878008842E-11</v>
      </c>
    </row>
    <row r="41" spans="1:14">
      <c r="D41" s="90"/>
    </row>
  </sheetData>
  <phoneticPr fontId="16" type="noConversion"/>
  <pageMargins left="0.75" right="0.75" top="1" bottom="1" header="0.5" footer="0.5"/>
  <pageSetup scale="65"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45"/>
  <sheetViews>
    <sheetView tabSelected="1" topLeftCell="A8" zoomScale="90" workbookViewId="0"/>
  </sheetViews>
  <sheetFormatPr defaultRowHeight="12.75"/>
  <cols>
    <col min="1" max="1" width="34.83203125" style="3" customWidth="1"/>
    <col min="2" max="3" width="10.83203125" style="3" customWidth="1"/>
    <col min="4" max="4" width="40.5" style="48" bestFit="1" customWidth="1"/>
    <col min="5" max="14" width="11.83203125" style="3" customWidth="1"/>
    <col min="15" max="15" width="10.83203125" style="3" customWidth="1"/>
    <col min="16" max="16384" width="9.33203125" style="3"/>
  </cols>
  <sheetData>
    <row r="1" spans="1:15" ht="18">
      <c r="A1" s="21" t="s">
        <v>54</v>
      </c>
    </row>
    <row r="2" spans="1:15">
      <c r="A2" s="1" t="s">
        <v>70</v>
      </c>
    </row>
    <row r="3" spans="1:15">
      <c r="A3" s="4"/>
      <c r="B3" s="5" t="s">
        <v>0</v>
      </c>
      <c r="C3" s="5" t="s">
        <v>0</v>
      </c>
      <c r="D3" s="19" t="s">
        <v>1</v>
      </c>
      <c r="E3" s="5" t="s">
        <v>2</v>
      </c>
      <c r="F3" s="5" t="s">
        <v>2</v>
      </c>
      <c r="G3" s="5" t="s">
        <v>2</v>
      </c>
      <c r="H3" s="5" t="s">
        <v>2</v>
      </c>
      <c r="I3" s="5" t="s">
        <v>2</v>
      </c>
      <c r="J3" s="5" t="s">
        <v>2</v>
      </c>
      <c r="K3" s="5" t="s">
        <v>2</v>
      </c>
      <c r="L3" s="5" t="s">
        <v>2</v>
      </c>
      <c r="M3" s="5" t="s">
        <v>2</v>
      </c>
      <c r="N3" s="5" t="s">
        <v>2</v>
      </c>
    </row>
    <row r="4" spans="1:15" s="111" customFormat="1">
      <c r="A4" s="108" t="s">
        <v>36</v>
      </c>
      <c r="B4" s="109">
        <v>1991</v>
      </c>
      <c r="C4" s="109">
        <v>1992</v>
      </c>
      <c r="D4" s="114"/>
      <c r="E4" s="109">
        <f>C4+1</f>
        <v>1993</v>
      </c>
      <c r="F4" s="109">
        <f>E4+1</f>
        <v>1994</v>
      </c>
      <c r="G4" s="109">
        <f t="shared" ref="G4:N4" si="0">F4+1</f>
        <v>1995</v>
      </c>
      <c r="H4" s="109">
        <f t="shared" si="0"/>
        <v>1996</v>
      </c>
      <c r="I4" s="109">
        <f t="shared" si="0"/>
        <v>1997</v>
      </c>
      <c r="J4" s="109">
        <f t="shared" si="0"/>
        <v>1998</v>
      </c>
      <c r="K4" s="109">
        <f t="shared" si="0"/>
        <v>1999</v>
      </c>
      <c r="L4" s="109">
        <f t="shared" si="0"/>
        <v>2000</v>
      </c>
      <c r="M4" s="109">
        <f>L4+1</f>
        <v>2001</v>
      </c>
      <c r="N4" s="109">
        <f t="shared" si="0"/>
        <v>2002</v>
      </c>
    </row>
    <row r="5" spans="1:15">
      <c r="A5" s="2" t="s">
        <v>38</v>
      </c>
      <c r="B5" s="3">
        <f>'Income Statement'!B16</f>
        <v>17539</v>
      </c>
      <c r="C5" s="3">
        <f>'Income Statement'!C16</f>
        <v>24527</v>
      </c>
      <c r="D5" s="90" t="s">
        <v>60</v>
      </c>
      <c r="E5" s="3">
        <f>'Income Statement'!E16</f>
        <v>40980.909199999958</v>
      </c>
      <c r="F5" s="3">
        <f>'Income Statement'!F16</f>
        <v>64639.990799999956</v>
      </c>
      <c r="G5" s="3">
        <f>'Income Statement'!G16</f>
        <v>90495.987119999947</v>
      </c>
      <c r="H5" s="3">
        <f>'Income Statement'!H16</f>
        <v>117644.78325600001</v>
      </c>
      <c r="I5" s="3">
        <f>'Income Statement'!I16</f>
        <v>135291.50074439993</v>
      </c>
      <c r="J5" s="3">
        <f>'Income Statement'!J16</f>
        <v>148820.65081883999</v>
      </c>
      <c r="K5" s="3">
        <f>'Income Statement'!K16</f>
        <v>163702.71590072391</v>
      </c>
      <c r="L5" s="3">
        <f>'Income Statement'!L16</f>
        <v>180072.98749079648</v>
      </c>
      <c r="M5" s="3">
        <f>'Income Statement'!M16</f>
        <v>198080.28623987606</v>
      </c>
      <c r="N5" s="3">
        <f>'Income Statement'!N16</f>
        <v>217888.31486386372</v>
      </c>
    </row>
    <row r="6" spans="1:15">
      <c r="A6" s="7" t="s">
        <v>40</v>
      </c>
      <c r="B6" s="7">
        <f>B5*('Income Statement'!B20/'Income Statement'!B19)</f>
        <v>5436.6858410856021</v>
      </c>
      <c r="C6" s="7">
        <f>C5*('Income Statement'!C20/'Income Statement'!C19)</f>
        <v>7849.0531080583187</v>
      </c>
      <c r="D6" s="105">
        <f>'Income Statement'!D20</f>
        <v>0.32</v>
      </c>
      <c r="E6" s="7">
        <f>$D$6*E5</f>
        <v>13113.890943999986</v>
      </c>
      <c r="F6" s="7">
        <f t="shared" ref="F6:N6" si="1">$D$6*F5</f>
        <v>20684.797055999985</v>
      </c>
      <c r="G6" s="7">
        <f t="shared" si="1"/>
        <v>28958.715878399984</v>
      </c>
      <c r="H6" s="7">
        <f t="shared" si="1"/>
        <v>37646.330641920002</v>
      </c>
      <c r="I6" s="7">
        <f t="shared" si="1"/>
        <v>43293.280238207983</v>
      </c>
      <c r="J6" s="7">
        <f t="shared" si="1"/>
        <v>47622.6082620288</v>
      </c>
      <c r="K6" s="7">
        <f t="shared" si="1"/>
        <v>52384.869088231651</v>
      </c>
      <c r="L6" s="7">
        <f t="shared" si="1"/>
        <v>57623.355997054874</v>
      </c>
      <c r="M6" s="7">
        <f t="shared" si="1"/>
        <v>63385.691596760342</v>
      </c>
      <c r="N6" s="7">
        <f t="shared" si="1"/>
        <v>69724.260756436386</v>
      </c>
    </row>
    <row r="7" spans="1:15">
      <c r="A7" s="2" t="s">
        <v>99</v>
      </c>
      <c r="B7" s="2">
        <f>B5-B6</f>
        <v>12102.314158914398</v>
      </c>
      <c r="C7" s="2">
        <f>C5-C6</f>
        <v>16677.946891941683</v>
      </c>
      <c r="D7" s="57"/>
      <c r="E7" s="3">
        <f>E5-E6</f>
        <v>27867.018255999974</v>
      </c>
      <c r="F7" s="3">
        <f t="shared" ref="F7:N7" si="2">F5-F6</f>
        <v>43955.193743999975</v>
      </c>
      <c r="G7" s="3">
        <f t="shared" si="2"/>
        <v>61537.271241599963</v>
      </c>
      <c r="H7" s="3">
        <f t="shared" si="2"/>
        <v>79998.452614080015</v>
      </c>
      <c r="I7" s="3">
        <f t="shared" si="2"/>
        <v>91998.220506191952</v>
      </c>
      <c r="J7" s="3">
        <f t="shared" si="2"/>
        <v>101198.04255681118</v>
      </c>
      <c r="K7" s="3">
        <f t="shared" si="2"/>
        <v>111317.84681249227</v>
      </c>
      <c r="L7" s="3">
        <f t="shared" si="2"/>
        <v>122449.63149374162</v>
      </c>
      <c r="M7" s="3">
        <f t="shared" si="2"/>
        <v>134694.59464311571</v>
      </c>
      <c r="N7" s="3">
        <f t="shared" si="2"/>
        <v>148164.05410742734</v>
      </c>
    </row>
    <row r="8" spans="1:15">
      <c r="A8" s="2"/>
      <c r="B8" s="2"/>
      <c r="C8" s="2"/>
      <c r="D8" s="57"/>
    </row>
    <row r="9" spans="1:15">
      <c r="A9" s="3" t="s">
        <v>61</v>
      </c>
      <c r="B9" s="3">
        <v>6304</v>
      </c>
      <c r="C9" s="3">
        <v>7959</v>
      </c>
      <c r="D9" s="58">
        <v>0.2</v>
      </c>
      <c r="E9" s="3">
        <f>(D9*'Balance Sheet'!C10)+('Balance Sheet'!C11-'Balance Sheet'!E11)</f>
        <v>7164.833333333333</v>
      </c>
      <c r="F9" s="3">
        <f>($D$9*'Balance Sheet'!E10)+('Balance Sheet'!E11-'Balance Sheet'!F11)</f>
        <v>9925.6725333333325</v>
      </c>
      <c r="G9" s="3">
        <f>($D$9*'Balance Sheet'!F10)+('Balance Sheet'!F11-'Balance Sheet'!G11)</f>
        <v>14572.992133333333</v>
      </c>
      <c r="H9" s="3">
        <f>($D$9*'Balance Sheet'!G10)+('Balance Sheet'!G11-'Balance Sheet'!H11)</f>
        <v>20149.77565333333</v>
      </c>
      <c r="I9" s="3">
        <f>($D$9*'Balance Sheet'!H10)+('Balance Sheet'!H11-'Balance Sheet'!I11)</f>
        <v>26005.398349333333</v>
      </c>
      <c r="J9" s="3">
        <f>($D$9*'Balance Sheet'!I10)+('Balance Sheet'!I11-'Balance Sheet'!J11)</f>
        <v>29811.553101733331</v>
      </c>
      <c r="K9" s="3">
        <f>($D$9*'Balance Sheet'!J10)+('Balance Sheet'!J11-'Balance Sheet'!K11)</f>
        <v>32729.605078573331</v>
      </c>
      <c r="L9" s="3">
        <f>($D$9*'Balance Sheet'!K10)+('Balance Sheet'!K11-'Balance Sheet'!L11)</f>
        <v>35939.462253097328</v>
      </c>
      <c r="M9" s="3">
        <f>($D$9*'Balance Sheet'!L10)+('Balance Sheet'!L11-'Balance Sheet'!M11)</f>
        <v>39470.30514507374</v>
      </c>
      <c r="N9" s="3">
        <f>($D$9*'Balance Sheet'!M10)+('Balance Sheet'!M11-'Balance Sheet'!N11)</f>
        <v>43354.232326247788</v>
      </c>
    </row>
    <row r="10" spans="1:15">
      <c r="A10" s="3" t="s">
        <v>62</v>
      </c>
      <c r="B10" s="3">
        <v>0</v>
      </c>
      <c r="C10" s="3">
        <v>0</v>
      </c>
      <c r="D10" s="90" t="s">
        <v>59</v>
      </c>
      <c r="E10" s="3">
        <f>-('Balance Sheet'!E12-'Balance Sheet'!C12)</f>
        <v>-1690.253999999999</v>
      </c>
      <c r="F10" s="3">
        <f>-('Balance Sheet'!F12-'Balance Sheet'!E12)</f>
        <v>-3168.6269999999986</v>
      </c>
      <c r="G10" s="3">
        <f>-('Balance Sheet'!G12-'Balance Sheet'!F12)</f>
        <v>-3802.3523999999998</v>
      </c>
      <c r="H10" s="3">
        <f>-('Balance Sheet'!H12-'Balance Sheet'!G12)</f>
        <v>-3992.4700200000007</v>
      </c>
      <c r="I10" s="3">
        <f>-('Balance Sheet'!I12-'Balance Sheet'!H12)</f>
        <v>-2595.1055129999986</v>
      </c>
      <c r="J10" s="3">
        <f>-('Balance Sheet'!J12-'Balance Sheet'!I12)</f>
        <v>-1989.5808933000008</v>
      </c>
      <c r="K10" s="3">
        <f>-('Balance Sheet'!K12-'Balance Sheet'!J12)</f>
        <v>-2188.5389826300016</v>
      </c>
      <c r="L10" s="3">
        <f>-('Balance Sheet'!L12-'Balance Sheet'!K12)</f>
        <v>-2407.3928808930032</v>
      </c>
      <c r="M10" s="3">
        <f>-('Balance Sheet'!M12-'Balance Sheet'!L12)</f>
        <v>-2648.1321689823017</v>
      </c>
      <c r="N10" s="3">
        <f>-('Balance Sheet'!N12-'Balance Sheet'!M12)</f>
        <v>-2912.9453858805355</v>
      </c>
    </row>
    <row r="11" spans="1:15">
      <c r="A11" s="13" t="s">
        <v>63</v>
      </c>
      <c r="B11" s="13">
        <v>-3748</v>
      </c>
      <c r="C11" s="13">
        <v>119</v>
      </c>
      <c r="D11" s="90" t="s">
        <v>59</v>
      </c>
      <c r="E11" s="13">
        <f>'Balance Sheet'!E19-'Balance Sheet'!C19</f>
        <v>3908.6720000000005</v>
      </c>
      <c r="F11" s="3">
        <f>'Balance Sheet'!F19-'Balance Sheet'!E19</f>
        <v>4224.8359999999975</v>
      </c>
      <c r="G11" s="3">
        <f>'Balance Sheet'!G19-'Balance Sheet'!F19</f>
        <v>5069.8031999999985</v>
      </c>
      <c r="H11" s="3">
        <f>'Balance Sheet'!H19-'Balance Sheet'!G19</f>
        <v>5323.2933600000033</v>
      </c>
      <c r="I11" s="3">
        <f>'Balance Sheet'!I19-'Balance Sheet'!H19</f>
        <v>3460.1406839999945</v>
      </c>
      <c r="J11" s="3">
        <f>'Balance Sheet'!J19-'Balance Sheet'!I19</f>
        <v>2652.7745244000034</v>
      </c>
      <c r="K11" s="3">
        <f>'Balance Sheet'!K19-'Balance Sheet'!J19</f>
        <v>2918.0519768400009</v>
      </c>
      <c r="L11" s="3">
        <f>'Balance Sheet'!L19-'Balance Sheet'!K19</f>
        <v>3209.8571745240042</v>
      </c>
      <c r="M11" s="3">
        <f>'Balance Sheet'!M19-'Balance Sheet'!L19</f>
        <v>3530.8428919764046</v>
      </c>
      <c r="N11" s="3">
        <f>'Balance Sheet'!N19-'Balance Sheet'!M19</f>
        <v>3883.9271811740473</v>
      </c>
    </row>
    <row r="12" spans="1:15">
      <c r="A12" s="14" t="s">
        <v>64</v>
      </c>
      <c r="B12" s="3">
        <v>-6499</v>
      </c>
      <c r="C12" s="3">
        <v>-6210</v>
      </c>
      <c r="D12" s="90" t="s">
        <v>59</v>
      </c>
      <c r="E12" s="3">
        <f>-('Balance Sheet'!E6-'Balance Sheet'!C6)</f>
        <v>-30355.72</v>
      </c>
      <c r="F12" s="3">
        <f>-('Balance Sheet'!F6-'Balance Sheet'!E6)</f>
        <v>-42248.359999999986</v>
      </c>
      <c r="G12" s="3">
        <f>-('Balance Sheet'!G6-'Balance Sheet'!F6)</f>
        <v>-50698.031999999977</v>
      </c>
      <c r="H12" s="3">
        <f>-('Balance Sheet'!H6-'Balance Sheet'!G6)</f>
        <v>-53232.933600000018</v>
      </c>
      <c r="I12" s="3">
        <f>-('Balance Sheet'!I6-'Balance Sheet'!H6)</f>
        <v>-34601.406839999981</v>
      </c>
      <c r="J12" s="3">
        <f>-('Balance Sheet'!J6-'Balance Sheet'!I6)</f>
        <v>-26527.745243999991</v>
      </c>
      <c r="K12" s="3">
        <f>-('Balance Sheet'!K6-'Balance Sheet'!J6)</f>
        <v>-29180.51976840006</v>
      </c>
      <c r="L12" s="3">
        <f>-('Balance Sheet'!L6-'Balance Sheet'!K6)</f>
        <v>-32098.571745240013</v>
      </c>
      <c r="M12" s="3">
        <f>-('Balance Sheet'!M6-'Balance Sheet'!L6)</f>
        <v>-35308.428919764061</v>
      </c>
      <c r="N12" s="3">
        <f>-('Balance Sheet'!N6-'Balance Sheet'!M6)</f>
        <v>-38839.271811740473</v>
      </c>
    </row>
    <row r="13" spans="1:15">
      <c r="A13" s="14" t="s">
        <v>65</v>
      </c>
      <c r="B13" s="3">
        <v>10607</v>
      </c>
      <c r="C13" s="3">
        <v>-13892</v>
      </c>
      <c r="D13" s="90" t="s">
        <v>59</v>
      </c>
      <c r="E13" s="3">
        <f>-('Balance Sheet'!E7-'Balance Sheet'!C7)</f>
        <v>-18179.555999999997</v>
      </c>
      <c r="F13" s="3">
        <f>-('Balance Sheet'!F7-'Balance Sheet'!E7)</f>
        <v>-44360.777999999977</v>
      </c>
      <c r="G13" s="3">
        <f>-('Balance Sheet'!G7-'Balance Sheet'!F7)</f>
        <v>-53232.933599999989</v>
      </c>
      <c r="H13" s="3">
        <f>-('Balance Sheet'!H7-'Balance Sheet'!G7)</f>
        <v>-55894.580279999995</v>
      </c>
      <c r="I13" s="3">
        <f>-('Balance Sheet'!I7-'Balance Sheet'!H7)</f>
        <v>-36331.477182000002</v>
      </c>
      <c r="J13" s="3">
        <f>-('Balance Sheet'!J7-'Balance Sheet'!I7)</f>
        <v>-27854.132506199996</v>
      </c>
      <c r="K13" s="3">
        <f>-('Balance Sheet'!K7-'Balance Sheet'!J7)</f>
        <v>-30639.545756820007</v>
      </c>
      <c r="L13" s="3">
        <f>-('Balance Sheet'!L7-'Balance Sheet'!K7)</f>
        <v>-33703.500332502066</v>
      </c>
      <c r="M13" s="3">
        <f>-('Balance Sheet'!M7-'Balance Sheet'!L7)</f>
        <v>-37073.850365752238</v>
      </c>
      <c r="N13" s="3">
        <f>-('Balance Sheet'!N7-'Balance Sheet'!M7)</f>
        <v>-40781.235402327497</v>
      </c>
    </row>
    <row r="14" spans="1:15">
      <c r="A14" s="14" t="s">
        <v>66</v>
      </c>
      <c r="B14" s="3">
        <v>4826</v>
      </c>
      <c r="C14" s="3">
        <v>-6440</v>
      </c>
      <c r="D14" s="90" t="s">
        <v>59</v>
      </c>
      <c r="E14" s="3">
        <f>-('Balance Sheet'!E8-'Balance Sheet'!C8)</f>
        <v>-2819.9260000000013</v>
      </c>
      <c r="F14" s="3">
        <f>-('Balance Sheet'!F8-'Balance Sheet'!E8)</f>
        <v>-7393.4629999999979</v>
      </c>
      <c r="G14" s="3">
        <f>-('Balance Sheet'!G8-'Balance Sheet'!F8)</f>
        <v>-8872.1555999999982</v>
      </c>
      <c r="H14" s="3">
        <f>-('Balance Sheet'!H8-'Balance Sheet'!G8)</f>
        <v>-9315.7633800000003</v>
      </c>
      <c r="I14" s="3">
        <f>-('Balance Sheet'!I8-'Balance Sheet'!H8)</f>
        <v>-6055.2461970000004</v>
      </c>
      <c r="J14" s="3">
        <f>-('Balance Sheet'!J8-'Balance Sheet'!I8)</f>
        <v>-4642.3554177000042</v>
      </c>
      <c r="K14" s="3">
        <f>-('Balance Sheet'!K8-'Balance Sheet'!J8)</f>
        <v>-5106.5909594699988</v>
      </c>
      <c r="L14" s="3">
        <f>-('Balance Sheet'!L8-'Balance Sheet'!K8)</f>
        <v>-5617.250055417011</v>
      </c>
      <c r="M14" s="3">
        <f>-('Balance Sheet'!M8-'Balance Sheet'!L8)</f>
        <v>-6178.9750609587136</v>
      </c>
      <c r="N14" s="3">
        <f>-('Balance Sheet'!N8-'Balance Sheet'!M8)</f>
        <v>-6796.8725670545828</v>
      </c>
    </row>
    <row r="15" spans="1:15">
      <c r="A15" s="14" t="s">
        <v>67</v>
      </c>
      <c r="B15" s="3">
        <v>5724</v>
      </c>
      <c r="C15" s="3">
        <v>1841</v>
      </c>
      <c r="D15" s="90" t="s">
        <v>59</v>
      </c>
      <c r="E15" s="3">
        <f>'Balance Sheet'!E16-'Balance Sheet'!C16</f>
        <v>11228.015999999996</v>
      </c>
      <c r="F15" s="3">
        <f>'Balance Sheet'!F16-'Balance Sheet'!E16</f>
        <v>12674.507999999994</v>
      </c>
      <c r="G15" s="3">
        <f>'Balance Sheet'!G16-'Balance Sheet'!F16</f>
        <v>15209.409599999999</v>
      </c>
      <c r="H15" s="3">
        <f>'Balance Sheet'!H16-'Balance Sheet'!G16</f>
        <v>15969.880080000003</v>
      </c>
      <c r="I15" s="3">
        <f>'Balance Sheet'!I16-'Balance Sheet'!H16</f>
        <v>10380.422051999994</v>
      </c>
      <c r="J15" s="3">
        <f>'Balance Sheet'!J16-'Balance Sheet'!I16</f>
        <v>7958.323573200003</v>
      </c>
      <c r="K15" s="3">
        <f>'Balance Sheet'!K16-'Balance Sheet'!J16</f>
        <v>8754.1559305200062</v>
      </c>
      <c r="L15" s="3">
        <f>'Balance Sheet'!L16-'Balance Sheet'!K16</f>
        <v>9629.5715235720127</v>
      </c>
      <c r="M15" s="3">
        <f>'Balance Sheet'!M16-'Balance Sheet'!L16</f>
        <v>10592.528675929207</v>
      </c>
      <c r="N15" s="3">
        <f>'Balance Sheet'!N16-'Balance Sheet'!M16</f>
        <v>11651.781543522142</v>
      </c>
    </row>
    <row r="16" spans="1:15">
      <c r="A16" s="8" t="s">
        <v>68</v>
      </c>
      <c r="B16" s="7">
        <v>2326</v>
      </c>
      <c r="C16" s="7">
        <v>3712</v>
      </c>
      <c r="D16" s="101" t="s">
        <v>59</v>
      </c>
      <c r="E16" s="7">
        <f>'Balance Sheet'!E17-'Balance Sheet'!C17</f>
        <v>2141.1471999999994</v>
      </c>
      <c r="F16" s="7">
        <f>'Balance Sheet'!F17-'Balance Sheet'!E17</f>
        <v>10984.573599999996</v>
      </c>
      <c r="G16" s="7">
        <f>'Balance Sheet'!G17-'Balance Sheet'!F17</f>
        <v>13181.488319999997</v>
      </c>
      <c r="H16" s="7">
        <f>'Balance Sheet'!H17-'Balance Sheet'!G17</f>
        <v>13840.562736</v>
      </c>
      <c r="I16" s="7">
        <f>'Balance Sheet'!I17-'Balance Sheet'!H17</f>
        <v>8996.3657783999952</v>
      </c>
      <c r="J16" s="7">
        <f>'Balance Sheet'!J17-'Balance Sheet'!I17</f>
        <v>6897.2137634399987</v>
      </c>
      <c r="K16" s="7">
        <f>'Balance Sheet'!K17-'Balance Sheet'!J17</f>
        <v>7586.9351397840073</v>
      </c>
      <c r="L16" s="7">
        <f>'Balance Sheet'!L17-'Balance Sheet'!K17</f>
        <v>8345.628653762411</v>
      </c>
      <c r="M16" s="7">
        <f>'Balance Sheet'!M17-'Balance Sheet'!L17</f>
        <v>9180.1915191386506</v>
      </c>
      <c r="N16" s="7">
        <f>'Balance Sheet'!N17-'Balance Sheet'!M17</f>
        <v>10098.210671052526</v>
      </c>
      <c r="O16" s="13"/>
    </row>
    <row r="17" spans="1:14">
      <c r="A17" s="2" t="s">
        <v>4</v>
      </c>
      <c r="B17" s="2">
        <f>SUM(B7:B16)</f>
        <v>31642.3141589144</v>
      </c>
      <c r="C17" s="2">
        <f>SUM(C7:C16)</f>
        <v>3766.9468919416831</v>
      </c>
      <c r="D17" s="57"/>
      <c r="E17" s="3">
        <f>SUM(E7:E16)</f>
        <v>-735.76921066669638</v>
      </c>
      <c r="F17" s="3">
        <f t="shared" ref="F17:N17" si="3">SUM(F7:F16)</f>
        <v>-15406.444122666668</v>
      </c>
      <c r="G17" s="3">
        <f t="shared" si="3"/>
        <v>-7034.5091050666742</v>
      </c>
      <c r="H17" s="3">
        <f t="shared" si="3"/>
        <v>12846.217163413352</v>
      </c>
      <c r="I17" s="3">
        <f t="shared" si="3"/>
        <v>61257.31163792529</v>
      </c>
      <c r="J17" s="3">
        <f t="shared" si="3"/>
        <v>87504.093458384523</v>
      </c>
      <c r="K17" s="3">
        <f t="shared" si="3"/>
        <v>96191.399470889563</v>
      </c>
      <c r="L17" s="3">
        <f t="shared" si="3"/>
        <v>105747.43608464528</v>
      </c>
      <c r="M17" s="3">
        <f t="shared" si="3"/>
        <v>116259.07635977642</v>
      </c>
      <c r="N17" s="3">
        <f t="shared" si="3"/>
        <v>127821.88066242075</v>
      </c>
    </row>
    <row r="18" spans="1:14">
      <c r="A18" s="2"/>
      <c r="B18" s="2"/>
      <c r="C18" s="2"/>
      <c r="D18" s="57"/>
    </row>
    <row r="19" spans="1:14">
      <c r="A19" s="7" t="s">
        <v>5</v>
      </c>
      <c r="B19" s="7"/>
      <c r="C19" s="7"/>
      <c r="D19" s="101" t="s">
        <v>79</v>
      </c>
      <c r="E19" s="7">
        <f>('Balance Sheet'!E10-'Balance Sheet'!C10)+(D9*'Balance Sheet'!C10)</f>
        <v>20337.995999999996</v>
      </c>
      <c r="F19" s="7">
        <f>('Balance Sheet'!F10-'Balance Sheet'!E10)+($D$9*'Balance Sheet'!E10)</f>
        <v>32531.237199999996</v>
      </c>
      <c r="G19" s="7">
        <f>('Balance Sheet'!G10-'Balance Sheet'!F10)+($D$9*'Balance Sheet'!F10)</f>
        <v>41825.876399999986</v>
      </c>
      <c r="H19" s="7">
        <f>('Balance Sheet'!H10-'Balance Sheet'!G10)+($D$9*'Balance Sheet'!G10)</f>
        <v>48796.855800000012</v>
      </c>
      <c r="I19" s="7">
        <f>('Balance Sheet'!I10-'Balance Sheet'!H10)+($D$9*'Balance Sheet'!H10)</f>
        <v>44405.138777999979</v>
      </c>
      <c r="J19" s="7">
        <f>('Balance Sheet'!J10-'Balance Sheet'!I10)+($D$9*'Balance Sheet'!I10)</f>
        <v>43770.779652600002</v>
      </c>
      <c r="K19" s="7">
        <f>('Balance Sheet'!K10-'Balance Sheet'!J10)+($D$9*'Balance Sheet'!J10)</f>
        <v>48147.857617860005</v>
      </c>
      <c r="L19" s="7">
        <f>('Balance Sheet'!L10-'Balance Sheet'!K10)+($D$9*'Balance Sheet'!K10)</f>
        <v>52962.643379646026</v>
      </c>
      <c r="M19" s="7">
        <f>('Balance Sheet'!M10-'Balance Sheet'!L10)+($D$9*'Balance Sheet'!L10)</f>
        <v>58258.907717610644</v>
      </c>
      <c r="N19" s="7">
        <f>('Balance Sheet'!N10-'Balance Sheet'!M10)+($D$9*'Balance Sheet'!M10)</f>
        <v>64084.798489371715</v>
      </c>
    </row>
    <row r="20" spans="1:14">
      <c r="A20" s="2" t="s">
        <v>6</v>
      </c>
      <c r="B20" s="2"/>
      <c r="C20" s="2"/>
      <c r="D20" s="57"/>
      <c r="E20" s="3">
        <f>E17-E19</f>
        <v>-21073.765210666694</v>
      </c>
      <c r="F20" s="3">
        <f t="shared" ref="F20:N20" si="4">F17-F19</f>
        <v>-47937.681322666664</v>
      </c>
      <c r="G20" s="3">
        <f t="shared" si="4"/>
        <v>-48860.385505066661</v>
      </c>
      <c r="H20" s="3">
        <f t="shared" si="4"/>
        <v>-35950.638636586664</v>
      </c>
      <c r="I20" s="3">
        <f t="shared" si="4"/>
        <v>16852.172859925311</v>
      </c>
      <c r="J20" s="3">
        <f t="shared" si="4"/>
        <v>43733.313805784521</v>
      </c>
      <c r="K20" s="3">
        <f t="shared" si="4"/>
        <v>48043.541853029557</v>
      </c>
      <c r="L20" s="3">
        <f t="shared" si="4"/>
        <v>52784.79270499925</v>
      </c>
      <c r="M20" s="3">
        <f t="shared" si="4"/>
        <v>58000.168642165772</v>
      </c>
      <c r="N20" s="3">
        <f t="shared" si="4"/>
        <v>63737.082173049035</v>
      </c>
    </row>
    <row r="21" spans="1:14">
      <c r="A21" s="2"/>
      <c r="B21" s="2"/>
      <c r="C21" s="2"/>
      <c r="D21" s="57"/>
    </row>
    <row r="22" spans="1:14">
      <c r="A22" s="7" t="s">
        <v>34</v>
      </c>
      <c r="B22" s="61"/>
      <c r="C22" s="61"/>
      <c r="D22" s="97">
        <v>0</v>
      </c>
      <c r="E22" s="7"/>
      <c r="F22" s="7"/>
      <c r="G22" s="7"/>
      <c r="H22" s="7"/>
      <c r="I22" s="7"/>
      <c r="J22" s="7"/>
      <c r="K22" s="7"/>
      <c r="L22" s="7"/>
      <c r="M22" s="7"/>
      <c r="N22" s="7">
        <f>N7/(D25-D22)</f>
        <v>1139723.4931340565</v>
      </c>
    </row>
    <row r="23" spans="1:14">
      <c r="A23" s="3" t="s">
        <v>80</v>
      </c>
      <c r="B23" s="2"/>
      <c r="C23" s="2"/>
      <c r="D23" s="60"/>
      <c r="E23" s="3">
        <f>E20+E22</f>
        <v>-21073.765210666694</v>
      </c>
      <c r="F23" s="3">
        <f t="shared" ref="F23:N23" si="5">F20+F22</f>
        <v>-47937.681322666664</v>
      </c>
      <c r="G23" s="3">
        <f t="shared" si="5"/>
        <v>-48860.385505066661</v>
      </c>
      <c r="H23" s="3">
        <f t="shared" si="5"/>
        <v>-35950.638636586664</v>
      </c>
      <c r="I23" s="3">
        <f t="shared" si="5"/>
        <v>16852.172859925311</v>
      </c>
      <c r="J23" s="3">
        <f t="shared" si="5"/>
        <v>43733.313805784521</v>
      </c>
      <c r="K23" s="3">
        <f t="shared" si="5"/>
        <v>48043.541853029557</v>
      </c>
      <c r="L23" s="3">
        <f t="shared" si="5"/>
        <v>52784.79270499925</v>
      </c>
      <c r="M23" s="3">
        <f t="shared" si="5"/>
        <v>58000.168642165772</v>
      </c>
      <c r="N23" s="3">
        <f t="shared" si="5"/>
        <v>1203460.5753071054</v>
      </c>
    </row>
    <row r="24" spans="1:14">
      <c r="B24" s="2"/>
      <c r="C24" s="2"/>
      <c r="D24" s="60"/>
    </row>
    <row r="25" spans="1:14">
      <c r="A25" s="98" t="s">
        <v>7</v>
      </c>
      <c r="B25" s="98"/>
      <c r="C25" s="98"/>
      <c r="D25" s="99">
        <v>0.13</v>
      </c>
      <c r="E25" s="100">
        <f t="shared" ref="E25:N25" si="6">1/((1+$D$25)^(E4-$C$4))</f>
        <v>0.88495575221238942</v>
      </c>
      <c r="F25" s="100">
        <f t="shared" si="6"/>
        <v>0.78314668337379612</v>
      </c>
      <c r="G25" s="100">
        <f t="shared" si="6"/>
        <v>0.69305016227769578</v>
      </c>
      <c r="H25" s="100">
        <f t="shared" si="6"/>
        <v>0.61331872767937679</v>
      </c>
      <c r="I25" s="100">
        <f t="shared" si="6"/>
        <v>0.54275993599944861</v>
      </c>
      <c r="J25" s="100">
        <f t="shared" si="6"/>
        <v>0.48031852743314046</v>
      </c>
      <c r="K25" s="100">
        <f t="shared" si="6"/>
        <v>0.425060643746142</v>
      </c>
      <c r="L25" s="100">
        <f t="shared" si="6"/>
        <v>0.37615986172224958</v>
      </c>
      <c r="M25" s="100">
        <f t="shared" si="6"/>
        <v>0.33288483338252178</v>
      </c>
      <c r="N25" s="100">
        <f t="shared" si="6"/>
        <v>0.2945883481261255</v>
      </c>
    </row>
    <row r="26" spans="1:14">
      <c r="A26" s="15" t="s">
        <v>8</v>
      </c>
      <c r="D26" s="18"/>
      <c r="E26" s="3">
        <f>E23*E25</f>
        <v>-18649.349743952826</v>
      </c>
      <c r="F26" s="3">
        <f t="shared" ref="F26:N26" si="7">F23*F25</f>
        <v>-37542.236136476371</v>
      </c>
      <c r="G26" s="3">
        <f t="shared" si="7"/>
        <v>-33862.69810323722</v>
      </c>
      <c r="H26" s="3">
        <f t="shared" si="7"/>
        <v>-22049.199947852376</v>
      </c>
      <c r="I26" s="3">
        <f t="shared" si="7"/>
        <v>9146.684262904706</v>
      </c>
      <c r="J26" s="3">
        <f t="shared" si="7"/>
        <v>21005.920886965854</v>
      </c>
      <c r="K26" s="3">
        <f t="shared" si="7"/>
        <v>20421.41882789346</v>
      </c>
      <c r="L26" s="3">
        <f t="shared" si="7"/>
        <v>19855.520324950125</v>
      </c>
      <c r="M26" s="3">
        <f t="shared" si="7"/>
        <v>19307.376474605517</v>
      </c>
      <c r="N26" s="3">
        <f t="shared" si="7"/>
        <v>354525.46291463682</v>
      </c>
    </row>
    <row r="27" spans="1:14">
      <c r="A27" s="15"/>
      <c r="D27" s="18"/>
    </row>
    <row r="28" spans="1:14">
      <c r="A28" s="63" t="s">
        <v>35</v>
      </c>
      <c r="B28" s="71">
        <f>SUM(E26:N26)</f>
        <v>332158.89976043766</v>
      </c>
      <c r="C28" s="24"/>
      <c r="D28" s="3"/>
    </row>
    <row r="29" spans="1:14">
      <c r="A29" s="64" t="s">
        <v>81</v>
      </c>
      <c r="B29" s="72">
        <f>-('Balance Sheet'!C20+'Balance Sheet'!C15)</f>
        <v>-51027</v>
      </c>
      <c r="C29" s="24"/>
      <c r="D29" s="3"/>
    </row>
    <row r="30" spans="1:14">
      <c r="A30" s="64" t="s">
        <v>73</v>
      </c>
      <c r="B30" s="74">
        <v>0</v>
      </c>
      <c r="C30" s="24"/>
      <c r="D30" s="3"/>
    </row>
    <row r="31" spans="1:14">
      <c r="A31" s="64" t="s">
        <v>72</v>
      </c>
      <c r="B31" s="72">
        <f>SUM(B28:B30)</f>
        <v>281131.89976043766</v>
      </c>
      <c r="C31" s="24"/>
      <c r="D31" s="3"/>
    </row>
    <row r="32" spans="1:14">
      <c r="A32" s="65" t="s">
        <v>9</v>
      </c>
      <c r="B32" s="72">
        <v>11241</v>
      </c>
      <c r="C32" s="24"/>
      <c r="D32" s="3"/>
    </row>
    <row r="33" spans="1:14">
      <c r="A33" s="66" t="s">
        <v>10</v>
      </c>
      <c r="B33" s="73">
        <f>B31/B32</f>
        <v>25.009509808774812</v>
      </c>
      <c r="C33" s="24"/>
      <c r="D33" s="3"/>
    </row>
    <row r="34" spans="1:14">
      <c r="B34" s="13"/>
      <c r="C34" s="13"/>
      <c r="D34" s="50"/>
    </row>
    <row r="35" spans="1:14">
      <c r="D35" s="18"/>
    </row>
    <row r="36" spans="1:14" s="111" customFormat="1">
      <c r="A36" s="112" t="s">
        <v>71</v>
      </c>
      <c r="B36" s="109">
        <v>1991</v>
      </c>
      <c r="C36" s="109">
        <v>1992</v>
      </c>
      <c r="D36" s="116"/>
      <c r="E36" s="109">
        <f>C36+1</f>
        <v>1993</v>
      </c>
      <c r="F36" s="109">
        <f>E36+1</f>
        <v>1994</v>
      </c>
      <c r="G36" s="109">
        <f t="shared" ref="G36:N36" si="8">F36+1</f>
        <v>1995</v>
      </c>
      <c r="H36" s="109">
        <f t="shared" si="8"/>
        <v>1996</v>
      </c>
      <c r="I36" s="109">
        <f t="shared" si="8"/>
        <v>1997</v>
      </c>
      <c r="J36" s="109">
        <f t="shared" si="8"/>
        <v>1998</v>
      </c>
      <c r="K36" s="109">
        <f t="shared" si="8"/>
        <v>1999</v>
      </c>
      <c r="L36" s="109">
        <f t="shared" si="8"/>
        <v>2000</v>
      </c>
      <c r="M36" s="109">
        <f>L36+1</f>
        <v>2001</v>
      </c>
      <c r="N36" s="109">
        <f t="shared" si="8"/>
        <v>2002</v>
      </c>
    </row>
    <row r="37" spans="1:14">
      <c r="A37" s="3" t="s">
        <v>90</v>
      </c>
      <c r="B37" s="75"/>
      <c r="C37" s="75">
        <f>C7/'Income Statement'!C5</f>
        <v>5.7240146110560129E-2</v>
      </c>
      <c r="D37" s="103" t="s">
        <v>91</v>
      </c>
      <c r="E37" s="119">
        <f>E7/'Income Statement'!E5</f>
        <v>6.5959999999999935E-2</v>
      </c>
      <c r="F37" s="119">
        <f>F7/'Income Statement'!F5</f>
        <v>6.9359999999999963E-2</v>
      </c>
      <c r="G37" s="119">
        <f>G7/'Income Statement'!G5</f>
        <v>6.9359999999999977E-2</v>
      </c>
      <c r="H37" s="119">
        <f>H7/'Income Statement'!H5</f>
        <v>6.9360000000000019E-2</v>
      </c>
      <c r="I37" s="119">
        <f>I7/'Income Statement'!I5</f>
        <v>6.9359999999999977E-2</v>
      </c>
      <c r="J37" s="119">
        <f>J7/'Income Statement'!J5</f>
        <v>6.9359999999999991E-2</v>
      </c>
      <c r="K37" s="119">
        <f>K7/'Income Statement'!K5</f>
        <v>6.9359999999999963E-2</v>
      </c>
      <c r="L37" s="119">
        <f>L7/'Income Statement'!L5</f>
        <v>6.9360000000000033E-2</v>
      </c>
      <c r="M37" s="119">
        <f>M7/'Income Statement'!M5</f>
        <v>6.9359999999999991E-2</v>
      </c>
      <c r="N37" s="119">
        <f>N7/'Income Statement'!N5</f>
        <v>6.9360000000000005E-2</v>
      </c>
    </row>
    <row r="38" spans="1:14">
      <c r="A38" s="3" t="s">
        <v>33</v>
      </c>
      <c r="B38" s="62"/>
      <c r="C38" s="62">
        <f>'Income Statement'!C5/(('Balance Sheet'!B13+'Balance Sheet'!C13)/2)</f>
        <v>1.5682357025407241</v>
      </c>
      <c r="D38" s="103" t="s">
        <v>98</v>
      </c>
      <c r="E38" s="62">
        <f>'Income Statement'!E5/(('Balance Sheet'!C13+'Balance Sheet'!E13)/2)</f>
        <v>1.8505126845916227</v>
      </c>
      <c r="F38" s="62">
        <f>'Income Statement'!F5/(('Balance Sheet'!E13+'Balance Sheet'!F13)/2)</f>
        <v>1.9606090175409492</v>
      </c>
      <c r="G38" s="62">
        <f>'Income Statement'!G5/(('Balance Sheet'!F13+'Balance Sheet'!G13)/2)</f>
        <v>1.9417928724750189</v>
      </c>
      <c r="H38" s="62">
        <f>'Income Statement'!H5/(('Balance Sheet'!G13+'Balance Sheet'!H13)/2)</f>
        <v>1.901841114797949</v>
      </c>
      <c r="I38" s="62">
        <f>'Income Statement'!I5/(('Balance Sheet'!H13+'Balance Sheet'!I13)/2)</f>
        <v>1.8101642350205256</v>
      </c>
      <c r="J38" s="62">
        <f>'Income Statement'!J5/(('Balance Sheet'!I13+'Balance Sheet'!J13)/2)</f>
        <v>1.7783354642258293</v>
      </c>
      <c r="K38" s="62">
        <f>'Income Statement'!K5/(('Balance Sheet'!J13+'Balance Sheet'!K13)/2)</f>
        <v>1.7826356970649508</v>
      </c>
      <c r="L38" s="62">
        <f>'Income Statement'!L5/(('Balance Sheet'!K13+'Balance Sheet'!L13)/2)</f>
        <v>1.7864490054856308</v>
      </c>
      <c r="M38" s="62">
        <f>'Income Statement'!M5/(('Balance Sheet'!L13+'Balance Sheet'!M13)/2)</f>
        <v>1.7898257324820355</v>
      </c>
      <c r="N38" s="62">
        <f>'Income Statement'!N5/(('Balance Sheet'!M13+'Balance Sheet'!N13)/2)</f>
        <v>1.7928116272242591</v>
      </c>
    </row>
    <row r="39" spans="1:14">
      <c r="A39" s="3" t="s">
        <v>39</v>
      </c>
      <c r="B39" s="75"/>
      <c r="C39" s="75">
        <f>C37*C38</f>
        <v>8.9766040749227963E-2</v>
      </c>
      <c r="D39" s="90" t="s">
        <v>97</v>
      </c>
      <c r="E39" s="119">
        <f>E37*E38</f>
        <v>0.1220598166756633</v>
      </c>
      <c r="F39" s="119">
        <f>F37*F38</f>
        <v>0.13598784145664017</v>
      </c>
      <c r="G39" s="119">
        <f t="shared" ref="G39:N39" si="9">G37*G38</f>
        <v>0.13468275363486726</v>
      </c>
      <c r="H39" s="119">
        <f t="shared" si="9"/>
        <v>0.13191169972238578</v>
      </c>
      <c r="I39" s="119">
        <f t="shared" si="9"/>
        <v>0.1255529913410236</v>
      </c>
      <c r="J39" s="119">
        <f t="shared" si="9"/>
        <v>0.1233453477987035</v>
      </c>
      <c r="K39" s="119">
        <f t="shared" si="9"/>
        <v>0.12364361194842492</v>
      </c>
      <c r="L39" s="119">
        <f t="shared" si="9"/>
        <v>0.12390810302048341</v>
      </c>
      <c r="M39" s="119">
        <f t="shared" si="9"/>
        <v>0.12414231280495397</v>
      </c>
      <c r="N39" s="119">
        <f t="shared" si="9"/>
        <v>0.12434941446427462</v>
      </c>
    </row>
    <row r="40" spans="1:14">
      <c r="A40" s="3" t="s">
        <v>93</v>
      </c>
      <c r="B40" s="120"/>
      <c r="C40" s="120">
        <f>'Income Statement'!C21/'Cash Flow, DCF, Ratios'!C7</f>
        <v>0.77461572960410963</v>
      </c>
      <c r="D40" s="103" t="s">
        <v>92</v>
      </c>
      <c r="E40" s="120">
        <f>'Income Statement'!E21/'Cash Flow, DCF, Ratios'!E7</f>
        <v>0.86170023049665911</v>
      </c>
      <c r="F40" s="120">
        <f>'Income Statement'!F21/'Cash Flow, DCF, Ratios'!F7</f>
        <v>0.87543886410314886</v>
      </c>
      <c r="G40" s="120">
        <f>'Income Statement'!G21/'Cash Flow, DCF, Ratios'!G7</f>
        <v>0.87423185565449568</v>
      </c>
      <c r="H40" s="120">
        <f>'Income Statement'!H21/'Cash Flow, DCF, Ratios'!H7</f>
        <v>0.87158985870359862</v>
      </c>
      <c r="I40" s="120">
        <f>'Income Statement'!I21/'Cash Flow, DCF, Ratios'!I7</f>
        <v>0.8650864482074242</v>
      </c>
      <c r="J40" s="120">
        <f>'Income Statement'!J21/'Cash Flow, DCF, Ratios'!J7</f>
        <v>0.86267175615213576</v>
      </c>
      <c r="K40" s="120">
        <f>'Income Statement'!K21/'Cash Flow, DCF, Ratios'!K7</f>
        <v>0.86300303159159064</v>
      </c>
      <c r="L40" s="120">
        <f>'Income Statement'!L21/'Cash Flow, DCF, Ratios'!L7</f>
        <v>0.86329546182141259</v>
      </c>
      <c r="M40" s="120">
        <f>'Income Statement'!M21/'Cash Flow, DCF, Ratios'!M7</f>
        <v>0.86355337179344027</v>
      </c>
      <c r="N40" s="120">
        <f>'Income Statement'!N21/'Cash Flow, DCF, Ratios'!N7</f>
        <v>0.86378062113942244</v>
      </c>
    </row>
    <row r="41" spans="1:14">
      <c r="A41" s="3" t="s">
        <v>94</v>
      </c>
      <c r="B41" s="62"/>
      <c r="C41" s="62">
        <f>(('Balance Sheet'!B13+'Balance Sheet'!C13)/2)/(('Balance Sheet'!B26+'Balance Sheet'!C26)/2)</f>
        <v>1.8765882875785307</v>
      </c>
      <c r="D41" s="103" t="s">
        <v>96</v>
      </c>
      <c r="E41" s="62">
        <f>(('Balance Sheet'!C13+'Balance Sheet'!E13)/2)/(('Balance Sheet'!C26+'Balance Sheet'!E26)/2)</f>
        <v>1.8886519611921562</v>
      </c>
      <c r="F41" s="62">
        <f>(('Balance Sheet'!E13+'Balance Sheet'!F13)/2)/(('Balance Sheet'!E26+'Balance Sheet'!F26)/2)</f>
        <v>1.9255467772313399</v>
      </c>
      <c r="G41" s="62">
        <f>(('Balance Sheet'!F13+'Balance Sheet'!G13)/2)/(('Balance Sheet'!F26+'Balance Sheet'!G26)/2)</f>
        <v>1.9406170920331147</v>
      </c>
      <c r="H41" s="62">
        <f>(('Balance Sheet'!G13+'Balance Sheet'!H13)/2)/(('Balance Sheet'!G26+'Balance Sheet'!H26)/2)</f>
        <v>1.9496085611793774</v>
      </c>
      <c r="I41" s="62">
        <f>(('Balance Sheet'!H13+'Balance Sheet'!I13)/2)/(('Balance Sheet'!H26+'Balance Sheet'!I26)/2)</f>
        <v>1.9544936266913726</v>
      </c>
      <c r="J41" s="62">
        <f>(('Balance Sheet'!I13+'Balance Sheet'!J13)/2)/(('Balance Sheet'!I26+'Balance Sheet'!J26)/2)</f>
        <v>1.9572163026203377</v>
      </c>
      <c r="K41" s="62">
        <f>(('Balance Sheet'!J13+'Balance Sheet'!K13)/2)/(('Balance Sheet'!J26+'Balance Sheet'!K26)/2)</f>
        <v>1.9592940893557467</v>
      </c>
      <c r="L41" s="62">
        <f>(('Balance Sheet'!K13+'Balance Sheet'!L13)/2)/(('Balance Sheet'!K26+'Balance Sheet'!L26)/2)</f>
        <v>1.9611402979558088</v>
      </c>
      <c r="M41" s="62">
        <f>(('Balance Sheet'!L13+'Balance Sheet'!M13)/2)/(('Balance Sheet'!L26+'Balance Sheet'!M26)/2)</f>
        <v>1.9627780432110542</v>
      </c>
      <c r="N41" s="62">
        <f>(('Balance Sheet'!M13+'Balance Sheet'!N13)/2)/(('Balance Sheet'!M26+'Balance Sheet'!N26)/2)</f>
        <v>1.9642285115083828</v>
      </c>
    </row>
    <row r="42" spans="1:14">
      <c r="A42" s="3" t="s">
        <v>76</v>
      </c>
      <c r="B42" s="119"/>
      <c r="C42" s="119">
        <f>C39*C40*C41</f>
        <v>0.13048704118942286</v>
      </c>
      <c r="D42" s="90" t="s">
        <v>95</v>
      </c>
      <c r="E42" s="119">
        <f>E39*E40*E41</f>
        <v>0.19864647205333424</v>
      </c>
      <c r="F42" s="119">
        <f>F39*F40*F41</f>
        <v>0.22923449810931365</v>
      </c>
      <c r="G42" s="119">
        <f t="shared" ref="G42:N42" si="10">G39*G40*G41</f>
        <v>0.22849592890737802</v>
      </c>
      <c r="H42" s="119">
        <f t="shared" si="10"/>
        <v>0.22415214960238133</v>
      </c>
      <c r="I42" s="119">
        <f t="shared" si="10"/>
        <v>0.2122857447442679</v>
      </c>
      <c r="J42" s="119">
        <f t="shared" si="10"/>
        <v>0.20826063005717274</v>
      </c>
      <c r="K42" s="119">
        <f t="shared" si="10"/>
        <v>0.20906610735636544</v>
      </c>
      <c r="L42" s="119">
        <f t="shared" si="10"/>
        <v>0.20978181079771599</v>
      </c>
      <c r="M42" s="119">
        <f t="shared" si="10"/>
        <v>0.21041670108865876</v>
      </c>
      <c r="N42" s="119">
        <f t="shared" si="10"/>
        <v>0.21097899136936291</v>
      </c>
    </row>
    <row r="43" spans="1:14">
      <c r="D43" s="90"/>
    </row>
    <row r="44" spans="1:14">
      <c r="D44" s="18"/>
      <c r="F44" s="75"/>
    </row>
    <row r="45" spans="1:14">
      <c r="D45" s="18"/>
    </row>
  </sheetData>
  <phoneticPr fontId="16" type="noConversion"/>
  <pageMargins left="0.75" right="0.75" top="1" bottom="1" header="0.5" footer="0.5"/>
  <pageSetup scale="62"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Greetings</vt:lpstr>
      <vt:lpstr>Income Statement</vt:lpstr>
      <vt:lpstr>Balance Sheet</vt:lpstr>
      <vt:lpstr>Cash Flow, DCF, Ratios</vt:lpstr>
      <vt:lpstr>'Balance Sheet'!Print_Area</vt:lpstr>
      <vt:lpstr>'Cash Flow, DCF, Ratios'!Print_Area</vt:lpstr>
      <vt:lpstr>'Income Statement'!Print_Area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Lee</dc:creator>
  <cp:lastModifiedBy>Felienne</cp:lastModifiedBy>
  <cp:lastPrinted>1999-02-17T02:45:34Z</cp:lastPrinted>
  <dcterms:created xsi:type="dcterms:W3CDTF">1998-02-10T17:41:39Z</dcterms:created>
  <dcterms:modified xsi:type="dcterms:W3CDTF">2014-09-04T16:19:51Z</dcterms:modified>
</cp:coreProperties>
</file>