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9720" windowHeight="5040" tabRatio="599"/>
  </bookViews>
  <sheets>
    <sheet name="Summary" sheetId="1" r:id="rId1"/>
    <sheet name="July 5" sheetId="2" r:id="rId2"/>
    <sheet name="July 6" sheetId="3" r:id="rId3"/>
    <sheet name="July 8" sheetId="5" r:id="rId4"/>
    <sheet name="July 7" sheetId="4" r:id="rId5"/>
    <sheet name="July 21" sheetId="6" r:id="rId6"/>
    <sheet name="July 25" sheetId="7" r:id="rId7"/>
    <sheet name="August 29" sheetId="8" r:id="rId8"/>
    <sheet name="August 30" sheetId="9" r:id="rId9"/>
    <sheet name="Sept 10" sheetId="12" r:id="rId10"/>
    <sheet name="Sept 22" sheetId="13" r:id="rId11"/>
    <sheet name="Sept 23" sheetId="10" r:id="rId12"/>
    <sheet name="Sept 29" sheetId="14" r:id="rId13"/>
    <sheet name="Sheet1" sheetId="11" state="hidden" r:id="rId14"/>
    <sheet name="Template" sheetId="15" state="hidden" r:id="rId15"/>
  </sheets>
  <definedNames>
    <definedName name="ctar0412" localSheetId="7">'August 29'!$A$10:$U$26</definedName>
    <definedName name="ctar0412" localSheetId="8">'August 30'!$A$10:$U$26</definedName>
    <definedName name="ctar0412" localSheetId="5">'July 21'!$A$10:$U$26</definedName>
    <definedName name="ctar0412" localSheetId="6">'July 25'!$A$10:$U$26</definedName>
    <definedName name="ctar0412" localSheetId="4">'July 7'!$A$10:$U$26</definedName>
    <definedName name="ctar0412" localSheetId="3">'July 8'!$A$10:$U$26</definedName>
    <definedName name="ctar0412" localSheetId="9">'Sept 10'!$A$10:$U$26</definedName>
    <definedName name="ctar0412" localSheetId="10">'Sept 22'!$A$10:$U$26</definedName>
    <definedName name="ctar0412" localSheetId="11">'Sept 23'!$A$10:$U$26</definedName>
    <definedName name="ctar0412" localSheetId="12">'Sept 29'!$A$10:$U$26</definedName>
    <definedName name="ctar0412" localSheetId="14">Template!$C$10:$W$26</definedName>
    <definedName name="ctar0705">'July 5'!$A$11:$X$27</definedName>
    <definedName name="ctar0706">'July 6'!$A$11:$X$27</definedName>
    <definedName name="ctar0707">'July 7'!$A$11:$X$27</definedName>
    <definedName name="ctar0708">'July 8'!$A$11:$X$27</definedName>
    <definedName name="ctar0721">'July 21'!$A$11:$X$27</definedName>
    <definedName name="ctar0725">'July 25'!$A$11:$X$27</definedName>
    <definedName name="ctar0829">'August 29'!$A$11:$X$27</definedName>
    <definedName name="ctar0830">'August 30'!$A$11:$X$27</definedName>
    <definedName name="ctar0910">'Sept 10'!$A$11:$X$27</definedName>
    <definedName name="ctar0922">'Sept 22'!$A$11:$X$26</definedName>
    <definedName name="ctar0923">'Sept 23'!$A$11:$X$26</definedName>
    <definedName name="ctar0929">'Sept 29'!$A$11:$X$26</definedName>
    <definedName name="nbaa0412" localSheetId="7">'August 29'!$A$28:$U$50</definedName>
    <definedName name="nbaa0412" localSheetId="8">'August 30'!$A$28:$U$50</definedName>
    <definedName name="nbaa0412" localSheetId="5">'July 21'!$A$28:$U$50</definedName>
    <definedName name="nbaa0412" localSheetId="4">'July 7'!$A$28:$U$50</definedName>
    <definedName name="nbaa0412" localSheetId="3">'July 8'!$A$28:$U$50</definedName>
    <definedName name="nbaa0412" localSheetId="9">'Sept 10'!$A$28:$U$51</definedName>
    <definedName name="nbaa0412" localSheetId="10">'Sept 22'!$A$27:$U$50</definedName>
    <definedName name="nbaa0412" localSheetId="11">'Sept 23'!$A$27:$U$50</definedName>
    <definedName name="nbaa0412" localSheetId="12">'Sept 29'!$A$27:$U$50</definedName>
    <definedName name="nbaa0412" localSheetId="14">Template!$C$31:$W$54</definedName>
    <definedName name="nbaa0705">'July 5'!$A$28:$X$52</definedName>
    <definedName name="nbaa0706">'July 6'!$A$28:$X$52</definedName>
    <definedName name="nbaa0707">'July 7'!$A$28:$X$52</definedName>
    <definedName name="nbaa0708">'July 8'!$A$28:$X$52</definedName>
    <definedName name="nbaa0721">'July 21'!$A$28:$X$52</definedName>
    <definedName name="nbaa0725">'July 25'!$A$28:$X$52</definedName>
    <definedName name="nbaa0829">'August 29'!$A$28:$X$52</definedName>
    <definedName name="nbaa0830">'August 30'!$A$28:$X$52</definedName>
    <definedName name="nbaa0910">'Sept 10'!$A$28:$X$52</definedName>
    <definedName name="nbaa0922">'Sept 22'!$A$27:$X$50</definedName>
    <definedName name="nbaa0923">'Sept 23'!$A$27:$X$50</definedName>
    <definedName name="nbaa0929">'Sept 29'!$A$27:$X$50</definedName>
    <definedName name="nbaa0930">'August 30'!$A$28:$X$52</definedName>
    <definedName name="ngsa0412" localSheetId="7">'August 29'!$A$53:$U$85</definedName>
    <definedName name="ngsa0412" localSheetId="8">'August 30'!$A$53:$U$85</definedName>
    <definedName name="ngsa0412" localSheetId="5">'July 21'!$A$53:$U$85</definedName>
    <definedName name="ngsa0412" localSheetId="4">'July 7'!$A$53:$U$85</definedName>
    <definedName name="ngsa0412" localSheetId="3">'July 8'!$A$53:$U$85</definedName>
    <definedName name="ngsa0412" localSheetId="9">'Sept 10'!$A$53:$U$86</definedName>
    <definedName name="ngsa0412" localSheetId="10">'Sept 22'!$A$51:$U$88</definedName>
    <definedName name="ngsa0412" localSheetId="11">'Sept 23'!$A$51:$U$88</definedName>
    <definedName name="ngsa0412" localSheetId="12">'Sept 29'!$A$51:$U$88</definedName>
    <definedName name="ngsa0412" localSheetId="14">Template!$C$59:$W$96</definedName>
    <definedName name="ngsa0705">'July 5'!$A$53:$X$82</definedName>
    <definedName name="ngsa0706">'July 6'!$A$53:$X$81</definedName>
    <definedName name="ngsa0707">'July 7'!$A$53:$X$81</definedName>
    <definedName name="ngsa0708">'July 8'!$A$53:$X$81</definedName>
    <definedName name="ngsa0721">'July 21'!$A$53:$X$82</definedName>
    <definedName name="ngsa0725">'July 25'!$A$53:$X$82</definedName>
    <definedName name="ngsa0829">'August 29'!$A$53:$X$87</definedName>
    <definedName name="ngsa0830">'August 30'!$A$53:$X$87</definedName>
    <definedName name="ngsa0910">'Sept 10'!$A$53:$X$84</definedName>
    <definedName name="ngsa0922">'Sept 22'!$A$51:$X$117</definedName>
    <definedName name="ngsa0923">'Sept 23'!$A$51:$X$117</definedName>
    <definedName name="ngsa0929">'Sept 29'!$A$51:$X$117</definedName>
    <definedName name="_xlnm.Print_Area" localSheetId="7">'August 29'!$A$1:$S$90</definedName>
    <definedName name="_xlnm.Print_Area" localSheetId="8">'August 30'!$A$1:$S$89</definedName>
    <definedName name="_xlnm.Print_Area" localSheetId="5">'July 21'!$A$1:$S$87</definedName>
    <definedName name="_xlnm.Print_Area" localSheetId="6">'July 25'!$A$1:$S$87</definedName>
    <definedName name="_xlnm.Print_Area" localSheetId="1">'July 5'!$A$1:$S$91</definedName>
    <definedName name="_xlnm.Print_Area" localSheetId="2">'July 6'!$A$1:$S$87</definedName>
    <definedName name="_xlnm.Print_Area" localSheetId="4">'July 7'!$A$1:$S$87</definedName>
    <definedName name="_xlnm.Print_Area" localSheetId="3">'July 8'!$A$1:$S$87</definedName>
    <definedName name="_xlnm.Print_Area" localSheetId="9">'Sept 10'!$A$1:$S$89</definedName>
    <definedName name="_xlnm.Print_Area" localSheetId="10">'Sept 22'!$A$1:$S$121</definedName>
    <definedName name="_xlnm.Print_Area" localSheetId="11">'Sept 23'!$A$1:$S$120</definedName>
    <definedName name="_xlnm.Print_Area" localSheetId="12">'Sept 29'!$A$1:$S$119</definedName>
    <definedName name="_xlnm.Print_Area" localSheetId="0">Summary!$A$1:$G$120</definedName>
    <definedName name="_xlnm.Print_Area" localSheetId="14">Template!$C$1:$U$98</definedName>
    <definedName name="_xlnm.Print_Titles" localSheetId="7">'August 29'!$1:$8</definedName>
    <definedName name="_xlnm.Print_Titles" localSheetId="8">'August 30'!$1:$8</definedName>
    <definedName name="_xlnm.Print_Titles" localSheetId="5">'July 21'!$1:$8</definedName>
    <definedName name="_xlnm.Print_Titles" localSheetId="6">'July 25'!$1:$8</definedName>
    <definedName name="_xlnm.Print_Titles" localSheetId="1">'July 5'!$1:$8</definedName>
    <definedName name="_xlnm.Print_Titles" localSheetId="2">'July 6'!$1:$8</definedName>
    <definedName name="_xlnm.Print_Titles" localSheetId="4">'July 7'!$1:$8</definedName>
    <definedName name="_xlnm.Print_Titles" localSheetId="3">'July 8'!$1:$8</definedName>
    <definedName name="_xlnm.Print_Titles" localSheetId="9">'Sept 10'!$1:$8</definedName>
    <definedName name="_xlnm.Print_Titles" localSheetId="10">'Sept 22'!$1:$8</definedName>
    <definedName name="_xlnm.Print_Titles" localSheetId="11">'Sept 23'!$1:$8</definedName>
    <definedName name="_xlnm.Print_Titles" localSheetId="12">'Sept 29'!$1:$8</definedName>
    <definedName name="_xlnm.Print_Titles" localSheetId="0">Summary!$1:$6</definedName>
    <definedName name="_xlnm.Print_Titles" localSheetId="14">Template!$1:$8</definedName>
  </definedNames>
  <calcPr calcId="152511" fullCalcOnLoad="1"/>
</workbook>
</file>

<file path=xl/calcChain.xml><?xml version="1.0" encoding="utf-8"?>
<calcChain xmlns="http://schemas.openxmlformats.org/spreadsheetml/2006/main">
  <c r="C8" i="8" l="1"/>
  <c r="E8" i="8" s="1"/>
  <c r="F8" i="8"/>
  <c r="H8" i="8" s="1"/>
  <c r="I8" i="8"/>
  <c r="K8" i="8" s="1"/>
  <c r="L8" i="8"/>
  <c r="S8" i="8"/>
  <c r="O9" i="8"/>
  <c r="O10" i="8"/>
  <c r="Q10" i="8"/>
  <c r="S10" i="8"/>
  <c r="V10" i="8" s="1"/>
  <c r="O11" i="8"/>
  <c r="P11" i="8"/>
  <c r="Q11" i="8"/>
  <c r="Q88" i="8" s="1"/>
  <c r="R11" i="8"/>
  <c r="S11" i="8"/>
  <c r="V11" i="8" s="1"/>
  <c r="U11" i="8"/>
  <c r="X11" i="8"/>
  <c r="O12" i="8"/>
  <c r="S12" i="8"/>
  <c r="V12" i="8"/>
  <c r="O13" i="8"/>
  <c r="P13" i="8"/>
  <c r="X13" i="8" s="1"/>
  <c r="S13" i="8"/>
  <c r="V13" i="8" s="1"/>
  <c r="O14" i="8"/>
  <c r="Q14" i="8"/>
  <c r="S14" i="8"/>
  <c r="V14" i="8" s="1"/>
  <c r="W14" i="8"/>
  <c r="O15" i="8"/>
  <c r="S15" i="8"/>
  <c r="V15" i="8"/>
  <c r="O16" i="8"/>
  <c r="P16" i="8"/>
  <c r="X16" i="8" s="1"/>
  <c r="R16" i="8"/>
  <c r="S16" i="8"/>
  <c r="V16" i="8" s="1"/>
  <c r="T16" i="8"/>
  <c r="U16" i="8"/>
  <c r="W16" i="8"/>
  <c r="O17" i="8"/>
  <c r="P17" i="8"/>
  <c r="Q17" i="8"/>
  <c r="S17" i="8"/>
  <c r="V17" i="8" s="1"/>
  <c r="U17" i="8"/>
  <c r="W17" i="8"/>
  <c r="O18" i="8"/>
  <c r="P18" i="8"/>
  <c r="Q18" i="8"/>
  <c r="S18" i="8"/>
  <c r="V18" i="8"/>
  <c r="W18" i="8"/>
  <c r="O19" i="8"/>
  <c r="P19" i="8" s="1"/>
  <c r="R19" i="8"/>
  <c r="S19" i="8"/>
  <c r="T19" i="8"/>
  <c r="U19" i="8"/>
  <c r="V19" i="8"/>
  <c r="W19" i="8"/>
  <c r="X19" i="8"/>
  <c r="O20" i="8"/>
  <c r="P20" i="8"/>
  <c r="S20" i="8"/>
  <c r="V20" i="8"/>
  <c r="W20" i="8"/>
  <c r="O21" i="8"/>
  <c r="S21" i="8"/>
  <c r="V21" i="8"/>
  <c r="O22" i="8"/>
  <c r="P22" i="8"/>
  <c r="S22" i="8"/>
  <c r="W22" i="8"/>
  <c r="O23" i="8"/>
  <c r="S23" i="8"/>
  <c r="V23" i="8"/>
  <c r="O24" i="8"/>
  <c r="P24" i="8"/>
  <c r="S24" i="8"/>
  <c r="V24" i="8" s="1"/>
  <c r="O25" i="8"/>
  <c r="P25" i="8"/>
  <c r="Q25" i="8"/>
  <c r="S25" i="8"/>
  <c r="V25" i="8" s="1"/>
  <c r="W25" i="8"/>
  <c r="O26" i="8"/>
  <c r="Q26" i="8"/>
  <c r="S26" i="8"/>
  <c r="V26" i="8" s="1"/>
  <c r="W26" i="8"/>
  <c r="O27" i="8"/>
  <c r="S27" i="8"/>
  <c r="V27" i="8"/>
  <c r="O28" i="8"/>
  <c r="P28" i="8"/>
  <c r="X28" i="8" s="1"/>
  <c r="R28" i="8"/>
  <c r="S28" i="8"/>
  <c r="V28" i="8" s="1"/>
  <c r="T28" i="8"/>
  <c r="U28" i="8"/>
  <c r="W28" i="8"/>
  <c r="O29" i="8"/>
  <c r="P29" i="8"/>
  <c r="R29" i="8" s="1"/>
  <c r="S29" i="8"/>
  <c r="V29" i="8" s="1"/>
  <c r="T29" i="8"/>
  <c r="O30" i="8"/>
  <c r="S30" i="8"/>
  <c r="V30" i="8" s="1"/>
  <c r="W30" i="8"/>
  <c r="O31" i="8"/>
  <c r="S31" i="8"/>
  <c r="V31" i="8"/>
  <c r="O32" i="8"/>
  <c r="W32" i="8" s="1"/>
  <c r="S32" i="8"/>
  <c r="V32" i="8"/>
  <c r="O33" i="8"/>
  <c r="W33" i="8" s="1"/>
  <c r="S33" i="8"/>
  <c r="V33" i="8"/>
  <c r="O34" i="8"/>
  <c r="P34" i="8"/>
  <c r="S34" i="8"/>
  <c r="V34" i="8" s="1"/>
  <c r="U34" i="8"/>
  <c r="W34" i="8"/>
  <c r="O35" i="8"/>
  <c r="S35" i="8"/>
  <c r="V35" i="8" s="1"/>
  <c r="O36" i="8"/>
  <c r="P36" i="8"/>
  <c r="R36" i="8" s="1"/>
  <c r="S36" i="8"/>
  <c r="V36" i="8" s="1"/>
  <c r="W36" i="8"/>
  <c r="O37" i="8"/>
  <c r="P37" i="8"/>
  <c r="X37" i="8" s="1"/>
  <c r="R37" i="8"/>
  <c r="S37" i="8"/>
  <c r="V37" i="8" s="1"/>
  <c r="T37" i="8"/>
  <c r="O38" i="8"/>
  <c r="S38" i="8"/>
  <c r="V38" i="8" s="1"/>
  <c r="W38" i="8"/>
  <c r="O39" i="8"/>
  <c r="P39" i="8"/>
  <c r="R39" i="8" s="1"/>
  <c r="S39" i="8"/>
  <c r="T39" i="8"/>
  <c r="V39" i="8"/>
  <c r="W39" i="8"/>
  <c r="X39" i="8"/>
  <c r="O40" i="8"/>
  <c r="P40" i="8"/>
  <c r="S40" i="8"/>
  <c r="V40" i="8"/>
  <c r="W40" i="8"/>
  <c r="O41" i="8"/>
  <c r="S41" i="8"/>
  <c r="V41" i="8"/>
  <c r="O42" i="8"/>
  <c r="P42" i="8"/>
  <c r="S42" i="8"/>
  <c r="V42" i="8" s="1"/>
  <c r="T42" i="8"/>
  <c r="U42" i="8"/>
  <c r="W42" i="8"/>
  <c r="O43" i="8"/>
  <c r="S43" i="8"/>
  <c r="V43" i="8"/>
  <c r="O44" i="8"/>
  <c r="P44" i="8"/>
  <c r="R44" i="8"/>
  <c r="S44" i="8"/>
  <c r="V44" i="8" s="1"/>
  <c r="T44" i="8"/>
  <c r="W44" i="8"/>
  <c r="O45" i="8"/>
  <c r="S45" i="8"/>
  <c r="V45" i="8"/>
  <c r="O46" i="8"/>
  <c r="S46" i="8"/>
  <c r="V46" i="8" s="1"/>
  <c r="O47" i="8"/>
  <c r="P47" i="8"/>
  <c r="R47" i="8"/>
  <c r="S47" i="8"/>
  <c r="T47" i="8"/>
  <c r="V47" i="8"/>
  <c r="X47" i="8"/>
  <c r="O48" i="8"/>
  <c r="P48" i="8"/>
  <c r="X48" i="8" s="1"/>
  <c r="S48" i="8"/>
  <c r="V48" i="8" s="1"/>
  <c r="U48" i="8"/>
  <c r="W48" i="8"/>
  <c r="O49" i="8"/>
  <c r="S49" i="8"/>
  <c r="V49" i="8"/>
  <c r="O50" i="8"/>
  <c r="P50" i="8"/>
  <c r="S50" i="8"/>
  <c r="V50" i="8" s="1"/>
  <c r="T50" i="8"/>
  <c r="U50" i="8"/>
  <c r="W50" i="8"/>
  <c r="O51" i="8"/>
  <c r="S51" i="8"/>
  <c r="V51" i="8"/>
  <c r="O52" i="8"/>
  <c r="P52" i="8"/>
  <c r="X52" i="8" s="1"/>
  <c r="R52" i="8"/>
  <c r="S52" i="8"/>
  <c r="V52" i="8" s="1"/>
  <c r="T52" i="8"/>
  <c r="U52" i="8"/>
  <c r="W52" i="8"/>
  <c r="O53" i="8"/>
  <c r="P53" i="8"/>
  <c r="X53" i="8" s="1"/>
  <c r="S53" i="8"/>
  <c r="V53" i="8" s="1"/>
  <c r="O54" i="8"/>
  <c r="S54" i="8"/>
  <c r="V54" i="8" s="1"/>
  <c r="O55" i="8"/>
  <c r="P55" i="8"/>
  <c r="S55" i="8"/>
  <c r="V55" i="8"/>
  <c r="R56" i="8"/>
  <c r="S56" i="8"/>
  <c r="V56" i="8" s="1"/>
  <c r="T56" i="8"/>
  <c r="U56" i="8"/>
  <c r="W56" i="8"/>
  <c r="X56" i="8"/>
  <c r="O57" i="8"/>
  <c r="P57" i="8"/>
  <c r="R57" i="8"/>
  <c r="S57" i="8"/>
  <c r="T57" i="8"/>
  <c r="V57" i="8"/>
  <c r="X57" i="8"/>
  <c r="O58" i="8"/>
  <c r="P58" i="8"/>
  <c r="X58" i="8" s="1"/>
  <c r="S58" i="8"/>
  <c r="U58" i="8"/>
  <c r="V58" i="8"/>
  <c r="W58" i="8"/>
  <c r="O59" i="8"/>
  <c r="S59" i="8"/>
  <c r="V59" i="8"/>
  <c r="W59" i="8"/>
  <c r="O60" i="8"/>
  <c r="P60" i="8"/>
  <c r="S60" i="8"/>
  <c r="V60" i="8" s="1"/>
  <c r="T60" i="8"/>
  <c r="U60" i="8"/>
  <c r="W60" i="8"/>
  <c r="O61" i="8"/>
  <c r="S61" i="8"/>
  <c r="V61" i="8"/>
  <c r="O62" i="8"/>
  <c r="P62" i="8"/>
  <c r="X62" i="8" s="1"/>
  <c r="R62" i="8"/>
  <c r="S62" i="8"/>
  <c r="V62" i="8" s="1"/>
  <c r="T62" i="8"/>
  <c r="U62" i="8"/>
  <c r="W62" i="8"/>
  <c r="O63" i="8"/>
  <c r="P63" i="8"/>
  <c r="S63" i="8"/>
  <c r="V63" i="8"/>
  <c r="X63" i="8"/>
  <c r="S64" i="8"/>
  <c r="V64" i="8" s="1"/>
  <c r="T64" i="8"/>
  <c r="U64" i="8"/>
  <c r="W64" i="8"/>
  <c r="X64" i="8"/>
  <c r="O65" i="8"/>
  <c r="P65" i="8"/>
  <c r="S65" i="8"/>
  <c r="V65" i="8" s="1"/>
  <c r="W65" i="8"/>
  <c r="O66" i="8"/>
  <c r="P66" i="8"/>
  <c r="X66" i="8" s="1"/>
  <c r="R66" i="8"/>
  <c r="S66" i="8"/>
  <c r="T66" i="8"/>
  <c r="V66" i="8"/>
  <c r="O67" i="8"/>
  <c r="S67" i="8"/>
  <c r="V67" i="8" s="1"/>
  <c r="O68" i="8"/>
  <c r="P68" i="8"/>
  <c r="S68" i="8"/>
  <c r="T68" i="8"/>
  <c r="BR88" i="1" s="1"/>
  <c r="V68" i="8"/>
  <c r="W68" i="8"/>
  <c r="O69" i="8"/>
  <c r="P69" i="8"/>
  <c r="X69" i="8" s="1"/>
  <c r="S69" i="8"/>
  <c r="U69" i="8"/>
  <c r="V69" i="8"/>
  <c r="W69" i="8"/>
  <c r="O70" i="8"/>
  <c r="S70" i="8"/>
  <c r="V70" i="8"/>
  <c r="O71" i="8"/>
  <c r="P71" i="8"/>
  <c r="S71" i="8"/>
  <c r="T71" i="8"/>
  <c r="U71" i="8"/>
  <c r="V71" i="8"/>
  <c r="W71" i="8"/>
  <c r="O72" i="8"/>
  <c r="S72" i="8"/>
  <c r="V72" i="8"/>
  <c r="O73" i="8"/>
  <c r="P73" i="8"/>
  <c r="R73" i="8"/>
  <c r="S73" i="8"/>
  <c r="V73" i="8" s="1"/>
  <c r="W73" i="8"/>
  <c r="O74" i="8"/>
  <c r="S74" i="8"/>
  <c r="V74" i="8"/>
  <c r="O75" i="8"/>
  <c r="P75" i="8"/>
  <c r="R75" i="8"/>
  <c r="S75" i="8"/>
  <c r="V75" i="8" s="1"/>
  <c r="U75" i="8"/>
  <c r="X75" i="8"/>
  <c r="O76" i="8"/>
  <c r="P76" i="8"/>
  <c r="S76" i="8"/>
  <c r="T76" i="8"/>
  <c r="V76" i="8"/>
  <c r="W76" i="8"/>
  <c r="O77" i="8"/>
  <c r="P77" i="8"/>
  <c r="S77" i="8"/>
  <c r="V77" i="8"/>
  <c r="W77" i="8"/>
  <c r="O78" i="8"/>
  <c r="W78" i="8" s="1"/>
  <c r="S78" i="8"/>
  <c r="V78" i="8"/>
  <c r="O79" i="8"/>
  <c r="P79" i="8"/>
  <c r="X79" i="8" s="1"/>
  <c r="R79" i="8"/>
  <c r="S79" i="8"/>
  <c r="V79" i="8" s="1"/>
  <c r="T79" i="8"/>
  <c r="U79" i="8"/>
  <c r="W79" i="8"/>
  <c r="O80" i="8"/>
  <c r="S80" i="8"/>
  <c r="V80" i="8"/>
  <c r="O81" i="8"/>
  <c r="P81" i="8" s="1"/>
  <c r="X81" i="8" s="1"/>
  <c r="R81" i="8"/>
  <c r="S81" i="8"/>
  <c r="V81" i="8" s="1"/>
  <c r="T81" i="8"/>
  <c r="U81" i="8"/>
  <c r="W81" i="8"/>
  <c r="O82" i="8"/>
  <c r="S82" i="8"/>
  <c r="V82" i="8"/>
  <c r="W82" i="8"/>
  <c r="O83" i="8"/>
  <c r="W83" i="8" s="1"/>
  <c r="S83" i="8"/>
  <c r="V83" i="8" s="1"/>
  <c r="O84" i="8"/>
  <c r="S84" i="8"/>
  <c r="V84" i="8"/>
  <c r="O85" i="8"/>
  <c r="P85" i="8"/>
  <c r="S85" i="8"/>
  <c r="U85" i="8"/>
  <c r="V85" i="8"/>
  <c r="W85" i="8"/>
  <c r="O86" i="8"/>
  <c r="P86" i="8" s="1"/>
  <c r="R86" i="8"/>
  <c r="S86" i="8"/>
  <c r="W86" i="8"/>
  <c r="X86" i="8"/>
  <c r="O87" i="8"/>
  <c r="P87" i="8"/>
  <c r="S87" i="8"/>
  <c r="W87" i="8"/>
  <c r="E88" i="8"/>
  <c r="H88" i="8"/>
  <c r="K88" i="8"/>
  <c r="M88" i="8"/>
  <c r="N88" i="8"/>
  <c r="C3" i="9"/>
  <c r="C8" i="9"/>
  <c r="E8" i="9"/>
  <c r="F8" i="9"/>
  <c r="H8" i="9"/>
  <c r="I8" i="9"/>
  <c r="K8" i="9"/>
  <c r="L8" i="9"/>
  <c r="N8" i="9"/>
  <c r="S8" i="9"/>
  <c r="O9" i="9"/>
  <c r="O10" i="9"/>
  <c r="P10" i="9"/>
  <c r="Q10" i="9"/>
  <c r="R10" i="9"/>
  <c r="S10" i="9"/>
  <c r="V10" i="9" s="1"/>
  <c r="T10" i="9"/>
  <c r="O11" i="9"/>
  <c r="P11" i="9"/>
  <c r="Q11" i="9"/>
  <c r="R11" i="9"/>
  <c r="S11" i="9"/>
  <c r="V11" i="9"/>
  <c r="X11" i="9"/>
  <c r="O12" i="9"/>
  <c r="S12" i="9"/>
  <c r="V12" i="9" s="1"/>
  <c r="O13" i="9"/>
  <c r="P13" i="9"/>
  <c r="S13" i="9"/>
  <c r="V13" i="9"/>
  <c r="W13" i="9"/>
  <c r="O14" i="9"/>
  <c r="P14" i="9"/>
  <c r="X14" i="9" s="1"/>
  <c r="Q14" i="9"/>
  <c r="S14" i="9"/>
  <c r="V14" i="9"/>
  <c r="W14" i="9"/>
  <c r="O15" i="9"/>
  <c r="P15" i="9"/>
  <c r="X15" i="9" s="1"/>
  <c r="R15" i="9"/>
  <c r="S15" i="9"/>
  <c r="T15" i="9"/>
  <c r="U15" i="9"/>
  <c r="V15" i="9"/>
  <c r="W15" i="9"/>
  <c r="O16" i="9"/>
  <c r="S16" i="9"/>
  <c r="V16" i="9"/>
  <c r="O17" i="9"/>
  <c r="W17" i="9" s="1"/>
  <c r="Q17" i="9"/>
  <c r="S17" i="9"/>
  <c r="V17" i="9" s="1"/>
  <c r="O18" i="9"/>
  <c r="P18" i="9"/>
  <c r="T18" i="9" s="1"/>
  <c r="BS14" i="1" s="1"/>
  <c r="Q18" i="9"/>
  <c r="R18" i="9"/>
  <c r="S18" i="9"/>
  <c r="V18" i="9"/>
  <c r="W18" i="9"/>
  <c r="X18" i="9"/>
  <c r="O19" i="9"/>
  <c r="P19" i="9"/>
  <c r="S19" i="9"/>
  <c r="V19" i="9"/>
  <c r="W19" i="9"/>
  <c r="O20" i="9"/>
  <c r="P20" i="9" s="1"/>
  <c r="R20" i="9"/>
  <c r="S20" i="9"/>
  <c r="V20" i="9" s="1"/>
  <c r="T20" i="9"/>
  <c r="U20" i="9"/>
  <c r="W20" i="9"/>
  <c r="X20" i="9"/>
  <c r="O21" i="9"/>
  <c r="P21" i="9"/>
  <c r="R21" i="9"/>
  <c r="S21" i="9"/>
  <c r="V21" i="9" s="1"/>
  <c r="U21" i="9"/>
  <c r="W21" i="9"/>
  <c r="O22" i="9"/>
  <c r="W22" i="9" s="1"/>
  <c r="P22" i="9"/>
  <c r="R22" i="9"/>
  <c r="S22" i="9"/>
  <c r="V22" i="9" s="1"/>
  <c r="X22" i="9"/>
  <c r="O23" i="9"/>
  <c r="P23" i="9"/>
  <c r="U23" i="9" s="1"/>
  <c r="R23" i="9"/>
  <c r="S23" i="9"/>
  <c r="V23" i="9" s="1"/>
  <c r="T23" i="9"/>
  <c r="W23" i="9"/>
  <c r="X23" i="9"/>
  <c r="O24" i="9"/>
  <c r="P24" i="9"/>
  <c r="R24" i="9"/>
  <c r="S24" i="9"/>
  <c r="V24" i="9" s="1"/>
  <c r="T24" i="9"/>
  <c r="W24" i="9"/>
  <c r="X24" i="9"/>
  <c r="O25" i="9"/>
  <c r="P25" i="9"/>
  <c r="T25" i="9" s="1"/>
  <c r="Q25" i="9"/>
  <c r="Q88" i="9" s="1"/>
  <c r="R25" i="9"/>
  <c r="S25" i="9"/>
  <c r="V25" i="9"/>
  <c r="W25" i="9"/>
  <c r="X25" i="9"/>
  <c r="O26" i="9"/>
  <c r="P26" i="9"/>
  <c r="Q26" i="9"/>
  <c r="S26" i="9"/>
  <c r="V26" i="9"/>
  <c r="O27" i="9"/>
  <c r="P27" i="9"/>
  <c r="S27" i="9"/>
  <c r="U27" i="9"/>
  <c r="V27" i="9"/>
  <c r="W27" i="9"/>
  <c r="O28" i="9"/>
  <c r="S28" i="9"/>
  <c r="V28" i="9"/>
  <c r="O29" i="9"/>
  <c r="U29" i="9" s="1"/>
  <c r="P29" i="9"/>
  <c r="R29" i="9"/>
  <c r="S29" i="9"/>
  <c r="V29" i="9" s="1"/>
  <c r="X29" i="9"/>
  <c r="O30" i="9"/>
  <c r="S30" i="9"/>
  <c r="V30" i="9" s="1"/>
  <c r="O31" i="9"/>
  <c r="S31" i="9"/>
  <c r="V31" i="9"/>
  <c r="W31" i="9"/>
  <c r="O32" i="9"/>
  <c r="P32" i="9"/>
  <c r="S32" i="9"/>
  <c r="V32" i="9" s="1"/>
  <c r="T32" i="9"/>
  <c r="W32" i="9"/>
  <c r="X32" i="9"/>
  <c r="O33" i="9"/>
  <c r="P33" i="9" s="1"/>
  <c r="R33" i="9"/>
  <c r="S33" i="9"/>
  <c r="V33" i="9" s="1"/>
  <c r="T33" i="9"/>
  <c r="W33" i="9"/>
  <c r="X33" i="9"/>
  <c r="O34" i="9"/>
  <c r="P34" i="9"/>
  <c r="R34" i="9"/>
  <c r="S34" i="9"/>
  <c r="V34" i="9" s="1"/>
  <c r="W34" i="9"/>
  <c r="O35" i="9"/>
  <c r="W35" i="9" s="1"/>
  <c r="P35" i="9"/>
  <c r="S35" i="9"/>
  <c r="V35" i="9"/>
  <c r="O36" i="9"/>
  <c r="W36" i="9" s="1"/>
  <c r="P36" i="9"/>
  <c r="R36" i="9" s="1"/>
  <c r="S36" i="9"/>
  <c r="V36" i="9" s="1"/>
  <c r="O37" i="9"/>
  <c r="S37" i="9"/>
  <c r="V37" i="9" s="1"/>
  <c r="O38" i="9"/>
  <c r="P38" i="9"/>
  <c r="X38" i="9" s="1"/>
  <c r="R38" i="9"/>
  <c r="S38" i="9"/>
  <c r="V38" i="9" s="1"/>
  <c r="W38" i="9"/>
  <c r="O39" i="9"/>
  <c r="P39" i="9"/>
  <c r="X39" i="9" s="1"/>
  <c r="S39" i="9"/>
  <c r="V39" i="9"/>
  <c r="W39" i="9"/>
  <c r="O40" i="9"/>
  <c r="S40" i="9"/>
  <c r="V40" i="9" s="1"/>
  <c r="W40" i="9"/>
  <c r="O41" i="9"/>
  <c r="S41" i="9"/>
  <c r="V41" i="9" s="1"/>
  <c r="O42" i="9"/>
  <c r="P42" i="9"/>
  <c r="R42" i="9"/>
  <c r="S42" i="9"/>
  <c r="U42" i="9"/>
  <c r="V42" i="9"/>
  <c r="W42" i="9"/>
  <c r="O43" i="9"/>
  <c r="P43" i="9"/>
  <c r="R43" i="9" s="1"/>
  <c r="S43" i="9"/>
  <c r="V43" i="9"/>
  <c r="O44" i="9"/>
  <c r="S44" i="9"/>
  <c r="V44" i="9" s="1"/>
  <c r="O45" i="9"/>
  <c r="P45" i="9"/>
  <c r="X45" i="9" s="1"/>
  <c r="S45" i="9"/>
  <c r="V45" i="9"/>
  <c r="W45" i="9"/>
  <c r="O46" i="9"/>
  <c r="S46" i="9"/>
  <c r="V46" i="9"/>
  <c r="W46" i="9"/>
  <c r="O47" i="9"/>
  <c r="P47" i="9"/>
  <c r="S47" i="9"/>
  <c r="V47" i="9"/>
  <c r="W47" i="9"/>
  <c r="O48" i="9"/>
  <c r="P48" i="9"/>
  <c r="S48" i="9"/>
  <c r="U48" i="9"/>
  <c r="V48" i="9"/>
  <c r="W48" i="9"/>
  <c r="X48" i="9"/>
  <c r="O49" i="9"/>
  <c r="S49" i="9"/>
  <c r="V49" i="9"/>
  <c r="O50" i="9"/>
  <c r="P50" i="9"/>
  <c r="S50" i="9"/>
  <c r="V50" i="9"/>
  <c r="W50" i="9"/>
  <c r="O51" i="9"/>
  <c r="P51" i="9"/>
  <c r="S51" i="9"/>
  <c r="V51" i="9"/>
  <c r="O52" i="9"/>
  <c r="P52" i="9"/>
  <c r="S52" i="9"/>
  <c r="V52" i="9" s="1"/>
  <c r="W52" i="9"/>
  <c r="O53" i="9"/>
  <c r="S53" i="9"/>
  <c r="V53" i="9"/>
  <c r="O54" i="9"/>
  <c r="P54" i="9"/>
  <c r="X54" i="9" s="1"/>
  <c r="S54" i="9"/>
  <c r="U54" i="9"/>
  <c r="V54" i="9"/>
  <c r="W54" i="9"/>
  <c r="O55" i="9"/>
  <c r="S55" i="9"/>
  <c r="V55" i="9"/>
  <c r="W55" i="9"/>
  <c r="O56" i="9"/>
  <c r="W56" i="9" s="1"/>
  <c r="S56" i="9"/>
  <c r="V56" i="9"/>
  <c r="O57" i="9"/>
  <c r="S57" i="9"/>
  <c r="V57" i="9"/>
  <c r="W57" i="9"/>
  <c r="O58" i="9"/>
  <c r="P58" i="9"/>
  <c r="X58" i="9" s="1"/>
  <c r="R58" i="9"/>
  <c r="S58" i="9"/>
  <c r="T58" i="9"/>
  <c r="U58" i="9"/>
  <c r="V58" i="9"/>
  <c r="W58" i="9"/>
  <c r="O59" i="9"/>
  <c r="S59" i="9"/>
  <c r="V59" i="9"/>
  <c r="O60" i="9"/>
  <c r="S60" i="9"/>
  <c r="V60" i="9" s="1"/>
  <c r="O61" i="9"/>
  <c r="W61" i="9" s="1"/>
  <c r="S61" i="9"/>
  <c r="V61" i="9"/>
  <c r="O62" i="9"/>
  <c r="S62" i="9"/>
  <c r="V62" i="9" s="1"/>
  <c r="W62" i="9"/>
  <c r="O63" i="9"/>
  <c r="S63" i="9"/>
  <c r="V63" i="9"/>
  <c r="O64" i="9"/>
  <c r="P64" i="9"/>
  <c r="S64" i="9"/>
  <c r="T64" i="9"/>
  <c r="U64" i="9"/>
  <c r="V64" i="9"/>
  <c r="W64" i="9"/>
  <c r="X64" i="9"/>
  <c r="O65" i="9"/>
  <c r="P65" i="9"/>
  <c r="S65" i="9"/>
  <c r="T65" i="9"/>
  <c r="U65" i="9"/>
  <c r="V65" i="9"/>
  <c r="W65" i="9"/>
  <c r="X65" i="9"/>
  <c r="O66" i="9"/>
  <c r="P66" i="9" s="1"/>
  <c r="R66" i="9"/>
  <c r="S66" i="9"/>
  <c r="T66" i="9"/>
  <c r="U66" i="9"/>
  <c r="V66" i="9"/>
  <c r="W66" i="9"/>
  <c r="X66" i="9"/>
  <c r="O67" i="9"/>
  <c r="P67" i="9"/>
  <c r="X67" i="9" s="1"/>
  <c r="R67" i="9"/>
  <c r="S67" i="9"/>
  <c r="V67" i="9" s="1"/>
  <c r="T67" i="9"/>
  <c r="U67" i="9"/>
  <c r="W67" i="9"/>
  <c r="O68" i="9"/>
  <c r="W68" i="9" s="1"/>
  <c r="P68" i="9"/>
  <c r="U68" i="9" s="1"/>
  <c r="S68" i="9"/>
  <c r="V68" i="9" s="1"/>
  <c r="O69" i="9"/>
  <c r="S69" i="9"/>
  <c r="V69" i="9" s="1"/>
  <c r="O70" i="9"/>
  <c r="P70" i="9"/>
  <c r="R70" i="9"/>
  <c r="S70" i="9"/>
  <c r="V70" i="9" s="1"/>
  <c r="W70" i="9"/>
  <c r="O71" i="9"/>
  <c r="S71" i="9"/>
  <c r="V71" i="9"/>
  <c r="O72" i="9"/>
  <c r="R72" i="9" s="1"/>
  <c r="P72" i="9"/>
  <c r="S72" i="9"/>
  <c r="V72" i="9"/>
  <c r="O73" i="9"/>
  <c r="P73" i="9"/>
  <c r="S73" i="9"/>
  <c r="T73" i="9"/>
  <c r="U73" i="9"/>
  <c r="V73" i="9"/>
  <c r="X73" i="9"/>
  <c r="O74" i="9"/>
  <c r="S74" i="9"/>
  <c r="V74" i="9"/>
  <c r="W74" i="9"/>
  <c r="O75" i="9"/>
  <c r="P75" i="9"/>
  <c r="X75" i="9" s="1"/>
  <c r="R75" i="9"/>
  <c r="S75" i="9"/>
  <c r="T75" i="9"/>
  <c r="U75" i="9"/>
  <c r="V75" i="9"/>
  <c r="W75" i="9"/>
  <c r="O76" i="9"/>
  <c r="W76" i="9" s="1"/>
  <c r="P76" i="9"/>
  <c r="X76" i="9" s="1"/>
  <c r="R76" i="9"/>
  <c r="S76" i="9"/>
  <c r="T76" i="9"/>
  <c r="U76" i="9"/>
  <c r="V76" i="9"/>
  <c r="O77" i="9"/>
  <c r="W77" i="9" s="1"/>
  <c r="P77" i="9"/>
  <c r="S77" i="9"/>
  <c r="V77" i="9" s="1"/>
  <c r="O78" i="9"/>
  <c r="S78" i="9"/>
  <c r="V78" i="9" s="1"/>
  <c r="O79" i="9"/>
  <c r="P79" i="9"/>
  <c r="X79" i="9" s="1"/>
  <c r="S79" i="9"/>
  <c r="V79" i="9" s="1"/>
  <c r="W79" i="9"/>
  <c r="O80" i="9"/>
  <c r="P80" i="9"/>
  <c r="R80" i="9"/>
  <c r="S80" i="9"/>
  <c r="V80" i="9"/>
  <c r="W80" i="9"/>
  <c r="O81" i="9"/>
  <c r="S81" i="9"/>
  <c r="V81" i="9"/>
  <c r="O82" i="9"/>
  <c r="S82" i="9"/>
  <c r="V82" i="9" s="1"/>
  <c r="O83" i="9"/>
  <c r="P83" i="9"/>
  <c r="X83" i="9" s="1"/>
  <c r="R83" i="9"/>
  <c r="S83" i="9"/>
  <c r="V83" i="9" s="1"/>
  <c r="T83" i="9"/>
  <c r="U83" i="9"/>
  <c r="W83" i="9"/>
  <c r="O84" i="9"/>
  <c r="W84" i="9" s="1"/>
  <c r="P84" i="9"/>
  <c r="R84" i="9"/>
  <c r="S84" i="9"/>
  <c r="V84" i="9" s="1"/>
  <c r="O85" i="9"/>
  <c r="S85" i="9"/>
  <c r="V85" i="9" s="1"/>
  <c r="O86" i="9"/>
  <c r="R86" i="9" s="1"/>
  <c r="P86" i="9"/>
  <c r="X86" i="9" s="1"/>
  <c r="S86" i="9"/>
  <c r="W86" i="9"/>
  <c r="O87" i="9"/>
  <c r="S87" i="9"/>
  <c r="E88" i="9"/>
  <c r="H88" i="9"/>
  <c r="K88" i="9"/>
  <c r="M88" i="9"/>
  <c r="N88" i="9"/>
  <c r="N89" i="9" s="1"/>
  <c r="C8" i="6"/>
  <c r="E8" i="6"/>
  <c r="F8" i="6"/>
  <c r="H8" i="6" s="1"/>
  <c r="I8" i="6"/>
  <c r="K8" i="6"/>
  <c r="L8" i="6"/>
  <c r="S8" i="6"/>
  <c r="O9" i="6"/>
  <c r="O10" i="6"/>
  <c r="Q10" i="6"/>
  <c r="S10" i="6"/>
  <c r="V10" i="6"/>
  <c r="O11" i="6"/>
  <c r="P11" i="6"/>
  <c r="Q11" i="6"/>
  <c r="S11" i="6"/>
  <c r="V11" i="6" s="1"/>
  <c r="W11" i="6"/>
  <c r="O12" i="6"/>
  <c r="P12" i="6"/>
  <c r="X12" i="6" s="1"/>
  <c r="R12" i="6"/>
  <c r="S12" i="6"/>
  <c r="T12" i="6"/>
  <c r="U12" i="6"/>
  <c r="V12" i="6"/>
  <c r="W12" i="6"/>
  <c r="O13" i="6"/>
  <c r="W13" i="6" s="1"/>
  <c r="P13" i="6"/>
  <c r="X13" i="6" s="1"/>
  <c r="R13" i="6"/>
  <c r="S13" i="6"/>
  <c r="T13" i="6"/>
  <c r="V13" i="6"/>
  <c r="O14" i="6"/>
  <c r="Q14" i="6"/>
  <c r="S14" i="6"/>
  <c r="V14" i="6" s="1"/>
  <c r="O15" i="6"/>
  <c r="P15" i="6"/>
  <c r="X15" i="6" s="1"/>
  <c r="S15" i="6"/>
  <c r="V15" i="6" s="1"/>
  <c r="O16" i="6"/>
  <c r="P16" i="6"/>
  <c r="X16" i="6" s="1"/>
  <c r="S16" i="6"/>
  <c r="U16" i="6"/>
  <c r="V16" i="6"/>
  <c r="W16" i="6"/>
  <c r="O17" i="6"/>
  <c r="P17" i="6" s="1"/>
  <c r="T17" i="6" s="1"/>
  <c r="Q17" i="6"/>
  <c r="S17" i="6"/>
  <c r="V17" i="6"/>
  <c r="O18" i="6"/>
  <c r="P18" i="6"/>
  <c r="Q18" i="6"/>
  <c r="R18" i="6"/>
  <c r="S18" i="6"/>
  <c r="T18" i="6"/>
  <c r="U18" i="6"/>
  <c r="V18" i="6"/>
  <c r="W18" i="6"/>
  <c r="X18" i="6"/>
  <c r="O19" i="6"/>
  <c r="W19" i="6" s="1"/>
  <c r="P19" i="6"/>
  <c r="X19" i="6" s="1"/>
  <c r="S19" i="6"/>
  <c r="V19" i="6" s="1"/>
  <c r="O20" i="6"/>
  <c r="S20" i="6"/>
  <c r="V20" i="6" s="1"/>
  <c r="O21" i="6"/>
  <c r="S21" i="6"/>
  <c r="V21" i="6" s="1"/>
  <c r="O22" i="6"/>
  <c r="S22" i="6"/>
  <c r="V22" i="6"/>
  <c r="O23" i="6"/>
  <c r="P23" i="6"/>
  <c r="S23" i="6"/>
  <c r="V23" i="6"/>
  <c r="W23" i="6"/>
  <c r="O24" i="6"/>
  <c r="P24" i="6" s="1"/>
  <c r="R24" i="6"/>
  <c r="S24" i="6"/>
  <c r="T24" i="6"/>
  <c r="V24" i="6"/>
  <c r="W24" i="6"/>
  <c r="X24" i="6"/>
  <c r="O25" i="6"/>
  <c r="P25" i="6"/>
  <c r="R25" i="6" s="1"/>
  <c r="S25" i="6"/>
  <c r="V25" i="6" s="1"/>
  <c r="W25" i="6"/>
  <c r="O26" i="6"/>
  <c r="P26" i="6"/>
  <c r="X26" i="6" s="1"/>
  <c r="Q26" i="6"/>
  <c r="S26" i="6"/>
  <c r="V26" i="6" s="1"/>
  <c r="U26" i="6"/>
  <c r="W26" i="6"/>
  <c r="O27" i="6"/>
  <c r="Q27" i="6"/>
  <c r="S27" i="6"/>
  <c r="V27" i="6" s="1"/>
  <c r="O28" i="6"/>
  <c r="P28" i="6"/>
  <c r="X28" i="6" s="1"/>
  <c r="S28" i="6"/>
  <c r="V28" i="6"/>
  <c r="O29" i="6"/>
  <c r="S29" i="6"/>
  <c r="V29" i="6" s="1"/>
  <c r="O30" i="6"/>
  <c r="S30" i="6"/>
  <c r="W30" i="6"/>
  <c r="O31" i="6"/>
  <c r="P31" i="6"/>
  <c r="X31" i="6" s="1"/>
  <c r="R31" i="6"/>
  <c r="S31" i="6"/>
  <c r="V31" i="6" s="1"/>
  <c r="T31" i="6"/>
  <c r="U31" i="6"/>
  <c r="W31" i="6"/>
  <c r="O32" i="6"/>
  <c r="S32" i="6"/>
  <c r="V32" i="6"/>
  <c r="O33" i="6"/>
  <c r="W33" i="6" s="1"/>
  <c r="S33" i="6"/>
  <c r="V33" i="6" s="1"/>
  <c r="O34" i="6"/>
  <c r="S34" i="6"/>
  <c r="V34" i="6" s="1"/>
  <c r="O35" i="6"/>
  <c r="S35" i="6"/>
  <c r="V35" i="6" s="1"/>
  <c r="W35" i="6"/>
  <c r="O36" i="6"/>
  <c r="S36" i="6"/>
  <c r="V36" i="6"/>
  <c r="W36" i="6"/>
  <c r="O37" i="6"/>
  <c r="P37" i="6"/>
  <c r="U37" i="6" s="1"/>
  <c r="S37" i="6"/>
  <c r="V37" i="6"/>
  <c r="W37" i="6"/>
  <c r="X37" i="6"/>
  <c r="O38" i="6"/>
  <c r="P38" i="6" s="1"/>
  <c r="R38" i="6"/>
  <c r="S38" i="6"/>
  <c r="T38" i="6"/>
  <c r="U38" i="6"/>
  <c r="V38" i="6"/>
  <c r="W38" i="6"/>
  <c r="X38" i="6"/>
  <c r="O39" i="6"/>
  <c r="P39" i="6"/>
  <c r="R39" i="6" s="1"/>
  <c r="S39" i="6"/>
  <c r="V39" i="6" s="1"/>
  <c r="W39" i="6"/>
  <c r="O40" i="6"/>
  <c r="W40" i="6" s="1"/>
  <c r="P40" i="6"/>
  <c r="T40" i="6" s="1"/>
  <c r="R40" i="6"/>
  <c r="S40" i="6"/>
  <c r="V40" i="6" s="1"/>
  <c r="U40" i="6"/>
  <c r="X40" i="6"/>
  <c r="O41" i="6"/>
  <c r="P41" i="6"/>
  <c r="S41" i="6"/>
  <c r="V41" i="6" s="1"/>
  <c r="W41" i="6"/>
  <c r="O42" i="6"/>
  <c r="P42" i="6"/>
  <c r="R42" i="6"/>
  <c r="S42" i="6"/>
  <c r="V42" i="6" s="1"/>
  <c r="W42" i="6"/>
  <c r="O43" i="6"/>
  <c r="W43" i="6" s="1"/>
  <c r="P43" i="6"/>
  <c r="S43" i="6"/>
  <c r="V43" i="6"/>
  <c r="O44" i="6"/>
  <c r="P44" i="6"/>
  <c r="S44" i="6"/>
  <c r="V44" i="6" s="1"/>
  <c r="T44" i="6"/>
  <c r="W44" i="6"/>
  <c r="O45" i="6"/>
  <c r="S45" i="6"/>
  <c r="V45" i="6"/>
  <c r="O46" i="6"/>
  <c r="P46" i="6"/>
  <c r="S46" i="6"/>
  <c r="V46" i="6" s="1"/>
  <c r="U46" i="6"/>
  <c r="W46" i="6"/>
  <c r="O47" i="6"/>
  <c r="W47" i="6" s="1"/>
  <c r="S47" i="6"/>
  <c r="V47" i="6"/>
  <c r="O48" i="6"/>
  <c r="P48" i="6" s="1"/>
  <c r="X48" i="6" s="1"/>
  <c r="S48" i="6"/>
  <c r="V48" i="6" s="1"/>
  <c r="U48" i="6"/>
  <c r="W48" i="6"/>
  <c r="O49" i="6"/>
  <c r="S49" i="6"/>
  <c r="V49" i="6" s="1"/>
  <c r="W49" i="6"/>
  <c r="O50" i="6"/>
  <c r="P50" i="6"/>
  <c r="R50" i="6"/>
  <c r="S50" i="6"/>
  <c r="V50" i="6" s="1"/>
  <c r="U50" i="6"/>
  <c r="W50" i="6"/>
  <c r="O51" i="6"/>
  <c r="P51" i="6"/>
  <c r="X51" i="6" s="1"/>
  <c r="S51" i="6"/>
  <c r="U51" i="6"/>
  <c r="V51" i="6"/>
  <c r="O52" i="6"/>
  <c r="P52" i="6" s="1"/>
  <c r="X52" i="6" s="1"/>
  <c r="S52" i="6"/>
  <c r="V52" i="6" s="1"/>
  <c r="O53" i="6"/>
  <c r="S53" i="6"/>
  <c r="V53" i="6" s="1"/>
  <c r="O54" i="6"/>
  <c r="P54" i="6"/>
  <c r="S54" i="6"/>
  <c r="V54" i="6" s="1"/>
  <c r="W54" i="6"/>
  <c r="O55" i="6"/>
  <c r="S55" i="6"/>
  <c r="V55" i="6"/>
  <c r="O56" i="6"/>
  <c r="S56" i="6"/>
  <c r="V56" i="6" s="1"/>
  <c r="O57" i="6"/>
  <c r="S57" i="6"/>
  <c r="V57" i="6"/>
  <c r="W57" i="6"/>
  <c r="O58" i="6"/>
  <c r="P58" i="6"/>
  <c r="R58" i="6"/>
  <c r="S58" i="6"/>
  <c r="U58" i="6"/>
  <c r="V58" i="6"/>
  <c r="W58" i="6"/>
  <c r="O59" i="6"/>
  <c r="W59" i="6" s="1"/>
  <c r="P59" i="6"/>
  <c r="S59" i="6"/>
  <c r="U59" i="6"/>
  <c r="V59" i="6"/>
  <c r="X59" i="6"/>
  <c r="O60" i="6"/>
  <c r="U60" i="6" s="1"/>
  <c r="P60" i="6"/>
  <c r="S60" i="6"/>
  <c r="V60" i="6" s="1"/>
  <c r="T60" i="6"/>
  <c r="W60" i="6"/>
  <c r="X60" i="6"/>
  <c r="O61" i="6"/>
  <c r="S61" i="6"/>
  <c r="V61" i="6"/>
  <c r="O62" i="6"/>
  <c r="P62" i="6"/>
  <c r="S62" i="6"/>
  <c r="V62" i="6"/>
  <c r="W62" i="6"/>
  <c r="O63" i="6"/>
  <c r="P63" i="6"/>
  <c r="X63" i="6" s="1"/>
  <c r="S63" i="6"/>
  <c r="V63" i="6"/>
  <c r="O64" i="6"/>
  <c r="S64" i="6"/>
  <c r="V64" i="6" s="1"/>
  <c r="O65" i="6"/>
  <c r="S65" i="6"/>
  <c r="V65" i="6" s="1"/>
  <c r="W65" i="6"/>
  <c r="O66" i="6"/>
  <c r="P66" i="6"/>
  <c r="R66" i="6"/>
  <c r="S66" i="6"/>
  <c r="V66" i="6" s="1"/>
  <c r="U66" i="6"/>
  <c r="W66" i="6"/>
  <c r="O67" i="6"/>
  <c r="W67" i="6" s="1"/>
  <c r="P67" i="6"/>
  <c r="S67" i="6"/>
  <c r="U67" i="6"/>
  <c r="CI90" i="1" s="1"/>
  <c r="V67" i="6"/>
  <c r="O68" i="6"/>
  <c r="P68" i="6"/>
  <c r="X68" i="6" s="1"/>
  <c r="S68" i="6"/>
  <c r="V68" i="6" s="1"/>
  <c r="T68" i="6"/>
  <c r="W68" i="6"/>
  <c r="O69" i="6"/>
  <c r="S69" i="6"/>
  <c r="W69" i="6"/>
  <c r="O70" i="6"/>
  <c r="P70" i="6"/>
  <c r="X70" i="6" s="1"/>
  <c r="S70" i="6"/>
  <c r="V70" i="6"/>
  <c r="W70" i="6"/>
  <c r="O71" i="6"/>
  <c r="S71" i="6"/>
  <c r="V71" i="6"/>
  <c r="O72" i="6"/>
  <c r="S72" i="6"/>
  <c r="V72" i="6" s="1"/>
  <c r="O73" i="6"/>
  <c r="W73" i="6" s="1"/>
  <c r="S73" i="6"/>
  <c r="V73" i="6"/>
  <c r="O74" i="6"/>
  <c r="P74" i="6"/>
  <c r="S74" i="6"/>
  <c r="V74" i="6"/>
  <c r="W74" i="6"/>
  <c r="O75" i="6"/>
  <c r="W75" i="6" s="1"/>
  <c r="P75" i="6"/>
  <c r="R75" i="6"/>
  <c r="S75" i="6"/>
  <c r="V75" i="6"/>
  <c r="X75" i="6"/>
  <c r="O76" i="6"/>
  <c r="P76" i="6"/>
  <c r="S76" i="6"/>
  <c r="V76" i="6" s="1"/>
  <c r="W76" i="6"/>
  <c r="O77" i="6"/>
  <c r="S77" i="6"/>
  <c r="V77" i="6"/>
  <c r="O78" i="6"/>
  <c r="P78" i="6"/>
  <c r="S78" i="6"/>
  <c r="U78" i="6"/>
  <c r="V78" i="6"/>
  <c r="W78" i="6"/>
  <c r="O79" i="6"/>
  <c r="W79" i="6" s="1"/>
  <c r="S79" i="6"/>
  <c r="V79" i="6"/>
  <c r="O80" i="6"/>
  <c r="S80" i="6"/>
  <c r="V80" i="6" s="1"/>
  <c r="W80" i="6"/>
  <c r="O81" i="6"/>
  <c r="S81" i="6"/>
  <c r="V81" i="6" s="1"/>
  <c r="W81" i="6"/>
  <c r="O82" i="6"/>
  <c r="P82" i="6"/>
  <c r="R82" i="6"/>
  <c r="S82" i="6"/>
  <c r="V82" i="6" s="1"/>
  <c r="U82" i="6"/>
  <c r="W82" i="6"/>
  <c r="O83" i="6"/>
  <c r="P83" i="6"/>
  <c r="X83" i="6" s="1"/>
  <c r="S83" i="6"/>
  <c r="U83" i="6"/>
  <c r="V83" i="6"/>
  <c r="O84" i="6"/>
  <c r="P84" i="6" s="1"/>
  <c r="X84" i="6" s="1"/>
  <c r="S84" i="6"/>
  <c r="V84" i="6" s="1"/>
  <c r="W84" i="6"/>
  <c r="O85" i="6"/>
  <c r="S85" i="6"/>
  <c r="V85" i="6"/>
  <c r="E86" i="6"/>
  <c r="H86" i="6"/>
  <c r="K86" i="6"/>
  <c r="M86" i="6"/>
  <c r="N87" i="6" s="1"/>
  <c r="S87" i="6" s="1"/>
  <c r="N86" i="6"/>
  <c r="Q86" i="6"/>
  <c r="R87" i="6"/>
  <c r="R88" i="6"/>
  <c r="S88" i="6"/>
  <c r="C8" i="7"/>
  <c r="E8" i="7" s="1"/>
  <c r="F8" i="7"/>
  <c r="H8" i="7" s="1"/>
  <c r="I8" i="7"/>
  <c r="K8" i="7" s="1"/>
  <c r="L8" i="7"/>
  <c r="S8" i="7"/>
  <c r="O9" i="7"/>
  <c r="Q10" i="7"/>
  <c r="R10" i="7"/>
  <c r="S10" i="7"/>
  <c r="V10" i="7" s="1"/>
  <c r="T10" i="7"/>
  <c r="U10" i="7"/>
  <c r="O11" i="7"/>
  <c r="P11" i="7"/>
  <c r="U11" i="7" s="1"/>
  <c r="Q11" i="7"/>
  <c r="S11" i="7"/>
  <c r="W11" i="7"/>
  <c r="X11" i="7"/>
  <c r="O12" i="7"/>
  <c r="S12" i="7"/>
  <c r="V12" i="7" s="1"/>
  <c r="W12" i="7"/>
  <c r="O13" i="7"/>
  <c r="P13" i="7"/>
  <c r="R13" i="7"/>
  <c r="S13" i="7"/>
  <c r="V13" i="7" s="1"/>
  <c r="U13" i="7"/>
  <c r="W13" i="7"/>
  <c r="O14" i="7"/>
  <c r="Q14" i="7"/>
  <c r="S14" i="7"/>
  <c r="V14" i="7" s="1"/>
  <c r="O15" i="7"/>
  <c r="S15" i="7"/>
  <c r="V15" i="7"/>
  <c r="W15" i="7"/>
  <c r="O16" i="7"/>
  <c r="T16" i="7" s="1"/>
  <c r="P16" i="7"/>
  <c r="X16" i="7" s="1"/>
  <c r="R16" i="7"/>
  <c r="S16" i="7"/>
  <c r="U16" i="7"/>
  <c r="V16" i="7"/>
  <c r="W16" i="7"/>
  <c r="O17" i="7"/>
  <c r="P17" i="7"/>
  <c r="Q17" i="7"/>
  <c r="S17" i="7"/>
  <c r="V17" i="7" s="1"/>
  <c r="U17" i="7"/>
  <c r="W17" i="7"/>
  <c r="O18" i="7"/>
  <c r="Q18" i="7"/>
  <c r="Q86" i="7" s="1"/>
  <c r="S18" i="7"/>
  <c r="V18" i="7"/>
  <c r="W18" i="7"/>
  <c r="O19" i="7"/>
  <c r="S19" i="7"/>
  <c r="V19" i="7"/>
  <c r="O20" i="7"/>
  <c r="W20" i="7" s="1"/>
  <c r="S20" i="7"/>
  <c r="V20" i="7" s="1"/>
  <c r="O21" i="7"/>
  <c r="S21" i="7"/>
  <c r="V21" i="7" s="1"/>
  <c r="W21" i="7"/>
  <c r="O22" i="7"/>
  <c r="S22" i="7"/>
  <c r="V22" i="7" s="1"/>
  <c r="O23" i="7"/>
  <c r="S23" i="7"/>
  <c r="V23" i="7"/>
  <c r="O24" i="7"/>
  <c r="P24" i="7"/>
  <c r="S24" i="7"/>
  <c r="V24" i="7" s="1"/>
  <c r="W24" i="7"/>
  <c r="O25" i="7"/>
  <c r="P25" i="7" s="1"/>
  <c r="R25" i="7"/>
  <c r="S25" i="7"/>
  <c r="V25" i="7" s="1"/>
  <c r="T25" i="7"/>
  <c r="U25" i="7"/>
  <c r="W25" i="7"/>
  <c r="X25" i="7"/>
  <c r="O26" i="7"/>
  <c r="P26" i="7"/>
  <c r="U26" i="7" s="1"/>
  <c r="Q26" i="7"/>
  <c r="R26" i="7"/>
  <c r="S26" i="7"/>
  <c r="T26" i="7"/>
  <c r="V26" i="7"/>
  <c r="W26" i="7"/>
  <c r="O27" i="7"/>
  <c r="P27" i="7"/>
  <c r="Q27" i="7"/>
  <c r="S27" i="7"/>
  <c r="V27" i="7" s="1"/>
  <c r="T27" i="7"/>
  <c r="W27" i="7"/>
  <c r="O28" i="7"/>
  <c r="S28" i="7"/>
  <c r="V28" i="7" s="1"/>
  <c r="W28" i="7"/>
  <c r="O29" i="7"/>
  <c r="S29" i="7"/>
  <c r="V29" i="7"/>
  <c r="O30" i="7"/>
  <c r="P30" i="7"/>
  <c r="S30" i="7"/>
  <c r="V30" i="7"/>
  <c r="W30" i="7"/>
  <c r="O31" i="7"/>
  <c r="P31" i="7" s="1"/>
  <c r="R31" i="7"/>
  <c r="S31" i="7"/>
  <c r="T31" i="7"/>
  <c r="V31" i="7"/>
  <c r="W31" i="7"/>
  <c r="X31" i="7"/>
  <c r="O32" i="7"/>
  <c r="P32" i="7"/>
  <c r="S32" i="7"/>
  <c r="V32" i="7" s="1"/>
  <c r="U32" i="7"/>
  <c r="W32" i="7"/>
  <c r="O33" i="7"/>
  <c r="W33" i="7" s="1"/>
  <c r="P33" i="7"/>
  <c r="S33" i="7"/>
  <c r="V33" i="7"/>
  <c r="X33" i="7"/>
  <c r="O34" i="7"/>
  <c r="P34" i="7"/>
  <c r="R34" i="7" s="1"/>
  <c r="S34" i="7"/>
  <c r="V34" i="7" s="1"/>
  <c r="U34" i="7"/>
  <c r="W34" i="7"/>
  <c r="X34" i="7"/>
  <c r="O35" i="7"/>
  <c r="T35" i="7" s="1"/>
  <c r="P35" i="7"/>
  <c r="S35" i="7"/>
  <c r="V35" i="7"/>
  <c r="W35" i="7"/>
  <c r="O36" i="7"/>
  <c r="P36" i="7"/>
  <c r="R36" i="7" s="1"/>
  <c r="S36" i="7"/>
  <c r="V36" i="7"/>
  <c r="W36" i="7"/>
  <c r="O37" i="7"/>
  <c r="T37" i="7" s="1"/>
  <c r="P37" i="7"/>
  <c r="S37" i="7"/>
  <c r="V37" i="7"/>
  <c r="W37" i="7"/>
  <c r="O38" i="7"/>
  <c r="S38" i="7"/>
  <c r="V38" i="7"/>
  <c r="W38" i="7"/>
  <c r="O39" i="7"/>
  <c r="W39" i="7" s="1"/>
  <c r="S39" i="7"/>
  <c r="V39" i="7" s="1"/>
  <c r="O40" i="7"/>
  <c r="P40" i="7"/>
  <c r="X40" i="7" s="1"/>
  <c r="R40" i="7"/>
  <c r="S40" i="7"/>
  <c r="T40" i="7"/>
  <c r="U40" i="7"/>
  <c r="V40" i="7"/>
  <c r="W40" i="7"/>
  <c r="O41" i="7"/>
  <c r="S41" i="7"/>
  <c r="V41" i="7"/>
  <c r="O42" i="7"/>
  <c r="P42" i="7" s="1"/>
  <c r="X42" i="7" s="1"/>
  <c r="R42" i="7"/>
  <c r="S42" i="7"/>
  <c r="V42" i="7" s="1"/>
  <c r="T42" i="7"/>
  <c r="U42" i="7"/>
  <c r="W42" i="7"/>
  <c r="O43" i="7"/>
  <c r="S43" i="7"/>
  <c r="V43" i="7"/>
  <c r="O44" i="7"/>
  <c r="U44" i="7" s="1"/>
  <c r="P44" i="7"/>
  <c r="X44" i="7" s="1"/>
  <c r="R44" i="7"/>
  <c r="S44" i="7"/>
  <c r="V44" i="7"/>
  <c r="W44" i="7"/>
  <c r="O45" i="7"/>
  <c r="S45" i="7"/>
  <c r="V45" i="7"/>
  <c r="O46" i="7"/>
  <c r="S46" i="7"/>
  <c r="V46" i="7"/>
  <c r="O47" i="7"/>
  <c r="S47" i="7"/>
  <c r="V47" i="7"/>
  <c r="O48" i="7"/>
  <c r="P48" i="7"/>
  <c r="S48" i="7"/>
  <c r="V48" i="7" s="1"/>
  <c r="W48" i="7"/>
  <c r="O49" i="7"/>
  <c r="S49" i="7"/>
  <c r="V49" i="7" s="1"/>
  <c r="O50" i="7"/>
  <c r="P50" i="7"/>
  <c r="S50" i="7"/>
  <c r="V50" i="7" s="1"/>
  <c r="X50" i="7"/>
  <c r="O51" i="7"/>
  <c r="S51" i="7"/>
  <c r="V51" i="7"/>
  <c r="O52" i="7"/>
  <c r="P52" i="7"/>
  <c r="U52" i="7" s="1"/>
  <c r="S52" i="7"/>
  <c r="V52" i="7" s="1"/>
  <c r="X52" i="7"/>
  <c r="O53" i="7"/>
  <c r="S53" i="7"/>
  <c r="V53" i="7"/>
  <c r="O54" i="7"/>
  <c r="S54" i="7"/>
  <c r="V54" i="7" s="1"/>
  <c r="W54" i="7"/>
  <c r="O55" i="7"/>
  <c r="S55" i="7"/>
  <c r="V55" i="7" s="1"/>
  <c r="O56" i="7"/>
  <c r="P56" i="7"/>
  <c r="X56" i="7" s="1"/>
  <c r="R56" i="7"/>
  <c r="S56" i="7"/>
  <c r="V56" i="7" s="1"/>
  <c r="T56" i="7"/>
  <c r="U56" i="7"/>
  <c r="W56" i="7"/>
  <c r="O57" i="7"/>
  <c r="S57" i="7"/>
  <c r="V57" i="7"/>
  <c r="O58" i="7"/>
  <c r="S58" i="7"/>
  <c r="V58" i="7" s="1"/>
  <c r="W58" i="7"/>
  <c r="O59" i="7"/>
  <c r="S59" i="7"/>
  <c r="V59" i="7" s="1"/>
  <c r="W59" i="7"/>
  <c r="O60" i="7"/>
  <c r="S60" i="7"/>
  <c r="V60" i="7" s="1"/>
  <c r="O61" i="7"/>
  <c r="S61" i="7"/>
  <c r="V61" i="7"/>
  <c r="O62" i="7"/>
  <c r="P62" i="7"/>
  <c r="S62" i="7"/>
  <c r="V62" i="7"/>
  <c r="W62" i="7"/>
  <c r="O63" i="7"/>
  <c r="P63" i="7" s="1"/>
  <c r="R63" i="7"/>
  <c r="S63" i="7"/>
  <c r="V63" i="7" s="1"/>
  <c r="T63" i="7"/>
  <c r="U63" i="7"/>
  <c r="W63" i="7"/>
  <c r="X63" i="7"/>
  <c r="O64" i="7"/>
  <c r="P64" i="7"/>
  <c r="R64" i="7"/>
  <c r="S64" i="7"/>
  <c r="V64" i="7"/>
  <c r="W64" i="7"/>
  <c r="O65" i="7"/>
  <c r="W65" i="7" s="1"/>
  <c r="P65" i="7"/>
  <c r="T65" i="7" s="1"/>
  <c r="R65" i="7"/>
  <c r="S65" i="7"/>
  <c r="V65" i="7" s="1"/>
  <c r="U65" i="7"/>
  <c r="X65" i="7"/>
  <c r="O66" i="7"/>
  <c r="P66" i="7"/>
  <c r="T66" i="7" s="1"/>
  <c r="R66" i="7"/>
  <c r="S66" i="7"/>
  <c r="V66" i="7" s="1"/>
  <c r="U66" i="7"/>
  <c r="W66" i="7"/>
  <c r="X66" i="7"/>
  <c r="O67" i="7"/>
  <c r="P67" i="7"/>
  <c r="S67" i="7"/>
  <c r="V67" i="7"/>
  <c r="W67" i="7"/>
  <c r="O68" i="7"/>
  <c r="P68" i="7"/>
  <c r="U68" i="7" s="1"/>
  <c r="R68" i="7"/>
  <c r="S68" i="7"/>
  <c r="V68" i="7"/>
  <c r="W68" i="7"/>
  <c r="O69" i="7"/>
  <c r="P69" i="7"/>
  <c r="U69" i="7" s="1"/>
  <c r="R69" i="7"/>
  <c r="S69" i="7"/>
  <c r="V69" i="7"/>
  <c r="W69" i="7"/>
  <c r="O70" i="7"/>
  <c r="S70" i="7"/>
  <c r="V70" i="7"/>
  <c r="O71" i="7"/>
  <c r="S71" i="7"/>
  <c r="V71" i="7" s="1"/>
  <c r="W71" i="7"/>
  <c r="O72" i="7"/>
  <c r="S72" i="7"/>
  <c r="V72" i="7"/>
  <c r="O73" i="7"/>
  <c r="S73" i="7"/>
  <c r="V73" i="7" s="1"/>
  <c r="O74" i="7"/>
  <c r="S74" i="7"/>
  <c r="V74" i="7"/>
  <c r="O75" i="7"/>
  <c r="P75" i="7"/>
  <c r="R75" i="7" s="1"/>
  <c r="S75" i="7"/>
  <c r="V75" i="7"/>
  <c r="W75" i="7"/>
  <c r="O76" i="7"/>
  <c r="W76" i="7" s="1"/>
  <c r="P76" i="7"/>
  <c r="R76" i="7"/>
  <c r="S76" i="7"/>
  <c r="V76" i="7"/>
  <c r="X76" i="7"/>
  <c r="O77" i="7"/>
  <c r="U77" i="7" s="1"/>
  <c r="P77" i="7"/>
  <c r="S77" i="7"/>
  <c r="V77" i="7" s="1"/>
  <c r="T77" i="7"/>
  <c r="X77" i="7"/>
  <c r="O78" i="7"/>
  <c r="S78" i="7"/>
  <c r="V78" i="7"/>
  <c r="O79" i="7"/>
  <c r="P79" i="7"/>
  <c r="S79" i="7"/>
  <c r="V79" i="7"/>
  <c r="W79" i="7"/>
  <c r="O80" i="7"/>
  <c r="W80" i="7" s="1"/>
  <c r="P80" i="7"/>
  <c r="R80" i="7"/>
  <c r="S80" i="7"/>
  <c r="U80" i="7"/>
  <c r="V80" i="7"/>
  <c r="O81" i="7"/>
  <c r="P81" i="7"/>
  <c r="S81" i="7"/>
  <c r="V81" i="7" s="1"/>
  <c r="W81" i="7"/>
  <c r="X81" i="7"/>
  <c r="O82" i="7"/>
  <c r="S82" i="7"/>
  <c r="V82" i="7" s="1"/>
  <c r="W82" i="7"/>
  <c r="O83" i="7"/>
  <c r="T83" i="7" s="1"/>
  <c r="P83" i="7"/>
  <c r="X83" i="7" s="1"/>
  <c r="R83" i="7"/>
  <c r="S83" i="7"/>
  <c r="V83" i="7" s="1"/>
  <c r="U83" i="7"/>
  <c r="W83" i="7"/>
  <c r="O84" i="7"/>
  <c r="P84" i="7" s="1"/>
  <c r="S84" i="7"/>
  <c r="V84" i="7"/>
  <c r="O85" i="7"/>
  <c r="S85" i="7"/>
  <c r="V85" i="7" s="1"/>
  <c r="E86" i="7"/>
  <c r="H86" i="7"/>
  <c r="K86" i="7"/>
  <c r="M86" i="7"/>
  <c r="N86" i="7"/>
  <c r="N87" i="7"/>
  <c r="S87" i="7" s="1"/>
  <c r="R87" i="7"/>
  <c r="R88" i="7"/>
  <c r="S88" i="7"/>
  <c r="C8" i="2"/>
  <c r="E8" i="2"/>
  <c r="F8" i="2"/>
  <c r="H8" i="2" s="1"/>
  <c r="I8" i="2"/>
  <c r="K8" i="2" s="1"/>
  <c r="L8" i="2"/>
  <c r="S8" i="2"/>
  <c r="T10" i="2"/>
  <c r="U10" i="2"/>
  <c r="V10" i="2"/>
  <c r="O11" i="2"/>
  <c r="P11" i="2"/>
  <c r="X11" i="2" s="1"/>
  <c r="Q11" i="2"/>
  <c r="S11" i="2"/>
  <c r="V11" i="2" s="1"/>
  <c r="T11" i="2"/>
  <c r="U11" i="2"/>
  <c r="O12" i="2"/>
  <c r="Q12" i="2"/>
  <c r="S12" i="2"/>
  <c r="V12" i="2"/>
  <c r="O13" i="2"/>
  <c r="P13" i="2"/>
  <c r="Q13" i="2"/>
  <c r="S13" i="2"/>
  <c r="V13" i="2" s="1"/>
  <c r="W13" i="2"/>
  <c r="O14" i="2"/>
  <c r="P14" i="2"/>
  <c r="X14" i="2" s="1"/>
  <c r="Q14" i="2"/>
  <c r="S14" i="2"/>
  <c r="U14" i="2"/>
  <c r="V14" i="2"/>
  <c r="O15" i="2"/>
  <c r="T15" i="2" s="1"/>
  <c r="P15" i="2"/>
  <c r="Q15" i="2"/>
  <c r="S15" i="2"/>
  <c r="U15" i="2"/>
  <c r="V15" i="2"/>
  <c r="X15" i="2"/>
  <c r="O16" i="2"/>
  <c r="W16" i="2" s="1"/>
  <c r="Q16" i="2"/>
  <c r="S16" i="2"/>
  <c r="V16" i="2" s="1"/>
  <c r="O17" i="2"/>
  <c r="Q17" i="2"/>
  <c r="S17" i="2"/>
  <c r="V17" i="2" s="1"/>
  <c r="O18" i="2"/>
  <c r="P18" i="2"/>
  <c r="X18" i="2" s="1"/>
  <c r="Q18" i="2"/>
  <c r="R18" i="2"/>
  <c r="S18" i="2"/>
  <c r="U18" i="2"/>
  <c r="V18" i="2"/>
  <c r="W18" i="2"/>
  <c r="O19" i="2"/>
  <c r="P19" i="2"/>
  <c r="Q19" i="2"/>
  <c r="S19" i="2"/>
  <c r="U19" i="2"/>
  <c r="V19" i="2"/>
  <c r="O20" i="2"/>
  <c r="Q20" i="2"/>
  <c r="S20" i="2"/>
  <c r="V20" i="2" s="1"/>
  <c r="O21" i="2"/>
  <c r="Q21" i="2"/>
  <c r="S21" i="2"/>
  <c r="V21" i="2" s="1"/>
  <c r="O22" i="2"/>
  <c r="Q22" i="2"/>
  <c r="S22" i="2"/>
  <c r="W22" i="2"/>
  <c r="O23" i="2"/>
  <c r="P23" i="2" s="1"/>
  <c r="X23" i="2" s="1"/>
  <c r="Q23" i="2"/>
  <c r="S23" i="2"/>
  <c r="V23" i="2"/>
  <c r="W23" i="2"/>
  <c r="O24" i="2"/>
  <c r="P24" i="2" s="1"/>
  <c r="X24" i="2" s="1"/>
  <c r="Q24" i="2"/>
  <c r="R24" i="2"/>
  <c r="S24" i="2"/>
  <c r="U24" i="2"/>
  <c r="V24" i="2"/>
  <c r="W24" i="2"/>
  <c r="O25" i="2"/>
  <c r="P25" i="2"/>
  <c r="Q25" i="2"/>
  <c r="S25" i="2"/>
  <c r="V25" i="2" s="1"/>
  <c r="W25" i="2"/>
  <c r="O26" i="2"/>
  <c r="P26" i="2"/>
  <c r="X26" i="2" s="1"/>
  <c r="Q26" i="2"/>
  <c r="S26" i="2"/>
  <c r="V26" i="2" s="1"/>
  <c r="O27" i="2"/>
  <c r="W27" i="2" s="1"/>
  <c r="Q27" i="2"/>
  <c r="S27" i="2"/>
  <c r="V27" i="2" s="1"/>
  <c r="O28" i="2"/>
  <c r="P28" i="2" s="1"/>
  <c r="X28" i="2" s="1"/>
  <c r="Q28" i="2"/>
  <c r="R28" i="2"/>
  <c r="S28" i="2"/>
  <c r="T28" i="2"/>
  <c r="U28" i="2"/>
  <c r="V28" i="2"/>
  <c r="W28" i="2"/>
  <c r="O29" i="2"/>
  <c r="P29" i="2"/>
  <c r="X29" i="2" s="1"/>
  <c r="Q29" i="2"/>
  <c r="R29" i="2"/>
  <c r="S29" i="2"/>
  <c r="V29" i="2" s="1"/>
  <c r="T29" i="2"/>
  <c r="U29" i="2"/>
  <c r="W29" i="2"/>
  <c r="O30" i="2"/>
  <c r="P30" i="2"/>
  <c r="Q30" i="2"/>
  <c r="S30" i="2"/>
  <c r="U30" i="2"/>
  <c r="V30" i="2"/>
  <c r="O31" i="2"/>
  <c r="Q31" i="2"/>
  <c r="S31" i="2"/>
  <c r="V31" i="2" s="1"/>
  <c r="O32" i="2"/>
  <c r="Q32" i="2"/>
  <c r="S32" i="2"/>
  <c r="V32" i="2" s="1"/>
  <c r="O33" i="2"/>
  <c r="Q33" i="2"/>
  <c r="S33" i="2"/>
  <c r="V33" i="2" s="1"/>
  <c r="W33" i="2"/>
  <c r="O34" i="2"/>
  <c r="P34" i="2" s="1"/>
  <c r="X34" i="2" s="1"/>
  <c r="Q34" i="2"/>
  <c r="R34" i="2"/>
  <c r="S34" i="2"/>
  <c r="V34" i="2"/>
  <c r="W34" i="2"/>
  <c r="O35" i="2"/>
  <c r="T35" i="2" s="1"/>
  <c r="P35" i="2"/>
  <c r="X35" i="2" s="1"/>
  <c r="Q35" i="2"/>
  <c r="S35" i="2"/>
  <c r="U35" i="2"/>
  <c r="V35" i="2"/>
  <c r="W35" i="2"/>
  <c r="O36" i="2"/>
  <c r="Q36" i="2"/>
  <c r="S36" i="2"/>
  <c r="V36" i="2"/>
  <c r="O37" i="2"/>
  <c r="P37" i="2"/>
  <c r="Q37" i="2"/>
  <c r="S37" i="2"/>
  <c r="V37" i="2" s="1"/>
  <c r="O38" i="2"/>
  <c r="Q38" i="2"/>
  <c r="S38" i="2"/>
  <c r="V38" i="2" s="1"/>
  <c r="W38" i="2"/>
  <c r="O39" i="2"/>
  <c r="P39" i="2"/>
  <c r="X39" i="2" s="1"/>
  <c r="Q39" i="2"/>
  <c r="S39" i="2"/>
  <c r="T39" i="2"/>
  <c r="U39" i="2"/>
  <c r="V39" i="2"/>
  <c r="W39" i="2"/>
  <c r="O40" i="2"/>
  <c r="P40" i="2" s="1"/>
  <c r="X40" i="2" s="1"/>
  <c r="Q40" i="2"/>
  <c r="R40" i="2"/>
  <c r="S40" i="2"/>
  <c r="T40" i="2"/>
  <c r="U40" i="2"/>
  <c r="V40" i="2"/>
  <c r="O41" i="2"/>
  <c r="W41" i="2" s="1"/>
  <c r="P41" i="2"/>
  <c r="X41" i="2" s="1"/>
  <c r="Q41" i="2"/>
  <c r="R41" i="2"/>
  <c r="S41" i="2"/>
  <c r="V41" i="2" s="1"/>
  <c r="T41" i="2"/>
  <c r="U41" i="2"/>
  <c r="O42" i="2"/>
  <c r="Q42" i="2"/>
  <c r="S42" i="2"/>
  <c r="V42" i="2" s="1"/>
  <c r="O43" i="2"/>
  <c r="P43" i="2"/>
  <c r="X43" i="2" s="1"/>
  <c r="Q43" i="2"/>
  <c r="S43" i="2"/>
  <c r="V43" i="2" s="1"/>
  <c r="O44" i="2"/>
  <c r="Q44" i="2"/>
  <c r="S44" i="2"/>
  <c r="V44" i="2" s="1"/>
  <c r="W44" i="2"/>
  <c r="O45" i="2"/>
  <c r="Q45" i="2"/>
  <c r="S45" i="2"/>
  <c r="V45" i="2" s="1"/>
  <c r="W45" i="2"/>
  <c r="O46" i="2"/>
  <c r="P46" i="2"/>
  <c r="X46" i="2" s="1"/>
  <c r="Q46" i="2"/>
  <c r="S46" i="2"/>
  <c r="U46" i="2"/>
  <c r="V46" i="2"/>
  <c r="W46" i="2"/>
  <c r="O47" i="2"/>
  <c r="T47" i="2" s="1"/>
  <c r="P47" i="2"/>
  <c r="Q47" i="2"/>
  <c r="S47" i="2"/>
  <c r="U47" i="2"/>
  <c r="V47" i="2"/>
  <c r="X47" i="2"/>
  <c r="O48" i="2"/>
  <c r="Q48" i="2"/>
  <c r="S48" i="2"/>
  <c r="V48" i="2" s="1"/>
  <c r="W48" i="2"/>
  <c r="O49" i="2"/>
  <c r="W49" i="2" s="1"/>
  <c r="Q49" i="2"/>
  <c r="S49" i="2"/>
  <c r="V49" i="2" s="1"/>
  <c r="O50" i="2"/>
  <c r="P50" i="2"/>
  <c r="X50" i="2" s="1"/>
  <c r="Q50" i="2"/>
  <c r="R50" i="2"/>
  <c r="S50" i="2"/>
  <c r="U50" i="2"/>
  <c r="V50" i="2"/>
  <c r="W50" i="2"/>
  <c r="O51" i="2"/>
  <c r="P51" i="2"/>
  <c r="Q51" i="2"/>
  <c r="S51" i="2"/>
  <c r="V51" i="2"/>
  <c r="O52" i="2"/>
  <c r="Q52" i="2"/>
  <c r="S52" i="2"/>
  <c r="V52" i="2" s="1"/>
  <c r="O53" i="2"/>
  <c r="U53" i="2" s="1"/>
  <c r="Q53" i="2"/>
  <c r="S53" i="2"/>
  <c r="V53" i="2"/>
  <c r="X53" i="2"/>
  <c r="O54" i="2"/>
  <c r="Q54" i="2"/>
  <c r="S54" i="2"/>
  <c r="V54" i="2" s="1"/>
  <c r="O55" i="2"/>
  <c r="Q55" i="2"/>
  <c r="S55" i="2"/>
  <c r="V55" i="2" s="1"/>
  <c r="O56" i="2"/>
  <c r="Q56" i="2"/>
  <c r="S56" i="2"/>
  <c r="V56" i="2" s="1"/>
  <c r="W56" i="2"/>
  <c r="O57" i="2"/>
  <c r="T57" i="2" s="1"/>
  <c r="Q57" i="2"/>
  <c r="S57" i="2"/>
  <c r="V57" i="2"/>
  <c r="W57" i="2"/>
  <c r="X57" i="2"/>
  <c r="O58" i="2"/>
  <c r="P58" i="2" s="1"/>
  <c r="X58" i="2" s="1"/>
  <c r="Q58" i="2"/>
  <c r="R58" i="2"/>
  <c r="S58" i="2"/>
  <c r="U58" i="2"/>
  <c r="V58" i="2"/>
  <c r="W58" i="2"/>
  <c r="O59" i="2"/>
  <c r="R59" i="2" s="1"/>
  <c r="P59" i="2"/>
  <c r="X59" i="2" s="1"/>
  <c r="Q59" i="2"/>
  <c r="S59" i="2"/>
  <c r="V59" i="2" s="1"/>
  <c r="T59" i="2"/>
  <c r="W59" i="2"/>
  <c r="O60" i="2"/>
  <c r="P60" i="2" s="1"/>
  <c r="X60" i="2" s="1"/>
  <c r="Q60" i="2"/>
  <c r="S60" i="2"/>
  <c r="V60" i="2"/>
  <c r="O61" i="2"/>
  <c r="Q61" i="2"/>
  <c r="S61" i="2"/>
  <c r="V61" i="2" s="1"/>
  <c r="O62" i="2"/>
  <c r="P62" i="2" s="1"/>
  <c r="X62" i="2" s="1"/>
  <c r="Q62" i="2"/>
  <c r="R62" i="2"/>
  <c r="S62" i="2"/>
  <c r="V62" i="2" s="1"/>
  <c r="T62" i="2"/>
  <c r="U62" i="2"/>
  <c r="W62" i="2"/>
  <c r="O63" i="2"/>
  <c r="P63" i="2" s="1"/>
  <c r="Q63" i="2"/>
  <c r="R63" i="2"/>
  <c r="S63" i="2"/>
  <c r="V63" i="2" s="1"/>
  <c r="U63" i="2"/>
  <c r="W63" i="2"/>
  <c r="O64" i="2"/>
  <c r="P64" i="2"/>
  <c r="X64" i="2" s="1"/>
  <c r="Q64" i="2"/>
  <c r="R64" i="2"/>
  <c r="S64" i="2"/>
  <c r="U64" i="2"/>
  <c r="V64" i="2"/>
  <c r="W64" i="2"/>
  <c r="O65" i="2"/>
  <c r="P65" i="2"/>
  <c r="X65" i="2" s="1"/>
  <c r="Q65" i="2"/>
  <c r="S65" i="2"/>
  <c r="V65" i="2" s="1"/>
  <c r="T65" i="2"/>
  <c r="U65" i="2"/>
  <c r="O66" i="2"/>
  <c r="Q66" i="2"/>
  <c r="S66" i="2"/>
  <c r="V66" i="2" s="1"/>
  <c r="W66" i="2"/>
  <c r="O67" i="2"/>
  <c r="Q67" i="2"/>
  <c r="S67" i="2"/>
  <c r="V67" i="2" s="1"/>
  <c r="O68" i="2"/>
  <c r="Q68" i="2"/>
  <c r="S68" i="2"/>
  <c r="V68" i="2"/>
  <c r="O69" i="2"/>
  <c r="P69" i="2"/>
  <c r="X69" i="2" s="1"/>
  <c r="Q69" i="2"/>
  <c r="S69" i="2"/>
  <c r="V69" i="2"/>
  <c r="O70" i="2"/>
  <c r="Q70" i="2"/>
  <c r="S70" i="2"/>
  <c r="V70" i="2"/>
  <c r="O71" i="2"/>
  <c r="Q71" i="2"/>
  <c r="S71" i="2"/>
  <c r="V71" i="2" s="1"/>
  <c r="W71" i="2"/>
  <c r="O72" i="2"/>
  <c r="Q72" i="2"/>
  <c r="S72" i="2"/>
  <c r="V72" i="2"/>
  <c r="O73" i="2"/>
  <c r="P73" i="2" s="1"/>
  <c r="Q73" i="2"/>
  <c r="S73" i="2"/>
  <c r="V73" i="2" s="1"/>
  <c r="W73" i="2"/>
  <c r="O74" i="2"/>
  <c r="P74" i="2" s="1"/>
  <c r="X74" i="2" s="1"/>
  <c r="Q74" i="2"/>
  <c r="R74" i="2"/>
  <c r="S74" i="2"/>
  <c r="V74" i="2" s="1"/>
  <c r="T74" i="2"/>
  <c r="U74" i="2"/>
  <c r="W74" i="2"/>
  <c r="O75" i="2"/>
  <c r="P75" i="2"/>
  <c r="Q75" i="2"/>
  <c r="S75" i="2"/>
  <c r="V75" i="2" s="1"/>
  <c r="W75" i="2"/>
  <c r="O76" i="2"/>
  <c r="P76" i="2"/>
  <c r="Q76" i="2"/>
  <c r="R76" i="2"/>
  <c r="S76" i="2"/>
  <c r="V76" i="2" s="1"/>
  <c r="O77" i="2"/>
  <c r="Q77" i="2"/>
  <c r="S77" i="2"/>
  <c r="V77" i="2" s="1"/>
  <c r="O78" i="2"/>
  <c r="Q78" i="2"/>
  <c r="S78" i="2"/>
  <c r="V78" i="2" s="1"/>
  <c r="W78" i="2"/>
  <c r="O79" i="2"/>
  <c r="P79" i="2"/>
  <c r="Q79" i="2"/>
  <c r="R79" i="2"/>
  <c r="S79" i="2"/>
  <c r="V79" i="2" s="1"/>
  <c r="U79" i="2"/>
  <c r="CE109" i="1" s="1"/>
  <c r="W79" i="2"/>
  <c r="X79" i="2"/>
  <c r="O80" i="2"/>
  <c r="Q80" i="2"/>
  <c r="S80" i="2"/>
  <c r="V80" i="2" s="1"/>
  <c r="W80" i="2"/>
  <c r="X80" i="2"/>
  <c r="O81" i="2"/>
  <c r="Q81" i="2"/>
  <c r="S81" i="2"/>
  <c r="V81" i="2"/>
  <c r="O82" i="2"/>
  <c r="Q82" i="2"/>
  <c r="S82" i="2"/>
  <c r="V82" i="2"/>
  <c r="O83" i="2"/>
  <c r="P83" i="2"/>
  <c r="Q83" i="2"/>
  <c r="S83" i="2"/>
  <c r="V83" i="2"/>
  <c r="O84" i="2"/>
  <c r="Q84" i="2"/>
  <c r="S84" i="2"/>
  <c r="V84" i="2"/>
  <c r="O85" i="2"/>
  <c r="P85" i="2"/>
  <c r="R85" i="2" s="1"/>
  <c r="Q85" i="2"/>
  <c r="S85" i="2"/>
  <c r="V85" i="2" s="1"/>
  <c r="T85" i="2"/>
  <c r="U85" i="2"/>
  <c r="O86" i="2"/>
  <c r="P86" i="2"/>
  <c r="U86" i="2" s="1"/>
  <c r="Q86" i="2"/>
  <c r="S86" i="2"/>
  <c r="V86" i="2" s="1"/>
  <c r="T86" i="2"/>
  <c r="O87" i="2"/>
  <c r="P87" i="2"/>
  <c r="Q87" i="2"/>
  <c r="S87" i="2"/>
  <c r="T87" i="2"/>
  <c r="O88" i="2"/>
  <c r="U88" i="2" s="1"/>
  <c r="P88" i="2"/>
  <c r="Q88" i="2"/>
  <c r="S88" i="2"/>
  <c r="O89" i="2"/>
  <c r="P89" i="2"/>
  <c r="Q89" i="2"/>
  <c r="S89" i="2"/>
  <c r="E90" i="2"/>
  <c r="H90" i="2"/>
  <c r="K90" i="2"/>
  <c r="M90" i="2"/>
  <c r="N91" i="2" s="1"/>
  <c r="N90" i="2"/>
  <c r="R91" i="2"/>
  <c r="R92" i="2"/>
  <c r="C8" i="3"/>
  <c r="E8" i="3"/>
  <c r="F8" i="3"/>
  <c r="H8" i="3"/>
  <c r="I8" i="3"/>
  <c r="K8" i="3" s="1"/>
  <c r="L8" i="3"/>
  <c r="S8" i="3"/>
  <c r="O9" i="3"/>
  <c r="O10" i="3"/>
  <c r="Q10" i="3"/>
  <c r="S10" i="3"/>
  <c r="O11" i="3"/>
  <c r="P11" i="3"/>
  <c r="X11" i="3" s="1"/>
  <c r="Q11" i="3"/>
  <c r="S11" i="3"/>
  <c r="V11" i="3" s="1"/>
  <c r="T11" i="3"/>
  <c r="U11" i="3"/>
  <c r="O12" i="3"/>
  <c r="P12" i="3" s="1"/>
  <c r="Q12" i="3"/>
  <c r="S12" i="3"/>
  <c r="V12" i="3" s="1"/>
  <c r="W12" i="3"/>
  <c r="O13" i="3"/>
  <c r="Q13" i="3"/>
  <c r="S13" i="3"/>
  <c r="V13" i="3" s="1"/>
  <c r="O14" i="3"/>
  <c r="Q14" i="3"/>
  <c r="S14" i="3"/>
  <c r="V14" i="3"/>
  <c r="O15" i="3"/>
  <c r="P15" i="3"/>
  <c r="Q15" i="3"/>
  <c r="S15" i="3"/>
  <c r="V15" i="3" s="1"/>
  <c r="W15" i="3"/>
  <c r="O16" i="3"/>
  <c r="P16" i="3" s="1"/>
  <c r="Q16" i="3"/>
  <c r="S16" i="3"/>
  <c r="V16" i="3"/>
  <c r="W16" i="3"/>
  <c r="O17" i="3"/>
  <c r="P17" i="3" s="1"/>
  <c r="X17" i="3" s="1"/>
  <c r="Q17" i="3"/>
  <c r="S17" i="3"/>
  <c r="V17" i="3" s="1"/>
  <c r="W17" i="3"/>
  <c r="O18" i="3"/>
  <c r="P18" i="3"/>
  <c r="X18" i="3" s="1"/>
  <c r="Q18" i="3"/>
  <c r="S18" i="3"/>
  <c r="V18" i="3"/>
  <c r="O19" i="3"/>
  <c r="Q19" i="3"/>
  <c r="S19" i="3"/>
  <c r="V19" i="3" s="1"/>
  <c r="O20" i="3"/>
  <c r="P20" i="3" s="1"/>
  <c r="Q20" i="3"/>
  <c r="S20" i="3"/>
  <c r="V20" i="3"/>
  <c r="W20" i="3"/>
  <c r="O21" i="3"/>
  <c r="Q21" i="3"/>
  <c r="S21" i="3"/>
  <c r="V21" i="3" s="1"/>
  <c r="W21" i="3"/>
  <c r="O22" i="3"/>
  <c r="Q22" i="3"/>
  <c r="S22" i="3"/>
  <c r="V22" i="3"/>
  <c r="O23" i="3"/>
  <c r="T23" i="3" s="1"/>
  <c r="P23" i="3"/>
  <c r="X23" i="3" s="1"/>
  <c r="Q23" i="3"/>
  <c r="S23" i="3"/>
  <c r="V23" i="3" s="1"/>
  <c r="U23" i="3"/>
  <c r="W23" i="3"/>
  <c r="O24" i="3"/>
  <c r="P24" i="3" s="1"/>
  <c r="X24" i="3" s="1"/>
  <c r="R24" i="3"/>
  <c r="S24" i="3"/>
  <c r="U24" i="3"/>
  <c r="CF19" i="1" s="1"/>
  <c r="V24" i="3"/>
  <c r="W24" i="3"/>
  <c r="O25" i="3"/>
  <c r="P25" i="3"/>
  <c r="X25" i="3" s="1"/>
  <c r="Q25" i="3"/>
  <c r="R25" i="3"/>
  <c r="S25" i="3"/>
  <c r="V25" i="3" s="1"/>
  <c r="T25" i="3"/>
  <c r="U25" i="3"/>
  <c r="W25" i="3"/>
  <c r="O26" i="3"/>
  <c r="R26" i="3" s="1"/>
  <c r="P26" i="3"/>
  <c r="X26" i="3" s="1"/>
  <c r="Q26" i="3"/>
  <c r="S26" i="3"/>
  <c r="V26" i="3" s="1"/>
  <c r="W26" i="3"/>
  <c r="O27" i="3"/>
  <c r="P27" i="3"/>
  <c r="X27" i="3" s="1"/>
  <c r="Q27" i="3"/>
  <c r="S27" i="3"/>
  <c r="T27" i="3"/>
  <c r="U27" i="3"/>
  <c r="V27" i="3"/>
  <c r="O28" i="3"/>
  <c r="P28" i="3" s="1"/>
  <c r="X28" i="3" s="1"/>
  <c r="Q28" i="3"/>
  <c r="S28" i="3"/>
  <c r="V28" i="3" s="1"/>
  <c r="T28" i="3"/>
  <c r="U28" i="3"/>
  <c r="O29" i="3"/>
  <c r="P29" i="3"/>
  <c r="Q29" i="3"/>
  <c r="R29" i="3"/>
  <c r="S29" i="3"/>
  <c r="W29" i="3"/>
  <c r="O30" i="3"/>
  <c r="S30" i="3"/>
  <c r="V30" i="3" s="1"/>
  <c r="O31" i="3"/>
  <c r="P31" i="3"/>
  <c r="U31" i="3" s="1"/>
  <c r="Q31" i="3"/>
  <c r="S31" i="3"/>
  <c r="V31" i="3"/>
  <c r="O32" i="3"/>
  <c r="Q32" i="3"/>
  <c r="S32" i="3"/>
  <c r="V32" i="3" s="1"/>
  <c r="O33" i="3"/>
  <c r="P33" i="3" s="1"/>
  <c r="X33" i="3" s="1"/>
  <c r="Q33" i="3"/>
  <c r="R33" i="3"/>
  <c r="S33" i="3"/>
  <c r="V33" i="3" s="1"/>
  <c r="T33" i="3"/>
  <c r="U33" i="3"/>
  <c r="W33" i="3"/>
  <c r="O34" i="3"/>
  <c r="P34" i="3"/>
  <c r="T34" i="3" s="1"/>
  <c r="Q34" i="3"/>
  <c r="R34" i="3"/>
  <c r="S34" i="3"/>
  <c r="V34" i="3" s="1"/>
  <c r="W34" i="3"/>
  <c r="X34" i="3"/>
  <c r="O35" i="3"/>
  <c r="P35" i="3"/>
  <c r="Q35" i="3"/>
  <c r="R35" i="3"/>
  <c r="S35" i="3"/>
  <c r="V35" i="3"/>
  <c r="W35" i="3"/>
  <c r="O36" i="3"/>
  <c r="Q36" i="3"/>
  <c r="S36" i="3"/>
  <c r="V36" i="3"/>
  <c r="O37" i="3"/>
  <c r="P37" i="3" s="1"/>
  <c r="R37" i="3"/>
  <c r="S37" i="3"/>
  <c r="V37" i="3"/>
  <c r="W37" i="3"/>
  <c r="O38" i="3"/>
  <c r="P38" i="3"/>
  <c r="U38" i="3" s="1"/>
  <c r="Q38" i="3"/>
  <c r="S38" i="3"/>
  <c r="V38" i="3" s="1"/>
  <c r="W38" i="3"/>
  <c r="O39" i="3"/>
  <c r="P39" i="3" s="1"/>
  <c r="X39" i="3" s="1"/>
  <c r="Q39" i="3"/>
  <c r="S39" i="3"/>
  <c r="V39" i="3"/>
  <c r="O40" i="3"/>
  <c r="Q40" i="3"/>
  <c r="S40" i="3"/>
  <c r="V40" i="3"/>
  <c r="O41" i="3"/>
  <c r="Q41" i="3"/>
  <c r="S41" i="3"/>
  <c r="V41" i="3"/>
  <c r="W41" i="3"/>
  <c r="O42" i="3"/>
  <c r="P42" i="3"/>
  <c r="T42" i="3" s="1"/>
  <c r="Q42" i="3"/>
  <c r="R42" i="3"/>
  <c r="S42" i="3"/>
  <c r="V42" i="3" s="1"/>
  <c r="U42" i="3"/>
  <c r="W42" i="3"/>
  <c r="X42" i="3"/>
  <c r="O43" i="3"/>
  <c r="P43" i="3"/>
  <c r="Q43" i="3"/>
  <c r="R43" i="3"/>
  <c r="S43" i="3"/>
  <c r="V43" i="3"/>
  <c r="W43" i="3"/>
  <c r="X43" i="3"/>
  <c r="O44" i="3"/>
  <c r="T44" i="3" s="1"/>
  <c r="P44" i="3"/>
  <c r="X44" i="3" s="1"/>
  <c r="Q44" i="3"/>
  <c r="S44" i="3"/>
  <c r="U44" i="3"/>
  <c r="V44" i="3"/>
  <c r="W44" i="3"/>
  <c r="O45" i="3"/>
  <c r="P45" i="3" s="1"/>
  <c r="X45" i="3" s="1"/>
  <c r="Q45" i="3"/>
  <c r="R45" i="3"/>
  <c r="S45" i="3"/>
  <c r="T45" i="3"/>
  <c r="U45" i="3"/>
  <c r="V45" i="3"/>
  <c r="O46" i="3"/>
  <c r="P46" i="3"/>
  <c r="X46" i="3" s="1"/>
  <c r="R46" i="3"/>
  <c r="S46" i="3"/>
  <c r="T46" i="3"/>
  <c r="U46" i="3"/>
  <c r="V46" i="3"/>
  <c r="W46" i="3"/>
  <c r="O47" i="3"/>
  <c r="W47" i="3" s="1"/>
  <c r="P47" i="3"/>
  <c r="X47" i="3" s="1"/>
  <c r="R47" i="3"/>
  <c r="S47" i="3"/>
  <c r="T47" i="3"/>
  <c r="U47" i="3"/>
  <c r="V47" i="3"/>
  <c r="O48" i="3"/>
  <c r="P48" i="3"/>
  <c r="X48" i="3" s="1"/>
  <c r="R48" i="3"/>
  <c r="S48" i="3"/>
  <c r="V48" i="3" s="1"/>
  <c r="T48" i="3"/>
  <c r="U48" i="3"/>
  <c r="W48" i="3"/>
  <c r="O49" i="3"/>
  <c r="R49" i="3" s="1"/>
  <c r="P49" i="3"/>
  <c r="X49" i="3" s="1"/>
  <c r="Q49" i="3"/>
  <c r="S49" i="3"/>
  <c r="V49" i="3" s="1"/>
  <c r="U49" i="3"/>
  <c r="O50" i="3"/>
  <c r="P50" i="3"/>
  <c r="X50" i="3" s="1"/>
  <c r="Q50" i="3"/>
  <c r="S50" i="3"/>
  <c r="V50" i="3" s="1"/>
  <c r="T50" i="3"/>
  <c r="U50" i="3"/>
  <c r="O51" i="3"/>
  <c r="Q51" i="3"/>
  <c r="S51" i="3"/>
  <c r="V51" i="3" s="1"/>
  <c r="O52" i="3"/>
  <c r="Q52" i="3"/>
  <c r="S52" i="3"/>
  <c r="V52" i="3" s="1"/>
  <c r="O53" i="3"/>
  <c r="P53" i="3"/>
  <c r="Q53" i="3"/>
  <c r="S53" i="3"/>
  <c r="V53" i="3"/>
  <c r="W53" i="3"/>
  <c r="O54" i="3"/>
  <c r="P54" i="3" s="1"/>
  <c r="X54" i="3" s="1"/>
  <c r="Q54" i="3"/>
  <c r="S54" i="3"/>
  <c r="V54" i="3"/>
  <c r="O55" i="3"/>
  <c r="Q55" i="3"/>
  <c r="S55" i="3"/>
  <c r="V55" i="3" s="1"/>
  <c r="O56" i="3"/>
  <c r="P56" i="3" s="1"/>
  <c r="T56" i="3" s="1"/>
  <c r="Q56" i="3"/>
  <c r="S56" i="3"/>
  <c r="V56" i="3" s="1"/>
  <c r="W56" i="3"/>
  <c r="X56" i="3"/>
  <c r="O57" i="3"/>
  <c r="Q57" i="3"/>
  <c r="S57" i="3"/>
  <c r="V57" i="3"/>
  <c r="W57" i="3"/>
  <c r="O58" i="3"/>
  <c r="T58" i="3" s="1"/>
  <c r="P58" i="3"/>
  <c r="X58" i="3" s="1"/>
  <c r="Q58" i="3"/>
  <c r="S58" i="3"/>
  <c r="U58" i="3"/>
  <c r="V58" i="3"/>
  <c r="W58" i="3"/>
  <c r="O59" i="3"/>
  <c r="P59" i="3" s="1"/>
  <c r="X59" i="3" s="1"/>
  <c r="Q59" i="3"/>
  <c r="R59" i="3"/>
  <c r="S59" i="3"/>
  <c r="T59" i="3"/>
  <c r="U59" i="3"/>
  <c r="V59" i="3"/>
  <c r="O60" i="3"/>
  <c r="W60" i="3" s="1"/>
  <c r="P60" i="3"/>
  <c r="X60" i="3" s="1"/>
  <c r="Q60" i="3"/>
  <c r="S60" i="3"/>
  <c r="V60" i="3" s="1"/>
  <c r="T60" i="3"/>
  <c r="U60" i="3"/>
  <c r="O61" i="3"/>
  <c r="P61" i="3"/>
  <c r="Q61" i="3"/>
  <c r="S61" i="3"/>
  <c r="V61" i="3" s="1"/>
  <c r="O62" i="3"/>
  <c r="Q62" i="3"/>
  <c r="S62" i="3"/>
  <c r="V62" i="3" s="1"/>
  <c r="O63" i="3"/>
  <c r="P63" i="3" s="1"/>
  <c r="X63" i="3" s="1"/>
  <c r="Q63" i="3"/>
  <c r="R63" i="3"/>
  <c r="S63" i="3"/>
  <c r="V63" i="3" s="1"/>
  <c r="T63" i="3"/>
  <c r="U63" i="3"/>
  <c r="W63" i="3"/>
  <c r="O64" i="3"/>
  <c r="P64" i="3"/>
  <c r="Q64" i="3"/>
  <c r="R64" i="3"/>
  <c r="S64" i="3"/>
  <c r="V64" i="3" s="1"/>
  <c r="W64" i="3"/>
  <c r="O65" i="3"/>
  <c r="P65" i="3"/>
  <c r="X65" i="3" s="1"/>
  <c r="Q65" i="3"/>
  <c r="S65" i="3"/>
  <c r="V65" i="3"/>
  <c r="O66" i="3"/>
  <c r="Q66" i="3"/>
  <c r="S66" i="3"/>
  <c r="V66" i="3" s="1"/>
  <c r="O67" i="3"/>
  <c r="Q67" i="3"/>
  <c r="S67" i="3"/>
  <c r="V67" i="3"/>
  <c r="W67" i="3"/>
  <c r="O68" i="3"/>
  <c r="Q68" i="3"/>
  <c r="S68" i="3"/>
  <c r="V68" i="3" s="1"/>
  <c r="O69" i="3"/>
  <c r="P69" i="3"/>
  <c r="X69" i="3" s="1"/>
  <c r="Q69" i="3"/>
  <c r="R69" i="3"/>
  <c r="S69" i="3"/>
  <c r="U69" i="3"/>
  <c r="V69" i="3"/>
  <c r="W69" i="3"/>
  <c r="O70" i="3"/>
  <c r="P70" i="3"/>
  <c r="U70" i="3" s="1"/>
  <c r="Q70" i="3"/>
  <c r="S70" i="3"/>
  <c r="T70" i="3"/>
  <c r="V70" i="3"/>
  <c r="X70" i="3"/>
  <c r="O71" i="3"/>
  <c r="Q71" i="3"/>
  <c r="S71" i="3"/>
  <c r="V71" i="3" s="1"/>
  <c r="O72" i="3"/>
  <c r="Q72" i="3"/>
  <c r="S72" i="3"/>
  <c r="V72" i="3" s="1"/>
  <c r="O73" i="3"/>
  <c r="P73" i="3"/>
  <c r="X73" i="3" s="1"/>
  <c r="Q73" i="3"/>
  <c r="S73" i="3"/>
  <c r="V73" i="3" s="1"/>
  <c r="U73" i="3"/>
  <c r="W73" i="3"/>
  <c r="O74" i="3"/>
  <c r="Q74" i="3"/>
  <c r="S74" i="3"/>
  <c r="V74" i="3"/>
  <c r="W74" i="3"/>
  <c r="O75" i="3"/>
  <c r="P75" i="3"/>
  <c r="Q75" i="3"/>
  <c r="S75" i="3"/>
  <c r="V75" i="3" s="1"/>
  <c r="T75" i="3"/>
  <c r="U75" i="3"/>
  <c r="W75" i="3"/>
  <c r="X75" i="3"/>
  <c r="O76" i="3"/>
  <c r="Q76" i="3"/>
  <c r="S76" i="3"/>
  <c r="V76" i="3"/>
  <c r="W76" i="3"/>
  <c r="O77" i="3"/>
  <c r="Q77" i="3"/>
  <c r="S77" i="3"/>
  <c r="V77" i="3" s="1"/>
  <c r="W77" i="3"/>
  <c r="O78" i="3"/>
  <c r="Q78" i="3"/>
  <c r="S78" i="3"/>
  <c r="V78" i="3" s="1"/>
  <c r="W78" i="3"/>
  <c r="O79" i="3"/>
  <c r="Q79" i="3"/>
  <c r="S79" i="3"/>
  <c r="V79" i="3" s="1"/>
  <c r="O80" i="3"/>
  <c r="Q80" i="3"/>
  <c r="S80" i="3"/>
  <c r="V80" i="3"/>
  <c r="O81" i="3"/>
  <c r="P81" i="3"/>
  <c r="X81" i="3" s="1"/>
  <c r="Q81" i="3"/>
  <c r="S81" i="3"/>
  <c r="V81" i="3" s="1"/>
  <c r="U81" i="3"/>
  <c r="CF112" i="1" s="1"/>
  <c r="W81" i="3"/>
  <c r="O82" i="3"/>
  <c r="W82" i="3" s="1"/>
  <c r="Q82" i="3"/>
  <c r="S82" i="3"/>
  <c r="V82" i="3"/>
  <c r="O83" i="3"/>
  <c r="P83" i="3"/>
  <c r="U83" i="3" s="1"/>
  <c r="Q83" i="3"/>
  <c r="S83" i="3"/>
  <c r="V83" i="3" s="1"/>
  <c r="O84" i="3"/>
  <c r="Q84" i="3"/>
  <c r="S84" i="3"/>
  <c r="V84" i="3" s="1"/>
  <c r="O85" i="3"/>
  <c r="Q85" i="3"/>
  <c r="S85" i="3"/>
  <c r="V85" i="3" s="1"/>
  <c r="E86" i="3"/>
  <c r="H86" i="3"/>
  <c r="K86" i="3"/>
  <c r="M86" i="3"/>
  <c r="N86" i="3"/>
  <c r="N87" i="3" s="1"/>
  <c r="S87" i="3" s="1"/>
  <c r="R87" i="3"/>
  <c r="R88" i="3"/>
  <c r="S88" i="3"/>
  <c r="C3" i="4"/>
  <c r="C8" i="4"/>
  <c r="E8" i="4"/>
  <c r="F8" i="4"/>
  <c r="H8" i="4"/>
  <c r="I8" i="4"/>
  <c r="K8" i="4" s="1"/>
  <c r="L8" i="4"/>
  <c r="N8" i="4"/>
  <c r="S8" i="4"/>
  <c r="O9" i="4"/>
  <c r="O10" i="4"/>
  <c r="P10" i="4"/>
  <c r="Q10" i="4"/>
  <c r="S10" i="4"/>
  <c r="U10" i="4"/>
  <c r="V10" i="4"/>
  <c r="O11" i="4"/>
  <c r="P11" i="4"/>
  <c r="Q11" i="4"/>
  <c r="S11" i="4"/>
  <c r="U11" i="4"/>
  <c r="V11" i="4"/>
  <c r="W11" i="4"/>
  <c r="X11" i="4"/>
  <c r="O12" i="4"/>
  <c r="S12" i="4"/>
  <c r="V12" i="4" s="1"/>
  <c r="O13" i="4"/>
  <c r="S13" i="4"/>
  <c r="V13" i="4" s="1"/>
  <c r="W13" i="4"/>
  <c r="O14" i="4"/>
  <c r="P14" i="4"/>
  <c r="U14" i="4" s="1"/>
  <c r="Q14" i="4"/>
  <c r="S14" i="4"/>
  <c r="V14" i="4"/>
  <c r="W14" i="4"/>
  <c r="X14" i="4"/>
  <c r="O15" i="4"/>
  <c r="S15" i="4"/>
  <c r="V15" i="4" s="1"/>
  <c r="W15" i="4"/>
  <c r="O16" i="4"/>
  <c r="S16" i="4"/>
  <c r="V16" i="4" s="1"/>
  <c r="W16" i="4"/>
  <c r="O17" i="4"/>
  <c r="P17" i="4"/>
  <c r="Q17" i="4"/>
  <c r="S17" i="4"/>
  <c r="U17" i="4"/>
  <c r="V17" i="4"/>
  <c r="W17" i="4"/>
  <c r="O18" i="4"/>
  <c r="Q18" i="4"/>
  <c r="S18" i="4"/>
  <c r="W18" i="4"/>
  <c r="O19" i="4"/>
  <c r="P19" i="4"/>
  <c r="R19" i="4"/>
  <c r="S19" i="4"/>
  <c r="V19" i="4" s="1"/>
  <c r="U19" i="4"/>
  <c r="W19" i="4"/>
  <c r="O20" i="4"/>
  <c r="S20" i="4"/>
  <c r="V20" i="4"/>
  <c r="O21" i="4"/>
  <c r="W21" i="4" s="1"/>
  <c r="S21" i="4"/>
  <c r="V21" i="4" s="1"/>
  <c r="O22" i="4"/>
  <c r="S22" i="4"/>
  <c r="V22" i="4" s="1"/>
  <c r="O23" i="4"/>
  <c r="P23" i="4"/>
  <c r="R23" i="4"/>
  <c r="S23" i="4"/>
  <c r="V23" i="4" s="1"/>
  <c r="W23" i="4"/>
  <c r="O24" i="4"/>
  <c r="S24" i="4"/>
  <c r="V24" i="4"/>
  <c r="O25" i="4"/>
  <c r="S25" i="4"/>
  <c r="V25" i="4" s="1"/>
  <c r="O26" i="4"/>
  <c r="Q26" i="4"/>
  <c r="S26" i="4"/>
  <c r="O27" i="4"/>
  <c r="P27" i="4"/>
  <c r="Q27" i="4"/>
  <c r="S27" i="4"/>
  <c r="V27" i="4" s="1"/>
  <c r="W27" i="4"/>
  <c r="O28" i="4"/>
  <c r="S28" i="4"/>
  <c r="V28" i="4"/>
  <c r="W28" i="4"/>
  <c r="O29" i="4"/>
  <c r="P29" i="4"/>
  <c r="X29" i="4" s="1"/>
  <c r="R29" i="4"/>
  <c r="S29" i="4"/>
  <c r="V29" i="4"/>
  <c r="W29" i="4"/>
  <c r="O30" i="4"/>
  <c r="W30" i="4" s="1"/>
  <c r="S30" i="4"/>
  <c r="V30" i="4"/>
  <c r="O31" i="4"/>
  <c r="S31" i="4"/>
  <c r="V31" i="4" s="1"/>
  <c r="O32" i="4"/>
  <c r="W32" i="4" s="1"/>
  <c r="S32" i="4"/>
  <c r="V32" i="4"/>
  <c r="O33" i="4"/>
  <c r="P33" i="4"/>
  <c r="S33" i="4"/>
  <c r="V33" i="4"/>
  <c r="W33" i="4"/>
  <c r="O34" i="4"/>
  <c r="W34" i="4" s="1"/>
  <c r="P34" i="4"/>
  <c r="S34" i="4"/>
  <c r="V34" i="4"/>
  <c r="O35" i="4"/>
  <c r="P35" i="4"/>
  <c r="X35" i="4" s="1"/>
  <c r="S35" i="4"/>
  <c r="V35" i="4" s="1"/>
  <c r="W35" i="4"/>
  <c r="O36" i="4"/>
  <c r="S36" i="4"/>
  <c r="V36" i="4" s="1"/>
  <c r="O37" i="4"/>
  <c r="P37" i="4"/>
  <c r="S37" i="4"/>
  <c r="V37" i="4" s="1"/>
  <c r="U37" i="4"/>
  <c r="W37" i="4"/>
  <c r="O38" i="4"/>
  <c r="W38" i="4" s="1"/>
  <c r="P38" i="4"/>
  <c r="R38" i="4" s="1"/>
  <c r="S38" i="4"/>
  <c r="V38" i="4"/>
  <c r="O39" i="4"/>
  <c r="P39" i="4"/>
  <c r="X39" i="4" s="1"/>
  <c r="S39" i="4"/>
  <c r="V39" i="4" s="1"/>
  <c r="U39" i="4"/>
  <c r="W39" i="4"/>
  <c r="O40" i="4"/>
  <c r="S40" i="4"/>
  <c r="V40" i="4" s="1"/>
  <c r="W40" i="4"/>
  <c r="O41" i="4"/>
  <c r="P41" i="4"/>
  <c r="R41" i="4"/>
  <c r="S41" i="4"/>
  <c r="V41" i="4" s="1"/>
  <c r="U41" i="4"/>
  <c r="W41" i="4"/>
  <c r="O42" i="4"/>
  <c r="S42" i="4"/>
  <c r="V42" i="4"/>
  <c r="O43" i="4"/>
  <c r="S43" i="4"/>
  <c r="V43" i="4" s="1"/>
  <c r="W43" i="4"/>
  <c r="O44" i="4"/>
  <c r="S44" i="4"/>
  <c r="V44" i="4" s="1"/>
  <c r="O45" i="4"/>
  <c r="P45" i="4"/>
  <c r="R45" i="4"/>
  <c r="S45" i="4"/>
  <c r="V45" i="4" s="1"/>
  <c r="W45" i="4"/>
  <c r="O46" i="4"/>
  <c r="S46" i="4"/>
  <c r="V46" i="4"/>
  <c r="O47" i="4"/>
  <c r="S47" i="4"/>
  <c r="V47" i="4" s="1"/>
  <c r="O48" i="4"/>
  <c r="S48" i="4"/>
  <c r="V48" i="4"/>
  <c r="O49" i="4"/>
  <c r="P49" i="4"/>
  <c r="S49" i="4"/>
  <c r="V49" i="4"/>
  <c r="W49" i="4"/>
  <c r="O50" i="4"/>
  <c r="W50" i="4" s="1"/>
  <c r="P50" i="4"/>
  <c r="R50" i="4"/>
  <c r="S50" i="4"/>
  <c r="U50" i="4"/>
  <c r="V50" i="4"/>
  <c r="X50" i="4"/>
  <c r="O51" i="4"/>
  <c r="U51" i="4" s="1"/>
  <c r="P51" i="4"/>
  <c r="S51" i="4"/>
  <c r="T51" i="4"/>
  <c r="W51" i="4"/>
  <c r="X51" i="4"/>
  <c r="O52" i="4"/>
  <c r="S52" i="4"/>
  <c r="V52" i="4"/>
  <c r="O53" i="4"/>
  <c r="T53" i="4" s="1"/>
  <c r="BN49" i="1" s="1"/>
  <c r="P53" i="4"/>
  <c r="X53" i="4" s="1"/>
  <c r="S53" i="4"/>
  <c r="U53" i="4"/>
  <c r="V53" i="4"/>
  <c r="W53" i="4"/>
  <c r="O54" i="4"/>
  <c r="P54" i="4"/>
  <c r="S54" i="4"/>
  <c r="V54" i="4"/>
  <c r="O55" i="4"/>
  <c r="W55" i="4" s="1"/>
  <c r="P55" i="4"/>
  <c r="S55" i="4"/>
  <c r="V55" i="4" s="1"/>
  <c r="X55" i="4"/>
  <c r="O56" i="4"/>
  <c r="S56" i="4"/>
  <c r="V56" i="4" s="1"/>
  <c r="W56" i="4"/>
  <c r="O57" i="4"/>
  <c r="P57" i="4"/>
  <c r="R57" i="4"/>
  <c r="S57" i="4"/>
  <c r="V57" i="4" s="1"/>
  <c r="U57" i="4"/>
  <c r="W57" i="4"/>
  <c r="O58" i="4"/>
  <c r="T58" i="4" s="1"/>
  <c r="P58" i="4"/>
  <c r="X58" i="4" s="1"/>
  <c r="S58" i="4"/>
  <c r="V58" i="4"/>
  <c r="O59" i="4"/>
  <c r="S59" i="4"/>
  <c r="V59" i="4" s="1"/>
  <c r="O60" i="4"/>
  <c r="S60" i="4"/>
  <c r="V60" i="4" s="1"/>
  <c r="W60" i="4"/>
  <c r="O61" i="4"/>
  <c r="P61" i="4"/>
  <c r="X61" i="4" s="1"/>
  <c r="R61" i="4"/>
  <c r="S61" i="4"/>
  <c r="V61" i="4" s="1"/>
  <c r="W61" i="4"/>
  <c r="O62" i="4"/>
  <c r="W62" i="4" s="1"/>
  <c r="S62" i="4"/>
  <c r="V62" i="4"/>
  <c r="O63" i="4"/>
  <c r="S63" i="4"/>
  <c r="V63" i="4" s="1"/>
  <c r="O64" i="4"/>
  <c r="S64" i="4"/>
  <c r="V64" i="4"/>
  <c r="W64" i="4"/>
  <c r="O65" i="4"/>
  <c r="P65" i="4"/>
  <c r="S65" i="4"/>
  <c r="V65" i="4"/>
  <c r="W65" i="4"/>
  <c r="O66" i="4"/>
  <c r="W66" i="4" s="1"/>
  <c r="P66" i="4"/>
  <c r="R66" i="4"/>
  <c r="S66" i="4"/>
  <c r="V66" i="4"/>
  <c r="X66" i="4"/>
  <c r="O67" i="4"/>
  <c r="P67" i="4"/>
  <c r="S67" i="4"/>
  <c r="V67" i="4" s="1"/>
  <c r="W67" i="4"/>
  <c r="X67" i="4"/>
  <c r="O68" i="4"/>
  <c r="S68" i="4"/>
  <c r="V68" i="4" s="1"/>
  <c r="O69" i="4"/>
  <c r="T69" i="4" s="1"/>
  <c r="P69" i="4"/>
  <c r="S69" i="4"/>
  <c r="V69" i="4" s="1"/>
  <c r="U69" i="4"/>
  <c r="W69" i="4"/>
  <c r="O70" i="4"/>
  <c r="W70" i="4" s="1"/>
  <c r="P70" i="4"/>
  <c r="R70" i="4"/>
  <c r="AD96" i="1" s="1"/>
  <c r="S70" i="4"/>
  <c r="V70" i="4"/>
  <c r="O71" i="4"/>
  <c r="T71" i="4" s="1"/>
  <c r="P71" i="4"/>
  <c r="X71" i="4" s="1"/>
  <c r="S71" i="4"/>
  <c r="V71" i="4" s="1"/>
  <c r="U71" i="4"/>
  <c r="W71" i="4"/>
  <c r="O72" i="4"/>
  <c r="S72" i="4"/>
  <c r="V72" i="4" s="1"/>
  <c r="W72" i="4"/>
  <c r="O73" i="4"/>
  <c r="P73" i="4"/>
  <c r="R73" i="4"/>
  <c r="S73" i="4"/>
  <c r="V73" i="4" s="1"/>
  <c r="U73" i="4"/>
  <c r="W73" i="4"/>
  <c r="O74" i="4"/>
  <c r="S74" i="4"/>
  <c r="V74" i="4"/>
  <c r="O75" i="4"/>
  <c r="W75" i="4" s="1"/>
  <c r="S75" i="4"/>
  <c r="V75" i="4" s="1"/>
  <c r="O76" i="4"/>
  <c r="S76" i="4"/>
  <c r="V76" i="4"/>
  <c r="O77" i="4"/>
  <c r="P77" i="4"/>
  <c r="R77" i="4"/>
  <c r="S77" i="4"/>
  <c r="V77" i="4"/>
  <c r="W77" i="4"/>
  <c r="O78" i="4"/>
  <c r="S78" i="4"/>
  <c r="V78" i="4"/>
  <c r="O79" i="4"/>
  <c r="S79" i="4"/>
  <c r="V79" i="4" s="1"/>
  <c r="O80" i="4"/>
  <c r="S80" i="4"/>
  <c r="V80" i="4"/>
  <c r="O81" i="4"/>
  <c r="P81" i="4"/>
  <c r="T81" i="4" s="1"/>
  <c r="S81" i="4"/>
  <c r="V81" i="4" s="1"/>
  <c r="W81" i="4"/>
  <c r="O82" i="4"/>
  <c r="P82" i="4"/>
  <c r="X82" i="4" s="1"/>
  <c r="S82" i="4"/>
  <c r="V82" i="4" s="1"/>
  <c r="O83" i="4"/>
  <c r="S83" i="4"/>
  <c r="V83" i="4" s="1"/>
  <c r="O84" i="4"/>
  <c r="P84" i="4"/>
  <c r="X84" i="4" s="1"/>
  <c r="S84" i="4"/>
  <c r="V84" i="4" s="1"/>
  <c r="T84" i="4"/>
  <c r="O85" i="4"/>
  <c r="S85" i="4"/>
  <c r="V85" i="4" s="1"/>
  <c r="E86" i="4"/>
  <c r="H86" i="4"/>
  <c r="K86" i="4"/>
  <c r="M86" i="4"/>
  <c r="N86" i="4"/>
  <c r="N87" i="4" s="1"/>
  <c r="R87" i="4"/>
  <c r="S87" i="4"/>
  <c r="R88" i="4"/>
  <c r="S88" i="4"/>
  <c r="C3" i="5"/>
  <c r="C8" i="5"/>
  <c r="E8" i="5"/>
  <c r="F8" i="5"/>
  <c r="H8" i="5"/>
  <c r="I8" i="5"/>
  <c r="K8" i="5" s="1"/>
  <c r="L8" i="5"/>
  <c r="N8" i="5"/>
  <c r="S8" i="5"/>
  <c r="O9" i="5"/>
  <c r="O10" i="5"/>
  <c r="P10" i="5"/>
  <c r="Q10" i="5"/>
  <c r="R10" i="5"/>
  <c r="S10" i="5"/>
  <c r="T10" i="5"/>
  <c r="U10" i="5"/>
  <c r="V10" i="5"/>
  <c r="O11" i="5"/>
  <c r="P11" i="5"/>
  <c r="Q11" i="5"/>
  <c r="N7" i="1" s="1"/>
  <c r="R11" i="5"/>
  <c r="AE7" i="1" s="1"/>
  <c r="S11" i="5"/>
  <c r="T11" i="5"/>
  <c r="U11" i="5"/>
  <c r="V11" i="5"/>
  <c r="W11" i="5"/>
  <c r="X11" i="5"/>
  <c r="O12" i="5"/>
  <c r="S12" i="5"/>
  <c r="O13" i="5"/>
  <c r="S13" i="5"/>
  <c r="V13" i="5"/>
  <c r="O14" i="5"/>
  <c r="R14" i="5" s="1"/>
  <c r="P14" i="5"/>
  <c r="X14" i="5" s="1"/>
  <c r="Q14" i="5"/>
  <c r="S14" i="5"/>
  <c r="T14" i="5"/>
  <c r="V14" i="5"/>
  <c r="O15" i="5"/>
  <c r="P15" i="5"/>
  <c r="S15" i="5"/>
  <c r="V15" i="5"/>
  <c r="W15" i="5"/>
  <c r="O16" i="5"/>
  <c r="P16" i="5" s="1"/>
  <c r="R16" i="5"/>
  <c r="S16" i="5"/>
  <c r="V16" i="5" s="1"/>
  <c r="T16" i="5"/>
  <c r="W16" i="5"/>
  <c r="X16" i="5"/>
  <c r="O17" i="5"/>
  <c r="P17" i="5"/>
  <c r="Q17" i="5"/>
  <c r="R17" i="5"/>
  <c r="S17" i="5"/>
  <c r="T17" i="5"/>
  <c r="U17" i="5"/>
  <c r="V17" i="5"/>
  <c r="W17" i="5"/>
  <c r="X17" i="5"/>
  <c r="O18" i="5"/>
  <c r="P18" i="5"/>
  <c r="X18" i="5" s="1"/>
  <c r="Q18" i="5"/>
  <c r="S18" i="5"/>
  <c r="T18" i="5"/>
  <c r="O19" i="5"/>
  <c r="S19" i="5"/>
  <c r="V19" i="5" s="1"/>
  <c r="W19" i="5"/>
  <c r="O20" i="5"/>
  <c r="S20" i="5"/>
  <c r="V20" i="5"/>
  <c r="W20" i="5"/>
  <c r="O21" i="5"/>
  <c r="P21" i="5"/>
  <c r="U21" i="5" s="1"/>
  <c r="S21" i="5"/>
  <c r="T21" i="5"/>
  <c r="V21" i="5"/>
  <c r="W21" i="5"/>
  <c r="X21" i="5"/>
  <c r="O22" i="5"/>
  <c r="P22" i="5" s="1"/>
  <c r="R22" i="5"/>
  <c r="S22" i="5"/>
  <c r="T22" i="5"/>
  <c r="U22" i="5"/>
  <c r="V22" i="5"/>
  <c r="W22" i="5"/>
  <c r="X22" i="5"/>
  <c r="O23" i="5"/>
  <c r="P23" i="5"/>
  <c r="S23" i="5"/>
  <c r="V23" i="5"/>
  <c r="W23" i="5"/>
  <c r="O24" i="5"/>
  <c r="W24" i="5" s="1"/>
  <c r="P24" i="5"/>
  <c r="X24" i="5" s="1"/>
  <c r="R24" i="5"/>
  <c r="S24" i="5"/>
  <c r="V24" i="5"/>
  <c r="O25" i="5"/>
  <c r="P25" i="5"/>
  <c r="S25" i="5"/>
  <c r="V25" i="5" s="1"/>
  <c r="W25" i="5"/>
  <c r="O26" i="5"/>
  <c r="P26" i="5"/>
  <c r="X26" i="5" s="1"/>
  <c r="Q26" i="5"/>
  <c r="R26" i="5"/>
  <c r="S26" i="5"/>
  <c r="U26" i="5"/>
  <c r="V26" i="5"/>
  <c r="W26" i="5"/>
  <c r="O27" i="5"/>
  <c r="Q27" i="5"/>
  <c r="S27" i="5"/>
  <c r="V27" i="5"/>
  <c r="O28" i="5"/>
  <c r="S28" i="5"/>
  <c r="V28" i="5"/>
  <c r="O29" i="5"/>
  <c r="P29" i="5"/>
  <c r="S29" i="5"/>
  <c r="V29" i="5" s="1"/>
  <c r="T29" i="5"/>
  <c r="BO25" i="1" s="1"/>
  <c r="W29" i="5"/>
  <c r="O30" i="5"/>
  <c r="U30" i="5" s="1"/>
  <c r="P30" i="5"/>
  <c r="S30" i="5"/>
  <c r="V30" i="5" s="1"/>
  <c r="T30" i="5"/>
  <c r="BO26" i="1" s="1"/>
  <c r="X30" i="5"/>
  <c r="O31" i="5"/>
  <c r="S31" i="5"/>
  <c r="V31" i="5" s="1"/>
  <c r="O32" i="5"/>
  <c r="P32" i="5"/>
  <c r="X32" i="5" s="1"/>
  <c r="S32" i="5"/>
  <c r="V32" i="5" s="1"/>
  <c r="T32" i="5"/>
  <c r="O33" i="5"/>
  <c r="P33" i="5"/>
  <c r="X33" i="5" s="1"/>
  <c r="S33" i="5"/>
  <c r="U33" i="5"/>
  <c r="V33" i="5"/>
  <c r="O34" i="5"/>
  <c r="U34" i="5" s="1"/>
  <c r="P34" i="5"/>
  <c r="S34" i="5"/>
  <c r="T34" i="5"/>
  <c r="V34" i="5"/>
  <c r="W34" i="5"/>
  <c r="X34" i="5"/>
  <c r="O35" i="5"/>
  <c r="S35" i="5"/>
  <c r="V35" i="5" s="1"/>
  <c r="W35" i="5"/>
  <c r="O36" i="5"/>
  <c r="T36" i="5" s="1"/>
  <c r="P36" i="5"/>
  <c r="X36" i="5" s="1"/>
  <c r="R36" i="5"/>
  <c r="S36" i="5"/>
  <c r="V36" i="5" s="1"/>
  <c r="U36" i="5"/>
  <c r="W36" i="5"/>
  <c r="O37" i="5"/>
  <c r="S37" i="5"/>
  <c r="V37" i="5"/>
  <c r="O38" i="5"/>
  <c r="P38" i="5"/>
  <c r="X38" i="5" s="1"/>
  <c r="S38" i="5"/>
  <c r="V38" i="5" s="1"/>
  <c r="O39" i="5"/>
  <c r="S39" i="5"/>
  <c r="V39" i="5" s="1"/>
  <c r="O40" i="5"/>
  <c r="P40" i="5"/>
  <c r="R40" i="5"/>
  <c r="S40" i="5"/>
  <c r="V40" i="5" s="1"/>
  <c r="W40" i="5"/>
  <c r="O41" i="5"/>
  <c r="S41" i="5"/>
  <c r="V41" i="5"/>
  <c r="O42" i="5"/>
  <c r="S42" i="5"/>
  <c r="V42" i="5" s="1"/>
  <c r="O43" i="5"/>
  <c r="S43" i="5"/>
  <c r="V43" i="5"/>
  <c r="W43" i="5"/>
  <c r="O44" i="5"/>
  <c r="P44" i="5"/>
  <c r="X44" i="5" s="1"/>
  <c r="R44" i="5"/>
  <c r="S44" i="5"/>
  <c r="U44" i="5"/>
  <c r="V44" i="5"/>
  <c r="W44" i="5"/>
  <c r="O45" i="5"/>
  <c r="W45" i="5" s="1"/>
  <c r="P45" i="5"/>
  <c r="R45" i="5"/>
  <c r="S45" i="5"/>
  <c r="U45" i="5"/>
  <c r="V45" i="5"/>
  <c r="X45" i="5"/>
  <c r="O46" i="5"/>
  <c r="U46" i="5" s="1"/>
  <c r="P46" i="5"/>
  <c r="S46" i="5"/>
  <c r="V46" i="5" s="1"/>
  <c r="T46" i="5"/>
  <c r="W46" i="5"/>
  <c r="X46" i="5"/>
  <c r="O47" i="5"/>
  <c r="S47" i="5"/>
  <c r="V47" i="5"/>
  <c r="O48" i="5"/>
  <c r="P48" i="5"/>
  <c r="S48" i="5"/>
  <c r="V48" i="5"/>
  <c r="W48" i="5"/>
  <c r="O49" i="5"/>
  <c r="P49" i="5"/>
  <c r="X49" i="5" s="1"/>
  <c r="S49" i="5"/>
  <c r="V49" i="5"/>
  <c r="O50" i="5"/>
  <c r="S50" i="5"/>
  <c r="V50" i="5" s="1"/>
  <c r="O51" i="5"/>
  <c r="S51" i="5"/>
  <c r="V51" i="5" s="1"/>
  <c r="W51" i="5"/>
  <c r="O52" i="5"/>
  <c r="T52" i="5" s="1"/>
  <c r="P52" i="5"/>
  <c r="X52" i="5" s="1"/>
  <c r="R52" i="5"/>
  <c r="S52" i="5"/>
  <c r="V52" i="5" s="1"/>
  <c r="U52" i="5"/>
  <c r="W52" i="5"/>
  <c r="O53" i="5"/>
  <c r="W53" i="5" s="1"/>
  <c r="P53" i="5"/>
  <c r="S53" i="5"/>
  <c r="V53" i="5"/>
  <c r="O54" i="5"/>
  <c r="P54" i="5"/>
  <c r="X54" i="5" s="1"/>
  <c r="S54" i="5"/>
  <c r="V54" i="5" s="1"/>
  <c r="T54" i="5"/>
  <c r="W54" i="5"/>
  <c r="O55" i="5"/>
  <c r="S55" i="5"/>
  <c r="V55" i="5" s="1"/>
  <c r="W55" i="5"/>
  <c r="O56" i="5"/>
  <c r="P56" i="5"/>
  <c r="U56" i="5" s="1"/>
  <c r="R56" i="5"/>
  <c r="S56" i="5"/>
  <c r="V56" i="5" s="1"/>
  <c r="W56" i="5"/>
  <c r="O57" i="5"/>
  <c r="S57" i="5"/>
  <c r="V57" i="5"/>
  <c r="O58" i="5"/>
  <c r="S58" i="5"/>
  <c r="V58" i="5" s="1"/>
  <c r="O59" i="5"/>
  <c r="S59" i="5"/>
  <c r="V59" i="5"/>
  <c r="W59" i="5"/>
  <c r="O60" i="5"/>
  <c r="T60" i="5" s="1"/>
  <c r="BO77" i="1" s="1"/>
  <c r="P60" i="5"/>
  <c r="R60" i="5"/>
  <c r="S60" i="5"/>
  <c r="V60" i="5"/>
  <c r="W60" i="5"/>
  <c r="O61" i="5"/>
  <c r="W61" i="5" s="1"/>
  <c r="P61" i="5"/>
  <c r="R61" i="5"/>
  <c r="AE82" i="1" s="1"/>
  <c r="S61" i="5"/>
  <c r="V61" i="5"/>
  <c r="O62" i="5"/>
  <c r="P62" i="5"/>
  <c r="S62" i="5"/>
  <c r="V62" i="5" s="1"/>
  <c r="T62" i="5"/>
  <c r="W62" i="5"/>
  <c r="O63" i="5"/>
  <c r="S63" i="5"/>
  <c r="V63" i="5"/>
  <c r="O64" i="5"/>
  <c r="P64" i="5"/>
  <c r="U64" i="5" s="1"/>
  <c r="S64" i="5"/>
  <c r="V64" i="5" s="1"/>
  <c r="W64" i="5"/>
  <c r="O65" i="5"/>
  <c r="W65" i="5" s="1"/>
  <c r="P65" i="5"/>
  <c r="X65" i="5" s="1"/>
  <c r="R65" i="5"/>
  <c r="S65" i="5"/>
  <c r="T65" i="5"/>
  <c r="U65" i="5"/>
  <c r="V65" i="5"/>
  <c r="O66" i="5"/>
  <c r="P66" i="5"/>
  <c r="X66" i="5" s="1"/>
  <c r="R66" i="5"/>
  <c r="AE89" i="1" s="1"/>
  <c r="S66" i="5"/>
  <c r="V66" i="5" s="1"/>
  <c r="T66" i="5"/>
  <c r="U66" i="5"/>
  <c r="W66" i="5"/>
  <c r="O67" i="5"/>
  <c r="P67" i="5"/>
  <c r="X67" i="5" s="1"/>
  <c r="R67" i="5"/>
  <c r="S67" i="5"/>
  <c r="T67" i="5"/>
  <c r="V67" i="5"/>
  <c r="W67" i="5"/>
  <c r="O68" i="5"/>
  <c r="P68" i="5"/>
  <c r="X68" i="5" s="1"/>
  <c r="R68" i="5"/>
  <c r="S68" i="5"/>
  <c r="U68" i="5"/>
  <c r="CH92" i="1" s="1"/>
  <c r="V68" i="5"/>
  <c r="W68" i="5"/>
  <c r="O69" i="5"/>
  <c r="W69" i="5" s="1"/>
  <c r="P69" i="5"/>
  <c r="X69" i="5" s="1"/>
  <c r="R69" i="5"/>
  <c r="S69" i="5"/>
  <c r="T69" i="5"/>
  <c r="U69" i="5"/>
  <c r="CH95" i="1" s="1"/>
  <c r="V69" i="5"/>
  <c r="O70" i="5"/>
  <c r="P70" i="5"/>
  <c r="S70" i="5"/>
  <c r="V70" i="5"/>
  <c r="O71" i="5"/>
  <c r="P71" i="5" s="1"/>
  <c r="X71" i="5" s="1"/>
  <c r="R71" i="5"/>
  <c r="S71" i="5"/>
  <c r="T71" i="5"/>
  <c r="U71" i="5"/>
  <c r="V71" i="5"/>
  <c r="O72" i="5"/>
  <c r="P72" i="5"/>
  <c r="T72" i="5" s="1"/>
  <c r="S72" i="5"/>
  <c r="V72" i="5" s="1"/>
  <c r="U72" i="5"/>
  <c r="W72" i="5"/>
  <c r="O73" i="5"/>
  <c r="W73" i="5" s="1"/>
  <c r="P73" i="5"/>
  <c r="X73" i="5" s="1"/>
  <c r="S73" i="5"/>
  <c r="V73" i="5" s="1"/>
  <c r="T73" i="5"/>
  <c r="U73" i="5"/>
  <c r="O74" i="5"/>
  <c r="W74" i="5" s="1"/>
  <c r="P74" i="5"/>
  <c r="S74" i="5"/>
  <c r="V74" i="5" s="1"/>
  <c r="O75" i="5"/>
  <c r="P75" i="5"/>
  <c r="X75" i="5" s="1"/>
  <c r="S75" i="5"/>
  <c r="V75" i="5" s="1"/>
  <c r="O76" i="5"/>
  <c r="P76" i="5"/>
  <c r="S76" i="5"/>
  <c r="V76" i="5"/>
  <c r="O77" i="5"/>
  <c r="W77" i="5" s="1"/>
  <c r="P77" i="5"/>
  <c r="X77" i="5" s="1"/>
  <c r="S77" i="5"/>
  <c r="T77" i="5"/>
  <c r="U77" i="5"/>
  <c r="V77" i="5"/>
  <c r="O78" i="5"/>
  <c r="S78" i="5"/>
  <c r="V78" i="5" s="1"/>
  <c r="O79" i="5"/>
  <c r="S79" i="5"/>
  <c r="V79" i="5" s="1"/>
  <c r="O80" i="5"/>
  <c r="P80" i="5"/>
  <c r="X80" i="5" s="1"/>
  <c r="R80" i="5"/>
  <c r="S80" i="5"/>
  <c r="V80" i="5" s="1"/>
  <c r="T80" i="5"/>
  <c r="U80" i="5"/>
  <c r="W80" i="5"/>
  <c r="O81" i="5"/>
  <c r="S81" i="5"/>
  <c r="V81" i="5" s="1"/>
  <c r="O82" i="5"/>
  <c r="S82" i="5"/>
  <c r="V82" i="5" s="1"/>
  <c r="O83" i="5"/>
  <c r="P83" i="5"/>
  <c r="R83" i="5"/>
  <c r="S83" i="5"/>
  <c r="V83" i="5" s="1"/>
  <c r="W83" i="5"/>
  <c r="O84" i="5"/>
  <c r="P84" i="5"/>
  <c r="X84" i="5" s="1"/>
  <c r="S84" i="5"/>
  <c r="V84" i="5"/>
  <c r="O85" i="5"/>
  <c r="P85" i="5"/>
  <c r="U85" i="5" s="1"/>
  <c r="S85" i="5"/>
  <c r="V85" i="5" s="1"/>
  <c r="E86" i="5"/>
  <c r="H86" i="5"/>
  <c r="K86" i="5"/>
  <c r="M86" i="5"/>
  <c r="N86" i="5"/>
  <c r="N87" i="5" s="1"/>
  <c r="S87" i="5" s="1"/>
  <c r="R87" i="5"/>
  <c r="R88" i="5"/>
  <c r="S88" i="5"/>
  <c r="C3" i="12"/>
  <c r="C8" i="12"/>
  <c r="E8" i="12" s="1"/>
  <c r="F8" i="12"/>
  <c r="H8" i="12"/>
  <c r="I8" i="12"/>
  <c r="K8" i="12"/>
  <c r="L8" i="12"/>
  <c r="N8" i="12"/>
  <c r="S8" i="12"/>
  <c r="O9" i="12"/>
  <c r="O10" i="12"/>
  <c r="P10" i="12"/>
  <c r="Q10" i="12"/>
  <c r="R10" i="12"/>
  <c r="S10" i="12"/>
  <c r="T10" i="12"/>
  <c r="U10" i="12"/>
  <c r="V10" i="12"/>
  <c r="O11" i="12"/>
  <c r="P11" i="12"/>
  <c r="Q11" i="12"/>
  <c r="R11" i="12"/>
  <c r="S11" i="12"/>
  <c r="T11" i="12"/>
  <c r="U11" i="12"/>
  <c r="CM7" i="1" s="1"/>
  <c r="V11" i="12"/>
  <c r="W11" i="12"/>
  <c r="X11" i="12"/>
  <c r="O12" i="12"/>
  <c r="P12" i="12"/>
  <c r="X12" i="12" s="1"/>
  <c r="S12" i="12"/>
  <c r="V12" i="12" s="1"/>
  <c r="U12" i="12"/>
  <c r="W12" i="12"/>
  <c r="O13" i="12"/>
  <c r="S13" i="12"/>
  <c r="V13" i="12" s="1"/>
  <c r="O14" i="12"/>
  <c r="P14" i="12"/>
  <c r="R14" i="12" s="1"/>
  <c r="Q14" i="12"/>
  <c r="S14" i="12"/>
  <c r="V14" i="12"/>
  <c r="W14" i="12"/>
  <c r="O15" i="12"/>
  <c r="P15" i="12"/>
  <c r="X15" i="12" s="1"/>
  <c r="S15" i="12"/>
  <c r="V15" i="12" s="1"/>
  <c r="W15" i="12"/>
  <c r="O16" i="12"/>
  <c r="S16" i="12"/>
  <c r="V16" i="12"/>
  <c r="W16" i="12"/>
  <c r="O17" i="12"/>
  <c r="P17" i="12"/>
  <c r="Q17" i="12"/>
  <c r="R17" i="12"/>
  <c r="S17" i="12"/>
  <c r="T17" i="12"/>
  <c r="U17" i="12"/>
  <c r="V17" i="12"/>
  <c r="W17" i="12"/>
  <c r="X17" i="12"/>
  <c r="O18" i="12"/>
  <c r="P18" i="12"/>
  <c r="Q18" i="12"/>
  <c r="S18" i="12"/>
  <c r="V18" i="12" s="1"/>
  <c r="W18" i="12"/>
  <c r="O19" i="12"/>
  <c r="P19" i="12"/>
  <c r="S19" i="12"/>
  <c r="U19" i="12"/>
  <c r="CM15" i="1" s="1"/>
  <c r="W19" i="12"/>
  <c r="O20" i="12"/>
  <c r="T20" i="12" s="1"/>
  <c r="P20" i="12"/>
  <c r="R20" i="12"/>
  <c r="S20" i="12"/>
  <c r="V20" i="12"/>
  <c r="X20" i="12"/>
  <c r="O21" i="12"/>
  <c r="S21" i="12"/>
  <c r="V21" i="12" s="1"/>
  <c r="O22" i="12"/>
  <c r="S22" i="12"/>
  <c r="V22" i="12"/>
  <c r="O23" i="12"/>
  <c r="P23" i="12"/>
  <c r="R23" i="12" s="1"/>
  <c r="AJ19" i="1" s="1"/>
  <c r="S23" i="12"/>
  <c r="V23" i="12" s="1"/>
  <c r="W23" i="12"/>
  <c r="O24" i="12"/>
  <c r="S24" i="12"/>
  <c r="V24" i="12"/>
  <c r="O25" i="12"/>
  <c r="Q25" i="12"/>
  <c r="S25" i="12"/>
  <c r="V25" i="12" s="1"/>
  <c r="O26" i="12"/>
  <c r="P26" i="12"/>
  <c r="Q26" i="12"/>
  <c r="S26" i="12"/>
  <c r="V26" i="12"/>
  <c r="W26" i="12"/>
  <c r="X26" i="12"/>
  <c r="O27" i="12"/>
  <c r="P27" i="12"/>
  <c r="X27" i="12" s="1"/>
  <c r="S27" i="12"/>
  <c r="V27" i="12" s="1"/>
  <c r="O28" i="12"/>
  <c r="S28" i="12"/>
  <c r="V28" i="12" s="1"/>
  <c r="O29" i="12"/>
  <c r="P29" i="12"/>
  <c r="S29" i="12"/>
  <c r="V29" i="12" s="1"/>
  <c r="W29" i="12"/>
  <c r="O30" i="12"/>
  <c r="S30" i="12"/>
  <c r="V30" i="12"/>
  <c r="O31" i="12"/>
  <c r="S31" i="12"/>
  <c r="V31" i="12" s="1"/>
  <c r="O32" i="12"/>
  <c r="S32" i="12"/>
  <c r="V32" i="12"/>
  <c r="W32" i="12"/>
  <c r="O33" i="12"/>
  <c r="P33" i="12"/>
  <c r="R33" i="12"/>
  <c r="S33" i="12"/>
  <c r="U33" i="12"/>
  <c r="CM29" i="1" s="1"/>
  <c r="V33" i="12"/>
  <c r="W33" i="12"/>
  <c r="O34" i="12"/>
  <c r="W34" i="12" s="1"/>
  <c r="P34" i="12"/>
  <c r="R34" i="12"/>
  <c r="S34" i="12"/>
  <c r="U34" i="12"/>
  <c r="CM30" i="1" s="1"/>
  <c r="V34" i="12"/>
  <c r="X34" i="12"/>
  <c r="O35" i="12"/>
  <c r="U35" i="12" s="1"/>
  <c r="P35" i="12"/>
  <c r="S35" i="12"/>
  <c r="V35" i="12" s="1"/>
  <c r="T35" i="12"/>
  <c r="W35" i="12"/>
  <c r="X35" i="12"/>
  <c r="O36" i="12"/>
  <c r="S36" i="12"/>
  <c r="V36" i="12"/>
  <c r="O37" i="12"/>
  <c r="P37" i="12"/>
  <c r="S37" i="12"/>
  <c r="V37" i="12"/>
  <c r="W37" i="12"/>
  <c r="O38" i="12"/>
  <c r="S38" i="12"/>
  <c r="V38" i="12"/>
  <c r="O39" i="12"/>
  <c r="P39" i="12"/>
  <c r="S39" i="12"/>
  <c r="V39" i="12" s="1"/>
  <c r="X39" i="12"/>
  <c r="O40" i="12"/>
  <c r="S40" i="12"/>
  <c r="V40" i="12" s="1"/>
  <c r="W40" i="12"/>
  <c r="O41" i="12"/>
  <c r="P41" i="12"/>
  <c r="R41" i="12"/>
  <c r="S41" i="12"/>
  <c r="V41" i="12" s="1"/>
  <c r="U41" i="12"/>
  <c r="W41" i="12"/>
  <c r="O42" i="12"/>
  <c r="W42" i="12" s="1"/>
  <c r="P42" i="12"/>
  <c r="X42" i="12" s="1"/>
  <c r="S42" i="12"/>
  <c r="T42" i="12"/>
  <c r="U42" i="12"/>
  <c r="CM38" i="1" s="1"/>
  <c r="V42" i="12"/>
  <c r="O43" i="12"/>
  <c r="P43" i="12"/>
  <c r="X43" i="12" s="1"/>
  <c r="S43" i="12"/>
  <c r="V43" i="12" s="1"/>
  <c r="U43" i="12"/>
  <c r="CM39" i="1" s="1"/>
  <c r="W43" i="12"/>
  <c r="O44" i="12"/>
  <c r="S44" i="12"/>
  <c r="V44" i="12" s="1"/>
  <c r="W44" i="12"/>
  <c r="O45" i="12"/>
  <c r="P45" i="12"/>
  <c r="X45" i="12" s="1"/>
  <c r="R45" i="12"/>
  <c r="S45" i="12"/>
  <c r="V45" i="12" s="1"/>
  <c r="W45" i="12"/>
  <c r="O46" i="12"/>
  <c r="S46" i="12"/>
  <c r="V46" i="12"/>
  <c r="O47" i="12"/>
  <c r="S47" i="12"/>
  <c r="V47" i="12" s="1"/>
  <c r="O48" i="12"/>
  <c r="S48" i="12"/>
  <c r="V48" i="12"/>
  <c r="O49" i="12"/>
  <c r="P49" i="12"/>
  <c r="R49" i="12"/>
  <c r="S49" i="12"/>
  <c r="V49" i="12"/>
  <c r="W49" i="12"/>
  <c r="O50" i="12"/>
  <c r="W50" i="12" s="1"/>
  <c r="P50" i="12"/>
  <c r="X50" i="12" s="1"/>
  <c r="S50" i="12"/>
  <c r="V50" i="12"/>
  <c r="O51" i="12"/>
  <c r="P51" i="12"/>
  <c r="S51" i="12"/>
  <c r="V51" i="12" s="1"/>
  <c r="T51" i="12"/>
  <c r="W51" i="12"/>
  <c r="O52" i="12"/>
  <c r="S52" i="12"/>
  <c r="V52" i="12" s="1"/>
  <c r="O53" i="12"/>
  <c r="P53" i="12"/>
  <c r="S53" i="12"/>
  <c r="V53" i="12" s="1"/>
  <c r="W53" i="12"/>
  <c r="O54" i="12"/>
  <c r="W54" i="12" s="1"/>
  <c r="P54" i="12"/>
  <c r="X54" i="12" s="1"/>
  <c r="R54" i="12"/>
  <c r="S54" i="12"/>
  <c r="T54" i="12"/>
  <c r="BT50" i="1" s="1"/>
  <c r="U54" i="12"/>
  <c r="V54" i="12"/>
  <c r="O55" i="12"/>
  <c r="T55" i="12" s="1"/>
  <c r="P55" i="12"/>
  <c r="S55" i="12"/>
  <c r="V55" i="12" s="1"/>
  <c r="U55" i="12"/>
  <c r="W55" i="12"/>
  <c r="X55" i="12"/>
  <c r="O56" i="12"/>
  <c r="S56" i="12"/>
  <c r="V56" i="12" s="1"/>
  <c r="W56" i="12"/>
  <c r="O57" i="12"/>
  <c r="P57" i="12"/>
  <c r="R57" i="12"/>
  <c r="S57" i="12"/>
  <c r="V57" i="12" s="1"/>
  <c r="U57" i="12"/>
  <c r="W57" i="12"/>
  <c r="O58" i="12"/>
  <c r="S58" i="12"/>
  <c r="V58" i="12"/>
  <c r="O59" i="12"/>
  <c r="W59" i="12" s="1"/>
  <c r="P59" i="12"/>
  <c r="X59" i="12" s="1"/>
  <c r="S59" i="12"/>
  <c r="V59" i="12" s="1"/>
  <c r="O60" i="12"/>
  <c r="S60" i="12"/>
  <c r="V60" i="12" s="1"/>
  <c r="O61" i="12"/>
  <c r="P61" i="12"/>
  <c r="R61" i="12"/>
  <c r="S61" i="12"/>
  <c r="V61" i="12" s="1"/>
  <c r="W61" i="12"/>
  <c r="O62" i="12"/>
  <c r="S62" i="12"/>
  <c r="V62" i="12"/>
  <c r="O63" i="12"/>
  <c r="S63" i="12"/>
  <c r="V63" i="12" s="1"/>
  <c r="O64" i="12"/>
  <c r="S64" i="12"/>
  <c r="V64" i="12"/>
  <c r="W64" i="12"/>
  <c r="O65" i="12"/>
  <c r="P65" i="12"/>
  <c r="R65" i="12"/>
  <c r="S65" i="12"/>
  <c r="U65" i="12"/>
  <c r="V65" i="12"/>
  <c r="W65" i="12"/>
  <c r="O66" i="12"/>
  <c r="W66" i="12" s="1"/>
  <c r="P66" i="12"/>
  <c r="R66" i="12"/>
  <c r="S66" i="12"/>
  <c r="U66" i="12"/>
  <c r="V66" i="12"/>
  <c r="X66" i="12"/>
  <c r="O67" i="12"/>
  <c r="U67" i="12" s="1"/>
  <c r="P67" i="12"/>
  <c r="S67" i="12"/>
  <c r="V67" i="12" s="1"/>
  <c r="T67" i="12"/>
  <c r="W67" i="12"/>
  <c r="X67" i="12"/>
  <c r="O68" i="12"/>
  <c r="S68" i="12"/>
  <c r="V68" i="12"/>
  <c r="O69" i="12"/>
  <c r="P69" i="12"/>
  <c r="S69" i="12"/>
  <c r="V69" i="12"/>
  <c r="W69" i="12"/>
  <c r="O70" i="12"/>
  <c r="R70" i="12" s="1"/>
  <c r="P70" i="12"/>
  <c r="X70" i="12" s="1"/>
  <c r="S70" i="12"/>
  <c r="V70" i="12"/>
  <c r="O71" i="12"/>
  <c r="S71" i="12"/>
  <c r="V71" i="12" s="1"/>
  <c r="O72" i="12"/>
  <c r="S72" i="12"/>
  <c r="V72" i="12" s="1"/>
  <c r="W72" i="12"/>
  <c r="O73" i="12"/>
  <c r="P73" i="12"/>
  <c r="R73" i="12"/>
  <c r="S73" i="12"/>
  <c r="V73" i="12" s="1"/>
  <c r="U73" i="12"/>
  <c r="W73" i="12"/>
  <c r="O74" i="12"/>
  <c r="W74" i="12" s="1"/>
  <c r="P74" i="12"/>
  <c r="S74" i="12"/>
  <c r="V74" i="12"/>
  <c r="O75" i="12"/>
  <c r="P75" i="12"/>
  <c r="S75" i="12"/>
  <c r="V75" i="12" s="1"/>
  <c r="T75" i="12"/>
  <c r="W75" i="12"/>
  <c r="O76" i="12"/>
  <c r="S76" i="12"/>
  <c r="V76" i="12" s="1"/>
  <c r="W76" i="12"/>
  <c r="O77" i="12"/>
  <c r="P77" i="12"/>
  <c r="X77" i="12" s="1"/>
  <c r="R77" i="12"/>
  <c r="S77" i="12"/>
  <c r="V77" i="12"/>
  <c r="W77" i="12"/>
  <c r="O78" i="12"/>
  <c r="S78" i="12"/>
  <c r="V78" i="12"/>
  <c r="O79" i="12"/>
  <c r="S79" i="12"/>
  <c r="V79" i="12" s="1"/>
  <c r="O80" i="12"/>
  <c r="S80" i="12"/>
  <c r="V80" i="12"/>
  <c r="O81" i="12"/>
  <c r="P81" i="12"/>
  <c r="R81" i="12"/>
  <c r="S81" i="12"/>
  <c r="V81" i="12"/>
  <c r="W81" i="12"/>
  <c r="O82" i="12"/>
  <c r="W82" i="12" s="1"/>
  <c r="P82" i="12"/>
  <c r="R82" i="12"/>
  <c r="S82" i="12"/>
  <c r="V82" i="12"/>
  <c r="X82" i="12"/>
  <c r="O83" i="12"/>
  <c r="P83" i="12"/>
  <c r="S83" i="12"/>
  <c r="V83" i="12" s="1"/>
  <c r="T83" i="12"/>
  <c r="W83" i="12"/>
  <c r="O84" i="12"/>
  <c r="S84" i="12"/>
  <c r="V84" i="12"/>
  <c r="O85" i="12"/>
  <c r="P85" i="12"/>
  <c r="S85" i="12"/>
  <c r="V85" i="12" s="1"/>
  <c r="U85" i="12"/>
  <c r="W85" i="12"/>
  <c r="O86" i="12"/>
  <c r="W86" i="12" s="1"/>
  <c r="P86" i="12"/>
  <c r="X86" i="12" s="1"/>
  <c r="R86" i="12"/>
  <c r="S86" i="12"/>
  <c r="T86" i="12"/>
  <c r="U86" i="12"/>
  <c r="V86" i="12"/>
  <c r="E87" i="12"/>
  <c r="H87" i="12"/>
  <c r="K87" i="12"/>
  <c r="M87" i="12"/>
  <c r="N87" i="12"/>
  <c r="N88" i="12" s="1"/>
  <c r="S88" i="12" s="1"/>
  <c r="R88" i="12"/>
  <c r="R89" i="12"/>
  <c r="S89" i="12"/>
  <c r="C3" i="13"/>
  <c r="C8" i="13"/>
  <c r="E8" i="13" s="1"/>
  <c r="F8" i="13"/>
  <c r="H8" i="13"/>
  <c r="I8" i="13"/>
  <c r="K8" i="13" s="1"/>
  <c r="L8" i="13"/>
  <c r="N8" i="13"/>
  <c r="S8" i="13"/>
  <c r="O9" i="13"/>
  <c r="O10" i="13"/>
  <c r="T10" i="13" s="1"/>
  <c r="P10" i="13"/>
  <c r="Q10" i="13"/>
  <c r="S10" i="13"/>
  <c r="U10" i="13"/>
  <c r="O11" i="13"/>
  <c r="P11" i="13"/>
  <c r="X11" i="13" s="1"/>
  <c r="Q11" i="13"/>
  <c r="S11" i="13"/>
  <c r="V11" i="13" s="1"/>
  <c r="O12" i="13"/>
  <c r="S12" i="13"/>
  <c r="V12" i="13"/>
  <c r="O13" i="13"/>
  <c r="T13" i="13" s="1"/>
  <c r="BU9" i="1" s="1"/>
  <c r="P13" i="13"/>
  <c r="R13" i="13"/>
  <c r="S13" i="13"/>
  <c r="V13" i="13"/>
  <c r="W13" i="13"/>
  <c r="O14" i="13"/>
  <c r="P14" i="13"/>
  <c r="Q14" i="13"/>
  <c r="S14" i="13"/>
  <c r="V14" i="13" s="1"/>
  <c r="W14" i="13"/>
  <c r="O15" i="13"/>
  <c r="S15" i="13"/>
  <c r="W15" i="13"/>
  <c r="O16" i="13"/>
  <c r="P16" i="13"/>
  <c r="R16" i="13"/>
  <c r="S16" i="13"/>
  <c r="V16" i="13" s="1"/>
  <c r="U16" i="13"/>
  <c r="CN12" i="1" s="1"/>
  <c r="W16" i="13"/>
  <c r="O17" i="13"/>
  <c r="P17" i="13"/>
  <c r="X17" i="13" s="1"/>
  <c r="Q17" i="13"/>
  <c r="S17" i="13"/>
  <c r="V17" i="13" s="1"/>
  <c r="T17" i="13"/>
  <c r="O18" i="13"/>
  <c r="Q18" i="13"/>
  <c r="S18" i="13"/>
  <c r="O19" i="13"/>
  <c r="W19" i="13" s="1"/>
  <c r="P19" i="13"/>
  <c r="X19" i="13" s="1"/>
  <c r="R19" i="13"/>
  <c r="S19" i="13"/>
  <c r="T19" i="13"/>
  <c r="U19" i="13"/>
  <c r="V19" i="13"/>
  <c r="O20" i="13"/>
  <c r="T20" i="13" s="1"/>
  <c r="P20" i="13"/>
  <c r="S20" i="13"/>
  <c r="V20" i="13" s="1"/>
  <c r="U20" i="13"/>
  <c r="W20" i="13"/>
  <c r="X20" i="13"/>
  <c r="O21" i="13"/>
  <c r="S21" i="13"/>
  <c r="V21" i="13" s="1"/>
  <c r="W21" i="13"/>
  <c r="O22" i="13"/>
  <c r="P22" i="13"/>
  <c r="R22" i="13"/>
  <c r="S22" i="13"/>
  <c r="V22" i="13" s="1"/>
  <c r="U22" i="13"/>
  <c r="W22" i="13"/>
  <c r="O23" i="13"/>
  <c r="P23" i="13"/>
  <c r="X23" i="13" s="1"/>
  <c r="S23" i="13"/>
  <c r="U23" i="13"/>
  <c r="CN20" i="1" s="1"/>
  <c r="V23" i="13"/>
  <c r="O24" i="13"/>
  <c r="P24" i="13" s="1"/>
  <c r="X24" i="13" s="1"/>
  <c r="Q24" i="13"/>
  <c r="S24" i="13"/>
  <c r="V24" i="13" s="1"/>
  <c r="W24" i="13"/>
  <c r="O25" i="13"/>
  <c r="P25" i="13"/>
  <c r="T25" i="13" s="1"/>
  <c r="Q25" i="13"/>
  <c r="R25" i="13"/>
  <c r="S25" i="13"/>
  <c r="U25" i="13"/>
  <c r="V25" i="13"/>
  <c r="W25" i="13"/>
  <c r="X25" i="13"/>
  <c r="O26" i="13"/>
  <c r="T26" i="13" s="1"/>
  <c r="P26" i="13"/>
  <c r="S26" i="13"/>
  <c r="V26" i="13" s="1"/>
  <c r="U26" i="13"/>
  <c r="W26" i="13"/>
  <c r="X26" i="13"/>
  <c r="O27" i="13"/>
  <c r="S27" i="13"/>
  <c r="V27" i="13" s="1"/>
  <c r="W27" i="13"/>
  <c r="O28" i="13"/>
  <c r="P28" i="13"/>
  <c r="R28" i="13"/>
  <c r="S28" i="13"/>
  <c r="V28" i="13" s="1"/>
  <c r="U28" i="13"/>
  <c r="CN25" i="1" s="1"/>
  <c r="W28" i="13"/>
  <c r="O29" i="13"/>
  <c r="U29" i="13" s="1"/>
  <c r="CN26" i="1" s="1"/>
  <c r="P29" i="13"/>
  <c r="S29" i="13"/>
  <c r="V29" i="13"/>
  <c r="X29" i="13"/>
  <c r="O30" i="13"/>
  <c r="S30" i="13"/>
  <c r="V30" i="13" s="1"/>
  <c r="O31" i="13"/>
  <c r="S31" i="13"/>
  <c r="V31" i="13" s="1"/>
  <c r="O32" i="13"/>
  <c r="P32" i="13"/>
  <c r="R32" i="13" s="1"/>
  <c r="S32" i="13"/>
  <c r="V32" i="13" s="1"/>
  <c r="W32" i="13"/>
  <c r="O33" i="13"/>
  <c r="S33" i="13"/>
  <c r="V33" i="13"/>
  <c r="O34" i="13"/>
  <c r="S34" i="13"/>
  <c r="V34" i="13" s="1"/>
  <c r="O35" i="13"/>
  <c r="S35" i="13"/>
  <c r="V35" i="13"/>
  <c r="W35" i="13"/>
  <c r="O36" i="13"/>
  <c r="P36" i="13"/>
  <c r="R36" i="13"/>
  <c r="S36" i="13"/>
  <c r="U36" i="13"/>
  <c r="V36" i="13"/>
  <c r="W36" i="13"/>
  <c r="O37" i="13"/>
  <c r="W37" i="13" s="1"/>
  <c r="P37" i="13"/>
  <c r="R37" i="13"/>
  <c r="S37" i="13"/>
  <c r="U37" i="13"/>
  <c r="CN34" i="1" s="1"/>
  <c r="V37" i="13"/>
  <c r="X37" i="13"/>
  <c r="O38" i="13"/>
  <c r="T38" i="13" s="1"/>
  <c r="P38" i="13"/>
  <c r="R38" i="13"/>
  <c r="S38" i="13"/>
  <c r="V38" i="13" s="1"/>
  <c r="U38" i="13"/>
  <c r="CN35" i="1" s="1"/>
  <c r="W38" i="13"/>
  <c r="X38" i="13"/>
  <c r="O39" i="13"/>
  <c r="T39" i="13" s="1"/>
  <c r="P39" i="13"/>
  <c r="R39" i="13"/>
  <c r="S39" i="13"/>
  <c r="W39" i="13"/>
  <c r="X39" i="13"/>
  <c r="O40" i="13"/>
  <c r="U40" i="13" s="1"/>
  <c r="P40" i="13"/>
  <c r="R40" i="13"/>
  <c r="S40" i="13"/>
  <c r="V40" i="13"/>
  <c r="W40" i="13"/>
  <c r="X40" i="13"/>
  <c r="O41" i="13"/>
  <c r="T41" i="13" s="1"/>
  <c r="P41" i="13"/>
  <c r="X41" i="13" s="1"/>
  <c r="R41" i="13"/>
  <c r="S41" i="13"/>
  <c r="U41" i="13"/>
  <c r="V41" i="13"/>
  <c r="W41" i="13"/>
  <c r="O42" i="13"/>
  <c r="T42" i="13" s="1"/>
  <c r="P42" i="13"/>
  <c r="X42" i="13" s="1"/>
  <c r="S42" i="13"/>
  <c r="U42" i="13"/>
  <c r="W42" i="13"/>
  <c r="O43" i="13"/>
  <c r="P43" i="13" s="1"/>
  <c r="X43" i="13" s="1"/>
  <c r="R43" i="13"/>
  <c r="S43" i="13"/>
  <c r="V43" i="13" s="1"/>
  <c r="U43" i="13"/>
  <c r="W43" i="13"/>
  <c r="O44" i="13"/>
  <c r="P44" i="13"/>
  <c r="X44" i="13" s="1"/>
  <c r="R44" i="13"/>
  <c r="S44" i="13"/>
  <c r="T44" i="13"/>
  <c r="BU42" i="1" s="1"/>
  <c r="U44" i="13"/>
  <c r="V44" i="13"/>
  <c r="W44" i="13"/>
  <c r="O45" i="13"/>
  <c r="W45" i="13" s="1"/>
  <c r="P45" i="13"/>
  <c r="X45" i="13" s="1"/>
  <c r="R45" i="13"/>
  <c r="S45" i="13"/>
  <c r="T45" i="13"/>
  <c r="BU43" i="1" s="1"/>
  <c r="U45" i="13"/>
  <c r="V45" i="13"/>
  <c r="O46" i="13"/>
  <c r="P46" i="13"/>
  <c r="X46" i="13" s="1"/>
  <c r="R46" i="13"/>
  <c r="S46" i="13"/>
  <c r="V46" i="13" s="1"/>
  <c r="T46" i="13"/>
  <c r="U46" i="13"/>
  <c r="CN44" i="1" s="1"/>
  <c r="W46" i="13"/>
  <c r="O47" i="13"/>
  <c r="P47" i="13"/>
  <c r="X47" i="13" s="1"/>
  <c r="R47" i="13"/>
  <c r="S47" i="13"/>
  <c r="T47" i="13"/>
  <c r="V47" i="13"/>
  <c r="W47" i="13"/>
  <c r="O48" i="13"/>
  <c r="P48" i="13"/>
  <c r="X48" i="13" s="1"/>
  <c r="R48" i="13"/>
  <c r="S48" i="13"/>
  <c r="U48" i="13"/>
  <c r="V48" i="13"/>
  <c r="W48" i="13"/>
  <c r="O49" i="13"/>
  <c r="W49" i="13" s="1"/>
  <c r="P49" i="13"/>
  <c r="X49" i="13" s="1"/>
  <c r="R49" i="13"/>
  <c r="S49" i="13"/>
  <c r="T49" i="13"/>
  <c r="U49" i="13"/>
  <c r="V49" i="13"/>
  <c r="O50" i="13"/>
  <c r="P50" i="13"/>
  <c r="S50" i="13"/>
  <c r="V50" i="13"/>
  <c r="O51" i="13"/>
  <c r="P51" i="13" s="1"/>
  <c r="T51" i="13"/>
  <c r="BU49" i="1" s="1"/>
  <c r="V51" i="13"/>
  <c r="W51" i="13"/>
  <c r="X51" i="13"/>
  <c r="O52" i="13"/>
  <c r="U52" i="13" s="1"/>
  <c r="P52" i="13"/>
  <c r="S52" i="13"/>
  <c r="T52" i="13"/>
  <c r="V52" i="13"/>
  <c r="W52" i="13"/>
  <c r="X52" i="13"/>
  <c r="O53" i="13"/>
  <c r="P53" i="13" s="1"/>
  <c r="R53" i="13"/>
  <c r="S53" i="13"/>
  <c r="T53" i="13"/>
  <c r="V53" i="13"/>
  <c r="W53" i="13"/>
  <c r="X53" i="13"/>
  <c r="O54" i="13"/>
  <c r="P54" i="13"/>
  <c r="X54" i="13" s="1"/>
  <c r="R54" i="13"/>
  <c r="S54" i="13"/>
  <c r="U54" i="13"/>
  <c r="V54" i="13"/>
  <c r="W54" i="13"/>
  <c r="O55" i="13"/>
  <c r="W55" i="13" s="1"/>
  <c r="P55" i="13"/>
  <c r="R55" i="13"/>
  <c r="S55" i="13"/>
  <c r="V55" i="13" s="1"/>
  <c r="U55" i="13"/>
  <c r="X55" i="13"/>
  <c r="O56" i="13"/>
  <c r="T56" i="13" s="1"/>
  <c r="P56" i="13"/>
  <c r="R56" i="13"/>
  <c r="S56" i="13"/>
  <c r="V56" i="13" s="1"/>
  <c r="U56" i="13"/>
  <c r="CN54" i="1" s="1"/>
  <c r="W56" i="13"/>
  <c r="X56" i="13"/>
  <c r="O57" i="13"/>
  <c r="T57" i="13" s="1"/>
  <c r="P57" i="13"/>
  <c r="R57" i="13"/>
  <c r="S57" i="13"/>
  <c r="V57" i="13" s="1"/>
  <c r="W57" i="13"/>
  <c r="X57" i="13"/>
  <c r="O58" i="13"/>
  <c r="P58" i="13"/>
  <c r="T58" i="13"/>
  <c r="U58" i="13"/>
  <c r="V58" i="13"/>
  <c r="W58" i="13"/>
  <c r="X58" i="13"/>
  <c r="O59" i="13"/>
  <c r="S59" i="13"/>
  <c r="V59" i="13" s="1"/>
  <c r="W59" i="13"/>
  <c r="O60" i="13"/>
  <c r="S60" i="13"/>
  <c r="V60" i="13" s="1"/>
  <c r="O61" i="13"/>
  <c r="W61" i="13" s="1"/>
  <c r="V61" i="13"/>
  <c r="O62" i="13"/>
  <c r="P62" i="13"/>
  <c r="S62" i="13"/>
  <c r="V62" i="13"/>
  <c r="O63" i="13"/>
  <c r="V63" i="13"/>
  <c r="O64" i="13"/>
  <c r="V64" i="13"/>
  <c r="O65" i="13"/>
  <c r="W65" i="13" s="1"/>
  <c r="P65" i="13"/>
  <c r="U65" i="13"/>
  <c r="V65" i="13"/>
  <c r="X65" i="13"/>
  <c r="O66" i="13"/>
  <c r="P66" i="13"/>
  <c r="X66" i="13" s="1"/>
  <c r="T66" i="13"/>
  <c r="U66" i="13"/>
  <c r="V66" i="13"/>
  <c r="W66" i="13"/>
  <c r="O67" i="13"/>
  <c r="S67" i="13"/>
  <c r="V67" i="13" s="1"/>
  <c r="O68" i="13"/>
  <c r="S68" i="13"/>
  <c r="V68" i="13" s="1"/>
  <c r="O69" i="13"/>
  <c r="P69" i="13" s="1"/>
  <c r="X69" i="13" s="1"/>
  <c r="V69" i="13"/>
  <c r="O70" i="13"/>
  <c r="P70" i="13"/>
  <c r="R70" i="13"/>
  <c r="S70" i="13"/>
  <c r="V70" i="13" s="1"/>
  <c r="W70" i="13"/>
  <c r="O71" i="13"/>
  <c r="W71" i="13" s="1"/>
  <c r="P71" i="13"/>
  <c r="V71" i="13"/>
  <c r="O72" i="13"/>
  <c r="T72" i="13" s="1"/>
  <c r="P72" i="13"/>
  <c r="X72" i="13" s="1"/>
  <c r="V72" i="13"/>
  <c r="W72" i="13"/>
  <c r="O73" i="13"/>
  <c r="W73" i="13" s="1"/>
  <c r="P73" i="13"/>
  <c r="R73" i="13"/>
  <c r="S73" i="13"/>
  <c r="V73" i="13" s="1"/>
  <c r="U73" i="13"/>
  <c r="X73" i="13"/>
  <c r="O74" i="13"/>
  <c r="T74" i="13" s="1"/>
  <c r="BU72" i="1" s="1"/>
  <c r="P74" i="13"/>
  <c r="R74" i="13"/>
  <c r="S74" i="13"/>
  <c r="V74" i="13" s="1"/>
  <c r="U74" i="13"/>
  <c r="W74" i="13"/>
  <c r="X74" i="13"/>
  <c r="O75" i="13"/>
  <c r="W75" i="13" s="1"/>
  <c r="P75" i="13"/>
  <c r="T75" i="13"/>
  <c r="U75" i="13"/>
  <c r="V75" i="13"/>
  <c r="X75" i="13"/>
  <c r="O76" i="13"/>
  <c r="P76" i="13" s="1"/>
  <c r="X76" i="13" s="1"/>
  <c r="S76" i="13"/>
  <c r="V76" i="13" s="1"/>
  <c r="U76" i="13"/>
  <c r="O77" i="13"/>
  <c r="V77" i="13"/>
  <c r="O78" i="13"/>
  <c r="P78" i="13"/>
  <c r="R78" i="13"/>
  <c r="S78" i="13"/>
  <c r="V78" i="13" s="1"/>
  <c r="W78" i="13"/>
  <c r="X78" i="13"/>
  <c r="O79" i="13"/>
  <c r="P79" i="13"/>
  <c r="T79" i="13" s="1"/>
  <c r="S79" i="13"/>
  <c r="V79" i="13" s="1"/>
  <c r="W79" i="13"/>
  <c r="O80" i="13"/>
  <c r="P80" i="13"/>
  <c r="R80" i="13"/>
  <c r="S80" i="13"/>
  <c r="V80" i="13" s="1"/>
  <c r="W80" i="13"/>
  <c r="O81" i="13"/>
  <c r="P81" i="13"/>
  <c r="R81" i="13"/>
  <c r="S81" i="13"/>
  <c r="V81" i="13"/>
  <c r="W81" i="13"/>
  <c r="O82" i="13"/>
  <c r="P82" i="13"/>
  <c r="X82" i="13" s="1"/>
  <c r="U82" i="13"/>
  <c r="V82" i="13"/>
  <c r="O83" i="13"/>
  <c r="S83" i="13"/>
  <c r="V83" i="13"/>
  <c r="O84" i="13"/>
  <c r="P84" i="13"/>
  <c r="U84" i="13" s="1"/>
  <c r="S84" i="13"/>
  <c r="V84" i="13" s="1"/>
  <c r="T84" i="13"/>
  <c r="W84" i="13"/>
  <c r="X84" i="13"/>
  <c r="O85" i="13"/>
  <c r="P85" i="13" s="1"/>
  <c r="T85" i="13"/>
  <c r="U85" i="13"/>
  <c r="V85" i="13"/>
  <c r="W85" i="13"/>
  <c r="X85" i="13"/>
  <c r="O86" i="13"/>
  <c r="U86" i="13" s="1"/>
  <c r="P86" i="13"/>
  <c r="V86" i="13"/>
  <c r="W86" i="13"/>
  <c r="X86" i="13"/>
  <c r="O87" i="13"/>
  <c r="W87" i="13" s="1"/>
  <c r="P87" i="13"/>
  <c r="T87" i="13"/>
  <c r="V87" i="13"/>
  <c r="X87" i="13"/>
  <c r="O88" i="13"/>
  <c r="P88" i="13"/>
  <c r="S88" i="13"/>
  <c r="V88" i="13"/>
  <c r="X88" i="13"/>
  <c r="O89" i="13"/>
  <c r="S89" i="13"/>
  <c r="O90" i="13"/>
  <c r="S90" i="13"/>
  <c r="O91" i="13"/>
  <c r="P91" i="13"/>
  <c r="X91" i="13" s="1"/>
  <c r="W91" i="13"/>
  <c r="O92" i="13"/>
  <c r="P92" i="13"/>
  <c r="R92" i="13"/>
  <c r="S92" i="13"/>
  <c r="W92" i="13"/>
  <c r="X92" i="13"/>
  <c r="O93" i="13"/>
  <c r="P93" i="13"/>
  <c r="X93" i="13" s="1"/>
  <c r="S93" i="13"/>
  <c r="O94" i="13"/>
  <c r="P94" i="13" s="1"/>
  <c r="W94" i="13"/>
  <c r="X94" i="13"/>
  <c r="O95" i="13"/>
  <c r="P95" i="13"/>
  <c r="W95" i="13"/>
  <c r="X95" i="13"/>
  <c r="O96" i="13"/>
  <c r="S96" i="13"/>
  <c r="O97" i="13"/>
  <c r="W97" i="13" s="1"/>
  <c r="P97" i="13"/>
  <c r="R97" i="13"/>
  <c r="S97" i="13"/>
  <c r="X97" i="13"/>
  <c r="O98" i="13"/>
  <c r="P98" i="13"/>
  <c r="S98" i="13"/>
  <c r="W98" i="13"/>
  <c r="O99" i="13"/>
  <c r="P99" i="13"/>
  <c r="X99" i="13" s="1"/>
  <c r="S99" i="13"/>
  <c r="W99" i="13"/>
  <c r="O100" i="13"/>
  <c r="W100" i="13" s="1"/>
  <c r="P100" i="13"/>
  <c r="R100" i="13"/>
  <c r="S100" i="13"/>
  <c r="X100" i="13"/>
  <c r="O101" i="13"/>
  <c r="P101" i="13"/>
  <c r="S101" i="13"/>
  <c r="X101" i="13"/>
  <c r="O102" i="13"/>
  <c r="P102" i="13"/>
  <c r="S102" i="13"/>
  <c r="W102" i="13"/>
  <c r="O103" i="13"/>
  <c r="P103" i="13"/>
  <c r="S103" i="13"/>
  <c r="W103" i="13"/>
  <c r="X103" i="13"/>
  <c r="O104" i="13"/>
  <c r="S104" i="13"/>
  <c r="O105" i="13"/>
  <c r="P105" i="13"/>
  <c r="X105" i="13" s="1"/>
  <c r="R105" i="13"/>
  <c r="S105" i="13"/>
  <c r="W105" i="13"/>
  <c r="O106" i="13"/>
  <c r="P106" i="13"/>
  <c r="R106" i="13" s="1"/>
  <c r="S106" i="13"/>
  <c r="W106" i="13"/>
  <c r="O107" i="13"/>
  <c r="P107" i="13"/>
  <c r="X107" i="13" s="1"/>
  <c r="S107" i="13"/>
  <c r="W107" i="13"/>
  <c r="O108" i="13"/>
  <c r="W108" i="13" s="1"/>
  <c r="P108" i="13"/>
  <c r="X108" i="13" s="1"/>
  <c r="R108" i="13"/>
  <c r="S108" i="13"/>
  <c r="O109" i="13"/>
  <c r="R109" i="13" s="1"/>
  <c r="P109" i="13"/>
  <c r="X109" i="13" s="1"/>
  <c r="S109" i="13"/>
  <c r="W109" i="13"/>
  <c r="O110" i="13"/>
  <c r="P110" i="13"/>
  <c r="R110" i="13"/>
  <c r="S110" i="13"/>
  <c r="W110" i="13"/>
  <c r="X110" i="13"/>
  <c r="O111" i="13"/>
  <c r="P111" i="13" s="1"/>
  <c r="X111" i="13" s="1"/>
  <c r="S111" i="13"/>
  <c r="O112" i="13"/>
  <c r="S112" i="13"/>
  <c r="O113" i="13"/>
  <c r="W113" i="13" s="1"/>
  <c r="P113" i="13"/>
  <c r="R113" i="13"/>
  <c r="S113" i="13"/>
  <c r="X113" i="13"/>
  <c r="O114" i="13"/>
  <c r="P114" i="13"/>
  <c r="S114" i="13"/>
  <c r="W114" i="13"/>
  <c r="O115" i="13"/>
  <c r="P115" i="13"/>
  <c r="X115" i="13" s="1"/>
  <c r="S115" i="13"/>
  <c r="W115" i="13"/>
  <c r="O116" i="13"/>
  <c r="W116" i="13" s="1"/>
  <c r="P116" i="13"/>
  <c r="R116" i="13"/>
  <c r="S116" i="13"/>
  <c r="X116" i="13"/>
  <c r="O117" i="13"/>
  <c r="P117" i="13"/>
  <c r="S117" i="13"/>
  <c r="X117" i="13"/>
  <c r="R118" i="13"/>
  <c r="S118" i="13"/>
  <c r="W118" i="13"/>
  <c r="X118" i="13"/>
  <c r="E119" i="13"/>
  <c r="H119" i="13"/>
  <c r="K119" i="13"/>
  <c r="M119" i="13"/>
  <c r="N120" i="13" s="1"/>
  <c r="N119" i="13"/>
  <c r="Q119" i="13"/>
  <c r="C3" i="10"/>
  <c r="C8" i="10"/>
  <c r="E8" i="10"/>
  <c r="F8" i="10"/>
  <c r="H8" i="10"/>
  <c r="I8" i="10"/>
  <c r="K8" i="10" s="1"/>
  <c r="L8" i="10"/>
  <c r="N8" i="10"/>
  <c r="S8" i="10"/>
  <c r="O9" i="10"/>
  <c r="O10" i="10"/>
  <c r="P10" i="10"/>
  <c r="Q10" i="10"/>
  <c r="S10" i="10"/>
  <c r="V10" i="10"/>
  <c r="O11" i="10"/>
  <c r="P11" i="10"/>
  <c r="Q11" i="10"/>
  <c r="R11" i="10"/>
  <c r="AL7" i="1" s="1"/>
  <c r="S11" i="10"/>
  <c r="V11" i="10"/>
  <c r="W11" i="10"/>
  <c r="X11" i="10"/>
  <c r="O12" i="10"/>
  <c r="S12" i="10"/>
  <c r="V12" i="10" s="1"/>
  <c r="O13" i="10"/>
  <c r="P13" i="10" s="1"/>
  <c r="X13" i="10" s="1"/>
  <c r="S13" i="10"/>
  <c r="V13" i="10"/>
  <c r="O14" i="10"/>
  <c r="P14" i="10"/>
  <c r="X14" i="10" s="1"/>
  <c r="Q14" i="10"/>
  <c r="S14" i="10"/>
  <c r="V14" i="10"/>
  <c r="O15" i="10"/>
  <c r="U15" i="10" s="1"/>
  <c r="P15" i="10"/>
  <c r="S15" i="10"/>
  <c r="T15" i="10"/>
  <c r="V15" i="10"/>
  <c r="W15" i="10"/>
  <c r="X15" i="10"/>
  <c r="O16" i="10"/>
  <c r="T16" i="10" s="1"/>
  <c r="P16" i="10"/>
  <c r="X16" i="10" s="1"/>
  <c r="R16" i="10"/>
  <c r="S16" i="10"/>
  <c r="U16" i="10"/>
  <c r="W16" i="10"/>
  <c r="O17" i="10"/>
  <c r="R17" i="10" s="1"/>
  <c r="AL13" i="1" s="1"/>
  <c r="P17" i="10"/>
  <c r="Q17" i="10"/>
  <c r="S17" i="10"/>
  <c r="T17" i="10"/>
  <c r="U17" i="10"/>
  <c r="W17" i="10"/>
  <c r="X17" i="10"/>
  <c r="O18" i="10"/>
  <c r="Q18" i="10"/>
  <c r="S18" i="10"/>
  <c r="O19" i="10"/>
  <c r="P19" i="10" s="1"/>
  <c r="X19" i="10" s="1"/>
  <c r="S19" i="10"/>
  <c r="V19" i="10"/>
  <c r="O20" i="10"/>
  <c r="S20" i="10"/>
  <c r="V20" i="10" s="1"/>
  <c r="O21" i="10"/>
  <c r="S21" i="10"/>
  <c r="V21" i="10"/>
  <c r="W21" i="10"/>
  <c r="O22" i="10"/>
  <c r="T22" i="10" s="1"/>
  <c r="P22" i="10"/>
  <c r="X22" i="10" s="1"/>
  <c r="R22" i="10"/>
  <c r="S22" i="10"/>
  <c r="U22" i="10"/>
  <c r="CO19" i="1" s="1"/>
  <c r="W22" i="10"/>
  <c r="O23" i="10"/>
  <c r="W23" i="10" s="1"/>
  <c r="P23" i="10"/>
  <c r="X23" i="10" s="1"/>
  <c r="R23" i="10"/>
  <c r="AL20" i="1" s="1"/>
  <c r="S23" i="10"/>
  <c r="T23" i="10"/>
  <c r="BV20" i="1" s="1"/>
  <c r="U23" i="10"/>
  <c r="CO20" i="1" s="1"/>
  <c r="V23" i="10"/>
  <c r="O24" i="10"/>
  <c r="U24" i="10" s="1"/>
  <c r="P24" i="10"/>
  <c r="Q24" i="10"/>
  <c r="R24" i="10"/>
  <c r="AL21" i="1" s="1"/>
  <c r="S24" i="10"/>
  <c r="V24" i="10" s="1"/>
  <c r="T24" i="10"/>
  <c r="BV21" i="1" s="1"/>
  <c r="W24" i="10"/>
  <c r="X24" i="10"/>
  <c r="O25" i="10"/>
  <c r="P25" i="10"/>
  <c r="Q25" i="10"/>
  <c r="R25" i="10"/>
  <c r="AL22" i="1" s="1"/>
  <c r="S25" i="10"/>
  <c r="V25" i="10"/>
  <c r="W25" i="10"/>
  <c r="X25" i="10"/>
  <c r="O26" i="10"/>
  <c r="P26" i="10" s="1"/>
  <c r="U26" i="10" s="1"/>
  <c r="S26" i="10"/>
  <c r="V26" i="10" s="1"/>
  <c r="X26" i="10"/>
  <c r="O27" i="10"/>
  <c r="S27" i="10"/>
  <c r="V27" i="10"/>
  <c r="O28" i="10"/>
  <c r="T28" i="10" s="1"/>
  <c r="P28" i="10"/>
  <c r="X28" i="10" s="1"/>
  <c r="R28" i="10"/>
  <c r="S28" i="10"/>
  <c r="U28" i="10"/>
  <c r="W28" i="10"/>
  <c r="O29" i="10"/>
  <c r="W29" i="10" s="1"/>
  <c r="P29" i="10"/>
  <c r="X29" i="10" s="1"/>
  <c r="R29" i="10"/>
  <c r="AL26" i="1" s="1"/>
  <c r="S29" i="10"/>
  <c r="T29" i="10"/>
  <c r="U29" i="10"/>
  <c r="V29" i="10"/>
  <c r="O30" i="10"/>
  <c r="W30" i="10" s="1"/>
  <c r="P30" i="10"/>
  <c r="S30" i="10"/>
  <c r="V30" i="10" s="1"/>
  <c r="T30" i="10"/>
  <c r="BV27" i="1" s="1"/>
  <c r="O31" i="10"/>
  <c r="S31" i="10"/>
  <c r="V31" i="10" s="1"/>
  <c r="O32" i="10"/>
  <c r="P32" i="10"/>
  <c r="S32" i="10"/>
  <c r="W32" i="10"/>
  <c r="O33" i="10"/>
  <c r="P33" i="10"/>
  <c r="R33" i="10"/>
  <c r="S33" i="10"/>
  <c r="V33" i="10"/>
  <c r="X33" i="10"/>
  <c r="O34" i="10"/>
  <c r="S34" i="10"/>
  <c r="V34" i="10" s="1"/>
  <c r="O35" i="10"/>
  <c r="S35" i="10"/>
  <c r="V35" i="10"/>
  <c r="O36" i="10"/>
  <c r="T36" i="10" s="1"/>
  <c r="P36" i="10"/>
  <c r="X36" i="10" s="1"/>
  <c r="R36" i="10"/>
  <c r="S36" i="10"/>
  <c r="V36" i="10" s="1"/>
  <c r="U36" i="10"/>
  <c r="CO33" i="1" s="1"/>
  <c r="W36" i="10"/>
  <c r="O37" i="10"/>
  <c r="W37" i="10" s="1"/>
  <c r="P37" i="10"/>
  <c r="X37" i="10" s="1"/>
  <c r="R37" i="10"/>
  <c r="S37" i="10"/>
  <c r="T37" i="10"/>
  <c r="U37" i="10"/>
  <c r="V37" i="10"/>
  <c r="O38" i="10"/>
  <c r="W38" i="10" s="1"/>
  <c r="P38" i="10"/>
  <c r="X38" i="10" s="1"/>
  <c r="S38" i="10"/>
  <c r="U38" i="10"/>
  <c r="O39" i="10"/>
  <c r="S39" i="10"/>
  <c r="V39" i="10" s="1"/>
  <c r="O40" i="10"/>
  <c r="P40" i="10"/>
  <c r="R40" i="10"/>
  <c r="AL37" i="1" s="1"/>
  <c r="S40" i="10"/>
  <c r="V40" i="10" s="1"/>
  <c r="W40" i="10"/>
  <c r="O41" i="10"/>
  <c r="P41" i="10" s="1"/>
  <c r="X41" i="10" s="1"/>
  <c r="S41" i="10"/>
  <c r="V41" i="10"/>
  <c r="O42" i="10"/>
  <c r="P42" i="10"/>
  <c r="X42" i="10" s="1"/>
  <c r="S42" i="10"/>
  <c r="V42" i="10" s="1"/>
  <c r="O43" i="10"/>
  <c r="S43" i="10"/>
  <c r="V43" i="10"/>
  <c r="W43" i="10"/>
  <c r="O44" i="10"/>
  <c r="T44" i="10" s="1"/>
  <c r="P44" i="10"/>
  <c r="X44" i="10" s="1"/>
  <c r="R44" i="10"/>
  <c r="S44" i="10"/>
  <c r="U44" i="10"/>
  <c r="W44" i="10"/>
  <c r="O45" i="10"/>
  <c r="W45" i="10" s="1"/>
  <c r="P45" i="10"/>
  <c r="X45" i="10" s="1"/>
  <c r="R45" i="10"/>
  <c r="S45" i="10"/>
  <c r="T45" i="10"/>
  <c r="BV43" i="1" s="1"/>
  <c r="U45" i="10"/>
  <c r="V45" i="10"/>
  <c r="O46" i="10"/>
  <c r="W46" i="10" s="1"/>
  <c r="P46" i="10"/>
  <c r="X46" i="10" s="1"/>
  <c r="S46" i="10"/>
  <c r="V46" i="10" s="1"/>
  <c r="T46" i="10"/>
  <c r="O47" i="10"/>
  <c r="S47" i="10"/>
  <c r="V47" i="10" s="1"/>
  <c r="O48" i="10"/>
  <c r="P48" i="10"/>
  <c r="S48" i="10"/>
  <c r="V48" i="10" s="1"/>
  <c r="W48" i="10"/>
  <c r="O49" i="10"/>
  <c r="S49" i="10"/>
  <c r="V49" i="10"/>
  <c r="O50" i="10"/>
  <c r="S50" i="10"/>
  <c r="V50" i="10" s="1"/>
  <c r="O51" i="10"/>
  <c r="V51" i="10"/>
  <c r="O52" i="10"/>
  <c r="P52" i="10"/>
  <c r="X52" i="10" s="1"/>
  <c r="S52" i="10"/>
  <c r="V52" i="10" s="1"/>
  <c r="O53" i="10"/>
  <c r="S53" i="10"/>
  <c r="V53" i="10"/>
  <c r="W53" i="10"/>
  <c r="O54" i="10"/>
  <c r="T54" i="10" s="1"/>
  <c r="P54" i="10"/>
  <c r="X54" i="10" s="1"/>
  <c r="R54" i="10"/>
  <c r="S54" i="10"/>
  <c r="U54" i="10"/>
  <c r="V54" i="10"/>
  <c r="W54" i="10"/>
  <c r="O55" i="10"/>
  <c r="W55" i="10" s="1"/>
  <c r="P55" i="10"/>
  <c r="X55" i="10" s="1"/>
  <c r="R55" i="10"/>
  <c r="S55" i="10"/>
  <c r="T55" i="10"/>
  <c r="U55" i="10"/>
  <c r="V55" i="10"/>
  <c r="O56" i="10"/>
  <c r="W56" i="10" s="1"/>
  <c r="P56" i="10"/>
  <c r="X56" i="10" s="1"/>
  <c r="S56" i="10"/>
  <c r="V56" i="10" s="1"/>
  <c r="T56" i="10"/>
  <c r="O57" i="10"/>
  <c r="S57" i="10"/>
  <c r="V57" i="10" s="1"/>
  <c r="O58" i="10"/>
  <c r="P58" i="10"/>
  <c r="V58" i="10"/>
  <c r="W58" i="10"/>
  <c r="O59" i="10"/>
  <c r="S59" i="10"/>
  <c r="V59" i="10" s="1"/>
  <c r="O60" i="10"/>
  <c r="P60" i="10"/>
  <c r="S60" i="10"/>
  <c r="V60" i="10" s="1"/>
  <c r="W60" i="10"/>
  <c r="O61" i="10"/>
  <c r="P61" i="10"/>
  <c r="V61" i="10"/>
  <c r="X61" i="10"/>
  <c r="O62" i="10"/>
  <c r="P62" i="10"/>
  <c r="R62" i="10" s="1"/>
  <c r="S62" i="10"/>
  <c r="V62" i="10" s="1"/>
  <c r="W62" i="10"/>
  <c r="O63" i="10"/>
  <c r="P63" i="10"/>
  <c r="V63" i="10"/>
  <c r="O64" i="10"/>
  <c r="P64" i="10"/>
  <c r="X64" i="10" s="1"/>
  <c r="T64" i="10"/>
  <c r="V64" i="10"/>
  <c r="W64" i="10"/>
  <c r="O65" i="10"/>
  <c r="V65" i="10"/>
  <c r="O66" i="10"/>
  <c r="T66" i="10" s="1"/>
  <c r="BV64" i="1" s="1"/>
  <c r="P66" i="10"/>
  <c r="X66" i="10" s="1"/>
  <c r="U66" i="10"/>
  <c r="V66" i="10"/>
  <c r="W66" i="10"/>
  <c r="O67" i="10"/>
  <c r="W67" i="10" s="1"/>
  <c r="P67" i="10"/>
  <c r="X67" i="10" s="1"/>
  <c r="R67" i="10"/>
  <c r="S67" i="10"/>
  <c r="T67" i="10"/>
  <c r="U67" i="10"/>
  <c r="V67" i="10"/>
  <c r="O68" i="10"/>
  <c r="W68" i="10" s="1"/>
  <c r="P68" i="10"/>
  <c r="X68" i="10" s="1"/>
  <c r="S68" i="10"/>
  <c r="V68" i="10" s="1"/>
  <c r="T68" i="10"/>
  <c r="U68" i="10"/>
  <c r="O69" i="10"/>
  <c r="V69" i="10"/>
  <c r="O70" i="10"/>
  <c r="P70" i="10" s="1"/>
  <c r="S70" i="10"/>
  <c r="V70" i="10" s="1"/>
  <c r="T70" i="10"/>
  <c r="X70" i="10"/>
  <c r="O71" i="10"/>
  <c r="V71" i="10"/>
  <c r="O72" i="10"/>
  <c r="U72" i="10" s="1"/>
  <c r="P72" i="10"/>
  <c r="X72" i="10" s="1"/>
  <c r="V72" i="10"/>
  <c r="W72" i="10"/>
  <c r="O73" i="10"/>
  <c r="W73" i="10" s="1"/>
  <c r="P73" i="10"/>
  <c r="X73" i="10" s="1"/>
  <c r="S73" i="10"/>
  <c r="T73" i="10"/>
  <c r="V73" i="10"/>
  <c r="O74" i="10"/>
  <c r="P74" i="10"/>
  <c r="S74" i="10"/>
  <c r="V74" i="10" s="1"/>
  <c r="X74" i="10"/>
  <c r="O75" i="10"/>
  <c r="V75" i="10"/>
  <c r="O76" i="10"/>
  <c r="P76" i="10" s="1"/>
  <c r="S76" i="10"/>
  <c r="V76" i="10" s="1"/>
  <c r="T76" i="10"/>
  <c r="X76" i="10"/>
  <c r="O77" i="10"/>
  <c r="V77" i="10"/>
  <c r="O78" i="10"/>
  <c r="P78" i="10"/>
  <c r="S78" i="10"/>
  <c r="V78" i="10" s="1"/>
  <c r="T78" i="10"/>
  <c r="U78" i="10"/>
  <c r="X78" i="10"/>
  <c r="O79" i="10"/>
  <c r="S79" i="10"/>
  <c r="V79" i="10" s="1"/>
  <c r="O80" i="10"/>
  <c r="P80" i="10"/>
  <c r="S80" i="10"/>
  <c r="V80" i="10"/>
  <c r="W80" i="10"/>
  <c r="O81" i="10"/>
  <c r="P81" i="10"/>
  <c r="S81" i="10"/>
  <c r="V81" i="10"/>
  <c r="O82" i="10"/>
  <c r="V82" i="10"/>
  <c r="O83" i="10"/>
  <c r="S83" i="10"/>
  <c r="V83" i="10"/>
  <c r="O84" i="10"/>
  <c r="S84" i="10"/>
  <c r="V84" i="10" s="1"/>
  <c r="O85" i="10"/>
  <c r="V85" i="10"/>
  <c r="O86" i="10"/>
  <c r="W86" i="10" s="1"/>
  <c r="P86" i="10"/>
  <c r="X86" i="10" s="1"/>
  <c r="V86" i="10"/>
  <c r="O87" i="10"/>
  <c r="P87" i="10"/>
  <c r="V87" i="10"/>
  <c r="O88" i="10"/>
  <c r="P88" i="10"/>
  <c r="R88" i="10"/>
  <c r="S88" i="10"/>
  <c r="V88" i="10" s="1"/>
  <c r="W88" i="10"/>
  <c r="O89" i="10"/>
  <c r="W89" i="10" s="1"/>
  <c r="P89" i="10"/>
  <c r="R89" i="10"/>
  <c r="S89" i="10"/>
  <c r="X89" i="10"/>
  <c r="O90" i="10"/>
  <c r="P90" i="10" s="1"/>
  <c r="X90" i="10" s="1"/>
  <c r="S90" i="10"/>
  <c r="W90" i="10"/>
  <c r="O91" i="10"/>
  <c r="P91" i="10"/>
  <c r="X91" i="10" s="1"/>
  <c r="W91" i="10"/>
  <c r="O92" i="10"/>
  <c r="W92" i="10" s="1"/>
  <c r="P92" i="10"/>
  <c r="R92" i="10"/>
  <c r="AL90" i="1" s="1"/>
  <c r="S92" i="10"/>
  <c r="X92" i="10"/>
  <c r="O93" i="10"/>
  <c r="S93" i="10"/>
  <c r="O94" i="10"/>
  <c r="P94" i="10"/>
  <c r="X94" i="10" s="1"/>
  <c r="R94" i="10"/>
  <c r="AL92" i="1" s="1"/>
  <c r="S94" i="10"/>
  <c r="W94" i="10"/>
  <c r="O95" i="10"/>
  <c r="P95" i="10" s="1"/>
  <c r="X95" i="10" s="1"/>
  <c r="S95" i="10"/>
  <c r="W95" i="10"/>
  <c r="O96" i="10"/>
  <c r="W96" i="10" s="1"/>
  <c r="P96" i="10"/>
  <c r="R96" i="10"/>
  <c r="AL94" i="1" s="1"/>
  <c r="S96" i="10"/>
  <c r="X96" i="10"/>
  <c r="O97" i="10"/>
  <c r="P97" i="10"/>
  <c r="X97" i="10" s="1"/>
  <c r="S97" i="10"/>
  <c r="W97" i="10"/>
  <c r="O98" i="10"/>
  <c r="P98" i="10"/>
  <c r="R98" i="10" s="1"/>
  <c r="S98" i="10"/>
  <c r="W98" i="10"/>
  <c r="O99" i="10"/>
  <c r="P99" i="10"/>
  <c r="X99" i="10" s="1"/>
  <c r="S99" i="10"/>
  <c r="O100" i="10"/>
  <c r="W100" i="10" s="1"/>
  <c r="P100" i="10"/>
  <c r="S100" i="10"/>
  <c r="O101" i="10"/>
  <c r="S101" i="10"/>
  <c r="O102" i="10"/>
  <c r="P102" i="10"/>
  <c r="X102" i="10" s="1"/>
  <c r="R102" i="10"/>
  <c r="S102" i="10"/>
  <c r="W102" i="10"/>
  <c r="O103" i="10"/>
  <c r="P103" i="10"/>
  <c r="X103" i="10" s="1"/>
  <c r="S103" i="10"/>
  <c r="W103" i="10"/>
  <c r="O104" i="10"/>
  <c r="W104" i="10" s="1"/>
  <c r="P104" i="10"/>
  <c r="R104" i="10" s="1"/>
  <c r="S104" i="10"/>
  <c r="X104" i="10"/>
  <c r="O105" i="10"/>
  <c r="P105" i="10"/>
  <c r="X105" i="10" s="1"/>
  <c r="S105" i="10"/>
  <c r="W105" i="10"/>
  <c r="O106" i="10"/>
  <c r="P106" i="10"/>
  <c r="R106" i="10"/>
  <c r="S106" i="10"/>
  <c r="W106" i="10"/>
  <c r="X106" i="10"/>
  <c r="O107" i="10"/>
  <c r="S107" i="10"/>
  <c r="O108" i="10"/>
  <c r="W108" i="10" s="1"/>
  <c r="P108" i="10"/>
  <c r="X108" i="10" s="1"/>
  <c r="R108" i="10"/>
  <c r="S108" i="10"/>
  <c r="O109" i="10"/>
  <c r="W109" i="10" s="1"/>
  <c r="P109" i="10"/>
  <c r="S109" i="10"/>
  <c r="X109" i="10"/>
  <c r="O110" i="10"/>
  <c r="P110" i="10"/>
  <c r="R110" i="10" s="1"/>
  <c r="S110" i="10"/>
  <c r="W110" i="10"/>
  <c r="X110" i="10"/>
  <c r="O111" i="10"/>
  <c r="P111" i="10"/>
  <c r="X111" i="10" s="1"/>
  <c r="S111" i="10"/>
  <c r="W111" i="10"/>
  <c r="O112" i="10"/>
  <c r="W112" i="10" s="1"/>
  <c r="P112" i="10"/>
  <c r="R112" i="10"/>
  <c r="S112" i="10"/>
  <c r="X112" i="10"/>
  <c r="O113" i="10"/>
  <c r="P113" i="10"/>
  <c r="X113" i="10" s="1"/>
  <c r="S113" i="10"/>
  <c r="O114" i="10"/>
  <c r="P114" i="10"/>
  <c r="R114" i="10"/>
  <c r="S114" i="10"/>
  <c r="W114" i="10"/>
  <c r="X114" i="10"/>
  <c r="O115" i="10"/>
  <c r="W115" i="10" s="1"/>
  <c r="P115" i="10"/>
  <c r="S115" i="10"/>
  <c r="X115" i="10"/>
  <c r="O116" i="10"/>
  <c r="W116" i="10" s="1"/>
  <c r="P116" i="10"/>
  <c r="S116" i="10"/>
  <c r="O117" i="10"/>
  <c r="S117" i="10"/>
  <c r="W117" i="10"/>
  <c r="E119" i="10"/>
  <c r="H119" i="10"/>
  <c r="K119" i="10"/>
  <c r="M119" i="10"/>
  <c r="N119" i="10"/>
  <c r="Q119" i="10"/>
  <c r="C3" i="14"/>
  <c r="C8" i="14"/>
  <c r="E8" i="14"/>
  <c r="F8" i="14"/>
  <c r="H8" i="14"/>
  <c r="I8" i="14"/>
  <c r="K8" i="14" s="1"/>
  <c r="L8" i="14"/>
  <c r="N8" i="14"/>
  <c r="S8" i="14"/>
  <c r="O9" i="14"/>
  <c r="O10" i="14"/>
  <c r="P10" i="14"/>
  <c r="Q10" i="14"/>
  <c r="R10" i="14"/>
  <c r="S10" i="14"/>
  <c r="T10" i="14"/>
  <c r="U10" i="14"/>
  <c r="V10" i="14"/>
  <c r="O11" i="14"/>
  <c r="P11" i="14"/>
  <c r="Q11" i="14"/>
  <c r="V7" i="1" s="1"/>
  <c r="R11" i="14"/>
  <c r="AM7" i="1" s="1"/>
  <c r="S11" i="14"/>
  <c r="T11" i="14"/>
  <c r="BW7" i="1" s="1"/>
  <c r="U11" i="14"/>
  <c r="V11" i="14"/>
  <c r="W11" i="14"/>
  <c r="X11" i="14"/>
  <c r="O12" i="14"/>
  <c r="S12" i="14"/>
  <c r="V12" i="14" s="1"/>
  <c r="O13" i="14"/>
  <c r="S13" i="14"/>
  <c r="V13" i="14" s="1"/>
  <c r="W13" i="14"/>
  <c r="O14" i="14"/>
  <c r="P14" i="14"/>
  <c r="Q14" i="14"/>
  <c r="R14" i="14"/>
  <c r="S14" i="14"/>
  <c r="T14" i="14"/>
  <c r="U14" i="14"/>
  <c r="V14" i="14"/>
  <c r="W14" i="14"/>
  <c r="X14" i="14"/>
  <c r="O15" i="14"/>
  <c r="S15" i="14"/>
  <c r="O16" i="14"/>
  <c r="S16" i="14"/>
  <c r="V16" i="14" s="1"/>
  <c r="W16" i="14"/>
  <c r="O17" i="14"/>
  <c r="P17" i="14"/>
  <c r="Q17" i="14"/>
  <c r="V13" i="1" s="1"/>
  <c r="R17" i="14"/>
  <c r="S17" i="14"/>
  <c r="T17" i="14"/>
  <c r="BW13" i="1" s="1"/>
  <c r="U17" i="14"/>
  <c r="V17" i="14"/>
  <c r="W17" i="14"/>
  <c r="X17" i="14"/>
  <c r="O18" i="14"/>
  <c r="Q18" i="14"/>
  <c r="S18" i="14"/>
  <c r="V18" i="14"/>
  <c r="O19" i="14"/>
  <c r="P19" i="14"/>
  <c r="S19" i="14"/>
  <c r="V19" i="14"/>
  <c r="W19" i="14"/>
  <c r="O20" i="14"/>
  <c r="S20" i="14"/>
  <c r="V20" i="14"/>
  <c r="O21" i="14"/>
  <c r="S21" i="14"/>
  <c r="V21" i="14" s="1"/>
  <c r="O22" i="14"/>
  <c r="S22" i="14"/>
  <c r="V22" i="14" s="1"/>
  <c r="W22" i="14"/>
  <c r="O23" i="14"/>
  <c r="T23" i="14" s="1"/>
  <c r="P23" i="14"/>
  <c r="X23" i="14" s="1"/>
  <c r="R23" i="14"/>
  <c r="S23" i="14"/>
  <c r="V23" i="14" s="1"/>
  <c r="U23" i="14"/>
  <c r="CP20" i="1" s="1"/>
  <c r="W23" i="14"/>
  <c r="O24" i="14"/>
  <c r="P24" i="14"/>
  <c r="Q24" i="14"/>
  <c r="S24" i="14"/>
  <c r="V24" i="14" s="1"/>
  <c r="W24" i="14"/>
  <c r="O25" i="14"/>
  <c r="Q25" i="14"/>
  <c r="V22" i="1" s="1"/>
  <c r="S25" i="14"/>
  <c r="V25" i="14"/>
  <c r="W25" i="14"/>
  <c r="O26" i="14"/>
  <c r="W26" i="14" s="1"/>
  <c r="P26" i="14"/>
  <c r="R26" i="14"/>
  <c r="S26" i="14"/>
  <c r="T26" i="14"/>
  <c r="U26" i="14"/>
  <c r="V26" i="14"/>
  <c r="X26" i="14"/>
  <c r="O27" i="14"/>
  <c r="T27" i="14" s="1"/>
  <c r="P27" i="14"/>
  <c r="S27" i="14"/>
  <c r="V27" i="14" s="1"/>
  <c r="U27" i="14"/>
  <c r="CP24" i="1" s="1"/>
  <c r="W27" i="14"/>
  <c r="X27" i="14"/>
  <c r="O28" i="14"/>
  <c r="S28" i="14"/>
  <c r="V28" i="14" s="1"/>
  <c r="W28" i="14"/>
  <c r="O29" i="14"/>
  <c r="T29" i="14" s="1"/>
  <c r="BW26" i="1" s="1"/>
  <c r="P29" i="14"/>
  <c r="X29" i="14" s="1"/>
  <c r="S29" i="14"/>
  <c r="V29" i="14" s="1"/>
  <c r="U29" i="14"/>
  <c r="CP26" i="1" s="1"/>
  <c r="W29" i="14"/>
  <c r="O30" i="14"/>
  <c r="P30" i="14"/>
  <c r="X30" i="14" s="1"/>
  <c r="S30" i="14"/>
  <c r="U30" i="14"/>
  <c r="CP27" i="1" s="1"/>
  <c r="V30" i="14"/>
  <c r="O31" i="14"/>
  <c r="S31" i="14"/>
  <c r="V31" i="14" s="1"/>
  <c r="O32" i="14"/>
  <c r="S32" i="14"/>
  <c r="O33" i="14"/>
  <c r="P33" i="14"/>
  <c r="S33" i="14"/>
  <c r="V33" i="14" s="1"/>
  <c r="W33" i="14"/>
  <c r="O34" i="14"/>
  <c r="S34" i="14"/>
  <c r="V34" i="14"/>
  <c r="O35" i="14"/>
  <c r="S35" i="14"/>
  <c r="O36" i="14"/>
  <c r="S36" i="14"/>
  <c r="V36" i="14"/>
  <c r="W36" i="14"/>
  <c r="O37" i="14"/>
  <c r="P37" i="14"/>
  <c r="X37" i="14" s="1"/>
  <c r="R37" i="14"/>
  <c r="AM34" i="1" s="1"/>
  <c r="S37" i="14"/>
  <c r="U37" i="14"/>
  <c r="V37" i="14"/>
  <c r="W37" i="14"/>
  <c r="O38" i="14"/>
  <c r="W38" i="14" s="1"/>
  <c r="S38" i="14"/>
  <c r="V38" i="14"/>
  <c r="O39" i="14"/>
  <c r="P39" i="14" s="1"/>
  <c r="S39" i="14"/>
  <c r="V39" i="14" s="1"/>
  <c r="W39" i="14"/>
  <c r="O40" i="14"/>
  <c r="S40" i="14"/>
  <c r="V40" i="14"/>
  <c r="O41" i="14"/>
  <c r="P41" i="14"/>
  <c r="S41" i="14"/>
  <c r="V41" i="14"/>
  <c r="W41" i="14"/>
  <c r="O42" i="14"/>
  <c r="S42" i="14"/>
  <c r="V42" i="14"/>
  <c r="O43" i="14"/>
  <c r="P43" i="14"/>
  <c r="S43" i="14"/>
  <c r="V43" i="14" s="1"/>
  <c r="W43" i="14"/>
  <c r="O44" i="14"/>
  <c r="S44" i="14"/>
  <c r="V44" i="14"/>
  <c r="W44" i="14"/>
  <c r="O45" i="14"/>
  <c r="T45" i="14" s="1"/>
  <c r="P45" i="14"/>
  <c r="X45" i="14" s="1"/>
  <c r="R45" i="14"/>
  <c r="AM43" i="1" s="1"/>
  <c r="S45" i="14"/>
  <c r="U45" i="14"/>
  <c r="CP43" i="1" s="1"/>
  <c r="V45" i="14"/>
  <c r="W45" i="14"/>
  <c r="O46" i="14"/>
  <c r="S46" i="14"/>
  <c r="V46" i="14"/>
  <c r="O47" i="14"/>
  <c r="S47" i="14"/>
  <c r="V47" i="14" s="1"/>
  <c r="W47" i="14"/>
  <c r="O48" i="14"/>
  <c r="S48" i="14"/>
  <c r="V48" i="14"/>
  <c r="W48" i="14"/>
  <c r="O49" i="14"/>
  <c r="P49" i="14"/>
  <c r="U49" i="14" s="1"/>
  <c r="R49" i="14"/>
  <c r="S49" i="14"/>
  <c r="V49" i="14" s="1"/>
  <c r="W49" i="14"/>
  <c r="O50" i="14"/>
  <c r="P50" i="14"/>
  <c r="X50" i="14" s="1"/>
  <c r="S50" i="14"/>
  <c r="V50" i="14"/>
  <c r="O51" i="14"/>
  <c r="P51" i="14"/>
  <c r="X51" i="14" s="1"/>
  <c r="V51" i="14"/>
  <c r="W51" i="14"/>
  <c r="O52" i="14"/>
  <c r="W52" i="14" s="1"/>
  <c r="P52" i="14"/>
  <c r="U52" i="14" s="1"/>
  <c r="R52" i="14"/>
  <c r="AM50" i="1" s="1"/>
  <c r="S52" i="14"/>
  <c r="V52" i="14"/>
  <c r="X52" i="14"/>
  <c r="O53" i="14"/>
  <c r="P53" i="14"/>
  <c r="S53" i="14"/>
  <c r="V53" i="14" s="1"/>
  <c r="T53" i="14"/>
  <c r="BW51" i="1" s="1"/>
  <c r="W53" i="14"/>
  <c r="O54" i="14"/>
  <c r="S54" i="14"/>
  <c r="V54" i="14" s="1"/>
  <c r="W54" i="14"/>
  <c r="O55" i="14"/>
  <c r="T55" i="14" s="1"/>
  <c r="P55" i="14"/>
  <c r="S55" i="14"/>
  <c r="U55" i="14"/>
  <c r="W55" i="14"/>
  <c r="O56" i="14"/>
  <c r="W56" i="14" s="1"/>
  <c r="P56" i="14"/>
  <c r="S56" i="14"/>
  <c r="V56" i="14"/>
  <c r="O57" i="14"/>
  <c r="P57" i="14"/>
  <c r="S57" i="14"/>
  <c r="V57" i="14" s="1"/>
  <c r="W57" i="14"/>
  <c r="O58" i="14"/>
  <c r="V58" i="14"/>
  <c r="O59" i="14"/>
  <c r="S59" i="14"/>
  <c r="V59" i="14" s="1"/>
  <c r="O60" i="14"/>
  <c r="S60" i="14"/>
  <c r="V60" i="14" s="1"/>
  <c r="W60" i="14"/>
  <c r="O61" i="14"/>
  <c r="P61" i="14"/>
  <c r="T61" i="14"/>
  <c r="U61" i="14"/>
  <c r="V61" i="14"/>
  <c r="W61" i="14"/>
  <c r="X61" i="14"/>
  <c r="O62" i="14"/>
  <c r="S62" i="14"/>
  <c r="V62" i="14"/>
  <c r="W62" i="14"/>
  <c r="O63" i="14"/>
  <c r="P63" i="14"/>
  <c r="U63" i="14" s="1"/>
  <c r="T63" i="14"/>
  <c r="V63" i="14"/>
  <c r="W63" i="14"/>
  <c r="X63" i="14"/>
  <c r="O64" i="14"/>
  <c r="V64" i="14"/>
  <c r="O65" i="14"/>
  <c r="P65" i="14"/>
  <c r="V65" i="14"/>
  <c r="O66" i="14"/>
  <c r="V66" i="14"/>
  <c r="O67" i="14"/>
  <c r="T67" i="14" s="1"/>
  <c r="P67" i="14"/>
  <c r="X67" i="14" s="1"/>
  <c r="R67" i="14"/>
  <c r="S67" i="14"/>
  <c r="V67" i="14" s="1"/>
  <c r="W67" i="14"/>
  <c r="O68" i="14"/>
  <c r="S68" i="14"/>
  <c r="V68" i="14"/>
  <c r="O69" i="14"/>
  <c r="V69" i="14"/>
  <c r="O70" i="14"/>
  <c r="W70" i="14" s="1"/>
  <c r="P70" i="14"/>
  <c r="S70" i="14"/>
  <c r="V70" i="14"/>
  <c r="O71" i="14"/>
  <c r="P71" i="14"/>
  <c r="V71" i="14"/>
  <c r="W71" i="14"/>
  <c r="O72" i="14"/>
  <c r="P72" i="14"/>
  <c r="T72" i="14"/>
  <c r="V72" i="14"/>
  <c r="W72" i="14"/>
  <c r="X72" i="14"/>
  <c r="O73" i="14"/>
  <c r="P73" i="14"/>
  <c r="S73" i="14"/>
  <c r="V73" i="14" s="1"/>
  <c r="W73" i="14"/>
  <c r="O74" i="14"/>
  <c r="W74" i="14" s="1"/>
  <c r="P74" i="14"/>
  <c r="R74" i="14"/>
  <c r="AM72" i="1" s="1"/>
  <c r="S74" i="14"/>
  <c r="V74" i="14"/>
  <c r="O75" i="14"/>
  <c r="P75" i="14"/>
  <c r="X75" i="14" s="1"/>
  <c r="U75" i="14"/>
  <c r="V75" i="14"/>
  <c r="W75" i="14"/>
  <c r="O76" i="14"/>
  <c r="S76" i="14"/>
  <c r="V76" i="14"/>
  <c r="O77" i="14"/>
  <c r="V77" i="14"/>
  <c r="W77" i="14"/>
  <c r="O78" i="14"/>
  <c r="S78" i="14"/>
  <c r="V78" i="14"/>
  <c r="O79" i="14"/>
  <c r="S79" i="14"/>
  <c r="V79" i="14" s="1"/>
  <c r="W79" i="14"/>
  <c r="O80" i="14"/>
  <c r="S80" i="14"/>
  <c r="V80" i="14"/>
  <c r="O81" i="14"/>
  <c r="P81" i="14"/>
  <c r="S81" i="14"/>
  <c r="V81" i="14"/>
  <c r="W81" i="14"/>
  <c r="O82" i="14"/>
  <c r="P82" i="14"/>
  <c r="V82" i="14"/>
  <c r="O83" i="14"/>
  <c r="P83" i="14"/>
  <c r="R83" i="14"/>
  <c r="S83" i="14"/>
  <c r="U83" i="14"/>
  <c r="CP81" i="1" s="1"/>
  <c r="V83" i="14"/>
  <c r="W83" i="14"/>
  <c r="O84" i="14"/>
  <c r="S84" i="14"/>
  <c r="V84" i="14"/>
  <c r="O85" i="14"/>
  <c r="V85" i="14"/>
  <c r="O86" i="14"/>
  <c r="P86" i="14"/>
  <c r="X86" i="14" s="1"/>
  <c r="V86" i="14"/>
  <c r="W86" i="14"/>
  <c r="O87" i="14"/>
  <c r="P87" i="14"/>
  <c r="T87" i="14"/>
  <c r="U87" i="14"/>
  <c r="V87" i="14"/>
  <c r="W87" i="14"/>
  <c r="X87" i="14"/>
  <c r="O88" i="14"/>
  <c r="S88" i="14"/>
  <c r="V88" i="14"/>
  <c r="W88" i="14"/>
  <c r="O89" i="14"/>
  <c r="P89" i="14"/>
  <c r="X89" i="14" s="1"/>
  <c r="R89" i="14"/>
  <c r="AM87" i="1" s="1"/>
  <c r="S89" i="14"/>
  <c r="W89" i="14"/>
  <c r="O90" i="14"/>
  <c r="S90" i="14"/>
  <c r="W90" i="14"/>
  <c r="O91" i="14"/>
  <c r="O92" i="14"/>
  <c r="S92" i="14"/>
  <c r="W92" i="14"/>
  <c r="O93" i="14"/>
  <c r="S93" i="14"/>
  <c r="O94" i="14"/>
  <c r="P94" i="14" s="1"/>
  <c r="X94" i="14"/>
  <c r="O95" i="14"/>
  <c r="O96" i="14"/>
  <c r="S96" i="14"/>
  <c r="O97" i="14"/>
  <c r="S97" i="14"/>
  <c r="O98" i="14"/>
  <c r="S98" i="14"/>
  <c r="O99" i="14"/>
  <c r="P99" i="14"/>
  <c r="R99" i="14"/>
  <c r="S99" i="14"/>
  <c r="W99" i="14"/>
  <c r="X99" i="14"/>
  <c r="O100" i="14"/>
  <c r="P100" i="14" s="1"/>
  <c r="X100" i="14" s="1"/>
  <c r="R100" i="14"/>
  <c r="S100" i="14"/>
  <c r="O101" i="14"/>
  <c r="S101" i="14"/>
  <c r="W101" i="14"/>
  <c r="O102" i="14"/>
  <c r="P102" i="14" s="1"/>
  <c r="X102" i="14" s="1"/>
  <c r="R102" i="14"/>
  <c r="S102" i="14"/>
  <c r="O103" i="14"/>
  <c r="S103" i="14"/>
  <c r="O104" i="14"/>
  <c r="S104" i="14"/>
  <c r="O105" i="14"/>
  <c r="S105" i="14"/>
  <c r="W105" i="14"/>
  <c r="O106" i="14"/>
  <c r="P106" i="14" s="1"/>
  <c r="X106" i="14" s="1"/>
  <c r="R106" i="14"/>
  <c r="S106" i="14"/>
  <c r="O107" i="14"/>
  <c r="P107" i="14"/>
  <c r="R107" i="14"/>
  <c r="S107" i="14"/>
  <c r="W107" i="14"/>
  <c r="X107" i="14"/>
  <c r="O108" i="14"/>
  <c r="P108" i="14" s="1"/>
  <c r="X108" i="14" s="1"/>
  <c r="S108" i="14"/>
  <c r="O109" i="14"/>
  <c r="P109" i="14" s="1"/>
  <c r="X109" i="14" s="1"/>
  <c r="R109" i="14"/>
  <c r="S109" i="14"/>
  <c r="O110" i="14"/>
  <c r="P110" i="14" s="1"/>
  <c r="X110" i="14" s="1"/>
  <c r="R110" i="14"/>
  <c r="S110" i="14"/>
  <c r="O111" i="14"/>
  <c r="P111" i="14"/>
  <c r="X111" i="14" s="1"/>
  <c r="S111" i="14"/>
  <c r="O112" i="14"/>
  <c r="S112" i="14"/>
  <c r="W112" i="14"/>
  <c r="O113" i="14"/>
  <c r="S113" i="14"/>
  <c r="O114" i="14"/>
  <c r="P114" i="14" s="1"/>
  <c r="X114" i="14" s="1"/>
  <c r="S114" i="14"/>
  <c r="O115" i="14"/>
  <c r="P115" i="14"/>
  <c r="S115" i="14"/>
  <c r="W115" i="14"/>
  <c r="O116" i="14"/>
  <c r="S116" i="14"/>
  <c r="W116" i="14"/>
  <c r="O117" i="14"/>
  <c r="P117" i="14" s="1"/>
  <c r="R117" i="14"/>
  <c r="S117" i="14"/>
  <c r="X117" i="14"/>
  <c r="E118" i="14"/>
  <c r="H118" i="14"/>
  <c r="K118" i="14"/>
  <c r="M118" i="14"/>
  <c r="N118" i="14"/>
  <c r="N119" i="14" s="1"/>
  <c r="BG3" i="1"/>
  <c r="BQ3" i="1"/>
  <c r="CP3" i="1"/>
  <c r="D5" i="1"/>
  <c r="E5" i="1"/>
  <c r="G5" i="1"/>
  <c r="D6" i="1"/>
  <c r="F6" i="1"/>
  <c r="A7" i="1"/>
  <c r="B7" i="1"/>
  <c r="K7" i="1"/>
  <c r="L7" i="1"/>
  <c r="M7" i="1"/>
  <c r="O7" i="1"/>
  <c r="P7" i="1"/>
  <c r="Q7" i="1"/>
  <c r="R7" i="1"/>
  <c r="S7" i="1"/>
  <c r="T7" i="1"/>
  <c r="U7" i="1"/>
  <c r="AH7" i="1"/>
  <c r="AI7" i="1"/>
  <c r="AJ7" i="1"/>
  <c r="AS7" i="1"/>
  <c r="AT7" i="1"/>
  <c r="AU7" i="1"/>
  <c r="AX7" i="1"/>
  <c r="BA7" i="1"/>
  <c r="BB7" i="1"/>
  <c r="BC7" i="1"/>
  <c r="BE7" i="1"/>
  <c r="BF7" i="1"/>
  <c r="BL7" i="1"/>
  <c r="BM7" i="1"/>
  <c r="BO7" i="1"/>
  <c r="BT7" i="1"/>
  <c r="CC7" i="1"/>
  <c r="CD7" i="1"/>
  <c r="CE7" i="1"/>
  <c r="CF7" i="1"/>
  <c r="CG7" i="1"/>
  <c r="CH7" i="1"/>
  <c r="CJ7" i="1"/>
  <c r="CK7" i="1"/>
  <c r="CP7" i="1"/>
  <c r="CV7" i="1"/>
  <c r="CW7" i="1"/>
  <c r="CX7" i="1"/>
  <c r="CY7" i="1"/>
  <c r="CZ7" i="1"/>
  <c r="DA7" i="1"/>
  <c r="DB7" i="1"/>
  <c r="DM7" i="1" s="1"/>
  <c r="DC7" i="1"/>
  <c r="DD7" i="1"/>
  <c r="DE7" i="1"/>
  <c r="DF7" i="1"/>
  <c r="DG7" i="1"/>
  <c r="DH7" i="1"/>
  <c r="DI7" i="1"/>
  <c r="A8" i="1"/>
  <c r="B8" i="1"/>
  <c r="K8" i="1"/>
  <c r="L8" i="1"/>
  <c r="M8" i="1"/>
  <c r="N8" i="1"/>
  <c r="O8" i="1"/>
  <c r="P8" i="1"/>
  <c r="Q8" i="1"/>
  <c r="R8" i="1"/>
  <c r="S8" i="1"/>
  <c r="T8" i="1"/>
  <c r="U8" i="1"/>
  <c r="V8" i="1"/>
  <c r="AF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P8" i="1"/>
  <c r="CC8" i="1"/>
  <c r="CD8" i="1"/>
  <c r="CI8" i="1"/>
  <c r="CM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A9" i="1"/>
  <c r="B9" i="1"/>
  <c r="K9" i="1"/>
  <c r="L9" i="1"/>
  <c r="M9" i="1"/>
  <c r="N9" i="1"/>
  <c r="O9" i="1"/>
  <c r="P9" i="1"/>
  <c r="Z9" i="1" s="1"/>
  <c r="C9" i="1" s="1"/>
  <c r="Q9" i="1"/>
  <c r="R9" i="1"/>
  <c r="S9" i="1"/>
  <c r="T9" i="1"/>
  <c r="U9" i="1"/>
  <c r="V9" i="1"/>
  <c r="AF9" i="1"/>
  <c r="AG9" i="1"/>
  <c r="AK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P9" i="1"/>
  <c r="CC9" i="1"/>
  <c r="CD9" i="1"/>
  <c r="CJ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A10" i="1"/>
  <c r="B10" i="1"/>
  <c r="K10" i="1"/>
  <c r="L10" i="1"/>
  <c r="M10" i="1"/>
  <c r="N10" i="1"/>
  <c r="O10" i="1"/>
  <c r="P10" i="1"/>
  <c r="Q10" i="1"/>
  <c r="R10" i="1"/>
  <c r="T10" i="1"/>
  <c r="U10" i="1"/>
  <c r="V10" i="1"/>
  <c r="AE10" i="1"/>
  <c r="AJ10" i="1"/>
  <c r="AM10" i="1"/>
  <c r="AS10" i="1"/>
  <c r="AT10" i="1"/>
  <c r="AU10" i="1"/>
  <c r="AV10" i="1"/>
  <c r="BJ10" i="1" s="1"/>
  <c r="G10" i="1" s="1"/>
  <c r="AW10" i="1"/>
  <c r="AX10" i="1"/>
  <c r="AY10" i="1"/>
  <c r="AZ10" i="1"/>
  <c r="BA10" i="1"/>
  <c r="BB10" i="1"/>
  <c r="BC10" i="1"/>
  <c r="BD10" i="1"/>
  <c r="BE10" i="1"/>
  <c r="BF10" i="1"/>
  <c r="BO10" i="1"/>
  <c r="BW10" i="1"/>
  <c r="CC10" i="1"/>
  <c r="CD10" i="1"/>
  <c r="CE10" i="1"/>
  <c r="CG10" i="1"/>
  <c r="CP10" i="1"/>
  <c r="CV10" i="1"/>
  <c r="CW10" i="1"/>
  <c r="CX10" i="1"/>
  <c r="CY10" i="1"/>
  <c r="CZ10" i="1"/>
  <c r="DA10" i="1"/>
  <c r="DB10" i="1"/>
  <c r="DC10" i="1"/>
  <c r="DD10" i="1"/>
  <c r="DM10" i="1" s="1"/>
  <c r="DE10" i="1"/>
  <c r="DF10" i="1"/>
  <c r="DG10" i="1"/>
  <c r="DH10" i="1"/>
  <c r="DI10" i="1"/>
  <c r="A11" i="1"/>
  <c r="B11" i="1"/>
  <c r="K11" i="1"/>
  <c r="L11" i="1"/>
  <c r="M11" i="1"/>
  <c r="N11" i="1"/>
  <c r="O11" i="1"/>
  <c r="P11" i="1"/>
  <c r="Q11" i="1"/>
  <c r="R11" i="1"/>
  <c r="S11" i="1"/>
  <c r="T11" i="1"/>
  <c r="U11" i="1"/>
  <c r="V11" i="1"/>
  <c r="AI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L11" i="1"/>
  <c r="BS11" i="1"/>
  <c r="BV11" i="1"/>
  <c r="CC11" i="1"/>
  <c r="CD11" i="1"/>
  <c r="CE11" i="1"/>
  <c r="CL11" i="1"/>
  <c r="CO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M11" i="1"/>
  <c r="A12" i="1"/>
  <c r="B12" i="1"/>
  <c r="K12" i="1"/>
  <c r="L12" i="1"/>
  <c r="M12" i="1"/>
  <c r="N12" i="1"/>
  <c r="O12" i="1"/>
  <c r="P12" i="1"/>
  <c r="Q12" i="1"/>
  <c r="R12" i="1"/>
  <c r="S12" i="1"/>
  <c r="T12" i="1"/>
  <c r="U12" i="1"/>
  <c r="V12" i="1"/>
  <c r="AE12" i="1"/>
  <c r="AG12" i="1"/>
  <c r="AH12" i="1"/>
  <c r="AK12" i="1"/>
  <c r="AL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F12" i="1"/>
  <c r="BO12" i="1"/>
  <c r="BQ12" i="1"/>
  <c r="BR12" i="1"/>
  <c r="BV12" i="1"/>
  <c r="CC12" i="1"/>
  <c r="CD12" i="1"/>
  <c r="CI12" i="1"/>
  <c r="CJ12" i="1"/>
  <c r="CK12" i="1"/>
  <c r="CO12" i="1"/>
  <c r="CV12" i="1"/>
  <c r="CW12" i="1"/>
  <c r="CX12" i="1"/>
  <c r="CY12" i="1"/>
  <c r="DM12" i="1" s="1"/>
  <c r="CZ12" i="1"/>
  <c r="DA12" i="1"/>
  <c r="DB12" i="1"/>
  <c r="DC12" i="1"/>
  <c r="DD12" i="1"/>
  <c r="DE12" i="1"/>
  <c r="DF12" i="1"/>
  <c r="DG12" i="1"/>
  <c r="DH12" i="1"/>
  <c r="DI12" i="1"/>
  <c r="A13" i="1"/>
  <c r="B13" i="1"/>
  <c r="K13" i="1"/>
  <c r="L13" i="1"/>
  <c r="M13" i="1"/>
  <c r="N13" i="1"/>
  <c r="O13" i="1"/>
  <c r="P13" i="1"/>
  <c r="Q13" i="1"/>
  <c r="R13" i="1"/>
  <c r="S13" i="1"/>
  <c r="T13" i="1"/>
  <c r="U13" i="1"/>
  <c r="AE13" i="1"/>
  <c r="AJ13" i="1"/>
  <c r="AM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F13" i="1"/>
  <c r="BO13" i="1"/>
  <c r="BP13" i="1"/>
  <c r="BT13" i="1"/>
  <c r="BU13" i="1"/>
  <c r="BV13" i="1"/>
  <c r="CC13" i="1"/>
  <c r="CD13" i="1"/>
  <c r="CG13" i="1"/>
  <c r="CH13" i="1"/>
  <c r="CJ13" i="1"/>
  <c r="CK13" i="1"/>
  <c r="CM13" i="1"/>
  <c r="CO13" i="1"/>
  <c r="CP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A14" i="1"/>
  <c r="B14" i="1"/>
  <c r="K14" i="1"/>
  <c r="L14" i="1"/>
  <c r="M14" i="1"/>
  <c r="N14" i="1"/>
  <c r="O14" i="1"/>
  <c r="P14" i="1"/>
  <c r="Q14" i="1"/>
  <c r="R14" i="1"/>
  <c r="S14" i="1"/>
  <c r="T14" i="1"/>
  <c r="U14" i="1"/>
  <c r="V14" i="1"/>
  <c r="AB14" i="1"/>
  <c r="AF14" i="1"/>
  <c r="AI14" i="1"/>
  <c r="AS14" i="1"/>
  <c r="AT14" i="1"/>
  <c r="AU14" i="1"/>
  <c r="AV14" i="1"/>
  <c r="AW14" i="1"/>
  <c r="AY14" i="1"/>
  <c r="AZ14" i="1"/>
  <c r="BA14" i="1"/>
  <c r="BB14" i="1"/>
  <c r="BC14" i="1"/>
  <c r="BF14" i="1"/>
  <c r="BO14" i="1"/>
  <c r="BP14" i="1"/>
  <c r="CC14" i="1"/>
  <c r="CD14" i="1"/>
  <c r="CE14" i="1"/>
  <c r="CI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A15" i="1"/>
  <c r="B15" i="1"/>
  <c r="K15" i="1"/>
  <c r="L15" i="1"/>
  <c r="M15" i="1"/>
  <c r="N15" i="1"/>
  <c r="O15" i="1"/>
  <c r="P15" i="1"/>
  <c r="Q15" i="1"/>
  <c r="R15" i="1"/>
  <c r="S15" i="1"/>
  <c r="T15" i="1"/>
  <c r="U15" i="1"/>
  <c r="V15" i="1"/>
  <c r="AD15" i="1"/>
  <c r="AH15" i="1"/>
  <c r="AK15" i="1"/>
  <c r="AS15" i="1"/>
  <c r="AT15" i="1"/>
  <c r="AU15" i="1"/>
  <c r="AV15" i="1"/>
  <c r="AW15" i="1"/>
  <c r="AX15" i="1"/>
  <c r="AY15" i="1"/>
  <c r="AZ15" i="1"/>
  <c r="BA15" i="1"/>
  <c r="BB15" i="1"/>
  <c r="BD15" i="1"/>
  <c r="BE15" i="1"/>
  <c r="BF15" i="1"/>
  <c r="BR15" i="1"/>
  <c r="BU15" i="1"/>
  <c r="CC15" i="1"/>
  <c r="CD15" i="1"/>
  <c r="CE15" i="1"/>
  <c r="CG15" i="1"/>
  <c r="CK15" i="1"/>
  <c r="CN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A16" i="1"/>
  <c r="B16" i="1"/>
  <c r="K16" i="1"/>
  <c r="L16" i="1"/>
  <c r="M16" i="1"/>
  <c r="N16" i="1"/>
  <c r="O16" i="1"/>
  <c r="P16" i="1"/>
  <c r="Q16" i="1"/>
  <c r="R16" i="1"/>
  <c r="S16" i="1"/>
  <c r="T16" i="1"/>
  <c r="U16" i="1"/>
  <c r="V16" i="1"/>
  <c r="Z16" i="1"/>
  <c r="C16" i="1" s="1"/>
  <c r="AI16" i="1"/>
  <c r="AJ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O16" i="1"/>
  <c r="BS16" i="1"/>
  <c r="BT16" i="1"/>
  <c r="BU16" i="1"/>
  <c r="CC16" i="1"/>
  <c r="CD16" i="1"/>
  <c r="CH16" i="1"/>
  <c r="CL16" i="1"/>
  <c r="CN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M16" i="1"/>
  <c r="A17" i="1"/>
  <c r="B17" i="1"/>
  <c r="K17" i="1"/>
  <c r="L17" i="1"/>
  <c r="M17" i="1"/>
  <c r="N17" i="1"/>
  <c r="O17" i="1"/>
  <c r="P17" i="1"/>
  <c r="Q17" i="1"/>
  <c r="R17" i="1"/>
  <c r="S17" i="1"/>
  <c r="T17" i="1"/>
  <c r="U17" i="1"/>
  <c r="V17" i="1"/>
  <c r="AE17" i="1"/>
  <c r="AI17" i="1"/>
  <c r="AK17" i="1"/>
  <c r="AL17" i="1"/>
  <c r="AM17" i="1"/>
  <c r="AS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O17" i="1"/>
  <c r="BU17" i="1"/>
  <c r="BV17" i="1"/>
  <c r="BW17" i="1"/>
  <c r="CC17" i="1"/>
  <c r="CH17" i="1"/>
  <c r="CL17" i="1"/>
  <c r="CN17" i="1"/>
  <c r="CO17" i="1"/>
  <c r="CP17" i="1"/>
  <c r="CV17" i="1"/>
  <c r="CX17" i="1"/>
  <c r="CY17" i="1"/>
  <c r="CZ17" i="1"/>
  <c r="DA17" i="1"/>
  <c r="DB17" i="1"/>
  <c r="DC17" i="1"/>
  <c r="DD17" i="1"/>
  <c r="DE17" i="1"/>
  <c r="DF17" i="1"/>
  <c r="A18" i="1"/>
  <c r="B18" i="1"/>
  <c r="K18" i="1"/>
  <c r="L18" i="1"/>
  <c r="M18" i="1"/>
  <c r="N18" i="1"/>
  <c r="O18" i="1"/>
  <c r="P18" i="1"/>
  <c r="Q18" i="1"/>
  <c r="R18" i="1"/>
  <c r="S18" i="1"/>
  <c r="T18" i="1"/>
  <c r="U18" i="1"/>
  <c r="V18" i="1"/>
  <c r="AD18" i="1"/>
  <c r="AI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M18" i="1"/>
  <c r="CC18" i="1"/>
  <c r="CD18" i="1"/>
  <c r="CF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A19" i="1"/>
  <c r="B19" i="1"/>
  <c r="K19" i="1"/>
  <c r="L19" i="1"/>
  <c r="M19" i="1"/>
  <c r="N19" i="1"/>
  <c r="O19" i="1"/>
  <c r="P19" i="1"/>
  <c r="Q19" i="1"/>
  <c r="R19" i="1"/>
  <c r="S19" i="1"/>
  <c r="T19" i="1"/>
  <c r="U19" i="1"/>
  <c r="V19" i="1"/>
  <c r="AB19" i="1"/>
  <c r="AC19" i="1"/>
  <c r="AE19" i="1"/>
  <c r="AF19" i="1"/>
  <c r="AI19" i="1"/>
  <c r="AK19" i="1"/>
  <c r="AL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F19" i="1"/>
  <c r="BP19" i="1"/>
  <c r="BS19" i="1"/>
  <c r="BV19" i="1"/>
  <c r="CC19" i="1"/>
  <c r="CD19" i="1"/>
  <c r="CE19" i="1"/>
  <c r="CL19" i="1"/>
  <c r="CN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M19" i="1"/>
  <c r="A20" i="1"/>
  <c r="B20" i="1"/>
  <c r="K20" i="1"/>
  <c r="L20" i="1"/>
  <c r="M20" i="1"/>
  <c r="N20" i="1"/>
  <c r="N117" i="1" s="1"/>
  <c r="O20" i="1"/>
  <c r="P20" i="1"/>
  <c r="Q20" i="1"/>
  <c r="R20" i="1"/>
  <c r="S20" i="1"/>
  <c r="T20" i="1"/>
  <c r="U20" i="1"/>
  <c r="V20" i="1"/>
  <c r="V117" i="1" s="1"/>
  <c r="AC20" i="1"/>
  <c r="AF20" i="1"/>
  <c r="AG20" i="1"/>
  <c r="AI20" i="1"/>
  <c r="AM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M20" i="1"/>
  <c r="BQ20" i="1"/>
  <c r="BS20" i="1"/>
  <c r="BW20" i="1"/>
  <c r="CC20" i="1"/>
  <c r="CD20" i="1"/>
  <c r="CF20" i="1"/>
  <c r="CJ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A21" i="1"/>
  <c r="B21" i="1"/>
  <c r="K21" i="1"/>
  <c r="L21" i="1"/>
  <c r="M21" i="1"/>
  <c r="N21" i="1"/>
  <c r="O21" i="1"/>
  <c r="P21" i="1"/>
  <c r="Q21" i="1"/>
  <c r="R21" i="1"/>
  <c r="S21" i="1"/>
  <c r="T21" i="1"/>
  <c r="U21" i="1"/>
  <c r="V21" i="1"/>
  <c r="AC21" i="1"/>
  <c r="AE21" i="1"/>
  <c r="AG21" i="1"/>
  <c r="AI21" i="1"/>
  <c r="AS21" i="1"/>
  <c r="AT21" i="1"/>
  <c r="AU21" i="1"/>
  <c r="AV21" i="1"/>
  <c r="AX21" i="1"/>
  <c r="AY21" i="1"/>
  <c r="AZ21" i="1"/>
  <c r="BA21" i="1"/>
  <c r="BB21" i="1"/>
  <c r="BC21" i="1"/>
  <c r="BD21" i="1"/>
  <c r="BE21" i="1"/>
  <c r="BF21" i="1"/>
  <c r="BQ21" i="1"/>
  <c r="BS21" i="1"/>
  <c r="CC21" i="1"/>
  <c r="CD21" i="1"/>
  <c r="CH21" i="1"/>
  <c r="CI21" i="1"/>
  <c r="CJ21" i="1"/>
  <c r="CO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A22" i="1"/>
  <c r="B22" i="1"/>
  <c r="K22" i="1"/>
  <c r="L22" i="1"/>
  <c r="M22" i="1"/>
  <c r="N22" i="1"/>
  <c r="O22" i="1"/>
  <c r="P22" i="1"/>
  <c r="Q22" i="1"/>
  <c r="R22" i="1"/>
  <c r="S22" i="1"/>
  <c r="T22" i="1"/>
  <c r="U22" i="1"/>
  <c r="AK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M22" i="1"/>
  <c r="BQ22" i="1"/>
  <c r="BU22" i="1"/>
  <c r="CC22" i="1"/>
  <c r="CD22" i="1"/>
  <c r="CF22" i="1"/>
  <c r="CN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A23" i="1"/>
  <c r="B23" i="1"/>
  <c r="K23" i="1"/>
  <c r="L23" i="1"/>
  <c r="Z23" i="1" s="1"/>
  <c r="C23" i="1" s="1"/>
  <c r="M23" i="1"/>
  <c r="N23" i="1"/>
  <c r="O23" i="1"/>
  <c r="P23" i="1"/>
  <c r="Q23" i="1"/>
  <c r="R23" i="1"/>
  <c r="S23" i="1"/>
  <c r="T23" i="1"/>
  <c r="U23" i="1"/>
  <c r="V23" i="1"/>
  <c r="AB23" i="1"/>
  <c r="AC23" i="1"/>
  <c r="AD23" i="1"/>
  <c r="AE23" i="1"/>
  <c r="AF23" i="1"/>
  <c r="AG23" i="1"/>
  <c r="AM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L23" i="1"/>
  <c r="BM23" i="1"/>
  <c r="BN23" i="1"/>
  <c r="BO23" i="1"/>
  <c r="BP23" i="1"/>
  <c r="BQ23" i="1"/>
  <c r="BU23" i="1"/>
  <c r="BW23" i="1"/>
  <c r="CC23" i="1"/>
  <c r="CD23" i="1"/>
  <c r="CE23" i="1"/>
  <c r="CF23" i="1"/>
  <c r="CG23" i="1"/>
  <c r="CH23" i="1"/>
  <c r="CI23" i="1"/>
  <c r="CJ23" i="1"/>
  <c r="CL23" i="1"/>
  <c r="CN23" i="1"/>
  <c r="CO23" i="1"/>
  <c r="CP23" i="1"/>
  <c r="CV23" i="1"/>
  <c r="CW23" i="1"/>
  <c r="DF23" i="1"/>
  <c r="DM23" i="1" s="1"/>
  <c r="DG23" i="1"/>
  <c r="DH23" i="1"/>
  <c r="DI23" i="1"/>
  <c r="A24" i="1"/>
  <c r="B24" i="1"/>
  <c r="K24" i="1"/>
  <c r="L24" i="1"/>
  <c r="M24" i="1"/>
  <c r="N24" i="1"/>
  <c r="O24" i="1"/>
  <c r="P24" i="1"/>
  <c r="P117" i="1" s="1"/>
  <c r="Q24" i="1"/>
  <c r="R24" i="1"/>
  <c r="S24" i="1"/>
  <c r="T24" i="1"/>
  <c r="U24" i="1"/>
  <c r="V24" i="1"/>
  <c r="AB24" i="1"/>
  <c r="AH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L24" i="1"/>
  <c r="BM24" i="1"/>
  <c r="BR24" i="1"/>
  <c r="BW24" i="1"/>
  <c r="CC24" i="1"/>
  <c r="CD24" i="1"/>
  <c r="CE24" i="1"/>
  <c r="CF24" i="1"/>
  <c r="CK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M24" i="1"/>
  <c r="A25" i="1"/>
  <c r="B25" i="1"/>
  <c r="K25" i="1"/>
  <c r="L25" i="1"/>
  <c r="M25" i="1"/>
  <c r="N25" i="1"/>
  <c r="O25" i="1"/>
  <c r="P25" i="1"/>
  <c r="Q25" i="1"/>
  <c r="R25" i="1"/>
  <c r="S25" i="1"/>
  <c r="T25" i="1"/>
  <c r="U25" i="1"/>
  <c r="V25" i="1"/>
  <c r="AB25" i="1"/>
  <c r="AC25" i="1"/>
  <c r="AD25" i="1"/>
  <c r="AH25" i="1"/>
  <c r="AI25" i="1"/>
  <c r="AK25" i="1"/>
  <c r="AL25" i="1"/>
  <c r="AS25" i="1"/>
  <c r="AT25" i="1"/>
  <c r="AU25" i="1"/>
  <c r="AW25" i="1"/>
  <c r="AX25" i="1"/>
  <c r="AY25" i="1"/>
  <c r="AZ25" i="1"/>
  <c r="BA25" i="1"/>
  <c r="BB25" i="1"/>
  <c r="BC25" i="1"/>
  <c r="BD25" i="1"/>
  <c r="BF25" i="1"/>
  <c r="BL25" i="1"/>
  <c r="BR25" i="1"/>
  <c r="BV25" i="1"/>
  <c r="CC25" i="1"/>
  <c r="CD25" i="1"/>
  <c r="CE25" i="1"/>
  <c r="CL25" i="1"/>
  <c r="CO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M25" i="1"/>
  <c r="A26" i="1"/>
  <c r="B26" i="1"/>
  <c r="K26" i="1"/>
  <c r="L26" i="1"/>
  <c r="M26" i="1"/>
  <c r="N26" i="1"/>
  <c r="O26" i="1"/>
  <c r="P26" i="1"/>
  <c r="Q26" i="1"/>
  <c r="R26" i="1"/>
  <c r="S26" i="1"/>
  <c r="T26" i="1"/>
  <c r="U26" i="1"/>
  <c r="V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V26" i="1"/>
  <c r="CC26" i="1"/>
  <c r="CD26" i="1"/>
  <c r="CE26" i="1"/>
  <c r="CH26" i="1"/>
  <c r="CO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A27" i="1"/>
  <c r="B27" i="1"/>
  <c r="K27" i="1"/>
  <c r="L27" i="1"/>
  <c r="M27" i="1"/>
  <c r="Z27" i="1" s="1"/>
  <c r="C27" i="1" s="1"/>
  <c r="N27" i="1"/>
  <c r="O27" i="1"/>
  <c r="P27" i="1"/>
  <c r="Q27" i="1"/>
  <c r="R27" i="1"/>
  <c r="S27" i="1"/>
  <c r="T27" i="1"/>
  <c r="U27" i="1"/>
  <c r="U117" i="1" s="1"/>
  <c r="V27" i="1"/>
  <c r="AF27" i="1"/>
  <c r="AG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P27" i="1"/>
  <c r="BQ27" i="1"/>
  <c r="CC27" i="1"/>
  <c r="CD27" i="1"/>
  <c r="CF27" i="1"/>
  <c r="CI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A28" i="1"/>
  <c r="B28" i="1"/>
  <c r="K28" i="1"/>
  <c r="L28" i="1"/>
  <c r="M28" i="1"/>
  <c r="N28" i="1"/>
  <c r="O28" i="1"/>
  <c r="P28" i="1"/>
  <c r="Q28" i="1"/>
  <c r="R28" i="1"/>
  <c r="S28" i="1"/>
  <c r="T28" i="1"/>
  <c r="U28" i="1"/>
  <c r="V28" i="1"/>
  <c r="AS28" i="1"/>
  <c r="AT28" i="1"/>
  <c r="AU28" i="1"/>
  <c r="BJ28" i="1" s="1"/>
  <c r="G28" i="1" s="1"/>
  <c r="AV28" i="1"/>
  <c r="AW28" i="1"/>
  <c r="AX28" i="1"/>
  <c r="AY28" i="1"/>
  <c r="AZ28" i="1"/>
  <c r="BA28" i="1"/>
  <c r="BB28" i="1"/>
  <c r="BC28" i="1"/>
  <c r="BD28" i="1"/>
  <c r="BE28" i="1"/>
  <c r="BF28" i="1"/>
  <c r="BO28" i="1"/>
  <c r="BS28" i="1"/>
  <c r="CC28" i="1"/>
  <c r="CD28" i="1"/>
  <c r="CJ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A29" i="1"/>
  <c r="B29" i="1"/>
  <c r="K29" i="1"/>
  <c r="L29" i="1"/>
  <c r="M29" i="1"/>
  <c r="N29" i="1"/>
  <c r="O29" i="1"/>
  <c r="P29" i="1"/>
  <c r="Q29" i="1"/>
  <c r="R29" i="1"/>
  <c r="S29" i="1"/>
  <c r="T29" i="1"/>
  <c r="U29" i="1"/>
  <c r="V29" i="1"/>
  <c r="AC29" i="1"/>
  <c r="AI29" i="1"/>
  <c r="AJ29" i="1"/>
  <c r="AK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M29" i="1"/>
  <c r="BS29" i="1"/>
  <c r="CC29" i="1"/>
  <c r="CD29" i="1"/>
  <c r="CF29" i="1"/>
  <c r="CH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A30" i="1"/>
  <c r="B30" i="1"/>
  <c r="C30" i="1"/>
  <c r="K30" i="1"/>
  <c r="L30" i="1"/>
  <c r="M30" i="1"/>
  <c r="N30" i="1"/>
  <c r="O30" i="1"/>
  <c r="P30" i="1"/>
  <c r="Q30" i="1"/>
  <c r="R30" i="1"/>
  <c r="S30" i="1"/>
  <c r="T30" i="1"/>
  <c r="U30" i="1"/>
  <c r="V30" i="1"/>
  <c r="Z30" i="1"/>
  <c r="AB30" i="1"/>
  <c r="AC30" i="1"/>
  <c r="AG30" i="1"/>
  <c r="AI30" i="1"/>
  <c r="AJ30" i="1"/>
  <c r="AL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M30" i="1"/>
  <c r="BO30" i="1"/>
  <c r="CC30" i="1"/>
  <c r="CD30" i="1"/>
  <c r="CH30" i="1"/>
  <c r="CJ30" i="1"/>
  <c r="CK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A31" i="1"/>
  <c r="B31" i="1"/>
  <c r="K31" i="1"/>
  <c r="L31" i="1"/>
  <c r="M31" i="1"/>
  <c r="N31" i="1"/>
  <c r="Z31" i="1" s="1"/>
  <c r="C31" i="1" s="1"/>
  <c r="O31" i="1"/>
  <c r="P31" i="1"/>
  <c r="Q31" i="1"/>
  <c r="R31" i="1"/>
  <c r="S31" i="1"/>
  <c r="T31" i="1"/>
  <c r="U31" i="1"/>
  <c r="V31" i="1"/>
  <c r="AC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L31" i="1"/>
  <c r="BQ31" i="1"/>
  <c r="BT31" i="1"/>
  <c r="CC31" i="1"/>
  <c r="CD31" i="1"/>
  <c r="CE31" i="1"/>
  <c r="CM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A32" i="1"/>
  <c r="B32" i="1"/>
  <c r="K32" i="1"/>
  <c r="L32" i="1"/>
  <c r="M32" i="1"/>
  <c r="N32" i="1"/>
  <c r="O32" i="1"/>
  <c r="P32" i="1"/>
  <c r="Q32" i="1"/>
  <c r="R32" i="1"/>
  <c r="S32" i="1"/>
  <c r="T32" i="1"/>
  <c r="U32" i="1"/>
  <c r="V32" i="1"/>
  <c r="Z32" i="1"/>
  <c r="C32" i="1" s="1"/>
  <c r="AE32" i="1"/>
  <c r="AG32" i="1"/>
  <c r="AH32" i="1"/>
  <c r="AI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O32" i="1"/>
  <c r="CC32" i="1"/>
  <c r="CD32" i="1"/>
  <c r="CH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A33" i="1"/>
  <c r="B33" i="1"/>
  <c r="K33" i="1"/>
  <c r="L33" i="1"/>
  <c r="M33" i="1"/>
  <c r="N33" i="1"/>
  <c r="O33" i="1"/>
  <c r="P33" i="1"/>
  <c r="Q33" i="1"/>
  <c r="R33" i="1"/>
  <c r="S33" i="1"/>
  <c r="T33" i="1"/>
  <c r="U33" i="1"/>
  <c r="V33" i="1"/>
  <c r="AC33" i="1"/>
  <c r="AH33" i="1"/>
  <c r="AK33" i="1"/>
  <c r="AL33" i="1"/>
  <c r="AS33" i="1"/>
  <c r="AT33" i="1"/>
  <c r="AU33" i="1"/>
  <c r="AV33" i="1"/>
  <c r="BJ33" i="1" s="1"/>
  <c r="G33" i="1" s="1"/>
  <c r="AW33" i="1"/>
  <c r="AX33" i="1"/>
  <c r="AY33" i="1"/>
  <c r="AZ33" i="1"/>
  <c r="BA33" i="1"/>
  <c r="BB33" i="1"/>
  <c r="BC33" i="1"/>
  <c r="BD33" i="1"/>
  <c r="BE33" i="1"/>
  <c r="BF33" i="1"/>
  <c r="BQ33" i="1"/>
  <c r="BR33" i="1"/>
  <c r="BV33" i="1"/>
  <c r="CC33" i="1"/>
  <c r="CD33" i="1"/>
  <c r="CG33" i="1"/>
  <c r="CI33" i="1"/>
  <c r="CN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A34" i="1"/>
  <c r="B34" i="1"/>
  <c r="K34" i="1"/>
  <c r="L34" i="1"/>
  <c r="M34" i="1"/>
  <c r="N34" i="1"/>
  <c r="O34" i="1"/>
  <c r="P34" i="1"/>
  <c r="Q34" i="1"/>
  <c r="R34" i="1"/>
  <c r="S34" i="1"/>
  <c r="T34" i="1"/>
  <c r="U34" i="1"/>
  <c r="V34" i="1"/>
  <c r="AD34" i="1"/>
  <c r="AF34" i="1"/>
  <c r="AI34" i="1"/>
  <c r="AK34" i="1"/>
  <c r="AL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P34" i="1"/>
  <c r="BV34" i="1"/>
  <c r="CC34" i="1"/>
  <c r="CD34" i="1"/>
  <c r="CF34" i="1"/>
  <c r="CI34" i="1"/>
  <c r="CO34" i="1"/>
  <c r="CP34" i="1"/>
  <c r="CV34" i="1"/>
  <c r="CW34" i="1"/>
  <c r="CX34" i="1"/>
  <c r="CY34" i="1"/>
  <c r="CZ34" i="1"/>
  <c r="DA34" i="1"/>
  <c r="DB34" i="1"/>
  <c r="DM34" i="1" s="1"/>
  <c r="DC34" i="1"/>
  <c r="DD34" i="1"/>
  <c r="DE34" i="1"/>
  <c r="DF34" i="1"/>
  <c r="DG34" i="1"/>
  <c r="DH34" i="1"/>
  <c r="DI34" i="1"/>
  <c r="A35" i="1"/>
  <c r="B35" i="1"/>
  <c r="K35" i="1"/>
  <c r="L35" i="1"/>
  <c r="M35" i="1"/>
  <c r="N35" i="1"/>
  <c r="O35" i="1"/>
  <c r="P35" i="1"/>
  <c r="Q35" i="1"/>
  <c r="R35" i="1"/>
  <c r="S35" i="1"/>
  <c r="T35" i="1"/>
  <c r="U35" i="1"/>
  <c r="V35" i="1"/>
  <c r="AF35" i="1"/>
  <c r="AH35" i="1"/>
  <c r="AK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F35" i="1"/>
  <c r="BL35" i="1"/>
  <c r="BR35" i="1"/>
  <c r="BU35" i="1"/>
  <c r="CC35" i="1"/>
  <c r="CD35" i="1"/>
  <c r="CE35" i="1"/>
  <c r="CG35" i="1"/>
  <c r="CO35" i="1"/>
  <c r="CV35" i="1"/>
  <c r="CW35" i="1"/>
  <c r="CX35" i="1"/>
  <c r="DM35" i="1" s="1"/>
  <c r="CY35" i="1"/>
  <c r="CZ35" i="1"/>
  <c r="DA35" i="1"/>
  <c r="DB35" i="1"/>
  <c r="DC35" i="1"/>
  <c r="DD35" i="1"/>
  <c r="DE35" i="1"/>
  <c r="DF35" i="1"/>
  <c r="DG35" i="1"/>
  <c r="DH35" i="1"/>
  <c r="DI35" i="1"/>
  <c r="A36" i="1"/>
  <c r="B36" i="1"/>
  <c r="K36" i="1"/>
  <c r="L36" i="1"/>
  <c r="M36" i="1"/>
  <c r="N36" i="1"/>
  <c r="O36" i="1"/>
  <c r="P36" i="1"/>
  <c r="Q36" i="1"/>
  <c r="R36" i="1"/>
  <c r="S36" i="1"/>
  <c r="T36" i="1"/>
  <c r="U36" i="1"/>
  <c r="V36" i="1"/>
  <c r="AB36" i="1"/>
  <c r="AE36" i="1"/>
  <c r="AF36" i="1"/>
  <c r="AG36" i="1"/>
  <c r="AK36" i="1"/>
  <c r="AS36" i="1"/>
  <c r="AT36" i="1"/>
  <c r="AU36" i="1"/>
  <c r="AV36" i="1"/>
  <c r="AW36" i="1"/>
  <c r="AX36" i="1"/>
  <c r="AY36" i="1"/>
  <c r="AZ36" i="1"/>
  <c r="BA36" i="1"/>
  <c r="BB36" i="1"/>
  <c r="BC36" i="1"/>
  <c r="BE36" i="1"/>
  <c r="BF36" i="1"/>
  <c r="BL36" i="1"/>
  <c r="BP36" i="1"/>
  <c r="BQ36" i="1"/>
  <c r="BU36" i="1"/>
  <c r="CC36" i="1"/>
  <c r="CD36" i="1"/>
  <c r="CE36" i="1"/>
  <c r="CI36" i="1"/>
  <c r="CJ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A37" i="1"/>
  <c r="B37" i="1"/>
  <c r="K37" i="1"/>
  <c r="L37" i="1"/>
  <c r="M37" i="1"/>
  <c r="N37" i="1"/>
  <c r="O37" i="1"/>
  <c r="P37" i="1"/>
  <c r="Q37" i="1"/>
  <c r="R37" i="1"/>
  <c r="S37" i="1"/>
  <c r="T37" i="1"/>
  <c r="U37" i="1"/>
  <c r="V37" i="1"/>
  <c r="Z37" i="1"/>
  <c r="C37" i="1" s="1"/>
  <c r="AB37" i="1"/>
  <c r="AD37" i="1"/>
  <c r="AJ37" i="1"/>
  <c r="AK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L37" i="1"/>
  <c r="CC37" i="1"/>
  <c r="CD37" i="1"/>
  <c r="CE37" i="1"/>
  <c r="CG37" i="1"/>
  <c r="CM37" i="1"/>
  <c r="CN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A38" i="1"/>
  <c r="B38" i="1"/>
  <c r="K38" i="1"/>
  <c r="L38" i="1"/>
  <c r="M38" i="1"/>
  <c r="N38" i="1"/>
  <c r="O38" i="1"/>
  <c r="P38" i="1"/>
  <c r="Q38" i="1"/>
  <c r="R38" i="1"/>
  <c r="S38" i="1"/>
  <c r="T38" i="1"/>
  <c r="U38" i="1"/>
  <c r="V38" i="1"/>
  <c r="Z38" i="1"/>
  <c r="C38" i="1" s="1"/>
  <c r="AC38" i="1"/>
  <c r="AF38" i="1"/>
  <c r="AG38" i="1"/>
  <c r="AI38" i="1"/>
  <c r="AK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M38" i="1"/>
  <c r="BQ38" i="1"/>
  <c r="BR38" i="1"/>
  <c r="BT38" i="1"/>
  <c r="BU38" i="1"/>
  <c r="CC38" i="1"/>
  <c r="CD38" i="1"/>
  <c r="CF38" i="1"/>
  <c r="CJ38" i="1"/>
  <c r="CK38" i="1"/>
  <c r="CL38" i="1"/>
  <c r="CN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A39" i="1"/>
  <c r="B39" i="1"/>
  <c r="K39" i="1"/>
  <c r="L39" i="1"/>
  <c r="M39" i="1"/>
  <c r="N39" i="1"/>
  <c r="O39" i="1"/>
  <c r="P39" i="1"/>
  <c r="Q39" i="1"/>
  <c r="R39" i="1"/>
  <c r="S39" i="1"/>
  <c r="T39" i="1"/>
  <c r="U39" i="1"/>
  <c r="V39" i="1"/>
  <c r="AC39" i="1"/>
  <c r="AI39" i="1"/>
  <c r="AS39" i="1"/>
  <c r="AT39" i="1"/>
  <c r="AU39" i="1"/>
  <c r="AV39" i="1"/>
  <c r="AW39" i="1"/>
  <c r="AX39" i="1"/>
  <c r="AY39" i="1"/>
  <c r="AZ39" i="1"/>
  <c r="BA39" i="1"/>
  <c r="BB39" i="1"/>
  <c r="BC39" i="1"/>
  <c r="BE39" i="1"/>
  <c r="BF39" i="1"/>
  <c r="BU39" i="1"/>
  <c r="CC39" i="1"/>
  <c r="CD39" i="1"/>
  <c r="CN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A40" i="1"/>
  <c r="B40" i="1"/>
  <c r="C40" i="1"/>
  <c r="K40" i="1"/>
  <c r="L40" i="1"/>
  <c r="M40" i="1"/>
  <c r="N40" i="1"/>
  <c r="Z40" i="1" s="1"/>
  <c r="O40" i="1"/>
  <c r="P40" i="1"/>
  <c r="Q40" i="1"/>
  <c r="R40" i="1"/>
  <c r="S40" i="1"/>
  <c r="T40" i="1"/>
  <c r="U40" i="1"/>
  <c r="V40" i="1"/>
  <c r="AE40" i="1"/>
  <c r="AG40" i="1"/>
  <c r="AH40" i="1"/>
  <c r="AK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M40" i="1"/>
  <c r="BP40" i="1"/>
  <c r="BR40" i="1"/>
  <c r="CC40" i="1"/>
  <c r="CD40" i="1"/>
  <c r="CF40" i="1"/>
  <c r="CH40" i="1"/>
  <c r="CJ40" i="1"/>
  <c r="CN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A41" i="1"/>
  <c r="B41" i="1"/>
  <c r="K41" i="1"/>
  <c r="L41" i="1"/>
  <c r="M41" i="1"/>
  <c r="N41" i="1"/>
  <c r="O41" i="1"/>
  <c r="P41" i="1"/>
  <c r="Q41" i="1"/>
  <c r="R41" i="1"/>
  <c r="S41" i="1"/>
  <c r="T41" i="1"/>
  <c r="U41" i="1"/>
  <c r="V41" i="1"/>
  <c r="AC41" i="1"/>
  <c r="AD41" i="1"/>
  <c r="AE41" i="1"/>
  <c r="AJ41" i="1"/>
  <c r="AK41" i="1"/>
  <c r="AL41" i="1"/>
  <c r="AM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M41" i="1"/>
  <c r="BU41" i="1"/>
  <c r="BV41" i="1"/>
  <c r="BW41" i="1"/>
  <c r="CC41" i="1"/>
  <c r="CF41" i="1"/>
  <c r="CH41" i="1"/>
  <c r="CN41" i="1"/>
  <c r="CO41" i="1"/>
  <c r="CP41" i="1"/>
  <c r="CV41" i="1"/>
  <c r="CX41" i="1"/>
  <c r="CY41" i="1"/>
  <c r="CZ41" i="1"/>
  <c r="DA41" i="1"/>
  <c r="DB41" i="1"/>
  <c r="DC41" i="1"/>
  <c r="DD41" i="1"/>
  <c r="DE41" i="1"/>
  <c r="DF41" i="1"/>
  <c r="A42" i="1"/>
  <c r="B42" i="1"/>
  <c r="K42" i="1"/>
  <c r="Z42" i="1" s="1"/>
  <c r="C42" i="1" s="1"/>
  <c r="L42" i="1"/>
  <c r="M42" i="1"/>
  <c r="N42" i="1"/>
  <c r="O42" i="1"/>
  <c r="P42" i="1"/>
  <c r="Q42" i="1"/>
  <c r="R42" i="1"/>
  <c r="S42" i="1"/>
  <c r="T42" i="1"/>
  <c r="U42" i="1"/>
  <c r="V42" i="1"/>
  <c r="AC42" i="1"/>
  <c r="AK42" i="1"/>
  <c r="AL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F42" i="1"/>
  <c r="BM42" i="1"/>
  <c r="BO42" i="1"/>
  <c r="BV42" i="1"/>
  <c r="CC42" i="1"/>
  <c r="CD42" i="1"/>
  <c r="CE42" i="1"/>
  <c r="CF42" i="1"/>
  <c r="CH42" i="1"/>
  <c r="CI42" i="1"/>
  <c r="CN42" i="1"/>
  <c r="CO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A43" i="1"/>
  <c r="B43" i="1"/>
  <c r="K43" i="1"/>
  <c r="L43" i="1"/>
  <c r="M43" i="1"/>
  <c r="N43" i="1"/>
  <c r="O43" i="1"/>
  <c r="P43" i="1"/>
  <c r="Q43" i="1"/>
  <c r="R43" i="1"/>
  <c r="S43" i="1"/>
  <c r="T43" i="1"/>
  <c r="U43" i="1"/>
  <c r="V43" i="1"/>
  <c r="AC43" i="1"/>
  <c r="AH43" i="1"/>
  <c r="AK43" i="1"/>
  <c r="AL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L43" i="1"/>
  <c r="BM43" i="1"/>
  <c r="BR43" i="1"/>
  <c r="BW43" i="1"/>
  <c r="CC43" i="1"/>
  <c r="CD43" i="1"/>
  <c r="CE43" i="1"/>
  <c r="CF43" i="1"/>
  <c r="CN43" i="1"/>
  <c r="CO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A44" i="1"/>
  <c r="B44" i="1"/>
  <c r="K44" i="1"/>
  <c r="L44" i="1"/>
  <c r="M44" i="1"/>
  <c r="N44" i="1"/>
  <c r="O44" i="1"/>
  <c r="P44" i="1"/>
  <c r="Q44" i="1"/>
  <c r="R44" i="1"/>
  <c r="S44" i="1"/>
  <c r="T44" i="1"/>
  <c r="U44" i="1"/>
  <c r="V44" i="1"/>
  <c r="AC44" i="1"/>
  <c r="AK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M44" i="1"/>
  <c r="BU44" i="1"/>
  <c r="BV44" i="1"/>
  <c r="CC44" i="1"/>
  <c r="CD44" i="1"/>
  <c r="CF44" i="1"/>
  <c r="CI44" i="1"/>
  <c r="CK44" i="1"/>
  <c r="CL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M44" i="1"/>
  <c r="A45" i="1"/>
  <c r="B45" i="1"/>
  <c r="K45" i="1"/>
  <c r="L45" i="1"/>
  <c r="M45" i="1"/>
  <c r="N45" i="1"/>
  <c r="O45" i="1"/>
  <c r="P45" i="1"/>
  <c r="Q45" i="1"/>
  <c r="R45" i="1"/>
  <c r="S45" i="1"/>
  <c r="T45" i="1"/>
  <c r="U45" i="1"/>
  <c r="V45" i="1"/>
  <c r="AC45" i="1"/>
  <c r="AJ45" i="1"/>
  <c r="AK45" i="1"/>
  <c r="AS45" i="1"/>
  <c r="AT45" i="1"/>
  <c r="AU45" i="1"/>
  <c r="AV45" i="1"/>
  <c r="AW45" i="1"/>
  <c r="AX45" i="1"/>
  <c r="AY45" i="1"/>
  <c r="AZ45" i="1"/>
  <c r="BA45" i="1"/>
  <c r="BB45" i="1"/>
  <c r="BJ45" i="1" s="1"/>
  <c r="G45" i="1" s="1"/>
  <c r="BC45" i="1"/>
  <c r="BD45" i="1"/>
  <c r="BE45" i="1"/>
  <c r="BF45" i="1"/>
  <c r="BU45" i="1"/>
  <c r="CC45" i="1"/>
  <c r="CD45" i="1"/>
  <c r="CF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A46" i="1"/>
  <c r="B46" i="1"/>
  <c r="K46" i="1"/>
  <c r="L46" i="1"/>
  <c r="M46" i="1"/>
  <c r="N46" i="1"/>
  <c r="O46" i="1"/>
  <c r="P46" i="1"/>
  <c r="Q46" i="1"/>
  <c r="R46" i="1"/>
  <c r="S46" i="1"/>
  <c r="T46" i="1"/>
  <c r="U46" i="1"/>
  <c r="V46" i="1"/>
  <c r="AB46" i="1"/>
  <c r="AD46" i="1"/>
  <c r="AF46" i="1"/>
  <c r="AK46" i="1"/>
  <c r="AS46" i="1"/>
  <c r="AT46" i="1"/>
  <c r="AU46" i="1"/>
  <c r="AV46" i="1"/>
  <c r="BJ46" i="1" s="1"/>
  <c r="G46" i="1" s="1"/>
  <c r="AW46" i="1"/>
  <c r="AX46" i="1"/>
  <c r="AY46" i="1"/>
  <c r="AZ46" i="1"/>
  <c r="BA46" i="1"/>
  <c r="BB46" i="1"/>
  <c r="BC46" i="1"/>
  <c r="BD46" i="1"/>
  <c r="BE46" i="1"/>
  <c r="BF46" i="1"/>
  <c r="BM46" i="1"/>
  <c r="BR46" i="1"/>
  <c r="CC46" i="1"/>
  <c r="CD46" i="1"/>
  <c r="CE46" i="1"/>
  <c r="CF46" i="1"/>
  <c r="CG46" i="1"/>
  <c r="CI46" i="1"/>
  <c r="CK46" i="1"/>
  <c r="CN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M46" i="1"/>
  <c r="A47" i="1"/>
  <c r="B47" i="1"/>
  <c r="K47" i="1"/>
  <c r="Z47" i="1" s="1"/>
  <c r="C47" i="1" s="1"/>
  <c r="L47" i="1"/>
  <c r="M47" i="1"/>
  <c r="N47" i="1"/>
  <c r="O47" i="1"/>
  <c r="P47" i="1"/>
  <c r="Q47" i="1"/>
  <c r="R47" i="1"/>
  <c r="S47" i="1"/>
  <c r="T47" i="1"/>
  <c r="U47" i="1"/>
  <c r="V47" i="1"/>
  <c r="AK47" i="1"/>
  <c r="AM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BF47" i="1"/>
  <c r="BN47" i="1"/>
  <c r="BT47" i="1"/>
  <c r="BU47" i="1"/>
  <c r="CC47" i="1"/>
  <c r="CD47" i="1"/>
  <c r="CG47" i="1"/>
  <c r="CI47" i="1"/>
  <c r="CN47" i="1"/>
  <c r="CP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M47" i="1"/>
  <c r="A48" i="1"/>
  <c r="B48" i="1"/>
  <c r="K48" i="1"/>
  <c r="L48" i="1"/>
  <c r="M48" i="1"/>
  <c r="N48" i="1"/>
  <c r="O48" i="1"/>
  <c r="P48" i="1"/>
  <c r="Q48" i="1"/>
  <c r="R48" i="1"/>
  <c r="S48" i="1"/>
  <c r="T48" i="1"/>
  <c r="U48" i="1"/>
  <c r="V48" i="1"/>
  <c r="AE48" i="1"/>
  <c r="AH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O48" i="1"/>
  <c r="BR48" i="1"/>
  <c r="CC48" i="1"/>
  <c r="CD48" i="1"/>
  <c r="CH48" i="1"/>
  <c r="CJ48" i="1"/>
  <c r="CK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A49" i="1"/>
  <c r="B49" i="1"/>
  <c r="K49" i="1"/>
  <c r="L49" i="1"/>
  <c r="M49" i="1"/>
  <c r="N49" i="1"/>
  <c r="O49" i="1"/>
  <c r="P49" i="1"/>
  <c r="Q49" i="1"/>
  <c r="R49" i="1"/>
  <c r="S49" i="1"/>
  <c r="T49" i="1"/>
  <c r="U49" i="1"/>
  <c r="V49" i="1"/>
  <c r="AB49" i="1"/>
  <c r="AK49" i="1"/>
  <c r="AL49" i="1"/>
  <c r="AM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CC49" i="1"/>
  <c r="CD49" i="1"/>
  <c r="CE49" i="1"/>
  <c r="CG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A50" i="1"/>
  <c r="B50" i="1"/>
  <c r="G50" i="1"/>
  <c r="K50" i="1"/>
  <c r="L50" i="1"/>
  <c r="M50" i="1"/>
  <c r="N50" i="1"/>
  <c r="O50" i="1"/>
  <c r="P50" i="1"/>
  <c r="Q50" i="1"/>
  <c r="R50" i="1"/>
  <c r="S50" i="1"/>
  <c r="T50" i="1"/>
  <c r="U50" i="1"/>
  <c r="V50" i="1"/>
  <c r="AJ50" i="1"/>
  <c r="AS50" i="1"/>
  <c r="AT50" i="1"/>
  <c r="AU50" i="1"/>
  <c r="BJ50" i="1" s="1"/>
  <c r="AV50" i="1"/>
  <c r="AW50" i="1"/>
  <c r="AX50" i="1"/>
  <c r="AY50" i="1"/>
  <c r="AZ50" i="1"/>
  <c r="BA50" i="1"/>
  <c r="BB50" i="1"/>
  <c r="BC50" i="1"/>
  <c r="BD50" i="1"/>
  <c r="BE50" i="1"/>
  <c r="BF50" i="1"/>
  <c r="BO50" i="1"/>
  <c r="BU50" i="1"/>
  <c r="CC50" i="1"/>
  <c r="CD50" i="1"/>
  <c r="CL50" i="1"/>
  <c r="CM50" i="1"/>
  <c r="CN50" i="1"/>
  <c r="CP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A51" i="1"/>
  <c r="B51" i="1"/>
  <c r="K51" i="1"/>
  <c r="L51" i="1"/>
  <c r="M51" i="1"/>
  <c r="N51" i="1"/>
  <c r="O51" i="1"/>
  <c r="P51" i="1"/>
  <c r="Q51" i="1"/>
  <c r="R51" i="1"/>
  <c r="S51" i="1"/>
  <c r="T51" i="1"/>
  <c r="T117" i="1" s="1"/>
  <c r="U51" i="1"/>
  <c r="V51" i="1"/>
  <c r="Z51" i="1"/>
  <c r="C51" i="1" s="1"/>
  <c r="AB51" i="1"/>
  <c r="AC51" i="1"/>
  <c r="AD51" i="1"/>
  <c r="AE51" i="1"/>
  <c r="AF51" i="1"/>
  <c r="AG51" i="1"/>
  <c r="AH51" i="1"/>
  <c r="AI51" i="1"/>
  <c r="AJ51" i="1"/>
  <c r="AK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L51" i="1"/>
  <c r="BM51" i="1"/>
  <c r="BN51" i="1"/>
  <c r="BO51" i="1"/>
  <c r="BP51" i="1"/>
  <c r="BQ51" i="1"/>
  <c r="BR51" i="1"/>
  <c r="BS51" i="1"/>
  <c r="BT51" i="1"/>
  <c r="BU51" i="1"/>
  <c r="CC51" i="1"/>
  <c r="CD51" i="1"/>
  <c r="CE51" i="1"/>
  <c r="CF51" i="1"/>
  <c r="CG51" i="1"/>
  <c r="CH51" i="1"/>
  <c r="CI51" i="1"/>
  <c r="CJ51" i="1"/>
  <c r="CK51" i="1"/>
  <c r="CL51" i="1"/>
  <c r="CM51" i="1"/>
  <c r="CV51" i="1"/>
  <c r="CW51" i="1"/>
  <c r="DG51" i="1"/>
  <c r="DH51" i="1"/>
  <c r="DI51" i="1"/>
  <c r="A52" i="1"/>
  <c r="B52" i="1"/>
  <c r="K52" i="1"/>
  <c r="L52" i="1"/>
  <c r="M52" i="1"/>
  <c r="N52" i="1"/>
  <c r="O52" i="1"/>
  <c r="P52" i="1"/>
  <c r="Q52" i="1"/>
  <c r="R52" i="1"/>
  <c r="S52" i="1"/>
  <c r="T52" i="1"/>
  <c r="U52" i="1"/>
  <c r="V52" i="1"/>
  <c r="AB52" i="1"/>
  <c r="AC52" i="1"/>
  <c r="AD52" i="1"/>
  <c r="AE52" i="1"/>
  <c r="AF52" i="1"/>
  <c r="AG52" i="1"/>
  <c r="AH52" i="1"/>
  <c r="AI52" i="1"/>
  <c r="AJ52" i="1"/>
  <c r="AK52" i="1"/>
  <c r="AL52" i="1"/>
  <c r="AS52" i="1"/>
  <c r="AT52" i="1"/>
  <c r="AU52" i="1"/>
  <c r="AV52" i="1"/>
  <c r="AW52" i="1"/>
  <c r="AX52" i="1"/>
  <c r="BJ52" i="1" s="1"/>
  <c r="G52" i="1" s="1"/>
  <c r="AY52" i="1"/>
  <c r="AZ52" i="1"/>
  <c r="BA52" i="1"/>
  <c r="BB52" i="1"/>
  <c r="BC52" i="1"/>
  <c r="BD52" i="1"/>
  <c r="BE52" i="1"/>
  <c r="BF52" i="1"/>
  <c r="BL52" i="1"/>
  <c r="BM52" i="1"/>
  <c r="BN52" i="1"/>
  <c r="BO52" i="1"/>
  <c r="BP52" i="1"/>
  <c r="BQ52" i="1"/>
  <c r="BR52" i="1"/>
  <c r="BS52" i="1"/>
  <c r="BT52" i="1"/>
  <c r="BV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V52" i="1"/>
  <c r="CW52" i="1"/>
  <c r="DG52" i="1"/>
  <c r="DH52" i="1"/>
  <c r="DI52" i="1"/>
  <c r="DM52" i="1"/>
  <c r="A53" i="1"/>
  <c r="B53" i="1"/>
  <c r="K53" i="1"/>
  <c r="L53" i="1"/>
  <c r="M53" i="1"/>
  <c r="N53" i="1"/>
  <c r="O53" i="1"/>
  <c r="P53" i="1"/>
  <c r="Q53" i="1"/>
  <c r="R53" i="1"/>
  <c r="S53" i="1"/>
  <c r="T53" i="1"/>
  <c r="U53" i="1"/>
  <c r="V53" i="1"/>
  <c r="AB53" i="1"/>
  <c r="AC53" i="1"/>
  <c r="AD53" i="1"/>
  <c r="AE53" i="1"/>
  <c r="AF53" i="1"/>
  <c r="AG53" i="1"/>
  <c r="AH53" i="1"/>
  <c r="AI53" i="1"/>
  <c r="AJ53" i="1"/>
  <c r="AK53" i="1"/>
  <c r="AL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L53" i="1"/>
  <c r="BM53" i="1"/>
  <c r="BN53" i="1"/>
  <c r="BO53" i="1"/>
  <c r="BP53" i="1"/>
  <c r="BQ53" i="1"/>
  <c r="BR53" i="1"/>
  <c r="BS53" i="1"/>
  <c r="BT53" i="1"/>
  <c r="BV53" i="1"/>
  <c r="BW53" i="1"/>
  <c r="CC53" i="1"/>
  <c r="CD53" i="1"/>
  <c r="CE53" i="1"/>
  <c r="CT53" i="1" s="1"/>
  <c r="F53" i="1" s="1"/>
  <c r="CF53" i="1"/>
  <c r="CG53" i="1"/>
  <c r="CH53" i="1"/>
  <c r="CI53" i="1"/>
  <c r="CJ53" i="1"/>
  <c r="CK53" i="1"/>
  <c r="CL53" i="1"/>
  <c r="CM53" i="1"/>
  <c r="CN53" i="1"/>
  <c r="CO53" i="1"/>
  <c r="CP53" i="1"/>
  <c r="CV53" i="1"/>
  <c r="CW53" i="1"/>
  <c r="DG53" i="1"/>
  <c r="DH53" i="1"/>
  <c r="DI53" i="1"/>
  <c r="A54" i="1"/>
  <c r="B54" i="1"/>
  <c r="K54" i="1"/>
  <c r="L54" i="1"/>
  <c r="M54" i="1"/>
  <c r="N54" i="1"/>
  <c r="O54" i="1"/>
  <c r="P54" i="1"/>
  <c r="Q54" i="1"/>
  <c r="R54" i="1"/>
  <c r="S54" i="1"/>
  <c r="T54" i="1"/>
  <c r="U54" i="1"/>
  <c r="V54" i="1"/>
  <c r="AK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T54" i="1"/>
  <c r="BU54" i="1"/>
  <c r="BV54" i="1"/>
  <c r="CC54" i="1"/>
  <c r="CD54" i="1"/>
  <c r="CM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M54" i="1"/>
  <c r="A55" i="1"/>
  <c r="B55" i="1"/>
  <c r="G55" i="1"/>
  <c r="K55" i="1"/>
  <c r="L55" i="1"/>
  <c r="M55" i="1"/>
  <c r="N55" i="1"/>
  <c r="O55" i="1"/>
  <c r="P55" i="1"/>
  <c r="Q55" i="1"/>
  <c r="R55" i="1"/>
  <c r="S55" i="1"/>
  <c r="T55" i="1"/>
  <c r="U55" i="1"/>
  <c r="V55" i="1"/>
  <c r="AB55" i="1"/>
  <c r="AC55" i="1"/>
  <c r="AD55" i="1"/>
  <c r="AE55" i="1"/>
  <c r="AF55" i="1"/>
  <c r="AG55" i="1"/>
  <c r="AH55" i="1"/>
  <c r="AI55" i="1"/>
  <c r="AJ55" i="1"/>
  <c r="AK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J55" i="1"/>
  <c r="BL55" i="1"/>
  <c r="BM55" i="1"/>
  <c r="BN55" i="1"/>
  <c r="BO55" i="1"/>
  <c r="BP55" i="1"/>
  <c r="BQ55" i="1"/>
  <c r="BR55" i="1"/>
  <c r="BS55" i="1"/>
  <c r="BT55" i="1"/>
  <c r="BU55" i="1"/>
  <c r="CC55" i="1"/>
  <c r="CD55" i="1"/>
  <c r="CE55" i="1"/>
  <c r="CF55" i="1"/>
  <c r="CG55" i="1"/>
  <c r="CH55" i="1"/>
  <c r="CI55" i="1"/>
  <c r="CJ55" i="1"/>
  <c r="CK55" i="1"/>
  <c r="CL55" i="1"/>
  <c r="CM55" i="1"/>
  <c r="CV55" i="1"/>
  <c r="CW55" i="1"/>
  <c r="DG55" i="1"/>
  <c r="DH55" i="1"/>
  <c r="DI55" i="1"/>
  <c r="A56" i="1"/>
  <c r="B56" i="1"/>
  <c r="K56" i="1"/>
  <c r="L56" i="1"/>
  <c r="M56" i="1"/>
  <c r="Z56" i="1" s="1"/>
  <c r="C56" i="1" s="1"/>
  <c r="N56" i="1"/>
  <c r="O56" i="1"/>
  <c r="P56" i="1"/>
  <c r="Q56" i="1"/>
  <c r="R56" i="1"/>
  <c r="S56" i="1"/>
  <c r="T56" i="1"/>
  <c r="U56" i="1"/>
  <c r="V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L56" i="1"/>
  <c r="BM56" i="1"/>
  <c r="BN56" i="1"/>
  <c r="BO56" i="1"/>
  <c r="BP56" i="1"/>
  <c r="BQ56" i="1"/>
  <c r="BR56" i="1"/>
  <c r="BS56" i="1"/>
  <c r="BT56" i="1"/>
  <c r="BU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V56" i="1"/>
  <c r="CW56" i="1"/>
  <c r="DG56" i="1"/>
  <c r="DH56" i="1"/>
  <c r="DI56" i="1"/>
  <c r="DM56" i="1"/>
  <c r="A57" i="1"/>
  <c r="B57" i="1"/>
  <c r="K57" i="1"/>
  <c r="L57" i="1"/>
  <c r="M57" i="1"/>
  <c r="Z57" i="1" s="1"/>
  <c r="C57" i="1" s="1"/>
  <c r="N57" i="1"/>
  <c r="O57" i="1"/>
  <c r="P57" i="1"/>
  <c r="Q57" i="1"/>
  <c r="R57" i="1"/>
  <c r="S57" i="1"/>
  <c r="T57" i="1"/>
  <c r="U57" i="1"/>
  <c r="V57" i="1"/>
  <c r="AB57" i="1"/>
  <c r="AC57" i="1"/>
  <c r="AD57" i="1"/>
  <c r="AE57" i="1"/>
  <c r="AF57" i="1"/>
  <c r="AG57" i="1"/>
  <c r="AH57" i="1"/>
  <c r="AI57" i="1"/>
  <c r="AJ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L57" i="1"/>
  <c r="BM57" i="1"/>
  <c r="BN57" i="1"/>
  <c r="BO57" i="1"/>
  <c r="BP57" i="1"/>
  <c r="BQ57" i="1"/>
  <c r="BR57" i="1"/>
  <c r="BS57" i="1"/>
  <c r="BT57" i="1"/>
  <c r="CC57" i="1"/>
  <c r="CD57" i="1"/>
  <c r="CE57" i="1"/>
  <c r="CF57" i="1"/>
  <c r="CG57" i="1"/>
  <c r="CH57" i="1"/>
  <c r="CI57" i="1"/>
  <c r="CJ57" i="1"/>
  <c r="CK57" i="1"/>
  <c r="CL57" i="1"/>
  <c r="CM57" i="1"/>
  <c r="CV57" i="1"/>
  <c r="CW57" i="1"/>
  <c r="DG57" i="1"/>
  <c r="DH57" i="1"/>
  <c r="DI57" i="1"/>
  <c r="DM57" i="1" s="1"/>
  <c r="A58" i="1"/>
  <c r="B58" i="1"/>
  <c r="K58" i="1"/>
  <c r="Z58" i="1" s="1"/>
  <c r="C58" i="1" s="1"/>
  <c r="L58" i="1"/>
  <c r="M58" i="1"/>
  <c r="N58" i="1"/>
  <c r="O58" i="1"/>
  <c r="P58" i="1"/>
  <c r="Q58" i="1"/>
  <c r="R58" i="1"/>
  <c r="S58" i="1"/>
  <c r="T58" i="1"/>
  <c r="U58" i="1"/>
  <c r="V58" i="1"/>
  <c r="AB58" i="1"/>
  <c r="AC58" i="1"/>
  <c r="AD58" i="1"/>
  <c r="AE58" i="1"/>
  <c r="AF58" i="1"/>
  <c r="AG58" i="1"/>
  <c r="AH58" i="1"/>
  <c r="AI58" i="1"/>
  <c r="AJ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L58" i="1"/>
  <c r="BM58" i="1"/>
  <c r="BN58" i="1"/>
  <c r="BO58" i="1"/>
  <c r="BP58" i="1"/>
  <c r="BQ58" i="1"/>
  <c r="BR58" i="1"/>
  <c r="BS58" i="1"/>
  <c r="BT58" i="1"/>
  <c r="CC58" i="1"/>
  <c r="CD58" i="1"/>
  <c r="CE58" i="1"/>
  <c r="CF58" i="1"/>
  <c r="CG58" i="1"/>
  <c r="CH58" i="1"/>
  <c r="CI58" i="1"/>
  <c r="CJ58" i="1"/>
  <c r="CK58" i="1"/>
  <c r="CL58" i="1"/>
  <c r="CM58" i="1"/>
  <c r="CV58" i="1"/>
  <c r="CW58" i="1"/>
  <c r="DG58" i="1"/>
  <c r="DH58" i="1"/>
  <c r="DI58" i="1"/>
  <c r="A59" i="1"/>
  <c r="B59" i="1"/>
  <c r="K59" i="1"/>
  <c r="Z59" i="1" s="1"/>
  <c r="C59" i="1" s="1"/>
  <c r="L59" i="1"/>
  <c r="M59" i="1"/>
  <c r="N59" i="1"/>
  <c r="O59" i="1"/>
  <c r="P59" i="1"/>
  <c r="Q59" i="1"/>
  <c r="R59" i="1"/>
  <c r="S59" i="1"/>
  <c r="T59" i="1"/>
  <c r="U59" i="1"/>
  <c r="V59" i="1"/>
  <c r="AB59" i="1"/>
  <c r="AC59" i="1"/>
  <c r="AD59" i="1"/>
  <c r="AE59" i="1"/>
  <c r="AF59" i="1"/>
  <c r="AG59" i="1"/>
  <c r="AH59" i="1"/>
  <c r="AK59" i="1"/>
  <c r="AL59" i="1"/>
  <c r="AM59" i="1"/>
  <c r="AS59" i="1"/>
  <c r="AT59" i="1"/>
  <c r="AU59" i="1"/>
  <c r="AV59" i="1"/>
  <c r="AW59" i="1"/>
  <c r="AX59" i="1"/>
  <c r="AY59" i="1"/>
  <c r="AZ59" i="1"/>
  <c r="BJ59" i="1" s="1"/>
  <c r="G59" i="1" s="1"/>
  <c r="BA59" i="1"/>
  <c r="BB59" i="1"/>
  <c r="BC59" i="1"/>
  <c r="BD59" i="1"/>
  <c r="BE59" i="1"/>
  <c r="BF59" i="1"/>
  <c r="BL59" i="1"/>
  <c r="BM59" i="1"/>
  <c r="BN59" i="1"/>
  <c r="BO59" i="1"/>
  <c r="BP59" i="1"/>
  <c r="BQ59" i="1"/>
  <c r="BR59" i="1"/>
  <c r="BW59" i="1"/>
  <c r="CC59" i="1"/>
  <c r="CD59" i="1"/>
  <c r="CE59" i="1"/>
  <c r="CF59" i="1"/>
  <c r="CG59" i="1"/>
  <c r="CH59" i="1"/>
  <c r="CI59" i="1"/>
  <c r="CJ59" i="1"/>
  <c r="CK59" i="1"/>
  <c r="CP59" i="1"/>
  <c r="CV59" i="1"/>
  <c r="CW59" i="1"/>
  <c r="DD59" i="1"/>
  <c r="DE59" i="1"/>
  <c r="DF59" i="1"/>
  <c r="DM59" i="1" s="1"/>
  <c r="DG59" i="1"/>
  <c r="DH59" i="1"/>
  <c r="DI59" i="1"/>
  <c r="A60" i="1"/>
  <c r="B60" i="1"/>
  <c r="K60" i="1"/>
  <c r="L60" i="1"/>
  <c r="M60" i="1"/>
  <c r="N60" i="1"/>
  <c r="O60" i="1"/>
  <c r="P60" i="1"/>
  <c r="Q60" i="1"/>
  <c r="R60" i="1"/>
  <c r="S60" i="1"/>
  <c r="T60" i="1"/>
  <c r="U60" i="1"/>
  <c r="V60" i="1"/>
  <c r="AB60" i="1"/>
  <c r="AC60" i="1"/>
  <c r="AD60" i="1"/>
  <c r="AE60" i="1"/>
  <c r="AF60" i="1"/>
  <c r="AG60" i="1"/>
  <c r="AH60" i="1"/>
  <c r="AI60" i="1"/>
  <c r="AJ60" i="1"/>
  <c r="AL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J60" i="1"/>
  <c r="G60" i="1" s="1"/>
  <c r="BL60" i="1"/>
  <c r="BM60" i="1"/>
  <c r="BN60" i="1"/>
  <c r="BO60" i="1"/>
  <c r="BP60" i="1"/>
  <c r="BQ60" i="1"/>
  <c r="BR60" i="1"/>
  <c r="BS60" i="1"/>
  <c r="BT60" i="1"/>
  <c r="CC60" i="1"/>
  <c r="CD60" i="1"/>
  <c r="CE60" i="1"/>
  <c r="CF60" i="1"/>
  <c r="CG60" i="1"/>
  <c r="CH60" i="1"/>
  <c r="CI60" i="1"/>
  <c r="CJ60" i="1"/>
  <c r="CK60" i="1"/>
  <c r="CL60" i="1"/>
  <c r="CM60" i="1"/>
  <c r="CV60" i="1"/>
  <c r="CW60" i="1"/>
  <c r="DG60" i="1"/>
  <c r="DH60" i="1"/>
  <c r="DI60" i="1"/>
  <c r="A61" i="1"/>
  <c r="B61" i="1"/>
  <c r="K61" i="1"/>
  <c r="L61" i="1"/>
  <c r="Z61" i="1" s="1"/>
  <c r="C61" i="1" s="1"/>
  <c r="M61" i="1"/>
  <c r="N61" i="1"/>
  <c r="O61" i="1"/>
  <c r="P61" i="1"/>
  <c r="Q61" i="1"/>
  <c r="R61" i="1"/>
  <c r="S61" i="1"/>
  <c r="T61" i="1"/>
  <c r="U61" i="1"/>
  <c r="V61" i="1"/>
  <c r="AB61" i="1"/>
  <c r="AQ61" i="1" s="1"/>
  <c r="D61" i="1" s="1"/>
  <c r="AC61" i="1"/>
  <c r="AD61" i="1"/>
  <c r="AE61" i="1"/>
  <c r="AF61" i="1"/>
  <c r="AG61" i="1"/>
  <c r="AH61" i="1"/>
  <c r="AI61" i="1"/>
  <c r="AJ61" i="1"/>
  <c r="AK61" i="1"/>
  <c r="AL61" i="1"/>
  <c r="AM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L61" i="1"/>
  <c r="BM61" i="1"/>
  <c r="BN61" i="1"/>
  <c r="BO61" i="1"/>
  <c r="BP61" i="1"/>
  <c r="BQ61" i="1"/>
  <c r="BR61" i="1"/>
  <c r="BS61" i="1"/>
  <c r="BT61" i="1"/>
  <c r="BW61" i="1"/>
  <c r="CC61" i="1"/>
  <c r="CD61" i="1"/>
  <c r="CE61" i="1"/>
  <c r="CF61" i="1"/>
  <c r="CG61" i="1"/>
  <c r="CH61" i="1"/>
  <c r="CI61" i="1"/>
  <c r="CJ61" i="1"/>
  <c r="CK61" i="1"/>
  <c r="CL61" i="1"/>
  <c r="CM61" i="1"/>
  <c r="CP61" i="1"/>
  <c r="CV61" i="1"/>
  <c r="CW61" i="1"/>
  <c r="DG61" i="1"/>
  <c r="DM61" i="1" s="1"/>
  <c r="DH61" i="1"/>
  <c r="DI61" i="1"/>
  <c r="A62" i="1"/>
  <c r="B62" i="1"/>
  <c r="K62" i="1"/>
  <c r="L62" i="1"/>
  <c r="M62" i="1"/>
  <c r="N62" i="1"/>
  <c r="Z62" i="1" s="1"/>
  <c r="C62" i="1" s="1"/>
  <c r="O62" i="1"/>
  <c r="P62" i="1"/>
  <c r="Q62" i="1"/>
  <c r="R62" i="1"/>
  <c r="S62" i="1"/>
  <c r="T62" i="1"/>
  <c r="U62" i="1"/>
  <c r="V62" i="1"/>
  <c r="AB62" i="1"/>
  <c r="AC62" i="1"/>
  <c r="AD62" i="1"/>
  <c r="AE62" i="1"/>
  <c r="AF62" i="1"/>
  <c r="AG62" i="1"/>
  <c r="AH62" i="1"/>
  <c r="AQ62" i="1" s="1"/>
  <c r="D62" i="1" s="1"/>
  <c r="AI62" i="1"/>
  <c r="AJ62" i="1"/>
  <c r="AK62" i="1"/>
  <c r="AL62" i="1"/>
  <c r="AM62" i="1"/>
  <c r="AS62" i="1"/>
  <c r="AT62" i="1"/>
  <c r="AU62" i="1"/>
  <c r="BJ62" i="1" s="1"/>
  <c r="G62" i="1" s="1"/>
  <c r="AV62" i="1"/>
  <c r="AW62" i="1"/>
  <c r="AX62" i="1"/>
  <c r="AY62" i="1"/>
  <c r="AZ62" i="1"/>
  <c r="BA62" i="1"/>
  <c r="BB62" i="1"/>
  <c r="BC62" i="1"/>
  <c r="BD62" i="1"/>
  <c r="BE62" i="1"/>
  <c r="BF62" i="1"/>
  <c r="BL62" i="1"/>
  <c r="BM62" i="1"/>
  <c r="BN62" i="1"/>
  <c r="BO62" i="1"/>
  <c r="BP62" i="1"/>
  <c r="BQ62" i="1"/>
  <c r="BR62" i="1"/>
  <c r="BS62" i="1"/>
  <c r="BT62" i="1"/>
  <c r="BV62" i="1"/>
  <c r="CC62" i="1"/>
  <c r="CD62" i="1"/>
  <c r="CE62" i="1"/>
  <c r="CF62" i="1"/>
  <c r="CG62" i="1"/>
  <c r="CH62" i="1"/>
  <c r="CI62" i="1"/>
  <c r="CJ62" i="1"/>
  <c r="CK62" i="1"/>
  <c r="CL62" i="1"/>
  <c r="CM62" i="1"/>
  <c r="CV62" i="1"/>
  <c r="CW62" i="1"/>
  <c r="DG62" i="1"/>
  <c r="DH62" i="1"/>
  <c r="DI62" i="1"/>
  <c r="A63" i="1"/>
  <c r="B63" i="1"/>
  <c r="K63" i="1"/>
  <c r="Z63" i="1" s="1"/>
  <c r="C63" i="1" s="1"/>
  <c r="L63" i="1"/>
  <c r="M63" i="1"/>
  <c r="N63" i="1"/>
  <c r="O63" i="1"/>
  <c r="P63" i="1"/>
  <c r="Q63" i="1"/>
  <c r="R63" i="1"/>
  <c r="S63" i="1"/>
  <c r="T63" i="1"/>
  <c r="U63" i="1"/>
  <c r="V63" i="1"/>
  <c r="AB63" i="1"/>
  <c r="AC63" i="1"/>
  <c r="AQ63" i="1" s="1"/>
  <c r="D63" i="1" s="1"/>
  <c r="AD63" i="1"/>
  <c r="AE63" i="1"/>
  <c r="AF63" i="1"/>
  <c r="AG63" i="1"/>
  <c r="AH63" i="1"/>
  <c r="AI63" i="1"/>
  <c r="AJ63" i="1"/>
  <c r="AK63" i="1"/>
  <c r="AL63" i="1"/>
  <c r="AM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L63" i="1"/>
  <c r="BM63" i="1"/>
  <c r="BN63" i="1"/>
  <c r="BO63" i="1"/>
  <c r="BP63" i="1"/>
  <c r="BQ63" i="1"/>
  <c r="BR63" i="1"/>
  <c r="BS63" i="1"/>
  <c r="BT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V63" i="1"/>
  <c r="CW63" i="1"/>
  <c r="DG63" i="1"/>
  <c r="DH63" i="1"/>
  <c r="DI63" i="1"/>
  <c r="DM63" i="1"/>
  <c r="A64" i="1"/>
  <c r="B64" i="1"/>
  <c r="K64" i="1"/>
  <c r="Z64" i="1" s="1"/>
  <c r="C64" i="1" s="1"/>
  <c r="L64" i="1"/>
  <c r="M64" i="1"/>
  <c r="N64" i="1"/>
  <c r="O64" i="1"/>
  <c r="P64" i="1"/>
  <c r="Q64" i="1"/>
  <c r="R64" i="1"/>
  <c r="S64" i="1"/>
  <c r="T64" i="1"/>
  <c r="U64" i="1"/>
  <c r="V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S64" i="1"/>
  <c r="AT64" i="1"/>
  <c r="AU64" i="1"/>
  <c r="AV64" i="1"/>
  <c r="AW64" i="1"/>
  <c r="BJ64" i="1" s="1"/>
  <c r="G64" i="1" s="1"/>
  <c r="AX64" i="1"/>
  <c r="AY64" i="1"/>
  <c r="AZ64" i="1"/>
  <c r="BA64" i="1"/>
  <c r="BB64" i="1"/>
  <c r="BC64" i="1"/>
  <c r="BD64" i="1"/>
  <c r="BE64" i="1"/>
  <c r="BF64" i="1"/>
  <c r="BL64" i="1"/>
  <c r="BM64" i="1"/>
  <c r="BN64" i="1"/>
  <c r="BO64" i="1"/>
  <c r="BP64" i="1"/>
  <c r="BQ64" i="1"/>
  <c r="BR64" i="1"/>
  <c r="BS64" i="1"/>
  <c r="BT64" i="1"/>
  <c r="BU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V64" i="1"/>
  <c r="CW64" i="1"/>
  <c r="DG64" i="1"/>
  <c r="DH64" i="1"/>
  <c r="DM64" i="1" s="1"/>
  <c r="DI64" i="1"/>
  <c r="A65" i="1"/>
  <c r="B65" i="1"/>
  <c r="K65" i="1"/>
  <c r="L65" i="1"/>
  <c r="M65" i="1"/>
  <c r="N65" i="1"/>
  <c r="O65" i="1"/>
  <c r="P65" i="1"/>
  <c r="Q65" i="1"/>
  <c r="R65" i="1"/>
  <c r="S65" i="1"/>
  <c r="T65" i="1"/>
  <c r="U65" i="1"/>
  <c r="V65" i="1"/>
  <c r="AB65" i="1"/>
  <c r="AC65" i="1"/>
  <c r="AD65" i="1"/>
  <c r="AE65" i="1"/>
  <c r="AF65" i="1"/>
  <c r="AG65" i="1"/>
  <c r="AH65" i="1"/>
  <c r="AI65" i="1"/>
  <c r="AJ65" i="1"/>
  <c r="AL65" i="1"/>
  <c r="AM65" i="1"/>
  <c r="AS65" i="1"/>
  <c r="AT65" i="1"/>
  <c r="AU65" i="1"/>
  <c r="AV65" i="1"/>
  <c r="AW65" i="1"/>
  <c r="AX65" i="1"/>
  <c r="AY65" i="1"/>
  <c r="AZ65" i="1"/>
  <c r="BA65" i="1"/>
  <c r="BJ65" i="1" s="1"/>
  <c r="G65" i="1" s="1"/>
  <c r="BB65" i="1"/>
  <c r="BC65" i="1"/>
  <c r="BD65" i="1"/>
  <c r="BE65" i="1"/>
  <c r="BF65" i="1"/>
  <c r="BL65" i="1"/>
  <c r="BM65" i="1"/>
  <c r="BN65" i="1"/>
  <c r="BO65" i="1"/>
  <c r="BP65" i="1"/>
  <c r="BQ65" i="1"/>
  <c r="BR65" i="1"/>
  <c r="BS65" i="1"/>
  <c r="BT65" i="1"/>
  <c r="BV65" i="1"/>
  <c r="BW65" i="1"/>
  <c r="CC65" i="1"/>
  <c r="CD65" i="1"/>
  <c r="CE65" i="1"/>
  <c r="CF65" i="1"/>
  <c r="CG65" i="1"/>
  <c r="CH65" i="1"/>
  <c r="CI65" i="1"/>
  <c r="CJ65" i="1"/>
  <c r="CK65" i="1"/>
  <c r="CL65" i="1"/>
  <c r="CM65" i="1"/>
  <c r="CO65" i="1"/>
  <c r="CV65" i="1"/>
  <c r="CW65" i="1"/>
  <c r="DG65" i="1"/>
  <c r="DH65" i="1"/>
  <c r="DI65" i="1"/>
  <c r="DM65" i="1"/>
  <c r="A66" i="1"/>
  <c r="B66" i="1"/>
  <c r="K66" i="1"/>
  <c r="L66" i="1"/>
  <c r="M66" i="1"/>
  <c r="Z66" i="1" s="1"/>
  <c r="C66" i="1" s="1"/>
  <c r="N66" i="1"/>
  <c r="O66" i="1"/>
  <c r="P66" i="1"/>
  <c r="Q66" i="1"/>
  <c r="R66" i="1"/>
  <c r="S66" i="1"/>
  <c r="T66" i="1"/>
  <c r="U66" i="1"/>
  <c r="V66" i="1"/>
  <c r="AB66" i="1"/>
  <c r="AC66" i="1"/>
  <c r="AD66" i="1"/>
  <c r="AE66" i="1"/>
  <c r="AF66" i="1"/>
  <c r="AG66" i="1"/>
  <c r="AH66" i="1"/>
  <c r="AI66" i="1"/>
  <c r="AJ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L66" i="1"/>
  <c r="BM66" i="1"/>
  <c r="BN66" i="1"/>
  <c r="BO66" i="1"/>
  <c r="BP66" i="1"/>
  <c r="BQ66" i="1"/>
  <c r="BR66" i="1"/>
  <c r="BS66" i="1"/>
  <c r="BT66" i="1"/>
  <c r="BV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V66" i="1"/>
  <c r="CW66" i="1"/>
  <c r="DG66" i="1"/>
  <c r="DH66" i="1"/>
  <c r="DM66" i="1" s="1"/>
  <c r="DI66" i="1"/>
  <c r="A67" i="1"/>
  <c r="B67" i="1"/>
  <c r="K67" i="1"/>
  <c r="L67" i="1"/>
  <c r="M67" i="1"/>
  <c r="N67" i="1"/>
  <c r="Z67" i="1" s="1"/>
  <c r="C67" i="1" s="1"/>
  <c r="O67" i="1"/>
  <c r="P67" i="1"/>
  <c r="Q67" i="1"/>
  <c r="R67" i="1"/>
  <c r="S67" i="1"/>
  <c r="T67" i="1"/>
  <c r="U67" i="1"/>
  <c r="V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J67" i="1"/>
  <c r="G67" i="1" s="1"/>
  <c r="BL67" i="1"/>
  <c r="BM67" i="1"/>
  <c r="BN67" i="1"/>
  <c r="BO67" i="1"/>
  <c r="BP67" i="1"/>
  <c r="BQ67" i="1"/>
  <c r="BR67" i="1"/>
  <c r="BS67" i="1"/>
  <c r="BT67" i="1"/>
  <c r="CC67" i="1"/>
  <c r="CD67" i="1"/>
  <c r="CE67" i="1"/>
  <c r="CF67" i="1"/>
  <c r="CG67" i="1"/>
  <c r="CH67" i="1"/>
  <c r="CI67" i="1"/>
  <c r="CJ67" i="1"/>
  <c r="CK67" i="1"/>
  <c r="CL67" i="1"/>
  <c r="CM67" i="1"/>
  <c r="CV67" i="1"/>
  <c r="CW67" i="1"/>
  <c r="DG67" i="1"/>
  <c r="DH67" i="1"/>
  <c r="DM67" i="1" s="1"/>
  <c r="DI67" i="1"/>
  <c r="A68" i="1"/>
  <c r="B68" i="1"/>
  <c r="K68" i="1"/>
  <c r="L68" i="1"/>
  <c r="M68" i="1"/>
  <c r="N68" i="1"/>
  <c r="O68" i="1"/>
  <c r="P68" i="1"/>
  <c r="Q68" i="1"/>
  <c r="R68" i="1"/>
  <c r="S68" i="1"/>
  <c r="T68" i="1"/>
  <c r="U68" i="1"/>
  <c r="V68" i="1"/>
  <c r="AB68" i="1"/>
  <c r="AC68" i="1"/>
  <c r="AD68" i="1"/>
  <c r="AE68" i="1"/>
  <c r="AF68" i="1"/>
  <c r="AG68" i="1"/>
  <c r="AH68" i="1"/>
  <c r="AI68" i="1"/>
  <c r="AJ68" i="1"/>
  <c r="AK68" i="1"/>
  <c r="AS68" i="1"/>
  <c r="AT68" i="1"/>
  <c r="AU68" i="1"/>
  <c r="AV68" i="1"/>
  <c r="AW68" i="1"/>
  <c r="AX68" i="1"/>
  <c r="AY68" i="1"/>
  <c r="AZ68" i="1"/>
  <c r="BJ68" i="1" s="1"/>
  <c r="G68" i="1" s="1"/>
  <c r="BA68" i="1"/>
  <c r="BB68" i="1"/>
  <c r="BC68" i="1"/>
  <c r="BD68" i="1"/>
  <c r="BE68" i="1"/>
  <c r="BF68" i="1"/>
  <c r="BL68" i="1"/>
  <c r="BM68" i="1"/>
  <c r="BN68" i="1"/>
  <c r="BO68" i="1"/>
  <c r="BP68" i="1"/>
  <c r="BQ68" i="1"/>
  <c r="BR68" i="1"/>
  <c r="BS68" i="1"/>
  <c r="BT68" i="1"/>
  <c r="BV68" i="1"/>
  <c r="CC68" i="1"/>
  <c r="CD68" i="1"/>
  <c r="CE68" i="1"/>
  <c r="CF68" i="1"/>
  <c r="CG68" i="1"/>
  <c r="CH68" i="1"/>
  <c r="CI68" i="1"/>
  <c r="CJ68" i="1"/>
  <c r="CK68" i="1"/>
  <c r="CL68" i="1"/>
  <c r="CM68" i="1"/>
  <c r="CV68" i="1"/>
  <c r="CW68" i="1"/>
  <c r="DG68" i="1"/>
  <c r="DH68" i="1"/>
  <c r="DI68" i="1"/>
  <c r="A69" i="1"/>
  <c r="B69" i="1"/>
  <c r="K69" i="1"/>
  <c r="L69" i="1"/>
  <c r="M69" i="1"/>
  <c r="N69" i="1"/>
  <c r="O69" i="1"/>
  <c r="P69" i="1"/>
  <c r="Q69" i="1"/>
  <c r="R69" i="1"/>
  <c r="S69" i="1"/>
  <c r="T69" i="1"/>
  <c r="U69" i="1"/>
  <c r="V69" i="1"/>
  <c r="Z69" i="1"/>
  <c r="C69" i="1" s="1"/>
  <c r="AB69" i="1"/>
  <c r="AD69" i="1"/>
  <c r="AI69" i="1"/>
  <c r="AJ69" i="1"/>
  <c r="AK69" i="1"/>
  <c r="AL69" i="1"/>
  <c r="AM69" i="1"/>
  <c r="AS69" i="1"/>
  <c r="AT69" i="1"/>
  <c r="AU69" i="1"/>
  <c r="BJ69" i="1" s="1"/>
  <c r="G69" i="1" s="1"/>
  <c r="AV69" i="1"/>
  <c r="AW69" i="1"/>
  <c r="AX69" i="1"/>
  <c r="AY69" i="1"/>
  <c r="AZ69" i="1"/>
  <c r="BA69" i="1"/>
  <c r="BB69" i="1"/>
  <c r="BC69" i="1"/>
  <c r="BD69" i="1"/>
  <c r="BE69" i="1"/>
  <c r="BF69" i="1"/>
  <c r="BL69" i="1"/>
  <c r="BS69" i="1"/>
  <c r="CC69" i="1"/>
  <c r="CD69" i="1"/>
  <c r="CG69" i="1"/>
  <c r="CK69" i="1"/>
  <c r="CL69" i="1"/>
  <c r="CM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A70" i="1"/>
  <c r="B70" i="1"/>
  <c r="K70" i="1"/>
  <c r="L70" i="1"/>
  <c r="M70" i="1"/>
  <c r="N70" i="1"/>
  <c r="O70" i="1"/>
  <c r="P70" i="1"/>
  <c r="Q70" i="1"/>
  <c r="R70" i="1"/>
  <c r="S70" i="1"/>
  <c r="T70" i="1"/>
  <c r="U70" i="1"/>
  <c r="V70" i="1"/>
  <c r="AB70" i="1"/>
  <c r="AC70" i="1"/>
  <c r="AQ70" i="1" s="1"/>
  <c r="D70" i="1" s="1"/>
  <c r="AD70" i="1"/>
  <c r="AE70" i="1"/>
  <c r="AF70" i="1"/>
  <c r="AG70" i="1"/>
  <c r="AH70" i="1"/>
  <c r="AI70" i="1"/>
  <c r="AJ70" i="1"/>
  <c r="AK70" i="1"/>
  <c r="AL70" i="1"/>
  <c r="AM70" i="1"/>
  <c r="AS70" i="1"/>
  <c r="AT70" i="1"/>
  <c r="AU70" i="1"/>
  <c r="BJ70" i="1" s="1"/>
  <c r="G70" i="1" s="1"/>
  <c r="AV70" i="1"/>
  <c r="AW70" i="1"/>
  <c r="AX70" i="1"/>
  <c r="AY70" i="1"/>
  <c r="AZ70" i="1"/>
  <c r="BA70" i="1"/>
  <c r="BB70" i="1"/>
  <c r="BC70" i="1"/>
  <c r="BD70" i="1"/>
  <c r="BE70" i="1"/>
  <c r="BF70" i="1"/>
  <c r="BL70" i="1"/>
  <c r="BM70" i="1"/>
  <c r="BN70" i="1"/>
  <c r="BO70" i="1"/>
  <c r="BP70" i="1"/>
  <c r="BQ70" i="1"/>
  <c r="BR70" i="1"/>
  <c r="BS70" i="1"/>
  <c r="BT70" i="1"/>
  <c r="BU70" i="1"/>
  <c r="BW70" i="1"/>
  <c r="CC70" i="1"/>
  <c r="CD70" i="1"/>
  <c r="CE70" i="1"/>
  <c r="CF70" i="1"/>
  <c r="CG70" i="1"/>
  <c r="CH70" i="1"/>
  <c r="CI70" i="1"/>
  <c r="CJ70" i="1"/>
  <c r="CK70" i="1"/>
  <c r="CL70" i="1"/>
  <c r="CM70" i="1"/>
  <c r="CO70" i="1"/>
  <c r="CV70" i="1"/>
  <c r="CW70" i="1"/>
  <c r="DG70" i="1"/>
  <c r="DH70" i="1"/>
  <c r="DI70" i="1"/>
  <c r="A71" i="1"/>
  <c r="B71" i="1"/>
  <c r="K71" i="1"/>
  <c r="L71" i="1"/>
  <c r="M71" i="1"/>
  <c r="N71" i="1"/>
  <c r="O71" i="1"/>
  <c r="P71" i="1"/>
  <c r="Q71" i="1"/>
  <c r="R71" i="1"/>
  <c r="S71" i="1"/>
  <c r="T71" i="1"/>
  <c r="U71" i="1"/>
  <c r="V71" i="1"/>
  <c r="AB71" i="1"/>
  <c r="AC71" i="1"/>
  <c r="AD71" i="1"/>
  <c r="AE71" i="1"/>
  <c r="AF71" i="1"/>
  <c r="AG71" i="1"/>
  <c r="AH71" i="1"/>
  <c r="AI71" i="1"/>
  <c r="AJ71" i="1"/>
  <c r="AK71" i="1"/>
  <c r="AS71" i="1"/>
  <c r="AT71" i="1"/>
  <c r="AU71" i="1"/>
  <c r="AV71" i="1"/>
  <c r="AW71" i="1"/>
  <c r="AX71" i="1"/>
  <c r="AY71" i="1"/>
  <c r="AZ71" i="1"/>
  <c r="BJ71" i="1" s="1"/>
  <c r="G71" i="1" s="1"/>
  <c r="BA71" i="1"/>
  <c r="BB71" i="1"/>
  <c r="BC71" i="1"/>
  <c r="BD71" i="1"/>
  <c r="BE71" i="1"/>
  <c r="BF71" i="1"/>
  <c r="BL71" i="1"/>
  <c r="BM71" i="1"/>
  <c r="BN71" i="1"/>
  <c r="BO71" i="1"/>
  <c r="BP71" i="1"/>
  <c r="BQ71" i="1"/>
  <c r="BR71" i="1"/>
  <c r="BS71" i="1"/>
  <c r="BT71" i="1"/>
  <c r="BV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V71" i="1"/>
  <c r="CW71" i="1"/>
  <c r="DG71" i="1"/>
  <c r="DH71" i="1"/>
  <c r="DI71" i="1"/>
  <c r="A72" i="1"/>
  <c r="B72" i="1"/>
  <c r="K72" i="1"/>
  <c r="L72" i="1"/>
  <c r="M72" i="1"/>
  <c r="N72" i="1"/>
  <c r="O72" i="1"/>
  <c r="P72" i="1"/>
  <c r="Q72" i="1"/>
  <c r="R72" i="1"/>
  <c r="S72" i="1"/>
  <c r="T72" i="1"/>
  <c r="U72" i="1"/>
  <c r="V72" i="1"/>
  <c r="AB72" i="1"/>
  <c r="AC72" i="1"/>
  <c r="AD72" i="1"/>
  <c r="AE72" i="1"/>
  <c r="AF72" i="1"/>
  <c r="AG72" i="1"/>
  <c r="AH72" i="1"/>
  <c r="AI72" i="1"/>
  <c r="AJ72" i="1"/>
  <c r="AK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L72" i="1"/>
  <c r="BM72" i="1"/>
  <c r="BN72" i="1"/>
  <c r="BO72" i="1"/>
  <c r="BP72" i="1"/>
  <c r="BQ72" i="1"/>
  <c r="BR72" i="1"/>
  <c r="BS72" i="1"/>
  <c r="BT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V72" i="1"/>
  <c r="CW72" i="1"/>
  <c r="DG72" i="1"/>
  <c r="DH72" i="1"/>
  <c r="DM72" i="1" s="1"/>
  <c r="DI72" i="1"/>
  <c r="A73" i="1"/>
  <c r="B73" i="1"/>
  <c r="K73" i="1"/>
  <c r="Z73" i="1" s="1"/>
  <c r="C73" i="1" s="1"/>
  <c r="L73" i="1"/>
  <c r="M73" i="1"/>
  <c r="N73" i="1"/>
  <c r="O73" i="1"/>
  <c r="P73" i="1"/>
  <c r="Q73" i="1"/>
  <c r="R73" i="1"/>
  <c r="S73" i="1"/>
  <c r="T73" i="1"/>
  <c r="U73" i="1"/>
  <c r="V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S73" i="1"/>
  <c r="AT73" i="1"/>
  <c r="AU73" i="1"/>
  <c r="BJ73" i="1" s="1"/>
  <c r="G73" i="1" s="1"/>
  <c r="AV73" i="1"/>
  <c r="AW73" i="1"/>
  <c r="AX73" i="1"/>
  <c r="AY73" i="1"/>
  <c r="AZ73" i="1"/>
  <c r="BA73" i="1"/>
  <c r="BB73" i="1"/>
  <c r="BC73" i="1"/>
  <c r="BD73" i="1"/>
  <c r="BE73" i="1"/>
  <c r="BF73" i="1"/>
  <c r="BL73" i="1"/>
  <c r="BM73" i="1"/>
  <c r="BN73" i="1"/>
  <c r="BO73" i="1"/>
  <c r="BP73" i="1"/>
  <c r="BQ73" i="1"/>
  <c r="BR73" i="1"/>
  <c r="BS73" i="1"/>
  <c r="BT73" i="1"/>
  <c r="BU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P73" i="1"/>
  <c r="CV73" i="1"/>
  <c r="CW73" i="1"/>
  <c r="DG73" i="1"/>
  <c r="DM73" i="1" s="1"/>
  <c r="DH73" i="1"/>
  <c r="DI73" i="1"/>
  <c r="A74" i="1"/>
  <c r="B74" i="1"/>
  <c r="K74" i="1"/>
  <c r="L74" i="1"/>
  <c r="M74" i="1"/>
  <c r="N74" i="1"/>
  <c r="O74" i="1"/>
  <c r="P74" i="1"/>
  <c r="Q74" i="1"/>
  <c r="R74" i="1"/>
  <c r="Z74" i="1" s="1"/>
  <c r="C74" i="1" s="1"/>
  <c r="S74" i="1"/>
  <c r="T74" i="1"/>
  <c r="U74" i="1"/>
  <c r="V74" i="1"/>
  <c r="AB74" i="1"/>
  <c r="AC74" i="1"/>
  <c r="AD74" i="1"/>
  <c r="AE74" i="1"/>
  <c r="AF74" i="1"/>
  <c r="AG74" i="1"/>
  <c r="AH74" i="1"/>
  <c r="AI74" i="1"/>
  <c r="AJ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L74" i="1"/>
  <c r="BM74" i="1"/>
  <c r="BN74" i="1"/>
  <c r="BO74" i="1"/>
  <c r="BP74" i="1"/>
  <c r="BQ74" i="1"/>
  <c r="BR74" i="1"/>
  <c r="BS74" i="1"/>
  <c r="BT74" i="1"/>
  <c r="BV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V74" i="1"/>
  <c r="CW74" i="1"/>
  <c r="DG74" i="1"/>
  <c r="DM74" i="1" s="1"/>
  <c r="DH74" i="1"/>
  <c r="DI74" i="1"/>
  <c r="A75" i="1"/>
  <c r="B75" i="1"/>
  <c r="K75" i="1"/>
  <c r="L75" i="1"/>
  <c r="M75" i="1"/>
  <c r="N75" i="1"/>
  <c r="O75" i="1"/>
  <c r="P75" i="1"/>
  <c r="Q75" i="1"/>
  <c r="R75" i="1"/>
  <c r="S75" i="1"/>
  <c r="T75" i="1"/>
  <c r="U75" i="1"/>
  <c r="V75" i="1"/>
  <c r="AB75" i="1"/>
  <c r="AC75" i="1"/>
  <c r="AK75" i="1"/>
  <c r="AL75" i="1"/>
  <c r="AM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L75" i="1"/>
  <c r="BM75" i="1"/>
  <c r="BR75" i="1"/>
  <c r="CC75" i="1"/>
  <c r="CD75" i="1"/>
  <c r="CF75" i="1"/>
  <c r="CI75" i="1"/>
  <c r="CK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A76" i="1"/>
  <c r="B76" i="1"/>
  <c r="K76" i="1"/>
  <c r="L76" i="1"/>
  <c r="M76" i="1"/>
  <c r="N76" i="1"/>
  <c r="O76" i="1"/>
  <c r="P76" i="1"/>
  <c r="Q76" i="1"/>
  <c r="R76" i="1"/>
  <c r="S76" i="1"/>
  <c r="T76" i="1"/>
  <c r="U76" i="1"/>
  <c r="V76" i="1"/>
  <c r="AB76" i="1"/>
  <c r="AC76" i="1"/>
  <c r="AD76" i="1"/>
  <c r="AE76" i="1"/>
  <c r="AF76" i="1"/>
  <c r="AG76" i="1"/>
  <c r="AH76" i="1"/>
  <c r="AI76" i="1"/>
  <c r="AJ76" i="1"/>
  <c r="AK76" i="1"/>
  <c r="AS76" i="1"/>
  <c r="AT76" i="1"/>
  <c r="AU76" i="1"/>
  <c r="AV76" i="1"/>
  <c r="AW76" i="1"/>
  <c r="AX76" i="1"/>
  <c r="BJ76" i="1" s="1"/>
  <c r="G76" i="1" s="1"/>
  <c r="AY76" i="1"/>
  <c r="AZ76" i="1"/>
  <c r="BA76" i="1"/>
  <c r="BB76" i="1"/>
  <c r="BC76" i="1"/>
  <c r="BD76" i="1"/>
  <c r="BE76" i="1"/>
  <c r="BF76" i="1"/>
  <c r="BL76" i="1"/>
  <c r="BM76" i="1"/>
  <c r="BN76" i="1"/>
  <c r="BO76" i="1"/>
  <c r="BP76" i="1"/>
  <c r="BQ76" i="1"/>
  <c r="BR76" i="1"/>
  <c r="BS76" i="1"/>
  <c r="BT76" i="1"/>
  <c r="BV76" i="1"/>
  <c r="CC76" i="1"/>
  <c r="CD76" i="1"/>
  <c r="CE76" i="1"/>
  <c r="CF76" i="1"/>
  <c r="CG76" i="1"/>
  <c r="CH76" i="1"/>
  <c r="CI76" i="1"/>
  <c r="CJ76" i="1"/>
  <c r="CK76" i="1"/>
  <c r="CL76" i="1"/>
  <c r="CM76" i="1"/>
  <c r="CO76" i="1"/>
  <c r="CV76" i="1"/>
  <c r="CW76" i="1"/>
  <c r="DG76" i="1"/>
  <c r="DM76" i="1" s="1"/>
  <c r="DH76" i="1"/>
  <c r="DI76" i="1"/>
  <c r="A77" i="1"/>
  <c r="B77" i="1"/>
  <c r="K77" i="1"/>
  <c r="L77" i="1"/>
  <c r="M77" i="1"/>
  <c r="N77" i="1"/>
  <c r="O77" i="1"/>
  <c r="P77" i="1"/>
  <c r="Q77" i="1"/>
  <c r="R77" i="1"/>
  <c r="S77" i="1"/>
  <c r="T77" i="1"/>
  <c r="U77" i="1"/>
  <c r="V77" i="1"/>
  <c r="AE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M77" i="1"/>
  <c r="BP77" i="1"/>
  <c r="BU77" i="1"/>
  <c r="CC77" i="1"/>
  <c r="CD77" i="1"/>
  <c r="CF77" i="1"/>
  <c r="CI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A78" i="1"/>
  <c r="B78" i="1"/>
  <c r="K78" i="1"/>
  <c r="L78" i="1"/>
  <c r="M78" i="1"/>
  <c r="Z78" i="1" s="1"/>
  <c r="C78" i="1" s="1"/>
  <c r="N78" i="1"/>
  <c r="O78" i="1"/>
  <c r="P78" i="1"/>
  <c r="Q78" i="1"/>
  <c r="R78" i="1"/>
  <c r="S78" i="1"/>
  <c r="T78" i="1"/>
  <c r="U78" i="1"/>
  <c r="V78" i="1"/>
  <c r="AB78" i="1"/>
  <c r="AC78" i="1"/>
  <c r="AD78" i="1"/>
  <c r="AE78" i="1"/>
  <c r="AF78" i="1"/>
  <c r="AG78" i="1"/>
  <c r="AH78" i="1"/>
  <c r="AI78" i="1"/>
  <c r="AJ78" i="1"/>
  <c r="AK78" i="1"/>
  <c r="AS78" i="1"/>
  <c r="AT78" i="1"/>
  <c r="AU78" i="1"/>
  <c r="BJ78" i="1" s="1"/>
  <c r="G78" i="1" s="1"/>
  <c r="AV78" i="1"/>
  <c r="AW78" i="1"/>
  <c r="AX78" i="1"/>
  <c r="AY78" i="1"/>
  <c r="AZ78" i="1"/>
  <c r="BA78" i="1"/>
  <c r="BB78" i="1"/>
  <c r="BC78" i="1"/>
  <c r="BD78" i="1"/>
  <c r="BE78" i="1"/>
  <c r="BF78" i="1"/>
  <c r="BL78" i="1"/>
  <c r="BM78" i="1"/>
  <c r="BN78" i="1"/>
  <c r="BO78" i="1"/>
  <c r="BP78" i="1"/>
  <c r="BQ78" i="1"/>
  <c r="BR78" i="1"/>
  <c r="BS78" i="1"/>
  <c r="BT78" i="1"/>
  <c r="CC78" i="1"/>
  <c r="CD78" i="1"/>
  <c r="CE78" i="1"/>
  <c r="CF78" i="1"/>
  <c r="CG78" i="1"/>
  <c r="CH78" i="1"/>
  <c r="CI78" i="1"/>
  <c r="CJ78" i="1"/>
  <c r="CK78" i="1"/>
  <c r="CL78" i="1"/>
  <c r="CM78" i="1"/>
  <c r="CV78" i="1"/>
  <c r="CW78" i="1"/>
  <c r="DG78" i="1"/>
  <c r="DH78" i="1"/>
  <c r="DI78" i="1"/>
  <c r="A79" i="1"/>
  <c r="B79" i="1"/>
  <c r="K79" i="1"/>
  <c r="L79" i="1"/>
  <c r="M79" i="1"/>
  <c r="N79" i="1"/>
  <c r="O79" i="1"/>
  <c r="P79" i="1"/>
  <c r="Q79" i="1"/>
  <c r="R79" i="1"/>
  <c r="S79" i="1"/>
  <c r="T79" i="1"/>
  <c r="U79" i="1"/>
  <c r="V79" i="1"/>
  <c r="AB79" i="1"/>
  <c r="AC79" i="1"/>
  <c r="AD79" i="1"/>
  <c r="AE79" i="1"/>
  <c r="AF79" i="1"/>
  <c r="AG79" i="1"/>
  <c r="AH79" i="1"/>
  <c r="AI79" i="1"/>
  <c r="AJ79" i="1"/>
  <c r="AK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L79" i="1"/>
  <c r="BM79" i="1"/>
  <c r="BN79" i="1"/>
  <c r="BO79" i="1"/>
  <c r="BP79" i="1"/>
  <c r="BQ79" i="1"/>
  <c r="BR79" i="1"/>
  <c r="BS79" i="1"/>
  <c r="BT79" i="1"/>
  <c r="CC79" i="1"/>
  <c r="CD79" i="1"/>
  <c r="CE79" i="1"/>
  <c r="CF79" i="1"/>
  <c r="CG79" i="1"/>
  <c r="CH79" i="1"/>
  <c r="CI79" i="1"/>
  <c r="CJ79" i="1"/>
  <c r="CK79" i="1"/>
  <c r="CL79" i="1"/>
  <c r="CM79" i="1"/>
  <c r="CV79" i="1"/>
  <c r="CW79" i="1"/>
  <c r="DG79" i="1"/>
  <c r="DH79" i="1"/>
  <c r="DI79" i="1"/>
  <c r="A80" i="1"/>
  <c r="B80" i="1"/>
  <c r="K80" i="1"/>
  <c r="Z80" i="1" s="1"/>
  <c r="C80" i="1" s="1"/>
  <c r="L80" i="1"/>
  <c r="M80" i="1"/>
  <c r="N80" i="1"/>
  <c r="O80" i="1"/>
  <c r="P80" i="1"/>
  <c r="Q80" i="1"/>
  <c r="R80" i="1"/>
  <c r="S80" i="1"/>
  <c r="T80" i="1"/>
  <c r="U80" i="1"/>
  <c r="V80" i="1"/>
  <c r="AB80" i="1"/>
  <c r="AC80" i="1"/>
  <c r="AD80" i="1"/>
  <c r="AE80" i="1"/>
  <c r="AF80" i="1"/>
  <c r="AG80" i="1"/>
  <c r="AQ80" i="1" s="1"/>
  <c r="D80" i="1" s="1"/>
  <c r="AH80" i="1"/>
  <c r="AI80" i="1"/>
  <c r="AJ80" i="1"/>
  <c r="AK80" i="1"/>
  <c r="AL80" i="1"/>
  <c r="AM80" i="1"/>
  <c r="AS80" i="1"/>
  <c r="AT80" i="1"/>
  <c r="AU80" i="1"/>
  <c r="AV80" i="1"/>
  <c r="AW80" i="1"/>
  <c r="AX80" i="1"/>
  <c r="AY80" i="1"/>
  <c r="AZ80" i="1"/>
  <c r="BJ80" i="1" s="1"/>
  <c r="G80" i="1" s="1"/>
  <c r="BA80" i="1"/>
  <c r="BB80" i="1"/>
  <c r="BC80" i="1"/>
  <c r="BD80" i="1"/>
  <c r="BE80" i="1"/>
  <c r="BF80" i="1"/>
  <c r="BL80" i="1"/>
  <c r="BM80" i="1"/>
  <c r="BN80" i="1"/>
  <c r="BO80" i="1"/>
  <c r="BP80" i="1"/>
  <c r="BQ80" i="1"/>
  <c r="BR80" i="1"/>
  <c r="BS80" i="1"/>
  <c r="BT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V80" i="1"/>
  <c r="CW80" i="1"/>
  <c r="DG80" i="1"/>
  <c r="DH80" i="1"/>
  <c r="DM80" i="1" s="1"/>
  <c r="DI80" i="1"/>
  <c r="A81" i="1"/>
  <c r="B81" i="1"/>
  <c r="G81" i="1"/>
  <c r="K81" i="1"/>
  <c r="L81" i="1"/>
  <c r="M81" i="1"/>
  <c r="N81" i="1"/>
  <c r="O81" i="1"/>
  <c r="P81" i="1"/>
  <c r="Q81" i="1"/>
  <c r="R81" i="1"/>
  <c r="S81" i="1"/>
  <c r="T81" i="1"/>
  <c r="U81" i="1"/>
  <c r="V81" i="1"/>
  <c r="AB81" i="1"/>
  <c r="AC81" i="1"/>
  <c r="AD81" i="1"/>
  <c r="AE81" i="1"/>
  <c r="AF81" i="1"/>
  <c r="AG81" i="1"/>
  <c r="AH81" i="1"/>
  <c r="AI81" i="1"/>
  <c r="AJ81" i="1"/>
  <c r="AM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J81" i="1"/>
  <c r="BL81" i="1"/>
  <c r="BM81" i="1"/>
  <c r="BN81" i="1"/>
  <c r="BO81" i="1"/>
  <c r="BP81" i="1"/>
  <c r="BQ81" i="1"/>
  <c r="BR81" i="1"/>
  <c r="BS81" i="1"/>
  <c r="BT81" i="1"/>
  <c r="CC81" i="1"/>
  <c r="CD81" i="1"/>
  <c r="CE81" i="1"/>
  <c r="CF81" i="1"/>
  <c r="CG81" i="1"/>
  <c r="CH81" i="1"/>
  <c r="CI81" i="1"/>
  <c r="CJ81" i="1"/>
  <c r="CK81" i="1"/>
  <c r="CL81" i="1"/>
  <c r="CM81" i="1"/>
  <c r="CV81" i="1"/>
  <c r="CW81" i="1"/>
  <c r="DG81" i="1"/>
  <c r="DH81" i="1"/>
  <c r="DI81" i="1"/>
  <c r="DM81" i="1"/>
  <c r="A82" i="1"/>
  <c r="B82" i="1"/>
  <c r="K82" i="1"/>
  <c r="L82" i="1"/>
  <c r="M82" i="1"/>
  <c r="N82" i="1"/>
  <c r="O82" i="1"/>
  <c r="P82" i="1"/>
  <c r="Z82" i="1" s="1"/>
  <c r="C82" i="1" s="1"/>
  <c r="Q82" i="1"/>
  <c r="R82" i="1"/>
  <c r="S82" i="1"/>
  <c r="T82" i="1"/>
  <c r="U82" i="1"/>
  <c r="V82" i="1"/>
  <c r="AD82" i="1"/>
  <c r="AS82" i="1"/>
  <c r="AT82" i="1"/>
  <c r="AU82" i="1"/>
  <c r="BJ82" i="1" s="1"/>
  <c r="G82" i="1" s="1"/>
  <c r="AV82" i="1"/>
  <c r="AW82" i="1"/>
  <c r="AX82" i="1"/>
  <c r="AY82" i="1"/>
  <c r="AZ82" i="1"/>
  <c r="BA82" i="1"/>
  <c r="BB82" i="1"/>
  <c r="BC82" i="1"/>
  <c r="BD82" i="1"/>
  <c r="BE82" i="1"/>
  <c r="BF82" i="1"/>
  <c r="BU82" i="1"/>
  <c r="CC82" i="1"/>
  <c r="CD82" i="1"/>
  <c r="CN82" i="1"/>
  <c r="CV82" i="1"/>
  <c r="CW82" i="1"/>
  <c r="CX82" i="1"/>
  <c r="CY82" i="1"/>
  <c r="DM82" i="1" s="1"/>
  <c r="CZ82" i="1"/>
  <c r="DA82" i="1"/>
  <c r="DB82" i="1"/>
  <c r="DC82" i="1"/>
  <c r="DD82" i="1"/>
  <c r="DE82" i="1"/>
  <c r="DF82" i="1"/>
  <c r="DG82" i="1"/>
  <c r="DH82" i="1"/>
  <c r="DI82" i="1"/>
  <c r="A83" i="1"/>
  <c r="B83" i="1"/>
  <c r="K83" i="1"/>
  <c r="L83" i="1"/>
  <c r="M83" i="1"/>
  <c r="N83" i="1"/>
  <c r="O83" i="1"/>
  <c r="P83" i="1"/>
  <c r="Q83" i="1"/>
  <c r="R83" i="1"/>
  <c r="S83" i="1"/>
  <c r="T83" i="1"/>
  <c r="U83" i="1"/>
  <c r="V83" i="1"/>
  <c r="AB83" i="1"/>
  <c r="AQ83" i="1" s="1"/>
  <c r="D83" i="1" s="1"/>
  <c r="AC83" i="1"/>
  <c r="AD83" i="1"/>
  <c r="AE83" i="1"/>
  <c r="AF83" i="1"/>
  <c r="AG83" i="1"/>
  <c r="AH83" i="1"/>
  <c r="AI83" i="1"/>
  <c r="AJ83" i="1"/>
  <c r="AK83" i="1"/>
  <c r="AL83" i="1"/>
  <c r="AM83" i="1"/>
  <c r="AS83" i="1"/>
  <c r="AT83" i="1"/>
  <c r="AU83" i="1"/>
  <c r="AV83" i="1"/>
  <c r="BJ83" i="1" s="1"/>
  <c r="G83" i="1" s="1"/>
  <c r="AW83" i="1"/>
  <c r="AX83" i="1"/>
  <c r="AY83" i="1"/>
  <c r="AZ83" i="1"/>
  <c r="BA83" i="1"/>
  <c r="BB83" i="1"/>
  <c r="BC83" i="1"/>
  <c r="BD83" i="1"/>
  <c r="BE83" i="1"/>
  <c r="BF83" i="1"/>
  <c r="BL83" i="1"/>
  <c r="BM83" i="1"/>
  <c r="BN83" i="1"/>
  <c r="BO83" i="1"/>
  <c r="BP83" i="1"/>
  <c r="BQ83" i="1"/>
  <c r="BR83" i="1"/>
  <c r="BS83" i="1"/>
  <c r="BT83" i="1"/>
  <c r="BU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V83" i="1"/>
  <c r="CW83" i="1"/>
  <c r="DG83" i="1"/>
  <c r="DH83" i="1"/>
  <c r="DI83" i="1"/>
  <c r="A84" i="1"/>
  <c r="B84" i="1"/>
  <c r="K84" i="1"/>
  <c r="Z84" i="1" s="1"/>
  <c r="C84" i="1" s="1"/>
  <c r="L84" i="1"/>
  <c r="M84" i="1"/>
  <c r="N84" i="1"/>
  <c r="O84" i="1"/>
  <c r="P84" i="1"/>
  <c r="Q84" i="1"/>
  <c r="R84" i="1"/>
  <c r="S84" i="1"/>
  <c r="T84" i="1"/>
  <c r="U84" i="1"/>
  <c r="V84" i="1"/>
  <c r="AB84" i="1"/>
  <c r="AC84" i="1"/>
  <c r="AD84" i="1"/>
  <c r="AE84" i="1"/>
  <c r="AQ84" i="1" s="1"/>
  <c r="D84" i="1" s="1"/>
  <c r="AF84" i="1"/>
  <c r="AG84" i="1"/>
  <c r="AH84" i="1"/>
  <c r="AI84" i="1"/>
  <c r="AJ84" i="1"/>
  <c r="AK84" i="1"/>
  <c r="AL84" i="1"/>
  <c r="AM84" i="1"/>
  <c r="AS84" i="1"/>
  <c r="AT84" i="1"/>
  <c r="AU84" i="1"/>
  <c r="AV84" i="1"/>
  <c r="AW84" i="1"/>
  <c r="AX84" i="1"/>
  <c r="AY84" i="1"/>
  <c r="BJ84" i="1" s="1"/>
  <c r="G84" i="1" s="1"/>
  <c r="AZ84" i="1"/>
  <c r="BA84" i="1"/>
  <c r="BB84" i="1"/>
  <c r="BC84" i="1"/>
  <c r="BD84" i="1"/>
  <c r="BE84" i="1"/>
  <c r="BF84" i="1"/>
  <c r="BL84" i="1"/>
  <c r="BM84" i="1"/>
  <c r="BN84" i="1"/>
  <c r="BO84" i="1"/>
  <c r="BP84" i="1"/>
  <c r="BQ84" i="1"/>
  <c r="BR84" i="1"/>
  <c r="BS84" i="1"/>
  <c r="CC84" i="1"/>
  <c r="CD84" i="1"/>
  <c r="CE84" i="1"/>
  <c r="CF84" i="1"/>
  <c r="CG84" i="1"/>
  <c r="CH84" i="1"/>
  <c r="CI84" i="1"/>
  <c r="CJ84" i="1"/>
  <c r="CK84" i="1"/>
  <c r="CL84" i="1"/>
  <c r="CN84" i="1"/>
  <c r="CV84" i="1"/>
  <c r="CW84" i="1"/>
  <c r="DD84" i="1"/>
  <c r="DE84" i="1"/>
  <c r="DF84" i="1"/>
  <c r="DG84" i="1"/>
  <c r="DH84" i="1"/>
  <c r="DI84" i="1"/>
  <c r="A85" i="1"/>
  <c r="B85" i="1"/>
  <c r="K85" i="1"/>
  <c r="L85" i="1"/>
  <c r="M85" i="1"/>
  <c r="N85" i="1"/>
  <c r="Z85" i="1" s="1"/>
  <c r="C85" i="1" s="1"/>
  <c r="O85" i="1"/>
  <c r="P85" i="1"/>
  <c r="Q85" i="1"/>
  <c r="R85" i="1"/>
  <c r="S85" i="1"/>
  <c r="T85" i="1"/>
  <c r="U85" i="1"/>
  <c r="V85" i="1"/>
  <c r="AB85" i="1"/>
  <c r="AK85" i="1"/>
  <c r="AL85" i="1"/>
  <c r="AM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L85" i="1"/>
  <c r="BO85" i="1"/>
  <c r="BS85" i="1"/>
  <c r="BU85" i="1"/>
  <c r="BW85" i="1"/>
  <c r="CC85" i="1"/>
  <c r="CD85" i="1"/>
  <c r="CE85" i="1"/>
  <c r="CL85" i="1"/>
  <c r="CP85" i="1"/>
  <c r="CV85" i="1"/>
  <c r="CW85" i="1"/>
  <c r="CX85" i="1"/>
  <c r="DM85" i="1" s="1"/>
  <c r="CY85" i="1"/>
  <c r="CZ85" i="1"/>
  <c r="DA85" i="1"/>
  <c r="DB85" i="1"/>
  <c r="DC85" i="1"/>
  <c r="DD85" i="1"/>
  <c r="DE85" i="1"/>
  <c r="DF85" i="1"/>
  <c r="DG85" i="1"/>
  <c r="DH85" i="1"/>
  <c r="DI85" i="1"/>
  <c r="A86" i="1"/>
  <c r="B86" i="1"/>
  <c r="K86" i="1"/>
  <c r="Z86" i="1" s="1"/>
  <c r="C86" i="1" s="1"/>
  <c r="L86" i="1"/>
  <c r="M86" i="1"/>
  <c r="N86" i="1"/>
  <c r="O86" i="1"/>
  <c r="P86" i="1"/>
  <c r="Q86" i="1"/>
  <c r="R86" i="1"/>
  <c r="S86" i="1"/>
  <c r="T86" i="1"/>
  <c r="U86" i="1"/>
  <c r="V86" i="1"/>
  <c r="AB86" i="1"/>
  <c r="AC86" i="1"/>
  <c r="AG86" i="1"/>
  <c r="AH86" i="1"/>
  <c r="AI86" i="1"/>
  <c r="AL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F86" i="1"/>
  <c r="BM86" i="1"/>
  <c r="BQ86" i="1"/>
  <c r="BR86" i="1"/>
  <c r="BS86" i="1"/>
  <c r="CC86" i="1"/>
  <c r="CD86" i="1"/>
  <c r="CE86" i="1"/>
  <c r="CF86" i="1"/>
  <c r="CJ86" i="1"/>
  <c r="CL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A87" i="1"/>
  <c r="B87" i="1"/>
  <c r="K87" i="1"/>
  <c r="L87" i="1"/>
  <c r="M87" i="1"/>
  <c r="N87" i="1"/>
  <c r="O87" i="1"/>
  <c r="P87" i="1"/>
  <c r="Q87" i="1"/>
  <c r="R87" i="1"/>
  <c r="S87" i="1"/>
  <c r="T87" i="1"/>
  <c r="U87" i="1"/>
  <c r="V87" i="1"/>
  <c r="AB87" i="1"/>
  <c r="AC87" i="1"/>
  <c r="AG87" i="1"/>
  <c r="AI87" i="1"/>
  <c r="AL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S87" i="1"/>
  <c r="CC87" i="1"/>
  <c r="CD87" i="1"/>
  <c r="CE87" i="1"/>
  <c r="CH87" i="1"/>
  <c r="CL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A88" i="1"/>
  <c r="B88" i="1"/>
  <c r="K88" i="1"/>
  <c r="L88" i="1"/>
  <c r="M88" i="1"/>
  <c r="N88" i="1"/>
  <c r="Z88" i="1" s="1"/>
  <c r="C88" i="1" s="1"/>
  <c r="O88" i="1"/>
  <c r="P88" i="1"/>
  <c r="Q88" i="1"/>
  <c r="R88" i="1"/>
  <c r="S88" i="1"/>
  <c r="T88" i="1"/>
  <c r="U88" i="1"/>
  <c r="V88" i="1"/>
  <c r="AE88" i="1"/>
  <c r="AG88" i="1"/>
  <c r="AJ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L88" i="1"/>
  <c r="BO88" i="1"/>
  <c r="BQ88" i="1"/>
  <c r="BU88" i="1"/>
  <c r="BV88" i="1"/>
  <c r="BW88" i="1"/>
  <c r="CC88" i="1"/>
  <c r="CD88" i="1"/>
  <c r="CE88" i="1"/>
  <c r="CH88" i="1"/>
  <c r="CJ88" i="1"/>
  <c r="CL88" i="1"/>
  <c r="CM88" i="1"/>
  <c r="CN88" i="1"/>
  <c r="CO88" i="1"/>
  <c r="CP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A89" i="1"/>
  <c r="B89" i="1"/>
  <c r="K89" i="1"/>
  <c r="L89" i="1"/>
  <c r="M89" i="1"/>
  <c r="N89" i="1"/>
  <c r="O89" i="1"/>
  <c r="P89" i="1"/>
  <c r="Q89" i="1"/>
  <c r="R89" i="1"/>
  <c r="S89" i="1"/>
  <c r="T89" i="1"/>
  <c r="U89" i="1"/>
  <c r="V89" i="1"/>
  <c r="AD89" i="1"/>
  <c r="AF89" i="1"/>
  <c r="AG89" i="1"/>
  <c r="AJ89" i="1"/>
  <c r="AK89" i="1"/>
  <c r="AL89" i="1"/>
  <c r="AM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O89" i="1"/>
  <c r="BQ89" i="1"/>
  <c r="BU89" i="1"/>
  <c r="BV89" i="1"/>
  <c r="BW89" i="1"/>
  <c r="CC89" i="1"/>
  <c r="CD89" i="1"/>
  <c r="CH89" i="1"/>
  <c r="CI89" i="1"/>
  <c r="CJ89" i="1"/>
  <c r="CK89" i="1"/>
  <c r="CM89" i="1"/>
  <c r="CN89" i="1"/>
  <c r="CO89" i="1"/>
  <c r="CP89" i="1"/>
  <c r="CV89" i="1"/>
  <c r="CW89" i="1"/>
  <c r="CX89" i="1"/>
  <c r="CY89" i="1"/>
  <c r="CZ89" i="1"/>
  <c r="DM89" i="1" s="1"/>
  <c r="DA89" i="1"/>
  <c r="DB89" i="1"/>
  <c r="DC89" i="1"/>
  <c r="DD89" i="1"/>
  <c r="DE89" i="1"/>
  <c r="DF89" i="1"/>
  <c r="DG89" i="1"/>
  <c r="DH89" i="1"/>
  <c r="DI89" i="1"/>
  <c r="A90" i="1"/>
  <c r="B90" i="1"/>
  <c r="K90" i="1"/>
  <c r="L90" i="1"/>
  <c r="M90" i="1"/>
  <c r="N90" i="1"/>
  <c r="O90" i="1"/>
  <c r="P90" i="1"/>
  <c r="Q90" i="1"/>
  <c r="R90" i="1"/>
  <c r="S90" i="1"/>
  <c r="T90" i="1"/>
  <c r="U90" i="1"/>
  <c r="V90" i="1"/>
  <c r="AE90" i="1"/>
  <c r="AI90" i="1"/>
  <c r="AK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J90" i="1"/>
  <c r="G90" i="1" s="1"/>
  <c r="BO90" i="1"/>
  <c r="BT90" i="1"/>
  <c r="BU90" i="1"/>
  <c r="BV90" i="1"/>
  <c r="BW90" i="1"/>
  <c r="CC90" i="1"/>
  <c r="CD90" i="1"/>
  <c r="CM90" i="1"/>
  <c r="CN90" i="1"/>
  <c r="CO90" i="1"/>
  <c r="CP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A91" i="1"/>
  <c r="B91" i="1"/>
  <c r="K91" i="1"/>
  <c r="L91" i="1"/>
  <c r="M91" i="1"/>
  <c r="N91" i="1"/>
  <c r="O91" i="1"/>
  <c r="P91" i="1"/>
  <c r="Q91" i="1"/>
  <c r="R91" i="1"/>
  <c r="S91" i="1"/>
  <c r="T91" i="1"/>
  <c r="U91" i="1"/>
  <c r="V91" i="1"/>
  <c r="AB91" i="1"/>
  <c r="AC91" i="1"/>
  <c r="AD91" i="1"/>
  <c r="AE91" i="1"/>
  <c r="AF91" i="1"/>
  <c r="AG91" i="1"/>
  <c r="AH91" i="1"/>
  <c r="AI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L91" i="1"/>
  <c r="BM91" i="1"/>
  <c r="BN91" i="1"/>
  <c r="BO91" i="1"/>
  <c r="BP91" i="1"/>
  <c r="BQ91" i="1"/>
  <c r="BR91" i="1"/>
  <c r="BS91" i="1"/>
  <c r="BU91" i="1"/>
  <c r="BV91" i="1"/>
  <c r="BW91" i="1"/>
  <c r="CC91" i="1"/>
  <c r="CD91" i="1"/>
  <c r="CE91" i="1"/>
  <c r="CF91" i="1"/>
  <c r="CG91" i="1"/>
  <c r="CH91" i="1"/>
  <c r="CI91" i="1"/>
  <c r="CJ91" i="1"/>
  <c r="CK91" i="1"/>
  <c r="CL91" i="1"/>
  <c r="CN91" i="1"/>
  <c r="CO91" i="1"/>
  <c r="CP91" i="1"/>
  <c r="CV91" i="1"/>
  <c r="CW91" i="1"/>
  <c r="DF91" i="1"/>
  <c r="DG91" i="1"/>
  <c r="DH91" i="1"/>
  <c r="DI91" i="1"/>
  <c r="DM91" i="1"/>
  <c r="A92" i="1"/>
  <c r="B92" i="1"/>
  <c r="K92" i="1"/>
  <c r="L92" i="1"/>
  <c r="M92" i="1"/>
  <c r="N92" i="1"/>
  <c r="O92" i="1"/>
  <c r="P92" i="1"/>
  <c r="Q92" i="1"/>
  <c r="R92" i="1"/>
  <c r="S92" i="1"/>
  <c r="T92" i="1"/>
  <c r="U92" i="1"/>
  <c r="V92" i="1"/>
  <c r="AE92" i="1"/>
  <c r="AG92" i="1"/>
  <c r="AK92" i="1"/>
  <c r="AM92" i="1"/>
  <c r="AS92" i="1"/>
  <c r="AT92" i="1"/>
  <c r="AU92" i="1"/>
  <c r="AV92" i="1"/>
  <c r="BJ92" i="1" s="1"/>
  <c r="AW92" i="1"/>
  <c r="AX92" i="1"/>
  <c r="AY92" i="1"/>
  <c r="AZ92" i="1"/>
  <c r="BA92" i="1"/>
  <c r="BB92" i="1"/>
  <c r="BC92" i="1"/>
  <c r="BD92" i="1"/>
  <c r="BE92" i="1"/>
  <c r="BF92" i="1"/>
  <c r="BP92" i="1"/>
  <c r="BR92" i="1"/>
  <c r="BU92" i="1"/>
  <c r="BV92" i="1"/>
  <c r="BW92" i="1"/>
  <c r="CC92" i="1"/>
  <c r="CD92" i="1"/>
  <c r="CJ92" i="1"/>
  <c r="CK92" i="1"/>
  <c r="CN92" i="1"/>
  <c r="CO92" i="1"/>
  <c r="CP92" i="1"/>
  <c r="CV92" i="1"/>
  <c r="CW92" i="1"/>
  <c r="DF92" i="1"/>
  <c r="DG92" i="1"/>
  <c r="DH92" i="1"/>
  <c r="DI92" i="1"/>
  <c r="A93" i="1"/>
  <c r="B93" i="1"/>
  <c r="K93" i="1"/>
  <c r="L93" i="1"/>
  <c r="M93" i="1"/>
  <c r="N93" i="1"/>
  <c r="O93" i="1"/>
  <c r="P93" i="1"/>
  <c r="Q93" i="1"/>
  <c r="R93" i="1"/>
  <c r="S93" i="1"/>
  <c r="T93" i="1"/>
  <c r="U93" i="1"/>
  <c r="V93" i="1"/>
  <c r="AB93" i="1"/>
  <c r="AC93" i="1"/>
  <c r="AD93" i="1"/>
  <c r="AE93" i="1"/>
  <c r="AF93" i="1"/>
  <c r="AG93" i="1"/>
  <c r="AI93" i="1"/>
  <c r="AJ93" i="1"/>
  <c r="AK93" i="1"/>
  <c r="AM93" i="1"/>
  <c r="AS93" i="1"/>
  <c r="AT93" i="1"/>
  <c r="AU93" i="1"/>
  <c r="BJ93" i="1" s="1"/>
  <c r="AV93" i="1"/>
  <c r="AW93" i="1"/>
  <c r="AX93" i="1"/>
  <c r="AY93" i="1"/>
  <c r="AZ93" i="1"/>
  <c r="BA93" i="1"/>
  <c r="BB93" i="1"/>
  <c r="BC93" i="1"/>
  <c r="BD93" i="1"/>
  <c r="BE93" i="1"/>
  <c r="BF93" i="1"/>
  <c r="BL93" i="1"/>
  <c r="BM93" i="1"/>
  <c r="BN93" i="1"/>
  <c r="BO93" i="1"/>
  <c r="BP93" i="1"/>
  <c r="BQ93" i="1"/>
  <c r="BU93" i="1"/>
  <c r="BV93" i="1"/>
  <c r="BW93" i="1"/>
  <c r="CC93" i="1"/>
  <c r="CD93" i="1"/>
  <c r="CE93" i="1"/>
  <c r="CF93" i="1"/>
  <c r="CG93" i="1"/>
  <c r="CH93" i="1"/>
  <c r="CI93" i="1"/>
  <c r="CJ93" i="1"/>
  <c r="CN93" i="1"/>
  <c r="CO93" i="1"/>
  <c r="CP93" i="1"/>
  <c r="CV93" i="1"/>
  <c r="CW93" i="1"/>
  <c r="DD93" i="1"/>
  <c r="DE93" i="1"/>
  <c r="DF93" i="1"/>
  <c r="DG93" i="1"/>
  <c r="DH93" i="1"/>
  <c r="DI93" i="1"/>
  <c r="A94" i="1"/>
  <c r="B94" i="1"/>
  <c r="K94" i="1"/>
  <c r="L94" i="1"/>
  <c r="M94" i="1"/>
  <c r="N94" i="1"/>
  <c r="O94" i="1"/>
  <c r="P94" i="1"/>
  <c r="Q94" i="1"/>
  <c r="R94" i="1"/>
  <c r="S94" i="1"/>
  <c r="T94" i="1"/>
  <c r="U94" i="1"/>
  <c r="V94" i="1"/>
  <c r="AB94" i="1"/>
  <c r="AC94" i="1"/>
  <c r="AD94" i="1"/>
  <c r="AE94" i="1"/>
  <c r="AF94" i="1"/>
  <c r="AG94" i="1"/>
  <c r="AH94" i="1"/>
  <c r="AI94" i="1"/>
  <c r="AJ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L94" i="1"/>
  <c r="BM94" i="1"/>
  <c r="BN94" i="1"/>
  <c r="CA94" i="1" s="1"/>
  <c r="BO94" i="1"/>
  <c r="BP94" i="1"/>
  <c r="BQ94" i="1"/>
  <c r="BR94" i="1"/>
  <c r="BS94" i="1"/>
  <c r="BT94" i="1"/>
  <c r="BU94" i="1"/>
  <c r="BV94" i="1"/>
  <c r="BW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V94" i="1"/>
  <c r="CW94" i="1"/>
  <c r="DG94" i="1"/>
  <c r="DH94" i="1"/>
  <c r="DI94" i="1"/>
  <c r="DM94" i="1"/>
  <c r="A95" i="1"/>
  <c r="B95" i="1"/>
  <c r="K95" i="1"/>
  <c r="L95" i="1"/>
  <c r="M95" i="1"/>
  <c r="N95" i="1"/>
  <c r="O95" i="1"/>
  <c r="P95" i="1"/>
  <c r="Q95" i="1"/>
  <c r="R95" i="1"/>
  <c r="S95" i="1"/>
  <c r="T95" i="1"/>
  <c r="U95" i="1"/>
  <c r="V95" i="1"/>
  <c r="AC95" i="1"/>
  <c r="AE95" i="1"/>
  <c r="AG95" i="1"/>
  <c r="AH95" i="1"/>
  <c r="AK95" i="1"/>
  <c r="AS95" i="1"/>
  <c r="AT95" i="1"/>
  <c r="AU95" i="1"/>
  <c r="AV95" i="1"/>
  <c r="AW95" i="1"/>
  <c r="AX95" i="1"/>
  <c r="AZ95" i="1"/>
  <c r="BA95" i="1"/>
  <c r="BB95" i="1"/>
  <c r="BC95" i="1"/>
  <c r="BD95" i="1"/>
  <c r="BE95" i="1"/>
  <c r="BF95" i="1"/>
  <c r="BN95" i="1"/>
  <c r="BO95" i="1"/>
  <c r="BS95" i="1"/>
  <c r="BU95" i="1"/>
  <c r="BV95" i="1"/>
  <c r="BW95" i="1"/>
  <c r="CC95" i="1"/>
  <c r="CD95" i="1"/>
  <c r="CF95" i="1"/>
  <c r="CG95" i="1"/>
  <c r="CJ95" i="1"/>
  <c r="CL95" i="1"/>
  <c r="CN95" i="1"/>
  <c r="CO95" i="1"/>
  <c r="CP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A96" i="1"/>
  <c r="B96" i="1"/>
  <c r="K96" i="1"/>
  <c r="L96" i="1"/>
  <c r="M96" i="1"/>
  <c r="N96" i="1"/>
  <c r="O96" i="1"/>
  <c r="P96" i="1"/>
  <c r="Q96" i="1"/>
  <c r="R96" i="1"/>
  <c r="S96" i="1"/>
  <c r="T96" i="1"/>
  <c r="U96" i="1"/>
  <c r="V96" i="1"/>
  <c r="AL96" i="1"/>
  <c r="AS96" i="1"/>
  <c r="AT96" i="1"/>
  <c r="AU96" i="1"/>
  <c r="BJ96" i="1" s="1"/>
  <c r="AV96" i="1"/>
  <c r="AW96" i="1"/>
  <c r="AX96" i="1"/>
  <c r="AY96" i="1"/>
  <c r="AZ96" i="1"/>
  <c r="BA96" i="1"/>
  <c r="BB96" i="1"/>
  <c r="BC96" i="1"/>
  <c r="BD96" i="1"/>
  <c r="BE96" i="1"/>
  <c r="BF96" i="1"/>
  <c r="BM96" i="1"/>
  <c r="BU96" i="1"/>
  <c r="BV96" i="1"/>
  <c r="BW96" i="1"/>
  <c r="CC96" i="1"/>
  <c r="CD96" i="1"/>
  <c r="CF96" i="1"/>
  <c r="CN96" i="1"/>
  <c r="CO96" i="1"/>
  <c r="CP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A97" i="1"/>
  <c r="B97" i="1"/>
  <c r="K97" i="1"/>
  <c r="L97" i="1"/>
  <c r="M97" i="1"/>
  <c r="N97" i="1"/>
  <c r="O97" i="1"/>
  <c r="P97" i="1"/>
  <c r="Q97" i="1"/>
  <c r="R97" i="1"/>
  <c r="S97" i="1"/>
  <c r="T97" i="1"/>
  <c r="U97" i="1"/>
  <c r="V97" i="1"/>
  <c r="AE97" i="1"/>
  <c r="AH97" i="1"/>
  <c r="AI97" i="1"/>
  <c r="AJ97" i="1"/>
  <c r="AM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N97" i="1"/>
  <c r="BO97" i="1"/>
  <c r="BS97" i="1"/>
  <c r="BU97" i="1"/>
  <c r="BV97" i="1"/>
  <c r="BW97" i="1"/>
  <c r="CC97" i="1"/>
  <c r="CD97" i="1"/>
  <c r="CG97" i="1"/>
  <c r="CH97" i="1"/>
  <c r="CK97" i="1"/>
  <c r="CL97" i="1"/>
  <c r="CM97" i="1"/>
  <c r="CN97" i="1"/>
  <c r="CO97" i="1"/>
  <c r="CP97" i="1"/>
  <c r="CV97" i="1"/>
  <c r="CW97" i="1"/>
  <c r="CX97" i="1"/>
  <c r="DM97" i="1" s="1"/>
  <c r="CY97" i="1"/>
  <c r="CZ97" i="1"/>
  <c r="DA97" i="1"/>
  <c r="DB97" i="1"/>
  <c r="DC97" i="1"/>
  <c r="DD97" i="1"/>
  <c r="DE97" i="1"/>
  <c r="DF97" i="1"/>
  <c r="DG97" i="1"/>
  <c r="DH97" i="1"/>
  <c r="DI97" i="1"/>
  <c r="A98" i="1"/>
  <c r="B98" i="1"/>
  <c r="K98" i="1"/>
  <c r="L98" i="1"/>
  <c r="M98" i="1"/>
  <c r="N98" i="1"/>
  <c r="O98" i="1"/>
  <c r="P98" i="1"/>
  <c r="Q98" i="1"/>
  <c r="R98" i="1"/>
  <c r="S98" i="1"/>
  <c r="T98" i="1"/>
  <c r="U98" i="1"/>
  <c r="V98" i="1"/>
  <c r="AB98" i="1"/>
  <c r="AC98" i="1"/>
  <c r="AD98" i="1"/>
  <c r="AE98" i="1"/>
  <c r="AF98" i="1"/>
  <c r="AG98" i="1"/>
  <c r="AH98" i="1"/>
  <c r="AI98" i="1"/>
  <c r="AJ98" i="1"/>
  <c r="AK98" i="1"/>
  <c r="AM98" i="1"/>
  <c r="AS98" i="1"/>
  <c r="AT98" i="1"/>
  <c r="AU98" i="1"/>
  <c r="AV98" i="1"/>
  <c r="AW98" i="1"/>
  <c r="AX98" i="1"/>
  <c r="AY98" i="1"/>
  <c r="BJ98" i="1" s="1"/>
  <c r="AZ98" i="1"/>
  <c r="BA98" i="1"/>
  <c r="BB98" i="1"/>
  <c r="BC98" i="1"/>
  <c r="BD98" i="1"/>
  <c r="BE98" i="1"/>
  <c r="BF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V98" i="1"/>
  <c r="CW98" i="1"/>
  <c r="DG98" i="1"/>
  <c r="DH98" i="1"/>
  <c r="DI98" i="1"/>
  <c r="A99" i="1"/>
  <c r="B99" i="1"/>
  <c r="K99" i="1"/>
  <c r="L99" i="1"/>
  <c r="M99" i="1"/>
  <c r="N99" i="1"/>
  <c r="O99" i="1"/>
  <c r="P99" i="1"/>
  <c r="Q99" i="1"/>
  <c r="R99" i="1"/>
  <c r="S99" i="1"/>
  <c r="T99" i="1"/>
  <c r="U99" i="1"/>
  <c r="V99" i="1"/>
  <c r="AI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O99" i="1"/>
  <c r="BR99" i="1"/>
  <c r="BS99" i="1"/>
  <c r="BU99" i="1"/>
  <c r="BV99" i="1"/>
  <c r="BW99" i="1"/>
  <c r="CC99" i="1"/>
  <c r="CD99" i="1"/>
  <c r="CH99" i="1"/>
  <c r="CL99" i="1"/>
  <c r="CN99" i="1"/>
  <c r="CO99" i="1"/>
  <c r="CP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A100" i="1"/>
  <c r="B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AD100" i="1"/>
  <c r="AL100" i="1"/>
  <c r="AM100" i="1"/>
  <c r="AS100" i="1"/>
  <c r="AT100" i="1"/>
  <c r="AU100" i="1"/>
  <c r="AV100" i="1"/>
  <c r="AW100" i="1"/>
  <c r="AX100" i="1"/>
  <c r="BJ100" i="1" s="1"/>
  <c r="AY100" i="1"/>
  <c r="AZ100" i="1"/>
  <c r="BA100" i="1"/>
  <c r="BB100" i="1"/>
  <c r="BC100" i="1"/>
  <c r="BD100" i="1"/>
  <c r="BE100" i="1"/>
  <c r="BF100" i="1"/>
  <c r="BO100" i="1"/>
  <c r="BT100" i="1"/>
  <c r="BU100" i="1"/>
  <c r="BV100" i="1"/>
  <c r="BW100" i="1"/>
  <c r="CC100" i="1"/>
  <c r="CD100" i="1"/>
  <c r="CF100" i="1"/>
  <c r="CG100" i="1"/>
  <c r="CH100" i="1"/>
  <c r="CN100" i="1"/>
  <c r="CO100" i="1"/>
  <c r="CP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A101" i="1"/>
  <c r="B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B101" i="1"/>
  <c r="AS101" i="1"/>
  <c r="AT101" i="1"/>
  <c r="AU101" i="1"/>
  <c r="AV101" i="1"/>
  <c r="AW101" i="1"/>
  <c r="AY101" i="1"/>
  <c r="AZ101" i="1"/>
  <c r="BA101" i="1"/>
  <c r="BB101" i="1"/>
  <c r="BC101" i="1"/>
  <c r="BD101" i="1"/>
  <c r="BE101" i="1"/>
  <c r="BF101" i="1"/>
  <c r="BL101" i="1"/>
  <c r="BU101" i="1"/>
  <c r="BV101" i="1"/>
  <c r="BW101" i="1"/>
  <c r="CC101" i="1"/>
  <c r="CD101" i="1"/>
  <c r="CE101" i="1"/>
  <c r="CN101" i="1"/>
  <c r="CO101" i="1"/>
  <c r="CP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A102" i="1"/>
  <c r="B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AF102" i="1"/>
  <c r="AG102" i="1"/>
  <c r="AH102" i="1"/>
  <c r="AJ102" i="1"/>
  <c r="AL102" i="1"/>
  <c r="AS102" i="1"/>
  <c r="AT102" i="1"/>
  <c r="AU102" i="1"/>
  <c r="AV102" i="1"/>
  <c r="AW102" i="1"/>
  <c r="AX102" i="1"/>
  <c r="BJ102" i="1" s="1"/>
  <c r="AY102" i="1"/>
  <c r="AZ102" i="1"/>
  <c r="BA102" i="1"/>
  <c r="BB102" i="1"/>
  <c r="BC102" i="1"/>
  <c r="BD102" i="1"/>
  <c r="BE102" i="1"/>
  <c r="BF102" i="1"/>
  <c r="BM102" i="1"/>
  <c r="BR102" i="1"/>
  <c r="BU102" i="1"/>
  <c r="BV102" i="1"/>
  <c r="BW102" i="1"/>
  <c r="CC102" i="1"/>
  <c r="CD102" i="1"/>
  <c r="CF102" i="1"/>
  <c r="CK102" i="1"/>
  <c r="CN102" i="1"/>
  <c r="CO102" i="1"/>
  <c r="CP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A103" i="1"/>
  <c r="B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AB103" i="1"/>
  <c r="AG103" i="1"/>
  <c r="AI103" i="1"/>
  <c r="AK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U103" i="1"/>
  <c r="BV103" i="1"/>
  <c r="BW103" i="1"/>
  <c r="CC103" i="1"/>
  <c r="CD103" i="1"/>
  <c r="CN103" i="1"/>
  <c r="CO103" i="1"/>
  <c r="CP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A104" i="1"/>
  <c r="B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AB104" i="1"/>
  <c r="AC104" i="1"/>
  <c r="AD104" i="1"/>
  <c r="AQ104" i="1" s="1"/>
  <c r="AE104" i="1"/>
  <c r="AF104" i="1"/>
  <c r="AG104" i="1"/>
  <c r="AH104" i="1"/>
  <c r="AI104" i="1"/>
  <c r="AJ104" i="1"/>
  <c r="AK104" i="1"/>
  <c r="AL104" i="1"/>
  <c r="AM104" i="1"/>
  <c r="AS104" i="1"/>
  <c r="AT104" i="1"/>
  <c r="AU104" i="1"/>
  <c r="AV104" i="1"/>
  <c r="AW104" i="1"/>
  <c r="AX104" i="1"/>
  <c r="BJ104" i="1" s="1"/>
  <c r="AY104" i="1"/>
  <c r="AZ104" i="1"/>
  <c r="BA104" i="1"/>
  <c r="BB104" i="1"/>
  <c r="BC104" i="1"/>
  <c r="BD104" i="1"/>
  <c r="BE104" i="1"/>
  <c r="BF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V104" i="1"/>
  <c r="CW104" i="1"/>
  <c r="DG104" i="1"/>
  <c r="DH104" i="1"/>
  <c r="DI104" i="1"/>
  <c r="A105" i="1"/>
  <c r="B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AB105" i="1"/>
  <c r="AC105" i="1"/>
  <c r="AD105" i="1"/>
  <c r="AE105" i="1"/>
  <c r="AF105" i="1"/>
  <c r="AG105" i="1"/>
  <c r="AH105" i="1"/>
  <c r="AI105" i="1"/>
  <c r="AJ105" i="1"/>
  <c r="AM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L105" i="1"/>
  <c r="BM105" i="1"/>
  <c r="BN105" i="1"/>
  <c r="CA105" i="1" s="1"/>
  <c r="BO105" i="1"/>
  <c r="BP105" i="1"/>
  <c r="BQ105" i="1"/>
  <c r="BR105" i="1"/>
  <c r="BS105" i="1"/>
  <c r="BT105" i="1"/>
  <c r="BU105" i="1"/>
  <c r="BV105" i="1"/>
  <c r="BW105" i="1"/>
  <c r="CC105" i="1"/>
  <c r="CD105" i="1"/>
  <c r="CE105" i="1"/>
  <c r="CF105" i="1"/>
  <c r="CG105" i="1"/>
  <c r="CH105" i="1"/>
  <c r="CI105" i="1"/>
  <c r="CT105" i="1" s="1"/>
  <c r="CJ105" i="1"/>
  <c r="CK105" i="1"/>
  <c r="CL105" i="1"/>
  <c r="CM105" i="1"/>
  <c r="CN105" i="1"/>
  <c r="CO105" i="1"/>
  <c r="CP105" i="1"/>
  <c r="CV105" i="1"/>
  <c r="CW105" i="1"/>
  <c r="DG105" i="1"/>
  <c r="DM105" i="1" s="1"/>
  <c r="DH105" i="1"/>
  <c r="DI105" i="1"/>
  <c r="A106" i="1"/>
  <c r="B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AD106" i="1"/>
  <c r="AH106" i="1"/>
  <c r="AK106" i="1"/>
  <c r="AL106" i="1"/>
  <c r="AS106" i="1"/>
  <c r="AT106" i="1"/>
  <c r="AU106" i="1"/>
  <c r="BJ106" i="1" s="1"/>
  <c r="AV106" i="1"/>
  <c r="AW106" i="1"/>
  <c r="AX106" i="1"/>
  <c r="AY106" i="1"/>
  <c r="AZ106" i="1"/>
  <c r="BA106" i="1"/>
  <c r="BB106" i="1"/>
  <c r="BC106" i="1"/>
  <c r="BD106" i="1"/>
  <c r="BE106" i="1"/>
  <c r="BF106" i="1"/>
  <c r="BO106" i="1"/>
  <c r="BQ106" i="1"/>
  <c r="BR106" i="1"/>
  <c r="BU106" i="1"/>
  <c r="BV106" i="1"/>
  <c r="BW106" i="1"/>
  <c r="CC106" i="1"/>
  <c r="CD106" i="1"/>
  <c r="CH106" i="1"/>
  <c r="CJ106" i="1"/>
  <c r="CK106" i="1"/>
  <c r="CN106" i="1"/>
  <c r="CO106" i="1"/>
  <c r="CP106" i="1"/>
  <c r="CV106" i="1"/>
  <c r="CW106" i="1"/>
  <c r="DG106" i="1"/>
  <c r="DH106" i="1"/>
  <c r="DI106" i="1"/>
  <c r="A107" i="1"/>
  <c r="B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AB107" i="1"/>
  <c r="AC107" i="1"/>
  <c r="AD107" i="1"/>
  <c r="AE107" i="1"/>
  <c r="AF107" i="1"/>
  <c r="AG107" i="1"/>
  <c r="AH107" i="1"/>
  <c r="AI107" i="1"/>
  <c r="AJ107" i="1"/>
  <c r="AK107" i="1"/>
  <c r="AM107" i="1"/>
  <c r="AS107" i="1"/>
  <c r="AT107" i="1"/>
  <c r="AU107" i="1"/>
  <c r="BJ107" i="1" s="1"/>
  <c r="AV107" i="1"/>
  <c r="AW107" i="1"/>
  <c r="AX107" i="1"/>
  <c r="AY107" i="1"/>
  <c r="AZ107" i="1"/>
  <c r="BA107" i="1"/>
  <c r="BB107" i="1"/>
  <c r="BC107" i="1"/>
  <c r="BD107" i="1"/>
  <c r="BE107" i="1"/>
  <c r="BF107" i="1"/>
  <c r="BL107" i="1"/>
  <c r="BM107" i="1"/>
  <c r="BN107" i="1"/>
  <c r="CA107" i="1" s="1"/>
  <c r="BO107" i="1"/>
  <c r="BP107" i="1"/>
  <c r="BQ107" i="1"/>
  <c r="BR107" i="1"/>
  <c r="BS107" i="1"/>
  <c r="BT107" i="1"/>
  <c r="BU107" i="1"/>
  <c r="BV107" i="1"/>
  <c r="BW107" i="1"/>
  <c r="CC107" i="1"/>
  <c r="CD107" i="1"/>
  <c r="CE107" i="1"/>
  <c r="CF107" i="1"/>
  <c r="CG107" i="1"/>
  <c r="CH107" i="1"/>
  <c r="CI107" i="1"/>
  <c r="CJ107" i="1"/>
  <c r="CK107" i="1"/>
  <c r="CL107" i="1"/>
  <c r="CT107" i="1" s="1"/>
  <c r="CM107" i="1"/>
  <c r="CN107" i="1"/>
  <c r="CO107" i="1"/>
  <c r="CP107" i="1"/>
  <c r="CV107" i="1"/>
  <c r="CW107" i="1"/>
  <c r="DG107" i="1"/>
  <c r="DM107" i="1" s="1"/>
  <c r="DH107" i="1"/>
  <c r="DI107" i="1"/>
  <c r="A108" i="1"/>
  <c r="B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AI108" i="1"/>
  <c r="AK108" i="1"/>
  <c r="AL108" i="1"/>
  <c r="AM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J108" i="1"/>
  <c r="BS108" i="1"/>
  <c r="BU108" i="1"/>
  <c r="BV108" i="1"/>
  <c r="BW108" i="1"/>
  <c r="CC108" i="1"/>
  <c r="CD108" i="1"/>
  <c r="CI108" i="1"/>
  <c r="CL108" i="1"/>
  <c r="CN108" i="1"/>
  <c r="CO108" i="1"/>
  <c r="CP108" i="1"/>
  <c r="CV108" i="1"/>
  <c r="CW108" i="1"/>
  <c r="CX108" i="1"/>
  <c r="DM108" i="1" s="1"/>
  <c r="CY108" i="1"/>
  <c r="CZ108" i="1"/>
  <c r="DA108" i="1"/>
  <c r="DB108" i="1"/>
  <c r="DC108" i="1"/>
  <c r="DD108" i="1"/>
  <c r="DE108" i="1"/>
  <c r="DF108" i="1"/>
  <c r="DG108" i="1"/>
  <c r="DH108" i="1"/>
  <c r="DI108" i="1"/>
  <c r="A109" i="1"/>
  <c r="B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AB109" i="1"/>
  <c r="AI109" i="1"/>
  <c r="AJ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U109" i="1"/>
  <c r="BV109" i="1"/>
  <c r="BW109" i="1"/>
  <c r="CC109" i="1"/>
  <c r="CD109" i="1"/>
  <c r="CN109" i="1"/>
  <c r="CO109" i="1"/>
  <c r="CP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A110" i="1"/>
  <c r="B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AB110" i="1"/>
  <c r="AC110" i="1"/>
  <c r="AD110" i="1"/>
  <c r="AE110" i="1"/>
  <c r="AF110" i="1"/>
  <c r="AG110" i="1"/>
  <c r="AH110" i="1"/>
  <c r="AI110" i="1"/>
  <c r="AJ110" i="1"/>
  <c r="AL110" i="1"/>
  <c r="AS110" i="1"/>
  <c r="AT110" i="1"/>
  <c r="AU110" i="1"/>
  <c r="AV110" i="1"/>
  <c r="AW110" i="1"/>
  <c r="BJ110" i="1" s="1"/>
  <c r="AX110" i="1"/>
  <c r="AY110" i="1"/>
  <c r="AZ110" i="1"/>
  <c r="BA110" i="1"/>
  <c r="BB110" i="1"/>
  <c r="BC110" i="1"/>
  <c r="BD110" i="1"/>
  <c r="BE110" i="1"/>
  <c r="BF110" i="1"/>
  <c r="BL110" i="1"/>
  <c r="CA110" i="1" s="1"/>
  <c r="BM110" i="1"/>
  <c r="BN110" i="1"/>
  <c r="BO110" i="1"/>
  <c r="BP110" i="1"/>
  <c r="BQ110" i="1"/>
  <c r="BR110" i="1"/>
  <c r="BS110" i="1"/>
  <c r="BT110" i="1"/>
  <c r="BU110" i="1"/>
  <c r="BV110" i="1"/>
  <c r="BW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V110" i="1"/>
  <c r="CW110" i="1"/>
  <c r="DG110" i="1"/>
  <c r="DH110" i="1"/>
  <c r="DI110" i="1"/>
  <c r="A111" i="1"/>
  <c r="B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AB111" i="1"/>
  <c r="AC111" i="1"/>
  <c r="AD111" i="1"/>
  <c r="AE111" i="1"/>
  <c r="AF111" i="1"/>
  <c r="AG111" i="1"/>
  <c r="AH111" i="1"/>
  <c r="AI111" i="1"/>
  <c r="AJ111" i="1"/>
  <c r="AK111" i="1"/>
  <c r="AS111" i="1"/>
  <c r="AT111" i="1"/>
  <c r="AU111" i="1"/>
  <c r="AV111" i="1"/>
  <c r="BJ111" i="1" s="1"/>
  <c r="G111" i="1" s="1"/>
  <c r="AW111" i="1"/>
  <c r="AX111" i="1"/>
  <c r="AY111" i="1"/>
  <c r="AZ111" i="1"/>
  <c r="BA111" i="1"/>
  <c r="BB111" i="1"/>
  <c r="BC111" i="1"/>
  <c r="BD111" i="1"/>
  <c r="BE111" i="1"/>
  <c r="BF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CA111" i="1"/>
  <c r="E111" i="1" s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V111" i="1"/>
  <c r="CW111" i="1"/>
  <c r="DG111" i="1"/>
  <c r="DH111" i="1"/>
  <c r="DI111" i="1"/>
  <c r="DM111" i="1"/>
  <c r="A112" i="1"/>
  <c r="B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Z112" i="1"/>
  <c r="C112" i="1" s="1"/>
  <c r="AH112" i="1"/>
  <c r="AI112" i="1"/>
  <c r="AJ112" i="1"/>
  <c r="AL112" i="1"/>
  <c r="AS112" i="1"/>
  <c r="AT112" i="1"/>
  <c r="AU112" i="1"/>
  <c r="BJ112" i="1" s="1"/>
  <c r="G112" i="1" s="1"/>
  <c r="AV112" i="1"/>
  <c r="AW112" i="1"/>
  <c r="AX112" i="1"/>
  <c r="AY112" i="1"/>
  <c r="AZ112" i="1"/>
  <c r="BA112" i="1"/>
  <c r="BB112" i="1"/>
  <c r="BC112" i="1"/>
  <c r="BD112" i="1"/>
  <c r="BE112" i="1"/>
  <c r="BF112" i="1"/>
  <c r="BN112" i="1"/>
  <c r="BU112" i="1"/>
  <c r="BV112" i="1"/>
  <c r="BW112" i="1"/>
  <c r="CC112" i="1"/>
  <c r="CD112" i="1"/>
  <c r="CN112" i="1"/>
  <c r="CO112" i="1"/>
  <c r="CP112" i="1"/>
  <c r="CV112" i="1"/>
  <c r="CW112" i="1"/>
  <c r="CX112" i="1"/>
  <c r="CY112" i="1"/>
  <c r="CZ112" i="1"/>
  <c r="DA112" i="1"/>
  <c r="DB112" i="1"/>
  <c r="DC112" i="1"/>
  <c r="DM112" i="1" s="1"/>
  <c r="DD112" i="1"/>
  <c r="DE112" i="1"/>
  <c r="DF112" i="1"/>
  <c r="DG112" i="1"/>
  <c r="DH112" i="1"/>
  <c r="DI112" i="1"/>
  <c r="A113" i="1"/>
  <c r="B113" i="1"/>
  <c r="K113" i="1"/>
  <c r="Z113" i="1" s="1"/>
  <c r="C113" i="1" s="1"/>
  <c r="L113" i="1"/>
  <c r="M113" i="1"/>
  <c r="N113" i="1"/>
  <c r="O113" i="1"/>
  <c r="P113" i="1"/>
  <c r="Q113" i="1"/>
  <c r="R113" i="1"/>
  <c r="S113" i="1"/>
  <c r="T113" i="1"/>
  <c r="U113" i="1"/>
  <c r="V113" i="1"/>
  <c r="AB113" i="1"/>
  <c r="AC113" i="1"/>
  <c r="AD113" i="1"/>
  <c r="AE113" i="1"/>
  <c r="AF113" i="1"/>
  <c r="AS113" i="1"/>
  <c r="AT113" i="1"/>
  <c r="AU113" i="1"/>
  <c r="BJ113" i="1" s="1"/>
  <c r="G113" i="1" s="1"/>
  <c r="AV113" i="1"/>
  <c r="AW113" i="1"/>
  <c r="AX113" i="1"/>
  <c r="AY113" i="1"/>
  <c r="AZ113" i="1"/>
  <c r="BA113" i="1"/>
  <c r="BB113" i="1"/>
  <c r="BC113" i="1"/>
  <c r="BD113" i="1"/>
  <c r="BE113" i="1"/>
  <c r="BF113" i="1"/>
  <c r="BL113" i="1"/>
  <c r="BM113" i="1"/>
  <c r="BN113" i="1"/>
  <c r="BO113" i="1"/>
  <c r="BR113" i="1"/>
  <c r="BS113" i="1"/>
  <c r="BT113" i="1"/>
  <c r="BU113" i="1"/>
  <c r="BV113" i="1"/>
  <c r="BW113" i="1"/>
  <c r="CC113" i="1"/>
  <c r="CD113" i="1"/>
  <c r="CE113" i="1"/>
  <c r="CF113" i="1"/>
  <c r="CG113" i="1"/>
  <c r="CH113" i="1"/>
  <c r="CI113" i="1"/>
  <c r="CK113" i="1"/>
  <c r="CL113" i="1"/>
  <c r="CN113" i="1"/>
  <c r="CO113" i="1"/>
  <c r="CP113" i="1"/>
  <c r="CV113" i="1"/>
  <c r="CW113" i="1"/>
  <c r="DB113" i="1"/>
  <c r="DC113" i="1"/>
  <c r="DD113" i="1"/>
  <c r="DE113" i="1"/>
  <c r="DF113" i="1"/>
  <c r="DG113" i="1"/>
  <c r="DH113" i="1"/>
  <c r="DI113" i="1"/>
  <c r="A114" i="1"/>
  <c r="B114" i="1"/>
  <c r="K114" i="1"/>
  <c r="L114" i="1"/>
  <c r="Z114" i="1" s="1"/>
  <c r="C114" i="1" s="1"/>
  <c r="M114" i="1"/>
  <c r="N114" i="1"/>
  <c r="O114" i="1"/>
  <c r="P114" i="1"/>
  <c r="Q114" i="1"/>
  <c r="R114" i="1"/>
  <c r="S114" i="1"/>
  <c r="T114" i="1"/>
  <c r="U114" i="1"/>
  <c r="V114" i="1"/>
  <c r="AB114" i="1"/>
  <c r="AC114" i="1"/>
  <c r="AD114" i="1"/>
  <c r="AE114" i="1"/>
  <c r="AF114" i="1"/>
  <c r="AG114" i="1"/>
  <c r="AH114" i="1"/>
  <c r="AI114" i="1"/>
  <c r="AK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L114" i="1"/>
  <c r="BM114" i="1"/>
  <c r="BN114" i="1"/>
  <c r="BO114" i="1"/>
  <c r="BP114" i="1"/>
  <c r="BQ114" i="1"/>
  <c r="BR114" i="1"/>
  <c r="BS114" i="1"/>
  <c r="BU114" i="1"/>
  <c r="BV114" i="1"/>
  <c r="BW114" i="1"/>
  <c r="CC114" i="1"/>
  <c r="CD114" i="1"/>
  <c r="CE114" i="1"/>
  <c r="CF114" i="1"/>
  <c r="CG114" i="1"/>
  <c r="CH114" i="1"/>
  <c r="CI114" i="1"/>
  <c r="CJ114" i="1"/>
  <c r="CK114" i="1"/>
  <c r="CL114" i="1"/>
  <c r="CN114" i="1"/>
  <c r="CO114" i="1"/>
  <c r="CP114" i="1"/>
  <c r="CV114" i="1"/>
  <c r="CW114" i="1"/>
  <c r="DF114" i="1"/>
  <c r="DG114" i="1"/>
  <c r="DH114" i="1"/>
  <c r="DM114" i="1" s="1"/>
  <c r="DI114" i="1"/>
  <c r="A115" i="1"/>
  <c r="B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AB115" i="1"/>
  <c r="AC115" i="1"/>
  <c r="AD115" i="1"/>
  <c r="AE115" i="1"/>
  <c r="AF115" i="1"/>
  <c r="AG115" i="1"/>
  <c r="AH115" i="1"/>
  <c r="AI115" i="1"/>
  <c r="AJ115" i="1"/>
  <c r="AM115" i="1"/>
  <c r="AS115" i="1"/>
  <c r="AT115" i="1"/>
  <c r="AU115" i="1"/>
  <c r="AV115" i="1"/>
  <c r="AW115" i="1"/>
  <c r="BJ115" i="1" s="1"/>
  <c r="G115" i="1" s="1"/>
  <c r="AX115" i="1"/>
  <c r="AY115" i="1"/>
  <c r="AZ115" i="1"/>
  <c r="BA115" i="1"/>
  <c r="BB115" i="1"/>
  <c r="BC115" i="1"/>
  <c r="BD115" i="1"/>
  <c r="BE115" i="1"/>
  <c r="BF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V115" i="1"/>
  <c r="CW115" i="1"/>
  <c r="DG115" i="1"/>
  <c r="DM115" i="1" s="1"/>
  <c r="DH115" i="1"/>
  <c r="DI115" i="1"/>
  <c r="D116" i="1"/>
  <c r="E116" i="1"/>
  <c r="G116" i="1"/>
  <c r="Z116" i="1"/>
  <c r="C116" i="1" s="1"/>
  <c r="AS116" i="1"/>
  <c r="AT116" i="1"/>
  <c r="BJ116" i="1"/>
  <c r="CA116" i="1"/>
  <c r="CC116" i="1"/>
  <c r="CD116" i="1"/>
  <c r="CT116" i="1"/>
  <c r="F116" i="1" s="1"/>
  <c r="O117" i="1"/>
  <c r="W117" i="1"/>
  <c r="X117" i="1"/>
  <c r="Y117" i="1"/>
  <c r="AN117" i="1"/>
  <c r="AO117" i="1"/>
  <c r="AP117" i="1"/>
  <c r="BG117" i="1"/>
  <c r="BH117" i="1"/>
  <c r="BI117" i="1"/>
  <c r="BX117" i="1"/>
  <c r="BY117" i="1"/>
  <c r="BZ117" i="1"/>
  <c r="CQ117" i="1"/>
  <c r="CR117" i="1"/>
  <c r="CS117" i="1"/>
  <c r="E8" i="15"/>
  <c r="G8" i="15" s="1"/>
  <c r="H8" i="15"/>
  <c r="J8" i="15"/>
  <c r="K8" i="15"/>
  <c r="M8" i="15"/>
  <c r="M97" i="15" s="1"/>
  <c r="N8" i="15"/>
  <c r="E3" i="15" s="1"/>
  <c r="U8" i="15"/>
  <c r="Q9" i="15"/>
  <c r="Q10" i="15"/>
  <c r="R10" i="15"/>
  <c r="W10" i="15" s="1"/>
  <c r="S10" i="15"/>
  <c r="U10" i="15"/>
  <c r="Q11" i="15"/>
  <c r="R11" i="15"/>
  <c r="T11" i="15" s="1"/>
  <c r="S11" i="15"/>
  <c r="S97" i="15" s="1"/>
  <c r="U11" i="15"/>
  <c r="X11" i="15" s="1"/>
  <c r="V11" i="15"/>
  <c r="Q12" i="15"/>
  <c r="R12" i="15"/>
  <c r="S12" i="15"/>
  <c r="T12" i="15"/>
  <c r="U12" i="15"/>
  <c r="X12" i="15" s="1"/>
  <c r="V12" i="15"/>
  <c r="W12" i="15"/>
  <c r="Q13" i="15"/>
  <c r="R13" i="15"/>
  <c r="V13" i="15" s="1"/>
  <c r="S13" i="15"/>
  <c r="T13" i="15"/>
  <c r="U13" i="15"/>
  <c r="X13" i="15" s="1"/>
  <c r="W13" i="15"/>
  <c r="Q14" i="15"/>
  <c r="R14" i="15"/>
  <c r="T14" i="15" s="1"/>
  <c r="S14" i="15"/>
  <c r="U14" i="15"/>
  <c r="X14" i="15" s="1"/>
  <c r="V14" i="15"/>
  <c r="Q15" i="15"/>
  <c r="R15" i="15"/>
  <c r="T15" i="15" s="1"/>
  <c r="S15" i="15"/>
  <c r="U15" i="15"/>
  <c r="X15" i="15" s="1"/>
  <c r="Q16" i="15"/>
  <c r="R16" i="15"/>
  <c r="V16" i="15" s="1"/>
  <c r="S16" i="15"/>
  <c r="U16" i="15"/>
  <c r="X16" i="15" s="1"/>
  <c r="Q17" i="15"/>
  <c r="R17" i="15"/>
  <c r="T17" i="15"/>
  <c r="U17" i="15"/>
  <c r="X17" i="15" s="1"/>
  <c r="V17" i="15"/>
  <c r="W17" i="15"/>
  <c r="Q18" i="15"/>
  <c r="R18" i="15"/>
  <c r="T18" i="15"/>
  <c r="U18" i="15"/>
  <c r="X18" i="15" s="1"/>
  <c r="V18" i="15"/>
  <c r="W18" i="15"/>
  <c r="Q19" i="15"/>
  <c r="U19" i="15"/>
  <c r="X19" i="15"/>
  <c r="Q20" i="15"/>
  <c r="R20" i="15" s="1"/>
  <c r="U20" i="15"/>
  <c r="X20" i="15"/>
  <c r="Q21" i="15"/>
  <c r="R21" i="15"/>
  <c r="W21" i="15" s="1"/>
  <c r="T21" i="15"/>
  <c r="U21" i="15"/>
  <c r="X21" i="15"/>
  <c r="Q22" i="15"/>
  <c r="R22" i="15"/>
  <c r="U22" i="15"/>
  <c r="X22" i="15"/>
  <c r="Q23" i="15"/>
  <c r="U23" i="15"/>
  <c r="X23" i="15" s="1"/>
  <c r="Q24" i="15"/>
  <c r="R24" i="15"/>
  <c r="V24" i="15" s="1"/>
  <c r="T24" i="15"/>
  <c r="U24" i="15"/>
  <c r="X24" i="15" s="1"/>
  <c r="Q25" i="15"/>
  <c r="R25" i="15"/>
  <c r="T25" i="15" s="1"/>
  <c r="U25" i="15"/>
  <c r="X25" i="15" s="1"/>
  <c r="V25" i="15"/>
  <c r="Q26" i="15"/>
  <c r="R26" i="15"/>
  <c r="T26" i="15"/>
  <c r="U26" i="15"/>
  <c r="V26" i="15"/>
  <c r="W26" i="15"/>
  <c r="X26" i="15"/>
  <c r="Q27" i="15"/>
  <c r="U27" i="15"/>
  <c r="X27" i="15" s="1"/>
  <c r="Q28" i="15"/>
  <c r="R28" i="15"/>
  <c r="U28" i="15"/>
  <c r="X28" i="15"/>
  <c r="Q29" i="15"/>
  <c r="R29" i="15" s="1"/>
  <c r="U29" i="15"/>
  <c r="X29" i="15"/>
  <c r="Q30" i="15"/>
  <c r="R30" i="15"/>
  <c r="T30" i="15"/>
  <c r="U30" i="15"/>
  <c r="X30" i="15"/>
  <c r="Q31" i="15"/>
  <c r="R31" i="15" s="1"/>
  <c r="U31" i="15"/>
  <c r="X31" i="15" s="1"/>
  <c r="Q32" i="15"/>
  <c r="U32" i="15"/>
  <c r="X32" i="15" s="1"/>
  <c r="Q33" i="15"/>
  <c r="R33" i="15"/>
  <c r="T33" i="15"/>
  <c r="U33" i="15"/>
  <c r="V33" i="15"/>
  <c r="W33" i="15"/>
  <c r="X33" i="15"/>
  <c r="Q34" i="15"/>
  <c r="R34" i="15"/>
  <c r="T34" i="15"/>
  <c r="U34" i="15"/>
  <c r="V34" i="15"/>
  <c r="W34" i="15"/>
  <c r="X34" i="15"/>
  <c r="Q35" i="15"/>
  <c r="U35" i="15"/>
  <c r="X35" i="15"/>
  <c r="Q36" i="15"/>
  <c r="R36" i="15"/>
  <c r="W36" i="15" s="1"/>
  <c r="U36" i="15"/>
  <c r="X36" i="15"/>
  <c r="Q37" i="15"/>
  <c r="T37" i="15" s="1"/>
  <c r="R37" i="15"/>
  <c r="U37" i="15"/>
  <c r="W37" i="15"/>
  <c r="X37" i="15"/>
  <c r="Q38" i="15"/>
  <c r="R38" i="15"/>
  <c r="T38" i="15"/>
  <c r="U38" i="15"/>
  <c r="X38" i="15" s="1"/>
  <c r="Q39" i="15"/>
  <c r="T39" i="15" s="1"/>
  <c r="R39" i="15"/>
  <c r="U39" i="15"/>
  <c r="X39" i="15" s="1"/>
  <c r="Q40" i="15"/>
  <c r="T40" i="15" s="1"/>
  <c r="R40" i="15"/>
  <c r="U40" i="15"/>
  <c r="X40" i="15" s="1"/>
  <c r="V40" i="15"/>
  <c r="Q41" i="15"/>
  <c r="R41" i="15"/>
  <c r="V41" i="15" s="1"/>
  <c r="T41" i="15"/>
  <c r="U41" i="15"/>
  <c r="W41" i="15"/>
  <c r="X41" i="15"/>
  <c r="Q42" i="15"/>
  <c r="R42" i="15"/>
  <c r="T42" i="15"/>
  <c r="U42" i="15"/>
  <c r="V42" i="15"/>
  <c r="W42" i="15"/>
  <c r="X42" i="15"/>
  <c r="Q43" i="15"/>
  <c r="U43" i="15"/>
  <c r="X43" i="15"/>
  <c r="Q44" i="15"/>
  <c r="R44" i="15" s="1"/>
  <c r="V44" i="15" s="1"/>
  <c r="U44" i="15"/>
  <c r="X44" i="15"/>
  <c r="Q45" i="15"/>
  <c r="R45" i="15"/>
  <c r="T45" i="15"/>
  <c r="U45" i="15"/>
  <c r="W45" i="15"/>
  <c r="X45" i="15"/>
  <c r="Q46" i="15"/>
  <c r="U46" i="15"/>
  <c r="X46" i="15"/>
  <c r="Q47" i="15"/>
  <c r="R47" i="15"/>
  <c r="V47" i="15" s="1"/>
  <c r="T47" i="15"/>
  <c r="U47" i="15"/>
  <c r="X47" i="15" s="1"/>
  <c r="Q48" i="15"/>
  <c r="R48" i="15"/>
  <c r="T48" i="15"/>
  <c r="U48" i="15"/>
  <c r="X48" i="15" s="1"/>
  <c r="V48" i="15"/>
  <c r="W48" i="15"/>
  <c r="Q49" i="15"/>
  <c r="R49" i="15"/>
  <c r="W49" i="15" s="1"/>
  <c r="T49" i="15"/>
  <c r="U49" i="15"/>
  <c r="V49" i="15"/>
  <c r="X49" i="15"/>
  <c r="Q50" i="15"/>
  <c r="R50" i="15"/>
  <c r="T50" i="15"/>
  <c r="U50" i="15"/>
  <c r="X50" i="15" s="1"/>
  <c r="V50" i="15"/>
  <c r="W50" i="15"/>
  <c r="Q51" i="15"/>
  <c r="U51" i="15"/>
  <c r="X51" i="15" s="1"/>
  <c r="Q52" i="15"/>
  <c r="R52" i="15"/>
  <c r="V52" i="15" s="1"/>
  <c r="U52" i="15"/>
  <c r="W52" i="15"/>
  <c r="X52" i="15"/>
  <c r="Q53" i="15"/>
  <c r="W53" i="15" s="1"/>
  <c r="R53" i="15"/>
  <c r="T53" i="15"/>
  <c r="U53" i="15"/>
  <c r="X53" i="15"/>
  <c r="Q54" i="15"/>
  <c r="R54" i="15" s="1"/>
  <c r="U54" i="15"/>
  <c r="X54" i="15"/>
  <c r="Q55" i="15"/>
  <c r="R55" i="15" s="1"/>
  <c r="U55" i="15"/>
  <c r="X55" i="15" s="1"/>
  <c r="Q56" i="15"/>
  <c r="V56" i="15" s="1"/>
  <c r="R56" i="15"/>
  <c r="T56" i="15"/>
  <c r="U56" i="15"/>
  <c r="X56" i="15" s="1"/>
  <c r="W56" i="15"/>
  <c r="Q57" i="15"/>
  <c r="U57" i="15"/>
  <c r="X57" i="15" s="1"/>
  <c r="Q58" i="15"/>
  <c r="R58" i="15"/>
  <c r="V58" i="15" s="1"/>
  <c r="U58" i="15"/>
  <c r="X58" i="15"/>
  <c r="Q59" i="15"/>
  <c r="R59" i="15" s="1"/>
  <c r="T59" i="15"/>
  <c r="U59" i="15"/>
  <c r="X59" i="15" s="1"/>
  <c r="V59" i="15"/>
  <c r="W59" i="15"/>
  <c r="Q60" i="15"/>
  <c r="R60" i="15"/>
  <c r="V60" i="15" s="1"/>
  <c r="U60" i="15"/>
  <c r="W60" i="15"/>
  <c r="X60" i="15"/>
  <c r="Q61" i="15"/>
  <c r="V61" i="15" s="1"/>
  <c r="R61" i="15"/>
  <c r="T61" i="15"/>
  <c r="U61" i="15"/>
  <c r="W61" i="15"/>
  <c r="X61" i="15"/>
  <c r="Q62" i="15"/>
  <c r="U62" i="15"/>
  <c r="X62" i="15" s="1"/>
  <c r="Q63" i="15"/>
  <c r="T63" i="15" s="1"/>
  <c r="R63" i="15"/>
  <c r="U63" i="15"/>
  <c r="X63" i="15"/>
  <c r="Q64" i="15"/>
  <c r="U64" i="15"/>
  <c r="X64" i="15" s="1"/>
  <c r="Q65" i="15"/>
  <c r="R65" i="15"/>
  <c r="T65" i="15"/>
  <c r="U65" i="15"/>
  <c r="V65" i="15"/>
  <c r="W65" i="15"/>
  <c r="X65" i="15"/>
  <c r="Q66" i="15"/>
  <c r="R66" i="15"/>
  <c r="V66" i="15" s="1"/>
  <c r="T66" i="15"/>
  <c r="U66" i="15"/>
  <c r="W66" i="15"/>
  <c r="X66" i="15"/>
  <c r="Q67" i="15"/>
  <c r="R67" i="15" s="1"/>
  <c r="U67" i="15"/>
  <c r="X67" i="15" s="1"/>
  <c r="V67" i="15"/>
  <c r="W67" i="15"/>
  <c r="Q68" i="15"/>
  <c r="R68" i="15"/>
  <c r="U68" i="15"/>
  <c r="X68" i="15"/>
  <c r="Q69" i="15"/>
  <c r="U69" i="15"/>
  <c r="X69" i="15"/>
  <c r="Q70" i="15"/>
  <c r="T70" i="15" s="1"/>
  <c r="R70" i="15"/>
  <c r="U70" i="15"/>
  <c r="X70" i="15" s="1"/>
  <c r="W70" i="15"/>
  <c r="Q71" i="15"/>
  <c r="V71" i="15" s="1"/>
  <c r="R71" i="15"/>
  <c r="T71" i="15"/>
  <c r="U71" i="15"/>
  <c r="X71" i="15" s="1"/>
  <c r="Q72" i="15"/>
  <c r="U72" i="15"/>
  <c r="X72" i="15" s="1"/>
  <c r="Q73" i="15"/>
  <c r="R73" i="15"/>
  <c r="V73" i="15" s="1"/>
  <c r="T73" i="15"/>
  <c r="U73" i="15"/>
  <c r="X73" i="15"/>
  <c r="Q74" i="15"/>
  <c r="R74" i="15"/>
  <c r="T74" i="15"/>
  <c r="U74" i="15"/>
  <c r="X74" i="15" s="1"/>
  <c r="V74" i="15"/>
  <c r="W74" i="15"/>
  <c r="Q75" i="15"/>
  <c r="R75" i="15" s="1"/>
  <c r="T75" i="15"/>
  <c r="U75" i="15"/>
  <c r="V75" i="15"/>
  <c r="W75" i="15"/>
  <c r="X75" i="15"/>
  <c r="Q76" i="15"/>
  <c r="W76" i="15" s="1"/>
  <c r="R76" i="15"/>
  <c r="U76" i="15"/>
  <c r="V76" i="15"/>
  <c r="X76" i="15"/>
  <c r="Q77" i="15"/>
  <c r="U77" i="15"/>
  <c r="X77" i="15"/>
  <c r="Q78" i="15"/>
  <c r="T78" i="15" s="1"/>
  <c r="R78" i="15"/>
  <c r="U78" i="15"/>
  <c r="X78" i="15"/>
  <c r="Q79" i="15"/>
  <c r="R79" i="15" s="1"/>
  <c r="U79" i="15"/>
  <c r="X79" i="15" s="1"/>
  <c r="Q80" i="15"/>
  <c r="R80" i="15"/>
  <c r="T80" i="15"/>
  <c r="U80" i="15"/>
  <c r="X80" i="15" s="1"/>
  <c r="V80" i="15"/>
  <c r="W80" i="15"/>
  <c r="Q81" i="15"/>
  <c r="R81" i="15" s="1"/>
  <c r="V81" i="15" s="1"/>
  <c r="U81" i="15"/>
  <c r="X81" i="15"/>
  <c r="Q82" i="15"/>
  <c r="R82" i="15"/>
  <c r="T82" i="15" s="1"/>
  <c r="U82" i="15"/>
  <c r="X82" i="15" s="1"/>
  <c r="V82" i="15"/>
  <c r="W82" i="15"/>
  <c r="Q83" i="15"/>
  <c r="R83" i="15" s="1"/>
  <c r="T83" i="15"/>
  <c r="U83" i="15"/>
  <c r="X83" i="15"/>
  <c r="Q84" i="15"/>
  <c r="R84" i="15" s="1"/>
  <c r="V84" i="15" s="1"/>
  <c r="U84" i="15"/>
  <c r="X84" i="15" s="1"/>
  <c r="Q85" i="15"/>
  <c r="R85" i="15"/>
  <c r="T85" i="15"/>
  <c r="U85" i="15"/>
  <c r="V85" i="15"/>
  <c r="W85" i="15"/>
  <c r="X85" i="15"/>
  <c r="Q86" i="15"/>
  <c r="W86" i="15" s="1"/>
  <c r="R86" i="15"/>
  <c r="T86" i="15"/>
  <c r="U86" i="15"/>
  <c r="X86" i="15" s="1"/>
  <c r="Q87" i="15"/>
  <c r="U87" i="15"/>
  <c r="X87" i="15"/>
  <c r="Q88" i="15"/>
  <c r="R88" i="15"/>
  <c r="V88" i="15" s="1"/>
  <c r="T88" i="15"/>
  <c r="U88" i="15"/>
  <c r="X88" i="15" s="1"/>
  <c r="Q89" i="15"/>
  <c r="T89" i="15" s="1"/>
  <c r="R89" i="15"/>
  <c r="U89" i="15"/>
  <c r="X89" i="15" s="1"/>
  <c r="V89" i="15"/>
  <c r="Q90" i="15"/>
  <c r="R90" i="15"/>
  <c r="T90" i="15"/>
  <c r="U90" i="15"/>
  <c r="V90" i="15"/>
  <c r="W90" i="15"/>
  <c r="X90" i="15"/>
  <c r="Q91" i="15"/>
  <c r="R91" i="15" s="1"/>
  <c r="T91" i="15"/>
  <c r="U91" i="15"/>
  <c r="V91" i="15"/>
  <c r="X91" i="15"/>
  <c r="Q92" i="15"/>
  <c r="R92" i="15" s="1"/>
  <c r="U92" i="15"/>
  <c r="X92" i="15"/>
  <c r="Q93" i="15"/>
  <c r="R93" i="15"/>
  <c r="V93" i="15" s="1"/>
  <c r="T93" i="15"/>
  <c r="U93" i="15"/>
  <c r="X93" i="15"/>
  <c r="Q94" i="15"/>
  <c r="R94" i="15" s="1"/>
  <c r="U94" i="15"/>
  <c r="X94" i="15" s="1"/>
  <c r="Q95" i="15"/>
  <c r="R95" i="15"/>
  <c r="T95" i="15"/>
  <c r="U95" i="15"/>
  <c r="V95" i="15"/>
  <c r="X95" i="15"/>
  <c r="Q96" i="15"/>
  <c r="R96" i="15" s="1"/>
  <c r="V96" i="15" s="1"/>
  <c r="U96" i="15"/>
  <c r="X96" i="15" s="1"/>
  <c r="G97" i="15"/>
  <c r="J97" i="15"/>
  <c r="O97" i="15"/>
  <c r="T98" i="15"/>
  <c r="T99" i="15"/>
  <c r="U99" i="15"/>
  <c r="T77" i="15" l="1"/>
  <c r="CT78" i="1"/>
  <c r="F78" i="1" s="1"/>
  <c r="R43" i="15"/>
  <c r="W72" i="15"/>
  <c r="CT104" i="1"/>
  <c r="Z20" i="1"/>
  <c r="C20" i="1" s="1"/>
  <c r="P98" i="14"/>
  <c r="X98" i="14" s="1"/>
  <c r="W98" i="14"/>
  <c r="T80" i="3"/>
  <c r="P80" i="3"/>
  <c r="X80" i="3" s="1"/>
  <c r="R80" i="3"/>
  <c r="W80" i="3"/>
  <c r="U80" i="3"/>
  <c r="V22" i="15"/>
  <c r="W22" i="15"/>
  <c r="V15" i="15"/>
  <c r="CA115" i="1"/>
  <c r="E115" i="1" s="1"/>
  <c r="W94" i="15"/>
  <c r="W89" i="15"/>
  <c r="R87" i="15"/>
  <c r="V87" i="15" s="1"/>
  <c r="W84" i="15"/>
  <c r="V79" i="15"/>
  <c r="R77" i="15"/>
  <c r="R72" i="15"/>
  <c r="T72" i="15" s="1"/>
  <c r="V62" i="15"/>
  <c r="T58" i="15"/>
  <c r="R57" i="15"/>
  <c r="V55" i="15"/>
  <c r="W44" i="15"/>
  <c r="W40" i="15"/>
  <c r="V36" i="15"/>
  <c r="R35" i="15"/>
  <c r="T35" i="15"/>
  <c r="V32" i="15"/>
  <c r="W29" i="15"/>
  <c r="W25" i="15"/>
  <c r="T16" i="15"/>
  <c r="W11" i="15"/>
  <c r="V10" i="15"/>
  <c r="P8" i="15"/>
  <c r="P97" i="15" s="1"/>
  <c r="P98" i="15" s="1"/>
  <c r="U98" i="15" s="1"/>
  <c r="BJ114" i="1"/>
  <c r="G114" i="1" s="1"/>
  <c r="BJ105" i="1"/>
  <c r="BJ103" i="1"/>
  <c r="BJ88" i="1"/>
  <c r="G88" i="1" s="1"/>
  <c r="DM86" i="1"/>
  <c r="DM84" i="1"/>
  <c r="Z75" i="1"/>
  <c r="C75" i="1" s="1"/>
  <c r="BJ72" i="1"/>
  <c r="G72" i="1" s="1"/>
  <c r="DM69" i="1"/>
  <c r="AQ64" i="1"/>
  <c r="D64" i="1" s="1"/>
  <c r="BJ63" i="1"/>
  <c r="G63" i="1" s="1"/>
  <c r="BJ49" i="1"/>
  <c r="G49" i="1" s="1"/>
  <c r="Z35" i="1"/>
  <c r="C35" i="1" s="1"/>
  <c r="Z22" i="1"/>
  <c r="C22" i="1" s="1"/>
  <c r="DM21" i="1"/>
  <c r="BJ16" i="1"/>
  <c r="G16" i="1" s="1"/>
  <c r="BA117" i="1"/>
  <c r="V55" i="14"/>
  <c r="BF53" i="1"/>
  <c r="T92" i="15"/>
  <c r="W31" i="15"/>
  <c r="X10" i="15"/>
  <c r="X97" i="15" s="1"/>
  <c r="U97" i="15"/>
  <c r="CA53" i="1"/>
  <c r="E53" i="1" s="1"/>
  <c r="BJ40" i="1"/>
  <c r="G40" i="1" s="1"/>
  <c r="DM9" i="1"/>
  <c r="BJ8" i="1"/>
  <c r="G8" i="1" s="1"/>
  <c r="T21" i="14"/>
  <c r="BW18" i="1" s="1"/>
  <c r="W21" i="14"/>
  <c r="P21" i="14"/>
  <c r="P101" i="10"/>
  <c r="W101" i="10"/>
  <c r="V39" i="13"/>
  <c r="BD36" i="1"/>
  <c r="BJ36" i="1" s="1"/>
  <c r="G36" i="1" s="1"/>
  <c r="W38" i="12"/>
  <c r="T38" i="12"/>
  <c r="BT34" i="1" s="1"/>
  <c r="U38" i="12"/>
  <c r="CM34" i="1" s="1"/>
  <c r="P38" i="12"/>
  <c r="X38" i="12" s="1"/>
  <c r="R38" i="12"/>
  <c r="AJ34" i="1" s="1"/>
  <c r="P36" i="12"/>
  <c r="X36" i="12" s="1"/>
  <c r="U36" i="12"/>
  <c r="CM32" i="1" s="1"/>
  <c r="R36" i="12"/>
  <c r="AJ32" i="1" s="1"/>
  <c r="T36" i="12"/>
  <c r="BT32" i="1" s="1"/>
  <c r="W36" i="12"/>
  <c r="V69" i="6"/>
  <c r="AY95" i="1"/>
  <c r="R35" i="9"/>
  <c r="AI31" i="1" s="1"/>
  <c r="X35" i="9"/>
  <c r="X19" i="9"/>
  <c r="T19" i="9"/>
  <c r="BS15" i="1" s="1"/>
  <c r="U19" i="9"/>
  <c r="CL15" i="1" s="1"/>
  <c r="T94" i="15"/>
  <c r="T79" i="15"/>
  <c r="V78" i="15"/>
  <c r="T68" i="15"/>
  <c r="W63" i="15"/>
  <c r="T55" i="15"/>
  <c r="R51" i="15"/>
  <c r="V51" i="15" s="1"/>
  <c r="W39" i="15"/>
  <c r="T32" i="15"/>
  <c r="T29" i="15"/>
  <c r="T28" i="15"/>
  <c r="T10" i="15"/>
  <c r="AQ107" i="1"/>
  <c r="CA104" i="1"/>
  <c r="DM96" i="1"/>
  <c r="BJ95" i="1"/>
  <c r="DM93" i="1"/>
  <c r="BJ66" i="1"/>
  <c r="G66" i="1" s="1"/>
  <c r="DM58" i="1"/>
  <c r="Z49" i="1"/>
  <c r="C49" i="1" s="1"/>
  <c r="BJ41" i="1"/>
  <c r="Z26" i="1"/>
  <c r="C26" i="1" s="1"/>
  <c r="V22" i="10"/>
  <c r="BE19" i="1"/>
  <c r="BJ19" i="1" s="1"/>
  <c r="G19" i="1" s="1"/>
  <c r="X50" i="13"/>
  <c r="U50" i="13"/>
  <c r="CN48" i="1" s="1"/>
  <c r="T50" i="13"/>
  <c r="BU48" i="1" s="1"/>
  <c r="W96" i="15"/>
  <c r="W91" i="15"/>
  <c r="W81" i="15"/>
  <c r="R69" i="15"/>
  <c r="R64" i="15"/>
  <c r="W47" i="15"/>
  <c r="T36" i="15"/>
  <c r="R32" i="15"/>
  <c r="W32" i="15" s="1"/>
  <c r="T22" i="15"/>
  <c r="V21" i="15"/>
  <c r="W14" i="15"/>
  <c r="AU117" i="1"/>
  <c r="M117" i="1"/>
  <c r="CT110" i="1"/>
  <c r="BJ109" i="1"/>
  <c r="DM106" i="1"/>
  <c r="AX101" i="1"/>
  <c r="CA98" i="1"/>
  <c r="BJ89" i="1"/>
  <c r="G89" i="1" s="1"/>
  <c r="CA84" i="1"/>
  <c r="E84" i="1" s="1"/>
  <c r="Z81" i="1"/>
  <c r="C81" i="1" s="1"/>
  <c r="CT79" i="1"/>
  <c r="F79" i="1" s="1"/>
  <c r="Z77" i="1"/>
  <c r="C77" i="1" s="1"/>
  <c r="Z68" i="1"/>
  <c r="C68" i="1" s="1"/>
  <c r="BJ57" i="1"/>
  <c r="G57" i="1" s="1"/>
  <c r="BJ53" i="1"/>
  <c r="G53" i="1" s="1"/>
  <c r="DM50" i="1"/>
  <c r="Z48" i="1"/>
  <c r="C48" i="1" s="1"/>
  <c r="DM45" i="1"/>
  <c r="Z43" i="1"/>
  <c r="C43" i="1" s="1"/>
  <c r="BB117" i="1"/>
  <c r="X73" i="14"/>
  <c r="R73" i="14"/>
  <c r="AM71" i="1" s="1"/>
  <c r="U73" i="14"/>
  <c r="CP71" i="1" s="1"/>
  <c r="V15" i="14"/>
  <c r="BF11" i="1"/>
  <c r="R12" i="14"/>
  <c r="AM8" i="1" s="1"/>
  <c r="W12" i="14"/>
  <c r="P12" i="14"/>
  <c r="V54" i="15"/>
  <c r="W54" i="15"/>
  <c r="T20" i="15"/>
  <c r="V29" i="15"/>
  <c r="Z89" i="1"/>
  <c r="C89" i="1" s="1"/>
  <c r="Z65" i="1"/>
  <c r="C65" i="1" s="1"/>
  <c r="Q117" i="1"/>
  <c r="U56" i="14"/>
  <c r="CP54" i="1" s="1"/>
  <c r="R56" i="14"/>
  <c r="AM54" i="1" s="1"/>
  <c r="X56" i="14"/>
  <c r="T56" i="14"/>
  <c r="BW54" i="1" s="1"/>
  <c r="X58" i="10"/>
  <c r="T58" i="10"/>
  <c r="BV56" i="1" s="1"/>
  <c r="CA56" i="1" s="1"/>
  <c r="E56" i="1" s="1"/>
  <c r="U58" i="10"/>
  <c r="CO56" i="1" s="1"/>
  <c r="U20" i="6"/>
  <c r="P20" i="6"/>
  <c r="T20" i="6"/>
  <c r="W20" i="6"/>
  <c r="W92" i="15"/>
  <c r="V77" i="15"/>
  <c r="T60" i="15"/>
  <c r="W58" i="15"/>
  <c r="T52" i="15"/>
  <c r="W16" i="15"/>
  <c r="Z111" i="1"/>
  <c r="C111" i="1" s="1"/>
  <c r="BJ85" i="1"/>
  <c r="G85" i="1" s="1"/>
  <c r="BJ77" i="1"/>
  <c r="G77" i="1" s="1"/>
  <c r="Z54" i="1"/>
  <c r="C54" i="1" s="1"/>
  <c r="Z50" i="1"/>
  <c r="C50" i="1" s="1"/>
  <c r="Z39" i="1"/>
  <c r="C39" i="1" s="1"/>
  <c r="DM8" i="1"/>
  <c r="DN23" i="1" s="1"/>
  <c r="T18" i="14"/>
  <c r="BW14" i="1" s="1"/>
  <c r="W18" i="14"/>
  <c r="P18" i="14"/>
  <c r="R84" i="10"/>
  <c r="AL82" i="1" s="1"/>
  <c r="U84" i="10"/>
  <c r="CO82" i="1" s="1"/>
  <c r="P84" i="10"/>
  <c r="X84" i="10" s="1"/>
  <c r="W84" i="10"/>
  <c r="W77" i="10"/>
  <c r="P77" i="10"/>
  <c r="X77" i="10" s="1"/>
  <c r="U77" i="10"/>
  <c r="CO75" i="1" s="1"/>
  <c r="T34" i="10"/>
  <c r="BV31" i="1" s="1"/>
  <c r="P34" i="10"/>
  <c r="X34" i="10" s="1"/>
  <c r="U34" i="10"/>
  <c r="CO31" i="1" s="1"/>
  <c r="W34" i="10"/>
  <c r="X76" i="5"/>
  <c r="U76" i="5"/>
  <c r="CH103" i="1" s="1"/>
  <c r="V51" i="4"/>
  <c r="AW47" i="1"/>
  <c r="BJ47" i="1" s="1"/>
  <c r="G47" i="1" s="1"/>
  <c r="V29" i="3"/>
  <c r="AV25" i="1"/>
  <c r="W81" i="2"/>
  <c r="P81" i="2"/>
  <c r="R81" i="2" s="1"/>
  <c r="AB112" i="1" s="1"/>
  <c r="W95" i="15"/>
  <c r="W88" i="15"/>
  <c r="W83" i="15"/>
  <c r="T81" i="15"/>
  <c r="W78" i="15"/>
  <c r="W73" i="15"/>
  <c r="V63" i="15"/>
  <c r="V45" i="15"/>
  <c r="V39" i="15"/>
  <c r="V30" i="15"/>
  <c r="W30" i="15"/>
  <c r="W28" i="15"/>
  <c r="W24" i="15"/>
  <c r="V20" i="15"/>
  <c r="R19" i="15"/>
  <c r="CT111" i="1"/>
  <c r="F111" i="1" s="1"/>
  <c r="DM104" i="1"/>
  <c r="BJ101" i="1"/>
  <c r="CT98" i="1"/>
  <c r="BJ97" i="1"/>
  <c r="DM90" i="1"/>
  <c r="Z90" i="1"/>
  <c r="C90" i="1" s="1"/>
  <c r="Z87" i="1"/>
  <c r="C87" i="1" s="1"/>
  <c r="Z79" i="1"/>
  <c r="C79" i="1" s="1"/>
  <c r="Z76" i="1"/>
  <c r="C76" i="1" s="1"/>
  <c r="Z70" i="1"/>
  <c r="C70" i="1" s="1"/>
  <c r="BJ51" i="1"/>
  <c r="G51" i="1" s="1"/>
  <c r="Z36" i="1"/>
  <c r="C36" i="1" s="1"/>
  <c r="DM33" i="1"/>
  <c r="DM17" i="1"/>
  <c r="T66" i="14"/>
  <c r="BW64" i="1" s="1"/>
  <c r="CA64" i="1" s="1"/>
  <c r="E64" i="1" s="1"/>
  <c r="P66" i="14"/>
  <c r="X66" i="14" s="1"/>
  <c r="W66" i="14"/>
  <c r="T62" i="14"/>
  <c r="BW60" i="1" s="1"/>
  <c r="V32" i="14"/>
  <c r="BF29" i="1"/>
  <c r="R93" i="10"/>
  <c r="AL91" i="1" s="1"/>
  <c r="W93" i="10"/>
  <c r="P93" i="10"/>
  <c r="X93" i="10" s="1"/>
  <c r="T32" i="10"/>
  <c r="BV29" i="1" s="1"/>
  <c r="U32" i="10"/>
  <c r="CO29" i="1" s="1"/>
  <c r="X32" i="10"/>
  <c r="R32" i="10"/>
  <c r="AL29" i="1" s="1"/>
  <c r="V15" i="13"/>
  <c r="BD11" i="1"/>
  <c r="BJ94" i="1"/>
  <c r="CA78" i="1"/>
  <c r="E78" i="1" s="1"/>
  <c r="Z71" i="1"/>
  <c r="C71" i="1" s="1"/>
  <c r="Z60" i="1"/>
  <c r="C60" i="1" s="1"/>
  <c r="V94" i="15"/>
  <c r="T84" i="15"/>
  <c r="W79" i="15"/>
  <c r="W77" i="15"/>
  <c r="W55" i="15"/>
  <c r="T44" i="15"/>
  <c r="W15" i="15"/>
  <c r="L117" i="1"/>
  <c r="BJ79" i="1"/>
  <c r="G79" i="1" s="1"/>
  <c r="CA68" i="1"/>
  <c r="E68" i="1" s="1"/>
  <c r="Z55" i="1"/>
  <c r="C55" i="1" s="1"/>
  <c r="Z46" i="1"/>
  <c r="C46" i="1" s="1"/>
  <c r="P12" i="4"/>
  <c r="W12" i="4"/>
  <c r="V72" i="15"/>
  <c r="V70" i="15"/>
  <c r="V37" i="15"/>
  <c r="V31" i="15"/>
  <c r="W20" i="15"/>
  <c r="K117" i="1"/>
  <c r="Z115" i="1"/>
  <c r="C115" i="1" s="1"/>
  <c r="Z83" i="1"/>
  <c r="C83" i="1" s="1"/>
  <c r="CA65" i="1"/>
  <c r="E65" i="1" s="1"/>
  <c r="BJ58" i="1"/>
  <c r="G58" i="1" s="1"/>
  <c r="BJ56" i="1"/>
  <c r="G56" i="1" s="1"/>
  <c r="DM53" i="1"/>
  <c r="R113" i="14"/>
  <c r="AM111" i="1" s="1"/>
  <c r="W113" i="14"/>
  <c r="P113" i="14"/>
  <c r="X113" i="14" s="1"/>
  <c r="V32" i="10"/>
  <c r="V89" i="10" s="1"/>
  <c r="BE29" i="1"/>
  <c r="BJ29" i="1" s="1"/>
  <c r="G29" i="1" s="1"/>
  <c r="T96" i="15"/>
  <c r="W93" i="15"/>
  <c r="V92" i="15"/>
  <c r="W68" i="15"/>
  <c r="T87" i="15"/>
  <c r="V86" i="15"/>
  <c r="V83" i="15"/>
  <c r="T76" i="15"/>
  <c r="W71" i="15"/>
  <c r="V68" i="15"/>
  <c r="T67" i="15"/>
  <c r="R62" i="15"/>
  <c r="W62" i="15" s="1"/>
  <c r="T54" i="15"/>
  <c r="V53" i="15"/>
  <c r="R46" i="15"/>
  <c r="V46" i="15" s="1"/>
  <c r="V38" i="15"/>
  <c r="W38" i="15"/>
  <c r="T31" i="15"/>
  <c r="V28" i="15"/>
  <c r="R27" i="15"/>
  <c r="T27" i="15" s="1"/>
  <c r="R23" i="15"/>
  <c r="CT115" i="1"/>
  <c r="F115" i="1" s="1"/>
  <c r="DM113" i="1"/>
  <c r="BJ99" i="1"/>
  <c r="DM95" i="1"/>
  <c r="CT94" i="1"/>
  <c r="BJ91" i="1"/>
  <c r="BJ87" i="1"/>
  <c r="G87" i="1" s="1"/>
  <c r="DM77" i="1"/>
  <c r="BJ75" i="1"/>
  <c r="G75" i="1" s="1"/>
  <c r="BJ74" i="1"/>
  <c r="G74" i="1" s="1"/>
  <c r="AQ73" i="1"/>
  <c r="D73" i="1" s="1"/>
  <c r="BJ20" i="1"/>
  <c r="G20" i="1" s="1"/>
  <c r="Z19" i="1"/>
  <c r="C19" i="1" s="1"/>
  <c r="R117" i="1"/>
  <c r="U74" i="14"/>
  <c r="CP72" i="1" s="1"/>
  <c r="X74" i="14"/>
  <c r="T74" i="14"/>
  <c r="BW72" i="1" s="1"/>
  <c r="W30" i="12"/>
  <c r="P30" i="12"/>
  <c r="V19" i="12"/>
  <c r="BC15" i="1"/>
  <c r="BC117" i="1" s="1"/>
  <c r="S87" i="12"/>
  <c r="Z53" i="1"/>
  <c r="C53" i="1" s="1"/>
  <c r="DM38" i="1"/>
  <c r="BJ34" i="1"/>
  <c r="G34" i="1" s="1"/>
  <c r="BJ30" i="1"/>
  <c r="G30" i="1" s="1"/>
  <c r="DM20" i="1"/>
  <c r="P96" i="14"/>
  <c r="W96" i="14"/>
  <c r="P31" i="14"/>
  <c r="W31" i="14"/>
  <c r="T19" i="14"/>
  <c r="BW15" i="1" s="1"/>
  <c r="X19" i="14"/>
  <c r="R19" i="14"/>
  <c r="AM15" i="1" s="1"/>
  <c r="U19" i="14"/>
  <c r="CP15" i="1" s="1"/>
  <c r="X87" i="10"/>
  <c r="T87" i="10"/>
  <c r="BV85" i="1" s="1"/>
  <c r="W65" i="10"/>
  <c r="P65" i="10"/>
  <c r="P18" i="10"/>
  <c r="R18" i="10"/>
  <c r="AL14" i="1" s="1"/>
  <c r="W18" i="10"/>
  <c r="R114" i="13"/>
  <c r="AK112" i="1" s="1"/>
  <c r="X114" i="13"/>
  <c r="X102" i="13"/>
  <c r="R102" i="13"/>
  <c r="AK100" i="1" s="1"/>
  <c r="P12" i="13"/>
  <c r="X12" i="13" s="1"/>
  <c r="U12" i="13"/>
  <c r="CN8" i="1" s="1"/>
  <c r="T12" i="13"/>
  <c r="BU8" i="1" s="1"/>
  <c r="R12" i="13"/>
  <c r="AK8" i="1" s="1"/>
  <c r="W12" i="13"/>
  <c r="W31" i="5"/>
  <c r="P31" i="5"/>
  <c r="T10" i="8"/>
  <c r="R10" i="8"/>
  <c r="U10" i="8"/>
  <c r="P10" i="8"/>
  <c r="CT72" i="1"/>
  <c r="F72" i="1" s="1"/>
  <c r="AQ67" i="1"/>
  <c r="D67" i="1" s="1"/>
  <c r="BJ61" i="1"/>
  <c r="G61" i="1" s="1"/>
  <c r="Z52" i="1"/>
  <c r="C52" i="1" s="1"/>
  <c r="Z44" i="1"/>
  <c r="C44" i="1" s="1"/>
  <c r="DM36" i="1"/>
  <c r="DM32" i="1"/>
  <c r="Z29" i="1"/>
  <c r="C29" i="1" s="1"/>
  <c r="BJ24" i="1"/>
  <c r="G24" i="1" s="1"/>
  <c r="Z17" i="1"/>
  <c r="W103" i="14"/>
  <c r="P103" i="14"/>
  <c r="P91" i="14"/>
  <c r="X91" i="14" s="1"/>
  <c r="W91" i="14"/>
  <c r="W46" i="14"/>
  <c r="P46" i="14"/>
  <c r="X46" i="14" s="1"/>
  <c r="U46" i="14"/>
  <c r="CP44" i="1" s="1"/>
  <c r="P107" i="10"/>
  <c r="W107" i="10"/>
  <c r="P35" i="10"/>
  <c r="X35" i="10" s="1"/>
  <c r="R35" i="10"/>
  <c r="AL32" i="1" s="1"/>
  <c r="U35" i="10"/>
  <c r="CO32" i="1" s="1"/>
  <c r="W35" i="10"/>
  <c r="T35" i="10"/>
  <c r="BV32" i="1" s="1"/>
  <c r="W96" i="13"/>
  <c r="P96" i="13"/>
  <c r="V18" i="13"/>
  <c r="BD14" i="1"/>
  <c r="T16" i="12"/>
  <c r="BT12" i="1" s="1"/>
  <c r="Q87" i="12"/>
  <c r="S10" i="1"/>
  <c r="X74" i="5"/>
  <c r="U74" i="5"/>
  <c r="CH101" i="1" s="1"/>
  <c r="T74" i="5"/>
  <c r="BO101" i="1" s="1"/>
  <c r="T61" i="5"/>
  <c r="BO82" i="1" s="1"/>
  <c r="U61" i="5"/>
  <c r="CH82" i="1" s="1"/>
  <c r="X61" i="5"/>
  <c r="R12" i="5"/>
  <c r="W12" i="5"/>
  <c r="U12" i="5"/>
  <c r="P12" i="5"/>
  <c r="X12" i="5" s="1"/>
  <c r="Q86" i="5"/>
  <c r="X75" i="2"/>
  <c r="T75" i="2"/>
  <c r="BL102" i="1" s="1"/>
  <c r="U75" i="2"/>
  <c r="CE102" i="1" s="1"/>
  <c r="R75" i="2"/>
  <c r="AB102" i="1" s="1"/>
  <c r="P72" i="2"/>
  <c r="W72" i="2"/>
  <c r="P70" i="2"/>
  <c r="R70" i="2" s="1"/>
  <c r="AB96" i="1" s="1"/>
  <c r="T70" i="2"/>
  <c r="BL96" i="1" s="1"/>
  <c r="W70" i="2"/>
  <c r="BJ48" i="1"/>
  <c r="G48" i="1" s="1"/>
  <c r="DM43" i="1"/>
  <c r="BJ26" i="1"/>
  <c r="G26" i="1" s="1"/>
  <c r="BJ18" i="1"/>
  <c r="G18" i="1" s="1"/>
  <c r="X82" i="14"/>
  <c r="T82" i="14"/>
  <c r="BW80" i="1" s="1"/>
  <c r="X71" i="14"/>
  <c r="U71" i="14"/>
  <c r="CP69" i="1" s="1"/>
  <c r="U53" i="14"/>
  <c r="CP51" i="1" s="1"/>
  <c r="X53" i="14"/>
  <c r="T41" i="14"/>
  <c r="BW38" i="1" s="1"/>
  <c r="X41" i="14"/>
  <c r="R41" i="14"/>
  <c r="AM38" i="1" s="1"/>
  <c r="U41" i="14"/>
  <c r="CP38" i="1" s="1"/>
  <c r="T39" i="14"/>
  <c r="BW36" i="1" s="1"/>
  <c r="X39" i="14"/>
  <c r="V35" i="14"/>
  <c r="BF32" i="1"/>
  <c r="V16" i="10"/>
  <c r="BE12" i="1"/>
  <c r="S119" i="10"/>
  <c r="W77" i="13"/>
  <c r="U77" i="13"/>
  <c r="CN75" i="1" s="1"/>
  <c r="P77" i="13"/>
  <c r="X77" i="13" s="1"/>
  <c r="C3" i="8"/>
  <c r="N8" i="8"/>
  <c r="Z72" i="1"/>
  <c r="C72" i="1" s="1"/>
  <c r="DM60" i="1"/>
  <c r="DM42" i="1"/>
  <c r="DM41" i="1"/>
  <c r="DM37" i="1"/>
  <c r="BJ32" i="1"/>
  <c r="G32" i="1" s="1"/>
  <c r="DM31" i="1"/>
  <c r="DM30" i="1"/>
  <c r="Z28" i="1"/>
  <c r="C28" i="1" s="1"/>
  <c r="DM27" i="1"/>
  <c r="DM18" i="1"/>
  <c r="BJ15" i="1"/>
  <c r="G15" i="1" s="1"/>
  <c r="Z13" i="1"/>
  <c r="C13" i="1" s="1"/>
  <c r="P105" i="14"/>
  <c r="W93" i="14"/>
  <c r="P93" i="14"/>
  <c r="T85" i="14"/>
  <c r="BW83" i="1" s="1"/>
  <c r="P85" i="14"/>
  <c r="X85" i="14" s="1"/>
  <c r="W85" i="14"/>
  <c r="W68" i="14"/>
  <c r="P68" i="14"/>
  <c r="T68" i="14" s="1"/>
  <c r="BW66" i="1" s="1"/>
  <c r="T82" i="10"/>
  <c r="BV80" i="1" s="1"/>
  <c r="U82" i="10"/>
  <c r="CO80" i="1" s="1"/>
  <c r="CT80" i="1" s="1"/>
  <c r="F80" i="1" s="1"/>
  <c r="P82" i="10"/>
  <c r="X82" i="10" s="1"/>
  <c r="W82" i="10"/>
  <c r="W39" i="10"/>
  <c r="P39" i="10"/>
  <c r="T39" i="10"/>
  <c r="BV36" i="1" s="1"/>
  <c r="R39" i="10"/>
  <c r="AL36" i="1" s="1"/>
  <c r="X62" i="13"/>
  <c r="R62" i="13"/>
  <c r="AK60" i="1" s="1"/>
  <c r="R63" i="12"/>
  <c r="AJ86" i="1" s="1"/>
  <c r="W63" i="12"/>
  <c r="P63" i="12"/>
  <c r="X63" i="12" s="1"/>
  <c r="T63" i="12"/>
  <c r="BT86" i="1" s="1"/>
  <c r="U63" i="12"/>
  <c r="CM86" i="1" s="1"/>
  <c r="BE86" i="1"/>
  <c r="BJ86" i="1" s="1"/>
  <c r="G86" i="1" s="1"/>
  <c r="DM71" i="1"/>
  <c r="AQ56" i="1"/>
  <c r="D56" i="1" s="1"/>
  <c r="BJ54" i="1"/>
  <c r="G54" i="1" s="1"/>
  <c r="DM48" i="1"/>
  <c r="Z45" i="1"/>
  <c r="C45" i="1" s="1"/>
  <c r="BJ44" i="1"/>
  <c r="G44" i="1" s="1"/>
  <c r="DM40" i="1"/>
  <c r="DM39" i="1"/>
  <c r="Z34" i="1"/>
  <c r="C34" i="1" s="1"/>
  <c r="BJ31" i="1"/>
  <c r="G31" i="1" s="1"/>
  <c r="BJ27" i="1"/>
  <c r="G27" i="1" s="1"/>
  <c r="Z8" i="1"/>
  <c r="C8" i="1" s="1"/>
  <c r="X115" i="14"/>
  <c r="R115" i="14"/>
  <c r="AM113" i="1" s="1"/>
  <c r="U70" i="14"/>
  <c r="CP68" i="1" s="1"/>
  <c r="R70" i="14"/>
  <c r="AM68" i="1" s="1"/>
  <c r="T70" i="14"/>
  <c r="BW68" i="1" s="1"/>
  <c r="X70" i="14"/>
  <c r="X65" i="14"/>
  <c r="U65" i="14"/>
  <c r="CP63" i="1" s="1"/>
  <c r="W71" i="10"/>
  <c r="P71" i="10"/>
  <c r="T71" i="10" s="1"/>
  <c r="BV69" i="1" s="1"/>
  <c r="W12" i="10"/>
  <c r="P12" i="10"/>
  <c r="U12" i="10" s="1"/>
  <c r="CO8" i="1" s="1"/>
  <c r="V18" i="5"/>
  <c r="AX14" i="1"/>
  <c r="W47" i="4"/>
  <c r="P47" i="4"/>
  <c r="U47" i="4"/>
  <c r="CG43" i="1" s="1"/>
  <c r="T47" i="4"/>
  <c r="BN43" i="1" s="1"/>
  <c r="BJ43" i="1"/>
  <c r="G43" i="1" s="1"/>
  <c r="Z41" i="1"/>
  <c r="BJ38" i="1"/>
  <c r="G38" i="1" s="1"/>
  <c r="Z33" i="1"/>
  <c r="C33" i="1" s="1"/>
  <c r="DM29" i="1"/>
  <c r="DM26" i="1"/>
  <c r="Z18" i="1"/>
  <c r="C18" i="1" s="1"/>
  <c r="Z15" i="1"/>
  <c r="C15" i="1" s="1"/>
  <c r="Z14" i="1"/>
  <c r="C14" i="1" s="1"/>
  <c r="DM13" i="1"/>
  <c r="P90" i="14"/>
  <c r="R59" i="14"/>
  <c r="AM57" i="1" s="1"/>
  <c r="U59" i="14"/>
  <c r="CP57" i="1" s="1"/>
  <c r="W59" i="14"/>
  <c r="P59" i="14"/>
  <c r="W34" i="14"/>
  <c r="P34" i="14"/>
  <c r="V44" i="10"/>
  <c r="BE42" i="1"/>
  <c r="BJ42" i="1" s="1"/>
  <c r="G42" i="1" s="1"/>
  <c r="X23" i="5"/>
  <c r="T23" i="5"/>
  <c r="BO18" i="1" s="1"/>
  <c r="R23" i="5"/>
  <c r="AE18" i="1" s="1"/>
  <c r="U23" i="5"/>
  <c r="CH18" i="1" s="1"/>
  <c r="X15" i="5"/>
  <c r="T15" i="5"/>
  <c r="BO11" i="1" s="1"/>
  <c r="P32" i="2"/>
  <c r="R32" i="2" s="1"/>
  <c r="AB28" i="1" s="1"/>
  <c r="T32" i="2"/>
  <c r="BL28" i="1" s="1"/>
  <c r="W32" i="2"/>
  <c r="DM28" i="1"/>
  <c r="Z21" i="1"/>
  <c r="C21" i="1" s="1"/>
  <c r="BJ17" i="1"/>
  <c r="BJ9" i="1"/>
  <c r="G9" i="1" s="1"/>
  <c r="W109" i="14"/>
  <c r="W58" i="14"/>
  <c r="P58" i="14"/>
  <c r="T58" i="14"/>
  <c r="BW56" i="1" s="1"/>
  <c r="T50" i="14"/>
  <c r="BW48" i="1" s="1"/>
  <c r="W15" i="14"/>
  <c r="P15" i="14"/>
  <c r="R116" i="10"/>
  <c r="AL114" i="1" s="1"/>
  <c r="X116" i="10"/>
  <c r="X63" i="10"/>
  <c r="T63" i="10"/>
  <c r="BV61" i="1" s="1"/>
  <c r="T49" i="10"/>
  <c r="BV47" i="1" s="1"/>
  <c r="W49" i="10"/>
  <c r="P49" i="10"/>
  <c r="R49" i="10" s="1"/>
  <c r="AL47" i="1" s="1"/>
  <c r="X30" i="10"/>
  <c r="U30" i="10"/>
  <c r="CO27" i="1" s="1"/>
  <c r="R14" i="10"/>
  <c r="AL10" i="1" s="1"/>
  <c r="U14" i="10"/>
  <c r="CO10" i="1" s="1"/>
  <c r="T14" i="10"/>
  <c r="BV10" i="1" s="1"/>
  <c r="W14" i="10"/>
  <c r="P30" i="13"/>
  <c r="X30" i="13" s="1"/>
  <c r="W30" i="13"/>
  <c r="R18" i="13"/>
  <c r="AK14" i="1" s="1"/>
  <c r="X75" i="12"/>
  <c r="U75" i="12"/>
  <c r="CM100" i="1" s="1"/>
  <c r="R71" i="12"/>
  <c r="AJ95" i="1" s="1"/>
  <c r="T71" i="12"/>
  <c r="BT95" i="1" s="1"/>
  <c r="U71" i="12"/>
  <c r="CM95" i="1" s="1"/>
  <c r="W71" i="12"/>
  <c r="P71" i="12"/>
  <c r="X71" i="12" s="1"/>
  <c r="X69" i="12"/>
  <c r="R69" i="12"/>
  <c r="AJ92" i="1" s="1"/>
  <c r="U69" i="12"/>
  <c r="CM92" i="1" s="1"/>
  <c r="P21" i="12"/>
  <c r="X21" i="12" s="1"/>
  <c r="U21" i="12"/>
  <c r="CM17" i="1" s="1"/>
  <c r="W21" i="12"/>
  <c r="T85" i="4"/>
  <c r="W85" i="4"/>
  <c r="P85" i="4"/>
  <c r="X54" i="4"/>
  <c r="U54" i="4"/>
  <c r="CG50" i="1" s="1"/>
  <c r="V26" i="4"/>
  <c r="AW21" i="1"/>
  <c r="BJ21" i="1" s="1"/>
  <c r="G21" i="1" s="1"/>
  <c r="BJ23" i="1"/>
  <c r="G23" i="1" s="1"/>
  <c r="DM15" i="1"/>
  <c r="P104" i="14"/>
  <c r="X104" i="14" s="1"/>
  <c r="W104" i="14"/>
  <c r="W84" i="14"/>
  <c r="R84" i="14"/>
  <c r="AM82" i="1" s="1"/>
  <c r="P84" i="14"/>
  <c r="T81" i="14"/>
  <c r="BW79" i="1" s="1"/>
  <c r="X81" i="14"/>
  <c r="R81" i="14"/>
  <c r="AM79" i="1" s="1"/>
  <c r="U81" i="14"/>
  <c r="CP79" i="1" s="1"/>
  <c r="P77" i="14"/>
  <c r="U57" i="14"/>
  <c r="CP55" i="1" s="1"/>
  <c r="X57" i="14"/>
  <c r="T43" i="14"/>
  <c r="BW40" i="1" s="1"/>
  <c r="X43" i="14"/>
  <c r="U40" i="14"/>
  <c r="CP37" i="1" s="1"/>
  <c r="P40" i="14"/>
  <c r="T40" i="14"/>
  <c r="BW37" i="1" s="1"/>
  <c r="W40" i="14"/>
  <c r="X24" i="14"/>
  <c r="U24" i="14"/>
  <c r="CP21" i="1" s="1"/>
  <c r="T24" i="14"/>
  <c r="BW21" i="1" s="1"/>
  <c r="R100" i="10"/>
  <c r="AL98" i="1" s="1"/>
  <c r="AQ98" i="1" s="1"/>
  <c r="X100" i="10"/>
  <c r="T48" i="10"/>
  <c r="BV46" i="1" s="1"/>
  <c r="U48" i="10"/>
  <c r="CO46" i="1" s="1"/>
  <c r="X48" i="10"/>
  <c r="R48" i="10"/>
  <c r="AL46" i="1" s="1"/>
  <c r="V28" i="10"/>
  <c r="BE25" i="1"/>
  <c r="V17" i="10"/>
  <c r="BE13" i="1"/>
  <c r="BJ13" i="1" s="1"/>
  <c r="G13" i="1" s="1"/>
  <c r="V42" i="13"/>
  <c r="BD39" i="1"/>
  <c r="BJ39" i="1" s="1"/>
  <c r="G39" i="1" s="1"/>
  <c r="T14" i="13"/>
  <c r="BU10" i="1" s="1"/>
  <c r="U14" i="13"/>
  <c r="CN10" i="1" s="1"/>
  <c r="X14" i="13"/>
  <c r="T46" i="12"/>
  <c r="BT42" i="1" s="1"/>
  <c r="T25" i="5"/>
  <c r="BO20" i="1" s="1"/>
  <c r="U25" i="5"/>
  <c r="CH20" i="1" s="1"/>
  <c r="X25" i="5"/>
  <c r="R25" i="5"/>
  <c r="AE20" i="1" s="1"/>
  <c r="P36" i="4"/>
  <c r="X36" i="4" s="1"/>
  <c r="U36" i="4"/>
  <c r="CG32" i="1" s="1"/>
  <c r="W36" i="4"/>
  <c r="R36" i="4"/>
  <c r="AD32" i="1" s="1"/>
  <c r="T36" i="4"/>
  <c r="BN32" i="1" s="1"/>
  <c r="BJ37" i="1"/>
  <c r="G37" i="1" s="1"/>
  <c r="Z25" i="1"/>
  <c r="C25" i="1" s="1"/>
  <c r="Z24" i="1"/>
  <c r="C24" i="1" s="1"/>
  <c r="DM22" i="1"/>
  <c r="BJ22" i="1"/>
  <c r="G22" i="1" s="1"/>
  <c r="DM14" i="1"/>
  <c r="BJ12" i="1"/>
  <c r="G12" i="1" s="1"/>
  <c r="W85" i="2"/>
  <c r="W84" i="2"/>
  <c r="W88" i="2"/>
  <c r="W83" i="3"/>
  <c r="W87" i="2"/>
  <c r="W83" i="2"/>
  <c r="P116" i="14"/>
  <c r="W111" i="14"/>
  <c r="R111" i="14"/>
  <c r="AM109" i="1" s="1"/>
  <c r="P101" i="14"/>
  <c r="X101" i="14" s="1"/>
  <c r="R101" i="14"/>
  <c r="AM99" i="1" s="1"/>
  <c r="V89" i="14"/>
  <c r="T83" i="10"/>
  <c r="BV81" i="1" s="1"/>
  <c r="W83" i="10"/>
  <c r="P83" i="10"/>
  <c r="T60" i="10"/>
  <c r="BV58" i="1" s="1"/>
  <c r="U60" i="10"/>
  <c r="CO58" i="1" s="1"/>
  <c r="X60" i="10"/>
  <c r="R60" i="10"/>
  <c r="AL58" i="1" s="1"/>
  <c r="V38" i="10"/>
  <c r="BE35" i="1"/>
  <c r="BJ35" i="1" s="1"/>
  <c r="G35" i="1" s="1"/>
  <c r="V18" i="10"/>
  <c r="BE14" i="1"/>
  <c r="V10" i="13"/>
  <c r="S119" i="13"/>
  <c r="P80" i="12"/>
  <c r="W80" i="12"/>
  <c r="P58" i="5"/>
  <c r="T58" i="5"/>
  <c r="W58" i="5"/>
  <c r="Z11" i="1"/>
  <c r="C11" i="1" s="1"/>
  <c r="R97" i="14"/>
  <c r="AM95" i="1" s="1"/>
  <c r="W76" i="14"/>
  <c r="P76" i="14"/>
  <c r="T69" i="14"/>
  <c r="BW67" i="1" s="1"/>
  <c r="U69" i="14"/>
  <c r="CP67" i="1" s="1"/>
  <c r="W64" i="14"/>
  <c r="P64" i="14"/>
  <c r="X64" i="14" s="1"/>
  <c r="T64" i="14"/>
  <c r="BW62" i="1" s="1"/>
  <c r="W42" i="14"/>
  <c r="T42" i="14"/>
  <c r="BW39" i="1" s="1"/>
  <c r="T33" i="14"/>
  <c r="BW30" i="1" s="1"/>
  <c r="X33" i="14"/>
  <c r="U33" i="14"/>
  <c r="CP30" i="1" s="1"/>
  <c r="W20" i="14"/>
  <c r="T20" i="14"/>
  <c r="BW16" i="1" s="1"/>
  <c r="P85" i="10"/>
  <c r="X85" i="10" s="1"/>
  <c r="T85" i="10"/>
  <c r="BV83" i="1" s="1"/>
  <c r="W85" i="10"/>
  <c r="U81" i="10"/>
  <c r="CO79" i="1" s="1"/>
  <c r="X81" i="10"/>
  <c r="T50" i="10"/>
  <c r="BV48" i="1" s="1"/>
  <c r="U50" i="10"/>
  <c r="CO48" i="1" s="1"/>
  <c r="W50" i="10"/>
  <c r="U20" i="10"/>
  <c r="CO16" i="1" s="1"/>
  <c r="W20" i="10"/>
  <c r="W89" i="13"/>
  <c r="X71" i="13"/>
  <c r="T71" i="13"/>
  <c r="BU69" i="1" s="1"/>
  <c r="W67" i="13"/>
  <c r="R67" i="13"/>
  <c r="AK65" i="1" s="1"/>
  <c r="AQ65" i="1" s="1"/>
  <c r="D65" i="1" s="1"/>
  <c r="T67" i="13"/>
  <c r="BU65" i="1" s="1"/>
  <c r="U67" i="13"/>
  <c r="CN65" i="1" s="1"/>
  <c r="CT65" i="1" s="1"/>
  <c r="F65" i="1" s="1"/>
  <c r="W63" i="13"/>
  <c r="P63" i="13"/>
  <c r="X63" i="13" s="1"/>
  <c r="W62" i="12"/>
  <c r="P62" i="12"/>
  <c r="X62" i="12" s="1"/>
  <c r="P60" i="12"/>
  <c r="R60" i="12" s="1"/>
  <c r="AJ82" i="1" s="1"/>
  <c r="T60" i="12"/>
  <c r="BT82" i="1" s="1"/>
  <c r="W60" i="12"/>
  <c r="X53" i="12"/>
  <c r="R53" i="12"/>
  <c r="AJ49" i="1" s="1"/>
  <c r="U53" i="12"/>
  <c r="CM49" i="1" s="1"/>
  <c r="U51" i="12"/>
  <c r="CM47" i="1" s="1"/>
  <c r="X51" i="12"/>
  <c r="P48" i="12"/>
  <c r="R42" i="5"/>
  <c r="AE38" i="1" s="1"/>
  <c r="W42" i="5"/>
  <c r="P42" i="5"/>
  <c r="T42" i="5"/>
  <c r="BO38" i="1" s="1"/>
  <c r="W83" i="4"/>
  <c r="P83" i="4"/>
  <c r="T34" i="4"/>
  <c r="BN30" i="1" s="1"/>
  <c r="U34" i="4"/>
  <c r="CG30" i="1" s="1"/>
  <c r="R34" i="4"/>
  <c r="AD30" i="1" s="1"/>
  <c r="X34" i="4"/>
  <c r="U26" i="4"/>
  <c r="CG21" i="1" s="1"/>
  <c r="T36" i="3"/>
  <c r="BM32" i="1" s="1"/>
  <c r="W36" i="3"/>
  <c r="P36" i="3"/>
  <c r="R53" i="9"/>
  <c r="AI49" i="1" s="1"/>
  <c r="W53" i="9"/>
  <c r="P53" i="9"/>
  <c r="X53" i="9" s="1"/>
  <c r="T53" i="9"/>
  <c r="BS49" i="1" s="1"/>
  <c r="Z7" i="1"/>
  <c r="C7" i="1" s="1"/>
  <c r="U80" i="14"/>
  <c r="CP78" i="1" s="1"/>
  <c r="P80" i="14"/>
  <c r="W80" i="14"/>
  <c r="T73" i="14"/>
  <c r="BW71" i="1" s="1"/>
  <c r="T57" i="14"/>
  <c r="BW55" i="1" s="1"/>
  <c r="R43" i="14"/>
  <c r="AM40" i="1" s="1"/>
  <c r="U43" i="14"/>
  <c r="CP40" i="1" s="1"/>
  <c r="P117" i="10"/>
  <c r="X117" i="10" s="1"/>
  <c r="R113" i="10"/>
  <c r="AL111" i="1" s="1"/>
  <c r="AQ111" i="1" s="1"/>
  <c r="D111" i="1" s="1"/>
  <c r="W113" i="10"/>
  <c r="U87" i="10"/>
  <c r="CO85" i="1" s="1"/>
  <c r="W87" i="10"/>
  <c r="R79" i="10"/>
  <c r="AL77" i="1" s="1"/>
  <c r="R52" i="10"/>
  <c r="AL50" i="1" s="1"/>
  <c r="T52" i="10"/>
  <c r="BV50" i="1" s="1"/>
  <c r="U52" i="10"/>
  <c r="CO50" i="1" s="1"/>
  <c r="W52" i="10"/>
  <c r="U47" i="10"/>
  <c r="CO45" i="1" s="1"/>
  <c r="W47" i="10"/>
  <c r="P47" i="10"/>
  <c r="T47" i="10"/>
  <c r="BV45" i="1" s="1"/>
  <c r="T60" i="13"/>
  <c r="BU58" i="1" s="1"/>
  <c r="P60" i="13"/>
  <c r="R60" i="13"/>
  <c r="AK58" i="1" s="1"/>
  <c r="W60" i="13"/>
  <c r="P31" i="13"/>
  <c r="R31" i="13" s="1"/>
  <c r="AK28" i="1" s="1"/>
  <c r="W31" i="13"/>
  <c r="R11" i="13"/>
  <c r="T11" i="13"/>
  <c r="BU7" i="1" s="1"/>
  <c r="W11" i="13"/>
  <c r="U11" i="13"/>
  <c r="R47" i="12"/>
  <c r="AJ43" i="1" s="1"/>
  <c r="P47" i="12"/>
  <c r="X47" i="12" s="1"/>
  <c r="T47" i="12"/>
  <c r="BT43" i="1" s="1"/>
  <c r="W47" i="12"/>
  <c r="U47" i="12"/>
  <c r="CM43" i="1" s="1"/>
  <c r="X18" i="12"/>
  <c r="R18" i="12"/>
  <c r="AJ14" i="1" s="1"/>
  <c r="T18" i="12"/>
  <c r="BT14" i="1" s="1"/>
  <c r="W43" i="8"/>
  <c r="P43" i="8"/>
  <c r="X43" i="8" s="1"/>
  <c r="U43" i="8"/>
  <c r="CK39" i="1" s="1"/>
  <c r="Z12" i="1"/>
  <c r="C12" i="1" s="1"/>
  <c r="W114" i="14"/>
  <c r="W108" i="14"/>
  <c r="W97" i="14"/>
  <c r="P95" i="14"/>
  <c r="X95" i="14" s="1"/>
  <c r="W95" i="14"/>
  <c r="U82" i="14"/>
  <c r="CP80" i="1" s="1"/>
  <c r="W82" i="14"/>
  <c r="W78" i="14"/>
  <c r="P78" i="14"/>
  <c r="T78" i="14"/>
  <c r="BW76" i="1" s="1"/>
  <c r="T76" i="14"/>
  <c r="BW74" i="1" s="1"/>
  <c r="CA74" i="1" s="1"/>
  <c r="E74" i="1" s="1"/>
  <c r="T75" i="14"/>
  <c r="BW73" i="1" s="1"/>
  <c r="W69" i="14"/>
  <c r="T65" i="14"/>
  <c r="BW63" i="1" s="1"/>
  <c r="W65" i="14"/>
  <c r="U62" i="14"/>
  <c r="CP60" i="1" s="1"/>
  <c r="P62" i="14"/>
  <c r="P54" i="14"/>
  <c r="U54" i="14"/>
  <c r="CP52" i="1" s="1"/>
  <c r="CT52" i="1" s="1"/>
  <c r="F52" i="1" s="1"/>
  <c r="R54" i="14"/>
  <c r="AM52" i="1" s="1"/>
  <c r="AQ52" i="1" s="1"/>
  <c r="D52" i="1" s="1"/>
  <c r="W50" i="14"/>
  <c r="R50" i="14"/>
  <c r="AM48" i="1" s="1"/>
  <c r="U50" i="14"/>
  <c r="CP48" i="1" s="1"/>
  <c r="P32" i="14"/>
  <c r="T32" i="14"/>
  <c r="BW29" i="1" s="1"/>
  <c r="W32" i="14"/>
  <c r="R25" i="14"/>
  <c r="AM22" i="1" s="1"/>
  <c r="R99" i="10"/>
  <c r="AL97" i="1" s="1"/>
  <c r="W99" i="10"/>
  <c r="T80" i="10"/>
  <c r="BV78" i="1" s="1"/>
  <c r="U80" i="10"/>
  <c r="CO78" i="1" s="1"/>
  <c r="X80" i="10"/>
  <c r="R80" i="10"/>
  <c r="AL78" i="1" s="1"/>
  <c r="P51" i="10"/>
  <c r="T51" i="10"/>
  <c r="BV49" i="1" s="1"/>
  <c r="W51" i="10"/>
  <c r="R42" i="10"/>
  <c r="AL39" i="1" s="1"/>
  <c r="T42" i="10"/>
  <c r="BV39" i="1" s="1"/>
  <c r="U42" i="10"/>
  <c r="CO39" i="1" s="1"/>
  <c r="W42" i="10"/>
  <c r="P27" i="10"/>
  <c r="R27" i="10" s="1"/>
  <c r="AL24" i="1" s="1"/>
  <c r="T27" i="10"/>
  <c r="BV24" i="1" s="1"/>
  <c r="W27" i="10"/>
  <c r="W112" i="13"/>
  <c r="P112" i="13"/>
  <c r="X112" i="13" s="1"/>
  <c r="R112" i="13"/>
  <c r="AK110" i="1" s="1"/>
  <c r="AQ110" i="1" s="1"/>
  <c r="R98" i="13"/>
  <c r="AK96" i="1" s="1"/>
  <c r="X98" i="13"/>
  <c r="U80" i="13"/>
  <c r="CN78" i="1" s="1"/>
  <c r="X80" i="13"/>
  <c r="T70" i="13"/>
  <c r="BU68" i="1" s="1"/>
  <c r="U70" i="13"/>
  <c r="CN68" i="1" s="1"/>
  <c r="X70" i="13"/>
  <c r="R68" i="13"/>
  <c r="AK66" i="1" s="1"/>
  <c r="T68" i="13"/>
  <c r="BU66" i="1" s="1"/>
  <c r="W68" i="13"/>
  <c r="P68" i="13"/>
  <c r="W64" i="13"/>
  <c r="P64" i="13"/>
  <c r="X64" i="13" s="1"/>
  <c r="U64" i="13"/>
  <c r="CN62" i="1" s="1"/>
  <c r="T62" i="13"/>
  <c r="BU60" i="1" s="1"/>
  <c r="CA60" i="1" s="1"/>
  <c r="E60" i="1" s="1"/>
  <c r="U62" i="13"/>
  <c r="CN60" i="1" s="1"/>
  <c r="CT60" i="1" s="1"/>
  <c r="F60" i="1" s="1"/>
  <c r="W62" i="13"/>
  <c r="W78" i="12"/>
  <c r="P78" i="12"/>
  <c r="T69" i="12"/>
  <c r="BT92" i="1" s="1"/>
  <c r="T50" i="12"/>
  <c r="BT46" i="1" s="1"/>
  <c r="U50" i="12"/>
  <c r="CM46" i="1" s="1"/>
  <c r="R50" i="12"/>
  <c r="AJ46" i="1" s="1"/>
  <c r="W48" i="12"/>
  <c r="T26" i="12"/>
  <c r="BT22" i="1" s="1"/>
  <c r="U26" i="12"/>
  <c r="CM22" i="1" s="1"/>
  <c r="R26" i="12"/>
  <c r="AJ22" i="1" s="1"/>
  <c r="T19" i="12"/>
  <c r="BT15" i="1" s="1"/>
  <c r="X19" i="12"/>
  <c r="R19" i="12"/>
  <c r="AJ15" i="1" s="1"/>
  <c r="U13" i="12"/>
  <c r="CM9" i="1" s="1"/>
  <c r="W13" i="12"/>
  <c r="P13" i="12"/>
  <c r="X53" i="5"/>
  <c r="T53" i="5"/>
  <c r="BO49" i="1" s="1"/>
  <c r="U53" i="5"/>
  <c r="CH49" i="1" s="1"/>
  <c r="W49" i="5"/>
  <c r="T49" i="5"/>
  <c r="BO45" i="1" s="1"/>
  <c r="U49" i="5"/>
  <c r="CH45" i="1" s="1"/>
  <c r="R49" i="5"/>
  <c r="AE45" i="1" s="1"/>
  <c r="U47" i="5"/>
  <c r="CH43" i="1" s="1"/>
  <c r="P47" i="5"/>
  <c r="X47" i="5" s="1"/>
  <c r="R47" i="5"/>
  <c r="AE43" i="1" s="1"/>
  <c r="T47" i="5"/>
  <c r="BO43" i="1" s="1"/>
  <c r="W47" i="5"/>
  <c r="T60" i="4"/>
  <c r="BN77" i="1" s="1"/>
  <c r="R61" i="2"/>
  <c r="AB82" i="1" s="1"/>
  <c r="P61" i="2"/>
  <c r="X61" i="2" s="1"/>
  <c r="T61" i="2"/>
  <c r="BL82" i="1" s="1"/>
  <c r="U61" i="2"/>
  <c r="CE82" i="1" s="1"/>
  <c r="W61" i="2"/>
  <c r="BJ11" i="1"/>
  <c r="G11" i="1" s="1"/>
  <c r="W117" i="14"/>
  <c r="R114" i="14"/>
  <c r="AM112" i="1" s="1"/>
  <c r="P112" i="14"/>
  <c r="X112" i="14" s="1"/>
  <c r="R112" i="14"/>
  <c r="AM110" i="1" s="1"/>
  <c r="R108" i="14"/>
  <c r="AM106" i="1" s="1"/>
  <c r="W106" i="14"/>
  <c r="W100" i="14"/>
  <c r="P97" i="14"/>
  <c r="X97" i="14" s="1"/>
  <c r="W94" i="14"/>
  <c r="P92" i="14"/>
  <c r="X92" i="14" s="1"/>
  <c r="U86" i="14"/>
  <c r="CP84" i="1" s="1"/>
  <c r="T86" i="14"/>
  <c r="BW84" i="1" s="1"/>
  <c r="T80" i="14"/>
  <c r="BW78" i="1" s="1"/>
  <c r="R79" i="14"/>
  <c r="AM77" i="1" s="1"/>
  <c r="P79" i="14"/>
  <c r="U79" i="14"/>
  <c r="CP77" i="1" s="1"/>
  <c r="P69" i="14"/>
  <c r="X69" i="14" s="1"/>
  <c r="U64" i="14"/>
  <c r="CP62" i="1" s="1"/>
  <c r="X55" i="14"/>
  <c r="R55" i="14"/>
  <c r="AM53" i="1" s="1"/>
  <c r="AQ53" i="1" s="1"/>
  <c r="D53" i="1" s="1"/>
  <c r="T52" i="14"/>
  <c r="BW50" i="1" s="1"/>
  <c r="T51" i="14"/>
  <c r="BW49" i="1" s="1"/>
  <c r="U51" i="14"/>
  <c r="CP49" i="1" s="1"/>
  <c r="P47" i="14"/>
  <c r="P42" i="14"/>
  <c r="R35" i="14"/>
  <c r="AM32" i="1" s="1"/>
  <c r="W35" i="14"/>
  <c r="P35" i="14"/>
  <c r="R33" i="14"/>
  <c r="AM30" i="1" s="1"/>
  <c r="W30" i="14"/>
  <c r="R30" i="14"/>
  <c r="AM27" i="1" s="1"/>
  <c r="T30" i="14"/>
  <c r="BW27" i="1" s="1"/>
  <c r="P20" i="14"/>
  <c r="U85" i="10"/>
  <c r="CO83" i="1" s="1"/>
  <c r="R81" i="10"/>
  <c r="AL79" i="1" s="1"/>
  <c r="AQ79" i="1" s="1"/>
  <c r="D79" i="1" s="1"/>
  <c r="W74" i="10"/>
  <c r="R74" i="10"/>
  <c r="AL72" i="1" s="1"/>
  <c r="AQ72" i="1" s="1"/>
  <c r="D72" i="1" s="1"/>
  <c r="T74" i="10"/>
  <c r="BV72" i="1" s="1"/>
  <c r="U74" i="10"/>
  <c r="CO72" i="1" s="1"/>
  <c r="T61" i="10"/>
  <c r="BV59" i="1" s="1"/>
  <c r="W57" i="10"/>
  <c r="P57" i="10"/>
  <c r="P50" i="10"/>
  <c r="X50" i="10" s="1"/>
  <c r="U31" i="10"/>
  <c r="CO28" i="1" s="1"/>
  <c r="W31" i="10"/>
  <c r="P31" i="10"/>
  <c r="X31" i="10" s="1"/>
  <c r="R31" i="10"/>
  <c r="AL28" i="1" s="1"/>
  <c r="T31" i="10"/>
  <c r="BV28" i="1" s="1"/>
  <c r="P20" i="10"/>
  <c r="X20" i="10" s="1"/>
  <c r="T10" i="10"/>
  <c r="U10" i="10"/>
  <c r="R10" i="10"/>
  <c r="P89" i="13"/>
  <c r="W83" i="13"/>
  <c r="P83" i="13"/>
  <c r="T83" i="13"/>
  <c r="BU81" i="1" s="1"/>
  <c r="CA81" i="1" s="1"/>
  <c r="E81" i="1" s="1"/>
  <c r="U71" i="13"/>
  <c r="CN69" i="1" s="1"/>
  <c r="P67" i="13"/>
  <c r="X67" i="13" s="1"/>
  <c r="T63" i="13"/>
  <c r="BU61" i="1" s="1"/>
  <c r="CA61" i="1" s="1"/>
  <c r="E61" i="1" s="1"/>
  <c r="X74" i="12"/>
  <c r="T74" i="12"/>
  <c r="BT99" i="1" s="1"/>
  <c r="U74" i="12"/>
  <c r="CM99" i="1" s="1"/>
  <c r="W58" i="12"/>
  <c r="P58" i="12"/>
  <c r="V87" i="12"/>
  <c r="T44" i="12"/>
  <c r="BT40" i="1" s="1"/>
  <c r="X37" i="12"/>
  <c r="R37" i="12"/>
  <c r="AJ33" i="1" s="1"/>
  <c r="U37" i="12"/>
  <c r="CM33" i="1" s="1"/>
  <c r="X29" i="12"/>
  <c r="U29" i="12"/>
  <c r="CM25" i="1" s="1"/>
  <c r="R29" i="12"/>
  <c r="AJ25" i="1" s="1"/>
  <c r="R27" i="12"/>
  <c r="AJ23" i="1" s="1"/>
  <c r="T27" i="12"/>
  <c r="BT23" i="1" s="1"/>
  <c r="U27" i="12"/>
  <c r="CM23" i="1" s="1"/>
  <c r="W27" i="12"/>
  <c r="R76" i="5"/>
  <c r="AE103" i="1" s="1"/>
  <c r="X20" i="3"/>
  <c r="R20" i="3"/>
  <c r="U20" i="3"/>
  <c r="T20" i="3"/>
  <c r="W110" i="14"/>
  <c r="W102" i="14"/>
  <c r="P88" i="14"/>
  <c r="T83" i="14"/>
  <c r="BW81" i="1" s="1"/>
  <c r="X83" i="14"/>
  <c r="T71" i="14"/>
  <c r="BW69" i="1" s="1"/>
  <c r="U67" i="14"/>
  <c r="CP65" i="1" s="1"/>
  <c r="P60" i="14"/>
  <c r="U60" i="14" s="1"/>
  <c r="CP58" i="1" s="1"/>
  <c r="R53" i="14"/>
  <c r="AM51" i="1" s="1"/>
  <c r="P44" i="14"/>
  <c r="U39" i="14"/>
  <c r="CP36" i="1" s="1"/>
  <c r="T38" i="14"/>
  <c r="BW35" i="1" s="1"/>
  <c r="P22" i="14"/>
  <c r="U22" i="14" s="1"/>
  <c r="CP19" i="1" s="1"/>
  <c r="P16" i="14"/>
  <c r="U16" i="14"/>
  <c r="CP12" i="1" s="1"/>
  <c r="U13" i="14"/>
  <c r="CP9" i="1" s="1"/>
  <c r="P13" i="14"/>
  <c r="N120" i="10"/>
  <c r="R111" i="10"/>
  <c r="AL109" i="1" s="1"/>
  <c r="R105" i="10"/>
  <c r="AL103" i="1" s="1"/>
  <c r="X98" i="10"/>
  <c r="T88" i="10"/>
  <c r="BV86" i="1" s="1"/>
  <c r="U88" i="10"/>
  <c r="CO86" i="1" s="1"/>
  <c r="X88" i="10"/>
  <c r="T81" i="10"/>
  <c r="BV79" i="1" s="1"/>
  <c r="W81" i="10"/>
  <c r="W79" i="10"/>
  <c r="U76" i="10"/>
  <c r="CO74" i="1" s="1"/>
  <c r="W75" i="10"/>
  <c r="P75" i="10"/>
  <c r="U73" i="10"/>
  <c r="CO71" i="1" s="1"/>
  <c r="CT71" i="1" s="1"/>
  <c r="F71" i="1" s="1"/>
  <c r="U70" i="10"/>
  <c r="CO68" i="1" s="1"/>
  <c r="W69" i="10"/>
  <c r="P69" i="10"/>
  <c r="U64" i="10"/>
  <c r="CO62" i="1" s="1"/>
  <c r="U63" i="10"/>
  <c r="CO61" i="1" s="1"/>
  <c r="W63" i="10"/>
  <c r="U56" i="10"/>
  <c r="CO54" i="1" s="1"/>
  <c r="P53" i="10"/>
  <c r="R53" i="10" s="1"/>
  <c r="AL51" i="1" s="1"/>
  <c r="AQ51" i="1" s="1"/>
  <c r="D51" i="1" s="1"/>
  <c r="U46" i="10"/>
  <c r="CO44" i="1" s="1"/>
  <c r="P43" i="10"/>
  <c r="T40" i="10"/>
  <c r="BV37" i="1" s="1"/>
  <c r="U40" i="10"/>
  <c r="CO37" i="1" s="1"/>
  <c r="X40" i="10"/>
  <c r="T38" i="10"/>
  <c r="BV35" i="1" s="1"/>
  <c r="W26" i="10"/>
  <c r="P21" i="10"/>
  <c r="T11" i="10"/>
  <c r="BV7" i="1" s="1"/>
  <c r="U11" i="10"/>
  <c r="CO7" i="1" s="1"/>
  <c r="X106" i="13"/>
  <c r="P90" i="13"/>
  <c r="W90" i="13"/>
  <c r="T81" i="13"/>
  <c r="BU79" i="1" s="1"/>
  <c r="CA79" i="1" s="1"/>
  <c r="E79" i="1" s="1"/>
  <c r="U81" i="13"/>
  <c r="CN79" i="1" s="1"/>
  <c r="X81" i="13"/>
  <c r="X79" i="13"/>
  <c r="V89" i="13"/>
  <c r="W33" i="13"/>
  <c r="P33" i="13"/>
  <c r="T24" i="13"/>
  <c r="BU21" i="1" s="1"/>
  <c r="U17" i="13"/>
  <c r="CN13" i="1" s="1"/>
  <c r="P84" i="12"/>
  <c r="U84" i="12" s="1"/>
  <c r="CM114" i="1" s="1"/>
  <c r="CT114" i="1" s="1"/>
  <c r="F114" i="1" s="1"/>
  <c r="W84" i="12"/>
  <c r="T81" i="12"/>
  <c r="BT109" i="1" s="1"/>
  <c r="X81" i="12"/>
  <c r="U81" i="12"/>
  <c r="CM109" i="1" s="1"/>
  <c r="T43" i="12"/>
  <c r="BT39" i="1" s="1"/>
  <c r="R39" i="12"/>
  <c r="AJ35" i="1" s="1"/>
  <c r="T39" i="12"/>
  <c r="BT35" i="1" s="1"/>
  <c r="U39" i="12"/>
  <c r="CM35" i="1" s="1"/>
  <c r="W39" i="12"/>
  <c r="W24" i="12"/>
  <c r="P24" i="12"/>
  <c r="U15" i="12"/>
  <c r="CM11" i="1" s="1"/>
  <c r="R38" i="5"/>
  <c r="AE34" i="1" s="1"/>
  <c r="T38" i="5"/>
  <c r="BO34" i="1" s="1"/>
  <c r="U38" i="5"/>
  <c r="CH34" i="1" s="1"/>
  <c r="W38" i="5"/>
  <c r="X29" i="5"/>
  <c r="R29" i="5"/>
  <c r="AE25" i="1" s="1"/>
  <c r="U29" i="5"/>
  <c r="CH25" i="1" s="1"/>
  <c r="W74" i="4"/>
  <c r="P74" i="4"/>
  <c r="T74" i="4" s="1"/>
  <c r="BN101" i="1" s="1"/>
  <c r="W59" i="4"/>
  <c r="P59" i="4"/>
  <c r="X59" i="4" s="1"/>
  <c r="O86" i="7"/>
  <c r="W14" i="7"/>
  <c r="P14" i="7"/>
  <c r="U14" i="7"/>
  <c r="CJ10" i="1" s="1"/>
  <c r="R38" i="14"/>
  <c r="AM35" i="1" s="1"/>
  <c r="P36" i="14"/>
  <c r="U36" i="14"/>
  <c r="CP33" i="1" s="1"/>
  <c r="T25" i="14"/>
  <c r="BW22" i="1" s="1"/>
  <c r="P25" i="14"/>
  <c r="R24" i="14"/>
  <c r="AM21" i="1" s="1"/>
  <c r="R103" i="10"/>
  <c r="AL101" i="1" s="1"/>
  <c r="R97" i="10"/>
  <c r="AL95" i="1" s="1"/>
  <c r="W78" i="10"/>
  <c r="R78" i="10"/>
  <c r="AL76" i="1" s="1"/>
  <c r="T72" i="10"/>
  <c r="BV70" i="1" s="1"/>
  <c r="CA70" i="1" s="1"/>
  <c r="E70" i="1" s="1"/>
  <c r="U61" i="10"/>
  <c r="CO59" i="1" s="1"/>
  <c r="W61" i="10"/>
  <c r="R41" i="10"/>
  <c r="AL38" i="1" s="1"/>
  <c r="R19" i="10"/>
  <c r="AL15" i="1" s="1"/>
  <c r="R117" i="13"/>
  <c r="AK115" i="1" s="1"/>
  <c r="W117" i="13"/>
  <c r="R101" i="13"/>
  <c r="AK99" i="1" s="1"/>
  <c r="W101" i="13"/>
  <c r="T78" i="13"/>
  <c r="BU76" i="1" s="1"/>
  <c r="CA76" i="1" s="1"/>
  <c r="E76" i="1" s="1"/>
  <c r="U78" i="13"/>
  <c r="CN76" i="1" s="1"/>
  <c r="P61" i="13"/>
  <c r="X61" i="13" s="1"/>
  <c r="T61" i="13"/>
  <c r="BU59" i="1" s="1"/>
  <c r="W23" i="13"/>
  <c r="R23" i="13"/>
  <c r="AK20" i="1" s="1"/>
  <c r="T23" i="13"/>
  <c r="BU20" i="1" s="1"/>
  <c r="T82" i="12"/>
  <c r="BT112" i="1" s="1"/>
  <c r="U82" i="12"/>
  <c r="CM112" i="1" s="1"/>
  <c r="P79" i="12"/>
  <c r="X79" i="12" s="1"/>
  <c r="T79" i="12"/>
  <c r="BT106" i="1" s="1"/>
  <c r="W79" i="12"/>
  <c r="W70" i="12"/>
  <c r="T70" i="12"/>
  <c r="BT93" i="1" s="1"/>
  <c r="U70" i="12"/>
  <c r="CM93" i="1" s="1"/>
  <c r="X61" i="12"/>
  <c r="U61" i="12"/>
  <c r="CM84" i="1" s="1"/>
  <c r="W46" i="12"/>
  <c r="P46" i="12"/>
  <c r="X46" i="12" s="1"/>
  <c r="R46" i="12"/>
  <c r="AJ42" i="1" s="1"/>
  <c r="U46" i="12"/>
  <c r="CM42" i="1" s="1"/>
  <c r="T37" i="12"/>
  <c r="BT33" i="1" s="1"/>
  <c r="P28" i="12"/>
  <c r="U28" i="12"/>
  <c r="CM24" i="1" s="1"/>
  <c r="T28" i="12"/>
  <c r="BT24" i="1" s="1"/>
  <c r="W28" i="12"/>
  <c r="P22" i="12"/>
  <c r="U22" i="12"/>
  <c r="CM18" i="1" s="1"/>
  <c r="T22" i="12"/>
  <c r="BT18" i="1" s="1"/>
  <c r="W22" i="12"/>
  <c r="T14" i="12"/>
  <c r="BT10" i="1" s="1"/>
  <c r="U14" i="12"/>
  <c r="CM10" i="1" s="1"/>
  <c r="P79" i="5"/>
  <c r="R79" i="5" s="1"/>
  <c r="AE109" i="1" s="1"/>
  <c r="W79" i="5"/>
  <c r="X70" i="5"/>
  <c r="T70" i="5"/>
  <c r="BO96" i="1" s="1"/>
  <c r="U70" i="5"/>
  <c r="CH96" i="1" s="1"/>
  <c r="T64" i="5"/>
  <c r="BO87" i="1" s="1"/>
  <c r="X64" i="5"/>
  <c r="R64" i="5"/>
  <c r="AE87" i="1" s="1"/>
  <c r="V86" i="5"/>
  <c r="R50" i="5"/>
  <c r="AE46" i="1" s="1"/>
  <c r="T50" i="5"/>
  <c r="BO46" i="1" s="1"/>
  <c r="W50" i="5"/>
  <c r="P50" i="5"/>
  <c r="X50" i="5" s="1"/>
  <c r="T40" i="5"/>
  <c r="BO36" i="1" s="1"/>
  <c r="X40" i="5"/>
  <c r="U40" i="5"/>
  <c r="CH36" i="1" s="1"/>
  <c r="P76" i="4"/>
  <c r="U76" i="4"/>
  <c r="CG103" i="1" s="1"/>
  <c r="W76" i="4"/>
  <c r="U85" i="3"/>
  <c r="T85" i="3"/>
  <c r="R85" i="3"/>
  <c r="P85" i="3"/>
  <c r="T20" i="2"/>
  <c r="X84" i="7"/>
  <c r="U84" i="7"/>
  <c r="T79" i="7"/>
  <c r="BQ109" i="1" s="1"/>
  <c r="X79" i="7"/>
  <c r="R79" i="7"/>
  <c r="AG109" i="1" s="1"/>
  <c r="U79" i="7"/>
  <c r="CJ109" i="1" s="1"/>
  <c r="P74" i="7"/>
  <c r="U74" i="7"/>
  <c r="CJ101" i="1" s="1"/>
  <c r="W74" i="7"/>
  <c r="U72" i="14"/>
  <c r="CP70" i="1" s="1"/>
  <c r="R57" i="14"/>
  <c r="AM55" i="1" s="1"/>
  <c r="T49" i="14"/>
  <c r="BW47" i="1" s="1"/>
  <c r="X49" i="14"/>
  <c r="P48" i="14"/>
  <c r="P38" i="14"/>
  <c r="T37" i="14"/>
  <c r="BW34" i="1" s="1"/>
  <c r="R29" i="14"/>
  <c r="AM26" i="1" s="1"/>
  <c r="R27" i="14"/>
  <c r="AM24" i="1" s="1"/>
  <c r="R115" i="10"/>
  <c r="AL113" i="1" s="1"/>
  <c r="R109" i="10"/>
  <c r="AL107" i="1" s="1"/>
  <c r="T86" i="10"/>
  <c r="BV84" i="1" s="1"/>
  <c r="U86" i="10"/>
  <c r="CO84" i="1" s="1"/>
  <c r="R73" i="10"/>
  <c r="AL71" i="1" s="1"/>
  <c r="T33" i="10"/>
  <c r="BV30" i="1" s="1"/>
  <c r="U33" i="10"/>
  <c r="CO30" i="1" s="1"/>
  <c r="W33" i="10"/>
  <c r="T25" i="10"/>
  <c r="BV22" i="1" s="1"/>
  <c r="U25" i="10"/>
  <c r="CO22" i="1" s="1"/>
  <c r="R93" i="13"/>
  <c r="AK91" i="1" s="1"/>
  <c r="W93" i="13"/>
  <c r="T88" i="13"/>
  <c r="BU86" i="1" s="1"/>
  <c r="R88" i="13"/>
  <c r="AK86" i="1" s="1"/>
  <c r="U88" i="13"/>
  <c r="CN86" i="1" s="1"/>
  <c r="W88" i="13"/>
  <c r="T82" i="13"/>
  <c r="BU80" i="1" s="1"/>
  <c r="CA80" i="1" s="1"/>
  <c r="E80" i="1" s="1"/>
  <c r="W82" i="13"/>
  <c r="R79" i="13"/>
  <c r="AK77" i="1" s="1"/>
  <c r="U72" i="13"/>
  <c r="CN70" i="1" s="1"/>
  <c r="CT70" i="1" s="1"/>
  <c r="F70" i="1" s="1"/>
  <c r="W34" i="13"/>
  <c r="P34" i="13"/>
  <c r="W29" i="13"/>
  <c r="R29" i="13"/>
  <c r="AK26" i="1" s="1"/>
  <c r="T29" i="13"/>
  <c r="BU26" i="1" s="1"/>
  <c r="X13" i="13"/>
  <c r="U13" i="13"/>
  <c r="CN9" i="1" s="1"/>
  <c r="X85" i="12"/>
  <c r="R85" i="12"/>
  <c r="P68" i="12"/>
  <c r="X68" i="12" s="1"/>
  <c r="R68" i="12"/>
  <c r="AJ91" i="1" s="1"/>
  <c r="T68" i="12"/>
  <c r="BT91" i="1" s="1"/>
  <c r="CA91" i="1" s="1"/>
  <c r="W68" i="12"/>
  <c r="R59" i="12"/>
  <c r="AJ77" i="1" s="1"/>
  <c r="T59" i="12"/>
  <c r="BT77" i="1" s="1"/>
  <c r="U59" i="12"/>
  <c r="CM77" i="1" s="1"/>
  <c r="P52" i="12"/>
  <c r="U52" i="12" s="1"/>
  <c r="CM48" i="1" s="1"/>
  <c r="W52" i="12"/>
  <c r="R52" i="12"/>
  <c r="AJ48" i="1" s="1"/>
  <c r="T49" i="12"/>
  <c r="BT45" i="1" s="1"/>
  <c r="X49" i="12"/>
  <c r="U49" i="12"/>
  <c r="CM45" i="1" s="1"/>
  <c r="W25" i="12"/>
  <c r="P25" i="12"/>
  <c r="T55" i="5"/>
  <c r="BO54" i="1" s="1"/>
  <c r="W37" i="5"/>
  <c r="P37" i="5"/>
  <c r="T49" i="4"/>
  <c r="BN45" i="1" s="1"/>
  <c r="X49" i="4"/>
  <c r="U49" i="4"/>
  <c r="CG45" i="1" s="1"/>
  <c r="R49" i="4"/>
  <c r="AD45" i="1" s="1"/>
  <c r="X27" i="4"/>
  <c r="T27" i="4"/>
  <c r="BN22" i="1" s="1"/>
  <c r="U27" i="4"/>
  <c r="CG22" i="1" s="1"/>
  <c r="W20" i="4"/>
  <c r="R20" i="4"/>
  <c r="P20" i="4"/>
  <c r="U20" i="4"/>
  <c r="Q86" i="4"/>
  <c r="P67" i="3"/>
  <c r="U67" i="3"/>
  <c r="CF90" i="1" s="1"/>
  <c r="T67" i="3"/>
  <c r="BM90" i="1" s="1"/>
  <c r="V86" i="7"/>
  <c r="R39" i="14"/>
  <c r="AM36" i="1" s="1"/>
  <c r="P28" i="14"/>
  <c r="R28" i="14" s="1"/>
  <c r="AM25" i="1" s="1"/>
  <c r="U28" i="14"/>
  <c r="CP25" i="1" s="1"/>
  <c r="R95" i="10"/>
  <c r="AL93" i="1" s="1"/>
  <c r="R90" i="10"/>
  <c r="AL88" i="1" s="1"/>
  <c r="U79" i="10"/>
  <c r="CO77" i="1" s="1"/>
  <c r="P79" i="10"/>
  <c r="W76" i="10"/>
  <c r="R76" i="10"/>
  <c r="AL74" i="1" s="1"/>
  <c r="W70" i="10"/>
  <c r="R70" i="10"/>
  <c r="AL68" i="1" s="1"/>
  <c r="AQ68" i="1" s="1"/>
  <c r="D68" i="1" s="1"/>
  <c r="T62" i="10"/>
  <c r="BV60" i="1" s="1"/>
  <c r="U62" i="10"/>
  <c r="CO60" i="1" s="1"/>
  <c r="X62" i="10"/>
  <c r="W59" i="10"/>
  <c r="P59" i="10"/>
  <c r="T41" i="10"/>
  <c r="BV38" i="1" s="1"/>
  <c r="U41" i="10"/>
  <c r="CO38" i="1" s="1"/>
  <c r="W41" i="10"/>
  <c r="R26" i="10"/>
  <c r="AL23" i="1" s="1"/>
  <c r="T26" i="10"/>
  <c r="BV23" i="1" s="1"/>
  <c r="T19" i="10"/>
  <c r="BV15" i="1" s="1"/>
  <c r="U19" i="10"/>
  <c r="CO15" i="1" s="1"/>
  <c r="W19" i="10"/>
  <c r="U13" i="10"/>
  <c r="CO9" i="1" s="1"/>
  <c r="R13" i="10"/>
  <c r="AL9" i="1" s="1"/>
  <c r="T13" i="10"/>
  <c r="BV9" i="1" s="1"/>
  <c r="W13" i="10"/>
  <c r="R111" i="13"/>
  <c r="AK109" i="1" s="1"/>
  <c r="W111" i="13"/>
  <c r="W104" i="13"/>
  <c r="P104" i="13"/>
  <c r="X104" i="13" s="1"/>
  <c r="R104" i="13"/>
  <c r="AK102" i="1" s="1"/>
  <c r="R76" i="13"/>
  <c r="AK74" i="1" s="1"/>
  <c r="T76" i="13"/>
  <c r="BU74" i="1" s="1"/>
  <c r="W76" i="13"/>
  <c r="W69" i="13"/>
  <c r="T69" i="13"/>
  <c r="BU67" i="1" s="1"/>
  <c r="U69" i="13"/>
  <c r="CN67" i="1" s="1"/>
  <c r="P59" i="13"/>
  <c r="U59" i="13" s="1"/>
  <c r="CN57" i="1" s="1"/>
  <c r="R59" i="13"/>
  <c r="AK57" i="1" s="1"/>
  <c r="X32" i="13"/>
  <c r="U32" i="13"/>
  <c r="CN29" i="1" s="1"/>
  <c r="U24" i="13"/>
  <c r="CN21" i="1" s="1"/>
  <c r="R24" i="13"/>
  <c r="AK21" i="1" s="1"/>
  <c r="U83" i="12"/>
  <c r="CM113" i="1" s="1"/>
  <c r="X83" i="12"/>
  <c r="R31" i="12"/>
  <c r="AJ27" i="1" s="1"/>
  <c r="W31" i="12"/>
  <c r="P31" i="12"/>
  <c r="X23" i="12"/>
  <c r="U23" i="12"/>
  <c r="CM19" i="1" s="1"/>
  <c r="X14" i="12"/>
  <c r="T84" i="5"/>
  <c r="U84" i="5"/>
  <c r="W84" i="5"/>
  <c r="R84" i="5"/>
  <c r="P28" i="5"/>
  <c r="X28" i="5" s="1"/>
  <c r="W28" i="5"/>
  <c r="V12" i="5"/>
  <c r="S86" i="5"/>
  <c r="P22" i="4"/>
  <c r="X22" i="4" s="1"/>
  <c r="U22" i="4"/>
  <c r="CG17" i="1" s="1"/>
  <c r="T22" i="4"/>
  <c r="BN17" i="1" s="1"/>
  <c r="R22" i="4"/>
  <c r="AD17" i="1" s="1"/>
  <c r="W22" i="4"/>
  <c r="P55" i="3"/>
  <c r="X55" i="3" s="1"/>
  <c r="R55" i="3"/>
  <c r="AC54" i="1" s="1"/>
  <c r="T55" i="3"/>
  <c r="BM54" i="1" s="1"/>
  <c r="W55" i="3"/>
  <c r="U55" i="3"/>
  <c r="CF54" i="1" s="1"/>
  <c r="U40" i="3"/>
  <c r="CF36" i="1" s="1"/>
  <c r="W53" i="7"/>
  <c r="P53" i="7"/>
  <c r="X53" i="7" s="1"/>
  <c r="T53" i="7"/>
  <c r="BQ49" i="1" s="1"/>
  <c r="U53" i="7"/>
  <c r="CJ49" i="1" s="1"/>
  <c r="X48" i="7"/>
  <c r="R48" i="7"/>
  <c r="AG44" i="1" s="1"/>
  <c r="T48" i="7"/>
  <c r="BQ44" i="1" s="1"/>
  <c r="U48" i="7"/>
  <c r="CJ44" i="1" s="1"/>
  <c r="R68" i="10"/>
  <c r="AL66" i="1" s="1"/>
  <c r="R56" i="10"/>
  <c r="AL54" i="1" s="1"/>
  <c r="R46" i="10"/>
  <c r="AL44" i="1" s="1"/>
  <c r="R38" i="10"/>
  <c r="AL35" i="1" s="1"/>
  <c r="R30" i="10"/>
  <c r="AL27" i="1" s="1"/>
  <c r="R115" i="13"/>
  <c r="AK113" i="1" s="1"/>
  <c r="R99" i="13"/>
  <c r="AK97" i="1" s="1"/>
  <c r="R84" i="13"/>
  <c r="AK82" i="1" s="1"/>
  <c r="T80" i="13"/>
  <c r="BU78" i="1" s="1"/>
  <c r="U79" i="13"/>
  <c r="CN77" i="1" s="1"/>
  <c r="T73" i="13"/>
  <c r="BU71" i="1" s="1"/>
  <c r="CA71" i="1" s="1"/>
  <c r="E71" i="1" s="1"/>
  <c r="T65" i="13"/>
  <c r="BU63" i="1" s="1"/>
  <c r="T55" i="13"/>
  <c r="BU53" i="1" s="1"/>
  <c r="T54" i="13"/>
  <c r="BU52" i="1" s="1"/>
  <c r="U53" i="13"/>
  <c r="CN51" i="1" s="1"/>
  <c r="U51" i="13"/>
  <c r="CN49" i="1" s="1"/>
  <c r="T43" i="13"/>
  <c r="BU40" i="1" s="1"/>
  <c r="T37" i="13"/>
  <c r="BU34" i="1" s="1"/>
  <c r="T32" i="13"/>
  <c r="BU29" i="1" s="1"/>
  <c r="T16" i="13"/>
  <c r="BU12" i="1" s="1"/>
  <c r="X16" i="13"/>
  <c r="P15" i="13"/>
  <c r="R14" i="13"/>
  <c r="AK10" i="1" s="1"/>
  <c r="R83" i="12"/>
  <c r="AJ113" i="1" s="1"/>
  <c r="U77" i="12"/>
  <c r="CM102" i="1" s="1"/>
  <c r="R74" i="12"/>
  <c r="AJ99" i="1" s="1"/>
  <c r="T73" i="12"/>
  <c r="BT97" i="1" s="1"/>
  <c r="X73" i="12"/>
  <c r="P72" i="12"/>
  <c r="T66" i="12"/>
  <c r="BT89" i="1" s="1"/>
  <c r="T61" i="12"/>
  <c r="BT84" i="1" s="1"/>
  <c r="R51" i="12"/>
  <c r="AJ47" i="1" s="1"/>
  <c r="U45" i="12"/>
  <c r="CM41" i="1" s="1"/>
  <c r="R42" i="12"/>
  <c r="AJ38" i="1" s="1"/>
  <c r="T41" i="12"/>
  <c r="BT37" i="1" s="1"/>
  <c r="X41" i="12"/>
  <c r="U40" i="12"/>
  <c r="CM36" i="1" s="1"/>
  <c r="P40" i="12"/>
  <c r="T34" i="12"/>
  <c r="BT30" i="1" s="1"/>
  <c r="T29" i="12"/>
  <c r="BT25" i="1" s="1"/>
  <c r="T23" i="12"/>
  <c r="BT19" i="1" s="1"/>
  <c r="R15" i="12"/>
  <c r="AJ11" i="1" s="1"/>
  <c r="T15" i="12"/>
  <c r="BT11" i="1" s="1"/>
  <c r="T12" i="12"/>
  <c r="R85" i="5"/>
  <c r="T85" i="5"/>
  <c r="W82" i="5"/>
  <c r="P82" i="5"/>
  <c r="T75" i="5"/>
  <c r="BO102" i="1" s="1"/>
  <c r="U62" i="5"/>
  <c r="CH85" i="1" s="1"/>
  <c r="X62" i="5"/>
  <c r="U54" i="5"/>
  <c r="CH50" i="1" s="1"/>
  <c r="R18" i="5"/>
  <c r="AE14" i="1" s="1"/>
  <c r="W79" i="4"/>
  <c r="P79" i="4"/>
  <c r="U79" i="4"/>
  <c r="CG109" i="1" s="1"/>
  <c r="X70" i="4"/>
  <c r="T70" i="4"/>
  <c r="BN96" i="1" s="1"/>
  <c r="U70" i="4"/>
  <c r="CG96" i="1" s="1"/>
  <c r="T65" i="4"/>
  <c r="BN88" i="1" s="1"/>
  <c r="X65" i="4"/>
  <c r="U65" i="4"/>
  <c r="CG88" i="1" s="1"/>
  <c r="R65" i="4"/>
  <c r="AD88" i="1" s="1"/>
  <c r="P44" i="4"/>
  <c r="U44" i="4"/>
  <c r="CG40" i="1" s="1"/>
  <c r="T44" i="4"/>
  <c r="BN40" i="1" s="1"/>
  <c r="W44" i="4"/>
  <c r="V18" i="4"/>
  <c r="S86" i="4"/>
  <c r="R103" i="13"/>
  <c r="AK101" i="1" s="1"/>
  <c r="T86" i="13"/>
  <c r="BU84" i="1" s="1"/>
  <c r="R50" i="13"/>
  <c r="AK48" i="1" s="1"/>
  <c r="T36" i="13"/>
  <c r="BU33" i="1" s="1"/>
  <c r="X36" i="13"/>
  <c r="P35" i="13"/>
  <c r="P18" i="13"/>
  <c r="T18" i="13"/>
  <c r="BU14" i="1" s="1"/>
  <c r="R17" i="13"/>
  <c r="AK13" i="1" s="1"/>
  <c r="T85" i="12"/>
  <c r="R75" i="12"/>
  <c r="AJ100" i="1" s="1"/>
  <c r="T65" i="12"/>
  <c r="BT88" i="1" s="1"/>
  <c r="X65" i="12"/>
  <c r="U64" i="12"/>
  <c r="CM87" i="1" s="1"/>
  <c r="P64" i="12"/>
  <c r="T53" i="12"/>
  <c r="BT49" i="1" s="1"/>
  <c r="R43" i="12"/>
  <c r="AJ39" i="1" s="1"/>
  <c r="T33" i="12"/>
  <c r="BT29" i="1" s="1"/>
  <c r="X33" i="12"/>
  <c r="U32" i="12"/>
  <c r="CM28" i="1" s="1"/>
  <c r="P32" i="12"/>
  <c r="U18" i="12"/>
  <c r="CM14" i="1" s="1"/>
  <c r="P16" i="12"/>
  <c r="R16" i="12"/>
  <c r="AJ12" i="1" s="1"/>
  <c r="T83" i="5"/>
  <c r="U83" i="5"/>
  <c r="X83" i="5"/>
  <c r="X72" i="5"/>
  <c r="R72" i="5"/>
  <c r="AE99" i="1" s="1"/>
  <c r="P59" i="5"/>
  <c r="T59" i="5"/>
  <c r="BO75" i="1" s="1"/>
  <c r="T48" i="5"/>
  <c r="BO44" i="1" s="1"/>
  <c r="X48" i="5"/>
  <c r="R48" i="5"/>
  <c r="AE44" i="1" s="1"/>
  <c r="U48" i="5"/>
  <c r="CH44" i="1" s="1"/>
  <c r="W41" i="5"/>
  <c r="U41" i="5"/>
  <c r="CH37" i="1" s="1"/>
  <c r="P41" i="5"/>
  <c r="R27" i="5"/>
  <c r="AE22" i="1" s="1"/>
  <c r="W27" i="5"/>
  <c r="P27" i="5"/>
  <c r="T33" i="4"/>
  <c r="BN29" i="1" s="1"/>
  <c r="X33" i="4"/>
  <c r="U33" i="4"/>
  <c r="CG29" i="1" s="1"/>
  <c r="R33" i="4"/>
  <c r="AD29" i="1" s="1"/>
  <c r="T18" i="4"/>
  <c r="BN14" i="1" s="1"/>
  <c r="R79" i="3"/>
  <c r="AC109" i="1" s="1"/>
  <c r="W79" i="3"/>
  <c r="P79" i="3"/>
  <c r="T79" i="3"/>
  <c r="BM109" i="1" s="1"/>
  <c r="R10" i="3"/>
  <c r="U10" i="3"/>
  <c r="P10" i="3"/>
  <c r="T10" i="3"/>
  <c r="T42" i="2"/>
  <c r="BL38" i="1" s="1"/>
  <c r="W42" i="2"/>
  <c r="P42" i="2"/>
  <c r="X42" i="2" s="1"/>
  <c r="T26" i="2"/>
  <c r="BL21" i="1" s="1"/>
  <c r="W26" i="2"/>
  <c r="R26" i="2"/>
  <c r="AB21" i="1" s="1"/>
  <c r="U26" i="2"/>
  <c r="CE21" i="1" s="1"/>
  <c r="T48" i="13"/>
  <c r="BU46" i="1" s="1"/>
  <c r="U47" i="13"/>
  <c r="CN45" i="1" s="1"/>
  <c r="R42" i="13"/>
  <c r="AK39" i="1" s="1"/>
  <c r="R26" i="13"/>
  <c r="AK23" i="1" s="1"/>
  <c r="R20" i="13"/>
  <c r="AK16" i="1" s="1"/>
  <c r="P76" i="12"/>
  <c r="T76" i="12" s="1"/>
  <c r="BT101" i="1" s="1"/>
  <c r="U76" i="12"/>
  <c r="CM101" i="1" s="1"/>
  <c r="R55" i="12"/>
  <c r="AJ54" i="1" s="1"/>
  <c r="P44" i="12"/>
  <c r="U44" i="12"/>
  <c r="CM40" i="1" s="1"/>
  <c r="R12" i="12"/>
  <c r="AJ8" i="1" s="1"/>
  <c r="W78" i="5"/>
  <c r="P78" i="5"/>
  <c r="U78" i="5" s="1"/>
  <c r="CH108" i="1" s="1"/>
  <c r="R75" i="5"/>
  <c r="AE102" i="1" s="1"/>
  <c r="W57" i="5"/>
  <c r="P57" i="5"/>
  <c r="R57" i="5"/>
  <c r="AE69" i="1" s="1"/>
  <c r="U39" i="5"/>
  <c r="CH35" i="1" s="1"/>
  <c r="P39" i="5"/>
  <c r="T39" i="5"/>
  <c r="BO35" i="1" s="1"/>
  <c r="W39" i="5"/>
  <c r="R25" i="4"/>
  <c r="AD20" i="1" s="1"/>
  <c r="W25" i="4"/>
  <c r="P25" i="4"/>
  <c r="U25" i="4"/>
  <c r="CG20" i="1" s="1"/>
  <c r="X23" i="4"/>
  <c r="U23" i="4"/>
  <c r="CG18" i="1" s="1"/>
  <c r="R21" i="4"/>
  <c r="AD16" i="1" s="1"/>
  <c r="P21" i="4"/>
  <c r="U13" i="4"/>
  <c r="CG9" i="1" s="1"/>
  <c r="P13" i="4"/>
  <c r="R13" i="4"/>
  <c r="AD9" i="1" s="1"/>
  <c r="R40" i="3"/>
  <c r="AC36" i="1" s="1"/>
  <c r="T40" i="3"/>
  <c r="BM36" i="1" s="1"/>
  <c r="W40" i="3"/>
  <c r="P40" i="3"/>
  <c r="X40" i="3" s="1"/>
  <c r="R21" i="2"/>
  <c r="AB16" i="1" s="1"/>
  <c r="U21" i="2"/>
  <c r="CE16" i="1" s="1"/>
  <c r="W21" i="2"/>
  <c r="T21" i="2"/>
  <c r="BL16" i="1" s="1"/>
  <c r="P21" i="2"/>
  <c r="X21" i="2" s="1"/>
  <c r="R64" i="6"/>
  <c r="AF87" i="1" s="1"/>
  <c r="T64" i="6"/>
  <c r="BP87" i="1" s="1"/>
  <c r="U64" i="6"/>
  <c r="CI87" i="1" s="1"/>
  <c r="W64" i="6"/>
  <c r="P64" i="6"/>
  <c r="X64" i="6" s="1"/>
  <c r="X62" i="6"/>
  <c r="R62" i="6"/>
  <c r="AF85" i="1" s="1"/>
  <c r="U62" i="6"/>
  <c r="CI85" i="1" s="1"/>
  <c r="T55" i="6"/>
  <c r="BP54" i="1" s="1"/>
  <c r="R15" i="10"/>
  <c r="AL11" i="1" s="1"/>
  <c r="R107" i="13"/>
  <c r="AK105" i="1" s="1"/>
  <c r="U87" i="13"/>
  <c r="CN85" i="1" s="1"/>
  <c r="U57" i="13"/>
  <c r="CN55" i="1" s="1"/>
  <c r="R52" i="13"/>
  <c r="AK50" i="1" s="1"/>
  <c r="W50" i="13"/>
  <c r="T40" i="13"/>
  <c r="BU37" i="1" s="1"/>
  <c r="U39" i="13"/>
  <c r="CN36" i="1" s="1"/>
  <c r="T28" i="13"/>
  <c r="BU25" i="1" s="1"/>
  <c r="X28" i="13"/>
  <c r="U27" i="13"/>
  <c r="CN24" i="1" s="1"/>
  <c r="P27" i="13"/>
  <c r="T22" i="13"/>
  <c r="BU19" i="1" s="1"/>
  <c r="X22" i="13"/>
  <c r="P21" i="13"/>
  <c r="W18" i="13"/>
  <c r="W17" i="13"/>
  <c r="R10" i="13"/>
  <c r="T77" i="12"/>
  <c r="BT102" i="1" s="1"/>
  <c r="R67" i="12"/>
  <c r="AJ90" i="1" s="1"/>
  <c r="T57" i="12"/>
  <c r="BT69" i="1" s="1"/>
  <c r="X57" i="12"/>
  <c r="U56" i="12"/>
  <c r="CM59" i="1" s="1"/>
  <c r="P56" i="12"/>
  <c r="T45" i="12"/>
  <c r="BT41" i="1" s="1"/>
  <c r="R35" i="12"/>
  <c r="AJ31" i="1" s="1"/>
  <c r="U20" i="12"/>
  <c r="CM16" i="1" s="1"/>
  <c r="W20" i="12"/>
  <c r="W81" i="5"/>
  <c r="P81" i="5"/>
  <c r="P63" i="5"/>
  <c r="W63" i="5"/>
  <c r="X60" i="5"/>
  <c r="U60" i="5"/>
  <c r="CH77" i="1" s="1"/>
  <c r="T24" i="5"/>
  <c r="BO19" i="1" s="1"/>
  <c r="U24" i="5"/>
  <c r="CH19" i="1" s="1"/>
  <c r="U13" i="5"/>
  <c r="CH9" i="1" s="1"/>
  <c r="R13" i="5"/>
  <c r="AE9" i="1" s="1"/>
  <c r="W13" i="5"/>
  <c r="P13" i="5"/>
  <c r="W82" i="4"/>
  <c r="R82" i="4"/>
  <c r="U82" i="4"/>
  <c r="T82" i="4"/>
  <c r="X38" i="4"/>
  <c r="T38" i="4"/>
  <c r="BN34" i="1" s="1"/>
  <c r="U38" i="4"/>
  <c r="CG34" i="1" s="1"/>
  <c r="X61" i="3"/>
  <c r="R61" i="3"/>
  <c r="AC82" i="1" s="1"/>
  <c r="U61" i="3"/>
  <c r="CF82" i="1" s="1"/>
  <c r="R54" i="3"/>
  <c r="AC50" i="1" s="1"/>
  <c r="T54" i="3"/>
  <c r="BM50" i="1" s="1"/>
  <c r="U54" i="3"/>
  <c r="CF50" i="1" s="1"/>
  <c r="W54" i="3"/>
  <c r="P22" i="3"/>
  <c r="R22" i="3"/>
  <c r="AC17" i="1" s="1"/>
  <c r="W22" i="3"/>
  <c r="O86" i="3"/>
  <c r="T15" i="3"/>
  <c r="BM11" i="1" s="1"/>
  <c r="U15" i="3"/>
  <c r="CF11" i="1" s="1"/>
  <c r="X15" i="3"/>
  <c r="T55" i="2"/>
  <c r="BL54" i="1" s="1"/>
  <c r="U55" i="2"/>
  <c r="CE54" i="1" s="1"/>
  <c r="W55" i="2"/>
  <c r="P55" i="2"/>
  <c r="X55" i="2" s="1"/>
  <c r="R77" i="5"/>
  <c r="AE106" i="1" s="1"/>
  <c r="R74" i="5"/>
  <c r="AE101" i="1" s="1"/>
  <c r="R73" i="5"/>
  <c r="AE100" i="1" s="1"/>
  <c r="R62" i="5"/>
  <c r="AE85" i="1" s="1"/>
  <c r="R53" i="5"/>
  <c r="AE49" i="1" s="1"/>
  <c r="P51" i="5"/>
  <c r="U51" i="5"/>
  <c r="CH47" i="1" s="1"/>
  <c r="T45" i="5"/>
  <c r="BO41" i="1" s="1"/>
  <c r="U32" i="5"/>
  <c r="CH28" i="1" s="1"/>
  <c r="R32" i="5"/>
  <c r="AE28" i="1" s="1"/>
  <c r="W32" i="5"/>
  <c r="X77" i="4"/>
  <c r="U77" i="4"/>
  <c r="CG106" i="1" s="1"/>
  <c r="P68" i="4"/>
  <c r="U68" i="4"/>
  <c r="CG92" i="1" s="1"/>
  <c r="W68" i="4"/>
  <c r="R68" i="4"/>
  <c r="AD92" i="1" s="1"/>
  <c r="W54" i="4"/>
  <c r="T54" i="4"/>
  <c r="BN50" i="1" s="1"/>
  <c r="R54" i="4"/>
  <c r="AD50" i="1" s="1"/>
  <c r="X45" i="4"/>
  <c r="U45" i="4"/>
  <c r="CG41" i="1" s="1"/>
  <c r="W42" i="4"/>
  <c r="P42" i="4"/>
  <c r="T39" i="4"/>
  <c r="BN35" i="1" s="1"/>
  <c r="P16" i="4"/>
  <c r="U16" i="4"/>
  <c r="CG12" i="1" s="1"/>
  <c r="T73" i="3"/>
  <c r="BM100" i="1" s="1"/>
  <c r="P72" i="3"/>
  <c r="T72" i="3" s="1"/>
  <c r="BM99" i="1" s="1"/>
  <c r="W72" i="3"/>
  <c r="U13" i="3"/>
  <c r="CF9" i="1" s="1"/>
  <c r="T13" i="3"/>
  <c r="BM9" i="1" s="1"/>
  <c r="W13" i="3"/>
  <c r="P13" i="3"/>
  <c r="T82" i="2"/>
  <c r="U82" i="2"/>
  <c r="W82" i="2"/>
  <c r="P82" i="2"/>
  <c r="R82" i="2" s="1"/>
  <c r="R78" i="2"/>
  <c r="AB108" i="1" s="1"/>
  <c r="U76" i="2"/>
  <c r="CE103" i="1" s="1"/>
  <c r="X76" i="2"/>
  <c r="U68" i="2"/>
  <c r="CE92" i="1" s="1"/>
  <c r="R68" i="2"/>
  <c r="AB92" i="1" s="1"/>
  <c r="W68" i="2"/>
  <c r="P68" i="2"/>
  <c r="X68" i="2" s="1"/>
  <c r="R38" i="2"/>
  <c r="AB34" i="1" s="1"/>
  <c r="P36" i="2"/>
  <c r="X36" i="2" s="1"/>
  <c r="W36" i="2"/>
  <c r="R36" i="2"/>
  <c r="AB32" i="1" s="1"/>
  <c r="T36" i="2"/>
  <c r="BL32" i="1" s="1"/>
  <c r="U36" i="2"/>
  <c r="CE32" i="1" s="1"/>
  <c r="P12" i="2"/>
  <c r="X12" i="2" s="1"/>
  <c r="W12" i="2"/>
  <c r="W73" i="7"/>
  <c r="P73" i="7"/>
  <c r="X73" i="7" s="1"/>
  <c r="V30" i="6"/>
  <c r="S86" i="6"/>
  <c r="V86" i="8"/>
  <c r="U31" i="8"/>
  <c r="CK27" i="1" s="1"/>
  <c r="R31" i="8"/>
  <c r="AH27" i="1" s="1"/>
  <c r="T31" i="8"/>
  <c r="BR27" i="1" s="1"/>
  <c r="P31" i="8"/>
  <c r="X31" i="8" s="1"/>
  <c r="W31" i="8"/>
  <c r="T23" i="8"/>
  <c r="BR19" i="1" s="1"/>
  <c r="T76" i="5"/>
  <c r="BO103" i="1" s="1"/>
  <c r="U75" i="5"/>
  <c r="CH102" i="1" s="1"/>
  <c r="R70" i="5"/>
  <c r="AE96" i="1" s="1"/>
  <c r="R54" i="5"/>
  <c r="AE50" i="1" s="1"/>
  <c r="P43" i="5"/>
  <c r="U43" i="5" s="1"/>
  <c r="CH39" i="1" s="1"/>
  <c r="T33" i="5"/>
  <c r="BO29" i="1" s="1"/>
  <c r="R33" i="5"/>
  <c r="AE29" i="1" s="1"/>
  <c r="W33" i="5"/>
  <c r="T19" i="5"/>
  <c r="BO15" i="1" s="1"/>
  <c r="P19" i="5"/>
  <c r="U18" i="5"/>
  <c r="CH14" i="1" s="1"/>
  <c r="U15" i="5"/>
  <c r="CH11" i="1" s="1"/>
  <c r="X81" i="4"/>
  <c r="R81" i="4"/>
  <c r="AD112" i="1" s="1"/>
  <c r="U81" i="4"/>
  <c r="CG112" i="1" s="1"/>
  <c r="P80" i="4"/>
  <c r="W80" i="4"/>
  <c r="T66" i="4"/>
  <c r="BN89" i="1" s="1"/>
  <c r="U66" i="4"/>
  <c r="CG89" i="1" s="1"/>
  <c r="V86" i="4"/>
  <c r="P43" i="4"/>
  <c r="X43" i="4" s="1"/>
  <c r="T17" i="4"/>
  <c r="BN13" i="1" s="1"/>
  <c r="R17" i="4"/>
  <c r="AD13" i="1" s="1"/>
  <c r="T10" i="4"/>
  <c r="R10" i="4"/>
  <c r="U84" i="3"/>
  <c r="P84" i="3"/>
  <c r="R84" i="3" s="1"/>
  <c r="R81" i="3"/>
  <c r="AC112" i="1" s="1"/>
  <c r="T81" i="3"/>
  <c r="BM112" i="1" s="1"/>
  <c r="T18" i="3"/>
  <c r="BM14" i="1" s="1"/>
  <c r="R18" i="3"/>
  <c r="AC14" i="1" s="1"/>
  <c r="U18" i="3"/>
  <c r="CF14" i="1" s="1"/>
  <c r="W18" i="3"/>
  <c r="T71" i="2"/>
  <c r="BL97" i="1" s="1"/>
  <c r="U71" i="2"/>
  <c r="CE97" i="1" s="1"/>
  <c r="P71" i="2"/>
  <c r="X71" i="2" s="1"/>
  <c r="P52" i="2"/>
  <c r="X52" i="2" s="1"/>
  <c r="W52" i="2"/>
  <c r="U52" i="2"/>
  <c r="CE48" i="1" s="1"/>
  <c r="T52" i="2"/>
  <c r="BL48" i="1" s="1"/>
  <c r="R43" i="2"/>
  <c r="AB39" i="1" s="1"/>
  <c r="U43" i="2"/>
  <c r="CE39" i="1" s="1"/>
  <c r="T43" i="2"/>
  <c r="BL39" i="1" s="1"/>
  <c r="W43" i="2"/>
  <c r="V22" i="2"/>
  <c r="V87" i="2" s="1"/>
  <c r="S90" i="2"/>
  <c r="W49" i="7"/>
  <c r="P49" i="7"/>
  <c r="X49" i="7" s="1"/>
  <c r="T49" i="7"/>
  <c r="BQ45" i="1" s="1"/>
  <c r="P47" i="7"/>
  <c r="W47" i="7"/>
  <c r="T47" i="7"/>
  <c r="BQ43" i="1" s="1"/>
  <c r="U47" i="7"/>
  <c r="CJ43" i="1" s="1"/>
  <c r="P29" i="7"/>
  <c r="X29" i="7" s="1"/>
  <c r="U29" i="7"/>
  <c r="CJ25" i="1" s="1"/>
  <c r="W29" i="7"/>
  <c r="R29" i="7"/>
  <c r="AG25" i="1" s="1"/>
  <c r="R27" i="7"/>
  <c r="AG22" i="1" s="1"/>
  <c r="X27" i="7"/>
  <c r="T68" i="5"/>
  <c r="BO92" i="1" s="1"/>
  <c r="U67" i="5"/>
  <c r="CH90" i="1" s="1"/>
  <c r="T56" i="5"/>
  <c r="X56" i="5"/>
  <c r="U55" i="5"/>
  <c r="CH54" i="1" s="1"/>
  <c r="P55" i="5"/>
  <c r="T44" i="5"/>
  <c r="BO40" i="1" s="1"/>
  <c r="U14" i="5"/>
  <c r="CH10" i="1" s="1"/>
  <c r="W78" i="4"/>
  <c r="U78" i="4"/>
  <c r="CG108" i="1" s="1"/>
  <c r="P78" i="4"/>
  <c r="T78" i="4"/>
  <c r="BN108" i="1" s="1"/>
  <c r="R75" i="4"/>
  <c r="AD102" i="1" s="1"/>
  <c r="P75" i="4"/>
  <c r="W58" i="4"/>
  <c r="R58" i="4"/>
  <c r="U58" i="4"/>
  <c r="R55" i="4"/>
  <c r="AD54" i="1" s="1"/>
  <c r="T55" i="4"/>
  <c r="BN54" i="1" s="1"/>
  <c r="U55" i="4"/>
  <c r="CG54" i="1" s="1"/>
  <c r="X37" i="4"/>
  <c r="R37" i="4"/>
  <c r="AD33" i="1" s="1"/>
  <c r="U35" i="4"/>
  <c r="CG31" i="1" s="1"/>
  <c r="T35" i="4"/>
  <c r="BN31" i="1" s="1"/>
  <c r="U32" i="4"/>
  <c r="CG28" i="1" s="1"/>
  <c r="P32" i="4"/>
  <c r="X32" i="4" s="1"/>
  <c r="T32" i="4"/>
  <c r="BN28" i="1" s="1"/>
  <c r="R32" i="4"/>
  <c r="AD28" i="1" s="1"/>
  <c r="P26" i="4"/>
  <c r="X26" i="4" s="1"/>
  <c r="W26" i="4"/>
  <c r="R26" i="4"/>
  <c r="AD21" i="1" s="1"/>
  <c r="W24" i="4"/>
  <c r="P24" i="4"/>
  <c r="T24" i="4"/>
  <c r="BN19" i="1" s="1"/>
  <c r="R18" i="4"/>
  <c r="AD14" i="1" s="1"/>
  <c r="P18" i="4"/>
  <c r="X18" i="4" s="1"/>
  <c r="T14" i="4"/>
  <c r="BN10" i="1" s="1"/>
  <c r="R14" i="4"/>
  <c r="AD10" i="1" s="1"/>
  <c r="P41" i="3"/>
  <c r="X41" i="3" s="1"/>
  <c r="R41" i="3"/>
  <c r="AC37" i="1" s="1"/>
  <c r="U41" i="3"/>
  <c r="CF37" i="1" s="1"/>
  <c r="T41" i="3"/>
  <c r="BM37" i="1" s="1"/>
  <c r="R38" i="3"/>
  <c r="AC34" i="1" s="1"/>
  <c r="T38" i="3"/>
  <c r="BM34" i="1" s="1"/>
  <c r="X38" i="3"/>
  <c r="X31" i="3"/>
  <c r="R31" i="3"/>
  <c r="AC27" i="1" s="1"/>
  <c r="X16" i="3"/>
  <c r="T16" i="3"/>
  <c r="BM12" i="1" s="1"/>
  <c r="U16" i="3"/>
  <c r="CF12" i="1" s="1"/>
  <c r="R16" i="3"/>
  <c r="AC12" i="1" s="1"/>
  <c r="T83" i="2"/>
  <c r="U83" i="2"/>
  <c r="R27" i="2"/>
  <c r="AB22" i="1" s="1"/>
  <c r="P27" i="2"/>
  <c r="X27" i="2" s="1"/>
  <c r="T27" i="2"/>
  <c r="BL22" i="1" s="1"/>
  <c r="X25" i="2"/>
  <c r="T25" i="2"/>
  <c r="BL20" i="1" s="1"/>
  <c r="U25" i="2"/>
  <c r="CE20" i="1" s="1"/>
  <c r="X13" i="2"/>
  <c r="U13" i="2"/>
  <c r="P85" i="7"/>
  <c r="X85" i="7" s="1"/>
  <c r="W85" i="7"/>
  <c r="R43" i="7"/>
  <c r="AG39" i="1" s="1"/>
  <c r="P53" i="6"/>
  <c r="X53" i="6" s="1"/>
  <c r="U53" i="6"/>
  <c r="CI49" i="1" s="1"/>
  <c r="W53" i="6"/>
  <c r="R53" i="6"/>
  <c r="AF49" i="1" s="1"/>
  <c r="X20" i="8"/>
  <c r="T20" i="8"/>
  <c r="BR16" i="1" s="1"/>
  <c r="U20" i="8"/>
  <c r="CK16" i="1" s="1"/>
  <c r="W76" i="5"/>
  <c r="W75" i="5"/>
  <c r="W71" i="5"/>
  <c r="W70" i="5"/>
  <c r="R46" i="5"/>
  <c r="AE42" i="1" s="1"/>
  <c r="P35" i="5"/>
  <c r="U35" i="5" s="1"/>
  <c r="CH31" i="1" s="1"/>
  <c r="R34" i="5"/>
  <c r="AE30" i="1" s="1"/>
  <c r="W30" i="5"/>
  <c r="R30" i="5"/>
  <c r="AE26" i="1" s="1"/>
  <c r="P20" i="5"/>
  <c r="W18" i="5"/>
  <c r="W14" i="5"/>
  <c r="U84" i="4"/>
  <c r="W84" i="4"/>
  <c r="R84" i="4"/>
  <c r="X69" i="4"/>
  <c r="R69" i="4"/>
  <c r="AD95" i="1" s="1"/>
  <c r="U67" i="4"/>
  <c r="CG90" i="1" s="1"/>
  <c r="T67" i="4"/>
  <c r="BN90" i="1" s="1"/>
  <c r="U64" i="4"/>
  <c r="CG87" i="1" s="1"/>
  <c r="P64" i="4"/>
  <c r="X64" i="4" s="1"/>
  <c r="T64" i="4"/>
  <c r="BN87" i="1" s="1"/>
  <c r="R64" i="4"/>
  <c r="AD87" i="1" s="1"/>
  <c r="P48" i="4"/>
  <c r="W48" i="4"/>
  <c r="W46" i="4"/>
  <c r="U46" i="4"/>
  <c r="CG42" i="1" s="1"/>
  <c r="P46" i="4"/>
  <c r="T46" i="4"/>
  <c r="BN42" i="1" s="1"/>
  <c r="T37" i="4"/>
  <c r="BN33" i="1" s="1"/>
  <c r="X17" i="4"/>
  <c r="R15" i="4"/>
  <c r="AD11" i="1" s="1"/>
  <c r="T15" i="4"/>
  <c r="BN11" i="1" s="1"/>
  <c r="P15" i="4"/>
  <c r="T11" i="4"/>
  <c r="BN7" i="1" s="1"/>
  <c r="R11" i="4"/>
  <c r="P82" i="3"/>
  <c r="X82" i="3" s="1"/>
  <c r="T82" i="3"/>
  <c r="P71" i="3"/>
  <c r="W71" i="3"/>
  <c r="U29" i="3"/>
  <c r="CF25" i="1" s="1"/>
  <c r="X29" i="3"/>
  <c r="T29" i="3"/>
  <c r="BM25" i="1" s="1"/>
  <c r="R19" i="3"/>
  <c r="AC15" i="1" s="1"/>
  <c r="T19" i="3"/>
  <c r="BM15" i="1" s="1"/>
  <c r="W19" i="3"/>
  <c r="P19" i="3"/>
  <c r="X19" i="3" s="1"/>
  <c r="X12" i="3"/>
  <c r="U12" i="3"/>
  <c r="CF8" i="1" s="1"/>
  <c r="T12" i="3"/>
  <c r="BM8" i="1" s="1"/>
  <c r="R12" i="3"/>
  <c r="AC8" i="1" s="1"/>
  <c r="V10" i="3"/>
  <c r="V86" i="3" s="1"/>
  <c r="S86" i="3"/>
  <c r="P67" i="2"/>
  <c r="X67" i="2" s="1"/>
  <c r="R67" i="2"/>
  <c r="AB90" i="1" s="1"/>
  <c r="W67" i="2"/>
  <c r="U51" i="7"/>
  <c r="CJ47" i="1" s="1"/>
  <c r="W51" i="7"/>
  <c r="P51" i="7"/>
  <c r="X51" i="7" s="1"/>
  <c r="U76" i="6"/>
  <c r="CI103" i="1" s="1"/>
  <c r="X76" i="6"/>
  <c r="T76" i="6"/>
  <c r="BP103" i="1" s="1"/>
  <c r="T43" i="6"/>
  <c r="BP39" i="1" s="1"/>
  <c r="U43" i="6"/>
  <c r="CI39" i="1" s="1"/>
  <c r="X43" i="6"/>
  <c r="R43" i="6"/>
  <c r="AF39" i="1" s="1"/>
  <c r="R63" i="4"/>
  <c r="AD86" i="1" s="1"/>
  <c r="P52" i="4"/>
  <c r="U52" i="4" s="1"/>
  <c r="CG48" i="1" s="1"/>
  <c r="R31" i="4"/>
  <c r="AD27" i="1" s="1"/>
  <c r="P78" i="3"/>
  <c r="W62" i="3"/>
  <c r="P62" i="3"/>
  <c r="P57" i="3"/>
  <c r="X57" i="3" s="1"/>
  <c r="U57" i="3"/>
  <c r="CF69" i="1" s="1"/>
  <c r="U53" i="3"/>
  <c r="CF49" i="1" s="1"/>
  <c r="X53" i="3"/>
  <c r="T14" i="3"/>
  <c r="BM10" i="1" s="1"/>
  <c r="U14" i="3"/>
  <c r="CF10" i="1" s="1"/>
  <c r="W14" i="3"/>
  <c r="P14" i="3"/>
  <c r="X14" i="3" s="1"/>
  <c r="R77" i="2"/>
  <c r="AB106" i="1" s="1"/>
  <c r="U77" i="2"/>
  <c r="CE106" i="1" s="1"/>
  <c r="W77" i="2"/>
  <c r="P77" i="2"/>
  <c r="R54" i="2"/>
  <c r="AB50" i="1" s="1"/>
  <c r="U54" i="2"/>
  <c r="CE50" i="1" s="1"/>
  <c r="W54" i="2"/>
  <c r="P54" i="2"/>
  <c r="T72" i="7"/>
  <c r="BQ99" i="1" s="1"/>
  <c r="W19" i="7"/>
  <c r="P19" i="7"/>
  <c r="R19" i="7"/>
  <c r="AG15" i="1" s="1"/>
  <c r="R28" i="6"/>
  <c r="AF24" i="1" s="1"/>
  <c r="T28" i="6"/>
  <c r="BP24" i="1" s="1"/>
  <c r="U28" i="6"/>
  <c r="CI24" i="1" s="1"/>
  <c r="W28" i="6"/>
  <c r="X23" i="6"/>
  <c r="T23" i="6"/>
  <c r="BP18" i="1" s="1"/>
  <c r="P78" i="9"/>
  <c r="X78" i="9" s="1"/>
  <c r="W78" i="9"/>
  <c r="U72" i="9"/>
  <c r="CL93" i="1" s="1"/>
  <c r="X72" i="9"/>
  <c r="R39" i="9"/>
  <c r="AI35" i="1" s="1"/>
  <c r="T26" i="5"/>
  <c r="BO21" i="1" s="1"/>
  <c r="R21" i="5"/>
  <c r="AE16" i="1" s="1"/>
  <c r="U16" i="5"/>
  <c r="CH12" i="1" s="1"/>
  <c r="T77" i="4"/>
  <c r="BN106" i="1" s="1"/>
  <c r="R67" i="4"/>
  <c r="AD90" i="1" s="1"/>
  <c r="W63" i="4"/>
  <c r="U61" i="4"/>
  <c r="CG82" i="1" s="1"/>
  <c r="T57" i="4"/>
  <c r="BN69" i="1" s="1"/>
  <c r="X57" i="4"/>
  <c r="P56" i="4"/>
  <c r="W52" i="4"/>
  <c r="T50" i="4"/>
  <c r="BN46" i="1" s="1"/>
  <c r="T45" i="4"/>
  <c r="BN41" i="1" s="1"/>
  <c r="R35" i="4"/>
  <c r="AD31" i="1" s="1"/>
  <c r="W31" i="4"/>
  <c r="U30" i="4"/>
  <c r="CG26" i="1" s="1"/>
  <c r="U29" i="4"/>
  <c r="CG25" i="1" s="1"/>
  <c r="T23" i="4"/>
  <c r="BN18" i="1" s="1"/>
  <c r="R83" i="3"/>
  <c r="U77" i="3"/>
  <c r="CF106" i="1" s="1"/>
  <c r="P68" i="3"/>
  <c r="T68" i="3" s="1"/>
  <c r="BM92" i="1" s="1"/>
  <c r="W66" i="3"/>
  <c r="T64" i="3"/>
  <c r="BM87" i="1" s="1"/>
  <c r="U64" i="3"/>
  <c r="CF87" i="1" s="1"/>
  <c r="X64" i="3"/>
  <c r="P51" i="3"/>
  <c r="U51" i="3"/>
  <c r="CF47" i="1" s="1"/>
  <c r="W51" i="3"/>
  <c r="X37" i="3"/>
  <c r="T37" i="3"/>
  <c r="BM33" i="1" s="1"/>
  <c r="U37" i="3"/>
  <c r="CF33" i="1" s="1"/>
  <c r="W32" i="3"/>
  <c r="P32" i="3"/>
  <c r="Q86" i="3"/>
  <c r="T89" i="2"/>
  <c r="R89" i="2"/>
  <c r="U89" i="2"/>
  <c r="R69" i="2"/>
  <c r="AB95" i="1" s="1"/>
  <c r="T69" i="2"/>
  <c r="BL95" i="1" s="1"/>
  <c r="U69" i="2"/>
  <c r="CE95" i="1" s="1"/>
  <c r="W69" i="2"/>
  <c r="U49" i="2"/>
  <c r="CE45" i="1" s="1"/>
  <c r="P49" i="2"/>
  <c r="X49" i="2" s="1"/>
  <c r="R49" i="2"/>
  <c r="AB45" i="1" s="1"/>
  <c r="T49" i="2"/>
  <c r="BL45" i="1" s="1"/>
  <c r="R45" i="2"/>
  <c r="AB41" i="1" s="1"/>
  <c r="R25" i="2"/>
  <c r="AB20" i="1" s="1"/>
  <c r="Q90" i="2"/>
  <c r="X64" i="7"/>
  <c r="T64" i="7"/>
  <c r="BQ87" i="1" s="1"/>
  <c r="U64" i="7"/>
  <c r="CJ87" i="1" s="1"/>
  <c r="W57" i="7"/>
  <c r="U57" i="7"/>
  <c r="CJ69" i="1" s="1"/>
  <c r="P57" i="7"/>
  <c r="R57" i="7"/>
  <c r="AG69" i="1" s="1"/>
  <c r="W45" i="7"/>
  <c r="P45" i="7"/>
  <c r="U45" i="7" s="1"/>
  <c r="CJ41" i="1" s="1"/>
  <c r="R45" i="7"/>
  <c r="AG41" i="1" s="1"/>
  <c r="R35" i="7"/>
  <c r="AG31" i="1" s="1"/>
  <c r="X35" i="7"/>
  <c r="W69" i="9"/>
  <c r="U69" i="9"/>
  <c r="CL89" i="1" s="1"/>
  <c r="T69" i="9"/>
  <c r="BS89" i="1" s="1"/>
  <c r="P69" i="9"/>
  <c r="X69" i="9" s="1"/>
  <c r="R71" i="4"/>
  <c r="AD97" i="1" s="1"/>
  <c r="P60" i="4"/>
  <c r="U60" i="4" s="1"/>
  <c r="CG77" i="1" s="1"/>
  <c r="R39" i="4"/>
  <c r="AD35" i="1" s="1"/>
  <c r="R30" i="4"/>
  <c r="AD26" i="1" s="1"/>
  <c r="P28" i="4"/>
  <c r="U28" i="4"/>
  <c r="CG24" i="1" s="1"/>
  <c r="R27" i="4"/>
  <c r="AD22" i="1" s="1"/>
  <c r="P74" i="3"/>
  <c r="T74" i="3" s="1"/>
  <c r="BM101" i="1" s="1"/>
  <c r="R73" i="3"/>
  <c r="AC100" i="1" s="1"/>
  <c r="W68" i="3"/>
  <c r="T65" i="3"/>
  <c r="BM88" i="1" s="1"/>
  <c r="R65" i="3"/>
  <c r="AC88" i="1" s="1"/>
  <c r="U65" i="3"/>
  <c r="CF88" i="1" s="1"/>
  <c r="W65" i="3"/>
  <c r="R53" i="3"/>
  <c r="AC49" i="1" s="1"/>
  <c r="T52" i="3"/>
  <c r="BM48" i="1" s="1"/>
  <c r="U52" i="3"/>
  <c r="CF48" i="1" s="1"/>
  <c r="W52" i="3"/>
  <c r="P52" i="3"/>
  <c r="U30" i="3"/>
  <c r="CF26" i="1" s="1"/>
  <c r="W30" i="3"/>
  <c r="P30" i="3"/>
  <c r="R14" i="3"/>
  <c r="AC10" i="1" s="1"/>
  <c r="X73" i="2"/>
  <c r="T73" i="2"/>
  <c r="BL100" i="1" s="1"/>
  <c r="U73" i="2"/>
  <c r="CE100" i="1" s="1"/>
  <c r="T51" i="2"/>
  <c r="BL47" i="1" s="1"/>
  <c r="X51" i="2"/>
  <c r="U51" i="2"/>
  <c r="CE47" i="1" s="1"/>
  <c r="P33" i="2"/>
  <c r="T33" i="2"/>
  <c r="BL29" i="1" s="1"/>
  <c r="U33" i="2"/>
  <c r="CE29" i="1" s="1"/>
  <c r="R31" i="2"/>
  <c r="AB27" i="1" s="1"/>
  <c r="W31" i="2"/>
  <c r="P31" i="2"/>
  <c r="U31" i="2"/>
  <c r="CE27" i="1" s="1"/>
  <c r="X68" i="7"/>
  <c r="W41" i="7"/>
  <c r="P41" i="7"/>
  <c r="T41" i="7"/>
  <c r="BQ37" i="1" s="1"/>
  <c r="U41" i="7"/>
  <c r="CJ37" i="1" s="1"/>
  <c r="R33" i="7"/>
  <c r="AG29" i="1" s="1"/>
  <c r="U33" i="7"/>
  <c r="CJ29" i="1" s="1"/>
  <c r="T22" i="7"/>
  <c r="BQ17" i="1" s="1"/>
  <c r="P22" i="7"/>
  <c r="U22" i="7"/>
  <c r="CJ17" i="1" s="1"/>
  <c r="W22" i="7"/>
  <c r="R69" i="6"/>
  <c r="AF95" i="1" s="1"/>
  <c r="W72" i="8"/>
  <c r="P72" i="8"/>
  <c r="X72" i="8" s="1"/>
  <c r="U72" i="8"/>
  <c r="CK93" i="1" s="1"/>
  <c r="R72" i="8"/>
  <c r="AH93" i="1" s="1"/>
  <c r="AQ93" i="1" s="1"/>
  <c r="T72" i="8"/>
  <c r="BR93" i="1" s="1"/>
  <c r="CA93" i="1" s="1"/>
  <c r="R15" i="5"/>
  <c r="AE11" i="1" s="1"/>
  <c r="T73" i="4"/>
  <c r="BN100" i="1" s="1"/>
  <c r="X73" i="4"/>
  <c r="U72" i="4"/>
  <c r="CG99" i="1" s="1"/>
  <c r="P72" i="4"/>
  <c r="P63" i="4"/>
  <c r="P62" i="4"/>
  <c r="T61" i="4"/>
  <c r="BN82" i="1" s="1"/>
  <c r="R53" i="4"/>
  <c r="AD49" i="1" s="1"/>
  <c r="R51" i="4"/>
  <c r="AD47" i="1" s="1"/>
  <c r="T41" i="4"/>
  <c r="BN37" i="1" s="1"/>
  <c r="X41" i="4"/>
  <c r="P40" i="4"/>
  <c r="P31" i="4"/>
  <c r="P30" i="4"/>
  <c r="T29" i="4"/>
  <c r="BN25" i="1" s="1"/>
  <c r="T19" i="4"/>
  <c r="BN15" i="1" s="1"/>
  <c r="X19" i="4"/>
  <c r="T83" i="3"/>
  <c r="P77" i="3"/>
  <c r="T76" i="3"/>
  <c r="BM103" i="1" s="1"/>
  <c r="P76" i="3"/>
  <c r="R75" i="3"/>
  <c r="AC102" i="1" s="1"/>
  <c r="P66" i="3"/>
  <c r="R56" i="3"/>
  <c r="U56" i="3"/>
  <c r="T51" i="3"/>
  <c r="BM47" i="1" s="1"/>
  <c r="T39" i="3"/>
  <c r="BM35" i="1" s="1"/>
  <c r="U39" i="3"/>
  <c r="CF35" i="1" s="1"/>
  <c r="R39" i="3"/>
  <c r="AC35" i="1" s="1"/>
  <c r="W39" i="3"/>
  <c r="U35" i="3"/>
  <c r="CF31" i="1" s="1"/>
  <c r="X35" i="3"/>
  <c r="P21" i="3"/>
  <c r="X21" i="3" s="1"/>
  <c r="R21" i="3"/>
  <c r="AC16" i="1" s="1"/>
  <c r="U17" i="3"/>
  <c r="CF13" i="1" s="1"/>
  <c r="R17" i="3"/>
  <c r="AC13" i="1" s="1"/>
  <c r="T17" i="3"/>
  <c r="BM13" i="1" s="1"/>
  <c r="N8" i="3"/>
  <c r="C3" i="3"/>
  <c r="W89" i="2"/>
  <c r="T60" i="2"/>
  <c r="BL77" i="1" s="1"/>
  <c r="W60" i="2"/>
  <c r="R60" i="2"/>
  <c r="AB77" i="1" s="1"/>
  <c r="U60" i="2"/>
  <c r="CE77" i="1" s="1"/>
  <c r="T37" i="2"/>
  <c r="BL33" i="1" s="1"/>
  <c r="X37" i="2"/>
  <c r="P17" i="2"/>
  <c r="W17" i="2"/>
  <c r="U24" i="7"/>
  <c r="CJ19" i="1" s="1"/>
  <c r="T24" i="7"/>
  <c r="BQ19" i="1" s="1"/>
  <c r="X24" i="7"/>
  <c r="X54" i="6"/>
  <c r="U54" i="6"/>
  <c r="CI50" i="1" s="1"/>
  <c r="R54" i="6"/>
  <c r="AF50" i="1" s="1"/>
  <c r="T21" i="6"/>
  <c r="BP16" i="1" s="1"/>
  <c r="P21" i="6"/>
  <c r="U21" i="6"/>
  <c r="CI16" i="1" s="1"/>
  <c r="W21" i="6"/>
  <c r="P41" i="9"/>
  <c r="X41" i="9" s="1"/>
  <c r="T41" i="9"/>
  <c r="BS37" i="1" s="1"/>
  <c r="U41" i="9"/>
  <c r="CL37" i="1" s="1"/>
  <c r="R41" i="9"/>
  <c r="AI37" i="1" s="1"/>
  <c r="W41" i="9"/>
  <c r="T37" i="9"/>
  <c r="BS33" i="1" s="1"/>
  <c r="R37" i="9"/>
  <c r="AI33" i="1" s="1"/>
  <c r="W37" i="9"/>
  <c r="P37" i="9"/>
  <c r="X37" i="9" s="1"/>
  <c r="R60" i="3"/>
  <c r="AC77" i="1" s="1"/>
  <c r="T53" i="3"/>
  <c r="BM49" i="1" s="1"/>
  <c r="T35" i="3"/>
  <c r="BM31" i="1" s="1"/>
  <c r="U34" i="3"/>
  <c r="CF30" i="1" s="1"/>
  <c r="R28" i="3"/>
  <c r="AC24" i="1" s="1"/>
  <c r="T24" i="3"/>
  <c r="BM19" i="1" s="1"/>
  <c r="R15" i="3"/>
  <c r="AC11" i="1" s="1"/>
  <c r="P84" i="2"/>
  <c r="R84" i="2"/>
  <c r="R83" i="2"/>
  <c r="T76" i="2"/>
  <c r="BL103" i="1" s="1"/>
  <c r="W76" i="2"/>
  <c r="T63" i="2"/>
  <c r="BL86" i="1" s="1"/>
  <c r="X63" i="2"/>
  <c r="U59" i="2"/>
  <c r="CE75" i="1" s="1"/>
  <c r="P56" i="2"/>
  <c r="X56" i="2" s="1"/>
  <c r="P44" i="2"/>
  <c r="T44" i="2"/>
  <c r="BL40" i="1" s="1"/>
  <c r="U44" i="2"/>
  <c r="CE40" i="1" s="1"/>
  <c r="U37" i="2"/>
  <c r="CE33" i="1" s="1"/>
  <c r="W37" i="2"/>
  <c r="R37" i="2"/>
  <c r="AB33" i="1" s="1"/>
  <c r="P22" i="2"/>
  <c r="U22" i="2" s="1"/>
  <c r="CE17" i="1" s="1"/>
  <c r="T19" i="2"/>
  <c r="BL15" i="1" s="1"/>
  <c r="X19" i="2"/>
  <c r="T13" i="2"/>
  <c r="T84" i="7"/>
  <c r="T80" i="7"/>
  <c r="X80" i="7"/>
  <c r="U61" i="7"/>
  <c r="CJ82" i="1" s="1"/>
  <c r="P61" i="7"/>
  <c r="R61" i="7"/>
  <c r="AG82" i="1" s="1"/>
  <c r="W61" i="7"/>
  <c r="P59" i="7"/>
  <c r="R59" i="7"/>
  <c r="AG75" i="1" s="1"/>
  <c r="P54" i="7"/>
  <c r="T54" i="7" s="1"/>
  <c r="BQ50" i="1" s="1"/>
  <c r="W43" i="7"/>
  <c r="P85" i="6"/>
  <c r="X85" i="6" s="1"/>
  <c r="W85" i="6"/>
  <c r="X67" i="6"/>
  <c r="T67" i="6"/>
  <c r="BP90" i="1" s="1"/>
  <c r="X17" i="6"/>
  <c r="P60" i="9"/>
  <c r="X60" i="9" s="1"/>
  <c r="T60" i="9"/>
  <c r="BS75" i="1" s="1"/>
  <c r="W60" i="9"/>
  <c r="X51" i="9"/>
  <c r="U51" i="9"/>
  <c r="CL47" i="1" s="1"/>
  <c r="T61" i="3"/>
  <c r="BM82" i="1" s="1"/>
  <c r="R50" i="3"/>
  <c r="AC46" i="1" s="1"/>
  <c r="T31" i="3"/>
  <c r="BM27" i="1" s="1"/>
  <c r="R11" i="3"/>
  <c r="R86" i="2"/>
  <c r="P78" i="2"/>
  <c r="X78" i="2" s="1"/>
  <c r="T78" i="2"/>
  <c r="BL108" i="1" s="1"/>
  <c r="U78" i="2"/>
  <c r="CE108" i="1" s="1"/>
  <c r="R65" i="2"/>
  <c r="AB88" i="1" s="1"/>
  <c r="W65" i="2"/>
  <c r="P45" i="2"/>
  <c r="T45" i="2"/>
  <c r="BL41" i="1" s="1"/>
  <c r="T38" i="2"/>
  <c r="BL34" i="1" s="1"/>
  <c r="P38" i="2"/>
  <c r="R30" i="2"/>
  <c r="AB26" i="1" s="1"/>
  <c r="X30" i="2"/>
  <c r="R14" i="2"/>
  <c r="AB10" i="1" s="1"/>
  <c r="T81" i="7"/>
  <c r="BQ112" i="1" s="1"/>
  <c r="U81" i="7"/>
  <c r="CJ112" i="1" s="1"/>
  <c r="W72" i="7"/>
  <c r="U72" i="7"/>
  <c r="CJ99" i="1" s="1"/>
  <c r="P72" i="7"/>
  <c r="X72" i="7" s="1"/>
  <c r="R72" i="7"/>
  <c r="AG99" i="1" s="1"/>
  <c r="P70" i="7"/>
  <c r="X70" i="7" s="1"/>
  <c r="W70" i="7"/>
  <c r="T50" i="7"/>
  <c r="BQ46" i="1" s="1"/>
  <c r="X30" i="7"/>
  <c r="T30" i="7"/>
  <c r="BQ26" i="1" s="1"/>
  <c r="W23" i="7"/>
  <c r="P23" i="7"/>
  <c r="X23" i="7" s="1"/>
  <c r="R23" i="7"/>
  <c r="AG18" i="1" s="1"/>
  <c r="V11" i="7"/>
  <c r="S86" i="7"/>
  <c r="T74" i="6"/>
  <c r="BP101" i="1" s="1"/>
  <c r="X74" i="6"/>
  <c r="U74" i="6"/>
  <c r="CI101" i="1" s="1"/>
  <c r="R74" i="6"/>
  <c r="AF101" i="1" s="1"/>
  <c r="W63" i="6"/>
  <c r="T63" i="6"/>
  <c r="BP86" i="1" s="1"/>
  <c r="U63" i="6"/>
  <c r="CI86" i="1" s="1"/>
  <c r="R63" i="6"/>
  <c r="AF86" i="1" s="1"/>
  <c r="W55" i="6"/>
  <c r="P55" i="6"/>
  <c r="X55" i="6" s="1"/>
  <c r="P29" i="6"/>
  <c r="X29" i="6" s="1"/>
  <c r="W29" i="6"/>
  <c r="U27" i="6"/>
  <c r="CI22" i="1" s="1"/>
  <c r="X11" i="6"/>
  <c r="U11" i="6"/>
  <c r="CI7" i="1" s="1"/>
  <c r="X34" i="9"/>
  <c r="T34" i="9"/>
  <c r="BS30" i="1" s="1"/>
  <c r="U34" i="9"/>
  <c r="CL30" i="1" s="1"/>
  <c r="X24" i="8"/>
  <c r="R24" i="8"/>
  <c r="AH20" i="1" s="1"/>
  <c r="W12" i="8"/>
  <c r="P12" i="8"/>
  <c r="X12" i="8" s="1"/>
  <c r="R12" i="8"/>
  <c r="AH8" i="1" s="1"/>
  <c r="R70" i="3"/>
  <c r="AC96" i="1" s="1"/>
  <c r="W61" i="3"/>
  <c r="W50" i="3"/>
  <c r="T49" i="3"/>
  <c r="BM45" i="1" s="1"/>
  <c r="W31" i="3"/>
  <c r="W28" i="3"/>
  <c r="R27" i="3"/>
  <c r="AC22" i="1" s="1"/>
  <c r="T26" i="3"/>
  <c r="BM21" i="1" s="1"/>
  <c r="U26" i="3"/>
  <c r="CF21" i="1" s="1"/>
  <c r="W11" i="3"/>
  <c r="U87" i="2"/>
  <c r="R87" i="2"/>
  <c r="P66" i="2"/>
  <c r="U66" i="2" s="1"/>
  <c r="CE89" i="1" s="1"/>
  <c r="T53" i="2"/>
  <c r="BL49" i="1" s="1"/>
  <c r="W53" i="2"/>
  <c r="R46" i="2"/>
  <c r="AB42" i="1" s="1"/>
  <c r="P20" i="2"/>
  <c r="R20" i="2"/>
  <c r="W20" i="2"/>
  <c r="R11" i="2"/>
  <c r="AB7" i="1" s="1"/>
  <c r="O90" i="2"/>
  <c r="W11" i="2"/>
  <c r="W84" i="7"/>
  <c r="R84" i="7"/>
  <c r="P78" i="7"/>
  <c r="W78" i="7"/>
  <c r="X75" i="7"/>
  <c r="U75" i="7"/>
  <c r="CJ102" i="1" s="1"/>
  <c r="T67" i="7"/>
  <c r="BQ90" i="1" s="1"/>
  <c r="X67" i="7"/>
  <c r="R67" i="7"/>
  <c r="AG90" i="1" s="1"/>
  <c r="U62" i="7"/>
  <c r="CJ85" i="1" s="1"/>
  <c r="T62" i="7"/>
  <c r="BQ85" i="1" s="1"/>
  <c r="X62" i="7"/>
  <c r="X37" i="7"/>
  <c r="R37" i="7"/>
  <c r="AG33" i="1" s="1"/>
  <c r="U37" i="7"/>
  <c r="CJ33" i="1" s="1"/>
  <c r="U30" i="7"/>
  <c r="CJ26" i="1" s="1"/>
  <c r="W59" i="9"/>
  <c r="P59" i="9"/>
  <c r="X59" i="9" s="1"/>
  <c r="R87" i="8"/>
  <c r="AH113" i="1" s="1"/>
  <c r="X87" i="8"/>
  <c r="W70" i="3"/>
  <c r="T69" i="3"/>
  <c r="BM95" i="1" s="1"/>
  <c r="W59" i="3"/>
  <c r="R58" i="3"/>
  <c r="W49" i="3"/>
  <c r="W45" i="3"/>
  <c r="R44" i="3"/>
  <c r="AC40" i="1" s="1"/>
  <c r="T43" i="3"/>
  <c r="BM39" i="1" s="1"/>
  <c r="U43" i="3"/>
  <c r="CF39" i="1" s="1"/>
  <c r="W27" i="3"/>
  <c r="R23" i="3"/>
  <c r="AC18" i="1" s="1"/>
  <c r="T88" i="2"/>
  <c r="R88" i="2"/>
  <c r="W86" i="2"/>
  <c r="T80" i="2"/>
  <c r="U80" i="2"/>
  <c r="T79" i="2"/>
  <c r="BL109" i="1" s="1"/>
  <c r="P48" i="2"/>
  <c r="R48" i="2"/>
  <c r="AB44" i="1" s="1"/>
  <c r="R47" i="2"/>
  <c r="AB43" i="1" s="1"/>
  <c r="W47" i="2"/>
  <c r="P16" i="2"/>
  <c r="U16" i="2"/>
  <c r="CE12" i="1" s="1"/>
  <c r="R16" i="2"/>
  <c r="AB12" i="1" s="1"/>
  <c r="R15" i="2"/>
  <c r="AB11" i="1" s="1"/>
  <c r="W15" i="2"/>
  <c r="U60" i="7"/>
  <c r="CJ77" i="1" s="1"/>
  <c r="W46" i="7"/>
  <c r="P46" i="7"/>
  <c r="R46" i="7" s="1"/>
  <c r="AG42" i="1" s="1"/>
  <c r="U43" i="7"/>
  <c r="CJ39" i="1" s="1"/>
  <c r="P43" i="7"/>
  <c r="X43" i="7" s="1"/>
  <c r="T43" i="7"/>
  <c r="BQ39" i="1" s="1"/>
  <c r="T17" i="7"/>
  <c r="BQ13" i="1" s="1"/>
  <c r="X17" i="7"/>
  <c r="R84" i="6"/>
  <c r="U84" i="6"/>
  <c r="T84" i="6"/>
  <c r="P77" i="6"/>
  <c r="X77" i="6" s="1"/>
  <c r="W77" i="6"/>
  <c r="R77" i="6"/>
  <c r="AF106" i="1" s="1"/>
  <c r="R52" i="6"/>
  <c r="AF48" i="1" s="1"/>
  <c r="T52" i="6"/>
  <c r="BP48" i="1" s="1"/>
  <c r="U52" i="6"/>
  <c r="CI48" i="1" s="1"/>
  <c r="W52" i="6"/>
  <c r="R19" i="6"/>
  <c r="AF15" i="1" s="1"/>
  <c r="U19" i="6"/>
  <c r="CI15" i="1" s="1"/>
  <c r="U52" i="9"/>
  <c r="CL48" i="1" s="1"/>
  <c r="X52" i="9"/>
  <c r="T52" i="9"/>
  <c r="BS48" i="1" s="1"/>
  <c r="X65" i="8"/>
  <c r="U65" i="8"/>
  <c r="CK85" i="1" s="1"/>
  <c r="R65" i="8"/>
  <c r="AH85" i="1" s="1"/>
  <c r="T65" i="8"/>
  <c r="BR85" i="1" s="1"/>
  <c r="T64" i="2"/>
  <c r="BL87" i="1" s="1"/>
  <c r="T58" i="2"/>
  <c r="U57" i="2"/>
  <c r="CE69" i="1" s="1"/>
  <c r="R51" i="2"/>
  <c r="AB47" i="1" s="1"/>
  <c r="U34" i="2"/>
  <c r="CE30" i="1" s="1"/>
  <c r="T30" i="2"/>
  <c r="BL26" i="1" s="1"/>
  <c r="T24" i="2"/>
  <c r="BL19" i="1" s="1"/>
  <c r="U23" i="2"/>
  <c r="CE18" i="1" s="1"/>
  <c r="R19" i="2"/>
  <c r="AB15" i="1" s="1"/>
  <c r="C3" i="2"/>
  <c r="N8" i="2"/>
  <c r="R81" i="7"/>
  <c r="AG112" i="1" s="1"/>
  <c r="W77" i="7"/>
  <c r="U76" i="7"/>
  <c r="CJ103" i="1" s="1"/>
  <c r="P71" i="7"/>
  <c r="T71" i="7"/>
  <c r="BQ97" i="1" s="1"/>
  <c r="W60" i="7"/>
  <c r="P58" i="7"/>
  <c r="W55" i="7"/>
  <c r="T52" i="7"/>
  <c r="BQ48" i="1" s="1"/>
  <c r="W52" i="7"/>
  <c r="R52" i="7"/>
  <c r="AG48" i="1" s="1"/>
  <c r="U50" i="7"/>
  <c r="CJ46" i="1" s="1"/>
  <c r="X36" i="7"/>
  <c r="P28" i="7"/>
  <c r="U27" i="7"/>
  <c r="CJ22" i="1" s="1"/>
  <c r="P21" i="7"/>
  <c r="U21" i="7" s="1"/>
  <c r="CJ16" i="1" s="1"/>
  <c r="T75" i="6"/>
  <c r="BP102" i="1" s="1"/>
  <c r="U75" i="6"/>
  <c r="CI102" i="1" s="1"/>
  <c r="R72" i="6"/>
  <c r="AF99" i="1" s="1"/>
  <c r="P72" i="6"/>
  <c r="T72" i="6"/>
  <c r="BP99" i="1" s="1"/>
  <c r="W72" i="6"/>
  <c r="P61" i="6"/>
  <c r="X61" i="6" s="1"/>
  <c r="U61" i="6"/>
  <c r="CI82" i="1" s="1"/>
  <c r="W61" i="6"/>
  <c r="X46" i="6"/>
  <c r="R46" i="6"/>
  <c r="AF42" i="1" s="1"/>
  <c r="T41" i="6"/>
  <c r="BP37" i="1" s="1"/>
  <c r="R41" i="6"/>
  <c r="AF37" i="1" s="1"/>
  <c r="U41" i="6"/>
  <c r="CI37" i="1" s="1"/>
  <c r="X41" i="6"/>
  <c r="P22" i="6"/>
  <c r="U22" i="6"/>
  <c r="CI17" i="1" s="1"/>
  <c r="W22" i="6"/>
  <c r="W14" i="6"/>
  <c r="P14" i="6"/>
  <c r="X14" i="6" s="1"/>
  <c r="R10" i="6"/>
  <c r="P10" i="6"/>
  <c r="U10" i="6"/>
  <c r="T10" i="6"/>
  <c r="U62" i="9"/>
  <c r="U55" i="9"/>
  <c r="CL54" i="1" s="1"/>
  <c r="X50" i="9"/>
  <c r="R50" i="9"/>
  <c r="AI46" i="1" s="1"/>
  <c r="U50" i="9"/>
  <c r="CL46" i="1" s="1"/>
  <c r="T50" i="9"/>
  <c r="BS46" i="1" s="1"/>
  <c r="R47" i="9"/>
  <c r="AI43" i="1" s="1"/>
  <c r="X47" i="9"/>
  <c r="P49" i="8"/>
  <c r="X49" i="8" s="1"/>
  <c r="R49" i="8"/>
  <c r="AH45" i="1" s="1"/>
  <c r="W49" i="8"/>
  <c r="R13" i="8"/>
  <c r="AH9" i="1" s="1"/>
  <c r="T13" i="8"/>
  <c r="BR9" i="1" s="1"/>
  <c r="U13" i="8"/>
  <c r="CK9" i="1" s="1"/>
  <c r="W13" i="8"/>
  <c r="R73" i="2"/>
  <c r="AB100" i="1" s="1"/>
  <c r="W51" i="2"/>
  <c r="T50" i="2"/>
  <c r="BL46" i="1" s="1"/>
  <c r="W40" i="2"/>
  <c r="R39" i="2"/>
  <c r="AB35" i="1" s="1"/>
  <c r="W30" i="2"/>
  <c r="T23" i="2"/>
  <c r="BL18" i="1" s="1"/>
  <c r="W19" i="2"/>
  <c r="T18" i="2"/>
  <c r="BL14" i="1" s="1"/>
  <c r="P82" i="7"/>
  <c r="U82" i="7"/>
  <c r="CJ113" i="1" s="1"/>
  <c r="CT113" i="1" s="1"/>
  <c r="F113" i="1" s="1"/>
  <c r="T76" i="7"/>
  <c r="BQ103" i="1" s="1"/>
  <c r="P38" i="7"/>
  <c r="T38" i="7"/>
  <c r="BQ34" i="1" s="1"/>
  <c r="T34" i="7"/>
  <c r="BQ30" i="1" s="1"/>
  <c r="X26" i="7"/>
  <c r="X78" i="6"/>
  <c r="R78" i="6"/>
  <c r="AF108" i="1" s="1"/>
  <c r="U68" i="6"/>
  <c r="CI92" i="1" s="1"/>
  <c r="U44" i="6"/>
  <c r="CI40" i="1" s="1"/>
  <c r="X44" i="6"/>
  <c r="P34" i="6"/>
  <c r="T34" i="6"/>
  <c r="BP30" i="1" s="1"/>
  <c r="W34" i="6"/>
  <c r="R16" i="6"/>
  <c r="AF12" i="1" s="1"/>
  <c r="X80" i="9"/>
  <c r="U80" i="9"/>
  <c r="CL103" i="1" s="1"/>
  <c r="U47" i="9"/>
  <c r="CL43" i="1" s="1"/>
  <c r="R76" i="8"/>
  <c r="AH99" i="1" s="1"/>
  <c r="X76" i="8"/>
  <c r="T54" i="8"/>
  <c r="BR50" i="1" s="1"/>
  <c r="W54" i="8"/>
  <c r="R54" i="8"/>
  <c r="AH50" i="1" s="1"/>
  <c r="U54" i="8"/>
  <c r="CK50" i="1" s="1"/>
  <c r="P54" i="8"/>
  <c r="X54" i="8" s="1"/>
  <c r="U45" i="8"/>
  <c r="CK41" i="1" s="1"/>
  <c r="W45" i="8"/>
  <c r="T45" i="8"/>
  <c r="BR41" i="1" s="1"/>
  <c r="R45" i="8"/>
  <c r="AH41" i="1" s="1"/>
  <c r="P45" i="8"/>
  <c r="X45" i="8" s="1"/>
  <c r="T46" i="2"/>
  <c r="BL42" i="1" s="1"/>
  <c r="R35" i="2"/>
  <c r="AB31" i="1" s="1"/>
  <c r="T14" i="2"/>
  <c r="BL10" i="1" s="1"/>
  <c r="R13" i="2"/>
  <c r="T75" i="7"/>
  <c r="BQ102" i="1" s="1"/>
  <c r="T69" i="7"/>
  <c r="BQ95" i="1" s="1"/>
  <c r="X69" i="7"/>
  <c r="P60" i="7"/>
  <c r="P55" i="7"/>
  <c r="W50" i="7"/>
  <c r="R50" i="7"/>
  <c r="AG46" i="1" s="1"/>
  <c r="P39" i="7"/>
  <c r="T39" i="7" s="1"/>
  <c r="BQ35" i="1" s="1"/>
  <c r="R39" i="7"/>
  <c r="AG35" i="1" s="1"/>
  <c r="X32" i="7"/>
  <c r="R32" i="7"/>
  <c r="AG28" i="1" s="1"/>
  <c r="T32" i="7"/>
  <c r="BQ28" i="1" s="1"/>
  <c r="P15" i="7"/>
  <c r="T15" i="7" s="1"/>
  <c r="BQ11" i="1" s="1"/>
  <c r="U15" i="7"/>
  <c r="CJ11" i="1" s="1"/>
  <c r="P73" i="6"/>
  <c r="T73" i="6" s="1"/>
  <c r="BP100" i="1" s="1"/>
  <c r="T62" i="6"/>
  <c r="BP85" i="1" s="1"/>
  <c r="T42" i="6"/>
  <c r="BP38" i="1" s="1"/>
  <c r="X42" i="6"/>
  <c r="U42" i="6"/>
  <c r="CI38" i="1" s="1"/>
  <c r="T27" i="6"/>
  <c r="BP22" i="1" s="1"/>
  <c r="W27" i="6"/>
  <c r="R27" i="6"/>
  <c r="AF22" i="1" s="1"/>
  <c r="P27" i="6"/>
  <c r="X27" i="6" s="1"/>
  <c r="T15" i="6"/>
  <c r="BP11" i="1" s="1"/>
  <c r="U15" i="6"/>
  <c r="CI11" i="1" s="1"/>
  <c r="R15" i="6"/>
  <c r="AF11" i="1" s="1"/>
  <c r="W15" i="6"/>
  <c r="X84" i="9"/>
  <c r="T84" i="9"/>
  <c r="BS109" i="1" s="1"/>
  <c r="U84" i="9"/>
  <c r="CL109" i="1" s="1"/>
  <c r="T81" i="9"/>
  <c r="BS106" i="1" s="1"/>
  <c r="W81" i="9"/>
  <c r="P81" i="9"/>
  <c r="R81" i="9" s="1"/>
  <c r="AI106" i="1" s="1"/>
  <c r="R77" i="9"/>
  <c r="AI100" i="1" s="1"/>
  <c r="U77" i="9"/>
  <c r="CL100" i="1" s="1"/>
  <c r="X77" i="9"/>
  <c r="R56" i="9"/>
  <c r="AI59" i="1" s="1"/>
  <c r="P56" i="9"/>
  <c r="X56" i="9" s="1"/>
  <c r="U56" i="9"/>
  <c r="CL59" i="1" s="1"/>
  <c r="T56" i="9"/>
  <c r="BS59" i="1" s="1"/>
  <c r="W28" i="9"/>
  <c r="P28" i="9"/>
  <c r="T28" i="9" s="1"/>
  <c r="BS24" i="1" s="1"/>
  <c r="T34" i="2"/>
  <c r="BL30" i="1" s="1"/>
  <c r="R23" i="2"/>
  <c r="AB18" i="1" s="1"/>
  <c r="W14" i="2"/>
  <c r="R77" i="7"/>
  <c r="AG106" i="1" s="1"/>
  <c r="T44" i="7"/>
  <c r="BQ40" i="1" s="1"/>
  <c r="U36" i="7"/>
  <c r="CJ32" i="1" s="1"/>
  <c r="P20" i="7"/>
  <c r="U20" i="7" s="1"/>
  <c r="T11" i="7"/>
  <c r="BQ7" i="1" s="1"/>
  <c r="W83" i="6"/>
  <c r="R83" i="6"/>
  <c r="T83" i="6"/>
  <c r="W71" i="6"/>
  <c r="P71" i="6"/>
  <c r="R71" i="6"/>
  <c r="AF97" i="1" s="1"/>
  <c r="U71" i="6"/>
  <c r="CI97" i="1" s="1"/>
  <c r="R56" i="6"/>
  <c r="W56" i="6"/>
  <c r="P56" i="6"/>
  <c r="W51" i="6"/>
  <c r="R51" i="6"/>
  <c r="AF47" i="1" s="1"/>
  <c r="T51" i="6"/>
  <c r="BP47" i="1" s="1"/>
  <c r="P45" i="6"/>
  <c r="R45" i="6" s="1"/>
  <c r="AF41" i="1" s="1"/>
  <c r="U45" i="6"/>
  <c r="CI41" i="1" s="1"/>
  <c r="W45" i="6"/>
  <c r="P63" i="9"/>
  <c r="R63" i="9"/>
  <c r="AI82" i="1" s="1"/>
  <c r="W63" i="9"/>
  <c r="P61" i="9"/>
  <c r="U61" i="9" s="1"/>
  <c r="CL77" i="1" s="1"/>
  <c r="R61" i="9"/>
  <c r="AI77" i="1" s="1"/>
  <c r="P46" i="9"/>
  <c r="X46" i="9" s="1"/>
  <c r="W44" i="9"/>
  <c r="P44" i="9"/>
  <c r="X44" i="9" s="1"/>
  <c r="U44" i="9"/>
  <c r="CL40" i="1" s="1"/>
  <c r="P67" i="8"/>
  <c r="X67" i="8" s="1"/>
  <c r="U67" i="8"/>
  <c r="CK87" i="1" s="1"/>
  <c r="W67" i="8"/>
  <c r="T68" i="7"/>
  <c r="BQ92" i="1" s="1"/>
  <c r="U67" i="7"/>
  <c r="CJ90" i="1" s="1"/>
  <c r="R62" i="7"/>
  <c r="AG85" i="1" s="1"/>
  <c r="T33" i="7"/>
  <c r="BQ29" i="1" s="1"/>
  <c r="U31" i="7"/>
  <c r="CJ27" i="1" s="1"/>
  <c r="R24" i="7"/>
  <c r="AG19" i="1" s="1"/>
  <c r="P18" i="7"/>
  <c r="R17" i="7"/>
  <c r="AG13" i="1" s="1"/>
  <c r="T80" i="6"/>
  <c r="R76" i="6"/>
  <c r="AF103" i="1" s="1"/>
  <c r="U70" i="6"/>
  <c r="CI96" i="1" s="1"/>
  <c r="T69" i="6"/>
  <c r="BP95" i="1" s="1"/>
  <c r="R67" i="6"/>
  <c r="AF90" i="1" s="1"/>
  <c r="T66" i="6"/>
  <c r="BP89" i="1" s="1"/>
  <c r="X66" i="6"/>
  <c r="P65" i="6"/>
  <c r="U65" i="6" s="1"/>
  <c r="CI88" i="1" s="1"/>
  <c r="T59" i="6"/>
  <c r="BP75" i="1" s="1"/>
  <c r="T54" i="6"/>
  <c r="BP50" i="1" s="1"/>
  <c r="T48" i="6"/>
  <c r="BP44" i="1" s="1"/>
  <c r="R44" i="6"/>
  <c r="AF40" i="1" s="1"/>
  <c r="U39" i="6"/>
  <c r="CI35" i="1" s="1"/>
  <c r="T37" i="6"/>
  <c r="BP33" i="1" s="1"/>
  <c r="P35" i="6"/>
  <c r="P30" i="6"/>
  <c r="R30" i="6"/>
  <c r="AF26" i="1" s="1"/>
  <c r="T26" i="6"/>
  <c r="BP21" i="1" s="1"/>
  <c r="U25" i="6"/>
  <c r="CI20" i="1" s="1"/>
  <c r="W87" i="9"/>
  <c r="P87" i="9"/>
  <c r="T80" i="9"/>
  <c r="BS103" i="1" s="1"/>
  <c r="T70" i="9"/>
  <c r="BS90" i="1" s="1"/>
  <c r="X70" i="9"/>
  <c r="W51" i="9"/>
  <c r="R51" i="9"/>
  <c r="AI47" i="1" s="1"/>
  <c r="T51" i="9"/>
  <c r="BS47" i="1" s="1"/>
  <c r="P31" i="9"/>
  <c r="X31" i="9" s="1"/>
  <c r="U31" i="9"/>
  <c r="CL27" i="1" s="1"/>
  <c r="R31" i="9"/>
  <c r="AI27" i="1" s="1"/>
  <c r="T31" i="9"/>
  <c r="BS27" i="1" s="1"/>
  <c r="T26" i="9"/>
  <c r="BS22" i="1" s="1"/>
  <c r="X26" i="9"/>
  <c r="X13" i="9"/>
  <c r="R13" i="9"/>
  <c r="AI9" i="1" s="1"/>
  <c r="W84" i="8"/>
  <c r="P84" i="8"/>
  <c r="T84" i="8"/>
  <c r="BR109" i="1" s="1"/>
  <c r="P70" i="8"/>
  <c r="X70" i="8" s="1"/>
  <c r="U70" i="8"/>
  <c r="CK90" i="1" s="1"/>
  <c r="W70" i="8"/>
  <c r="X55" i="8"/>
  <c r="R55" i="8"/>
  <c r="AH54" i="1" s="1"/>
  <c r="P80" i="6"/>
  <c r="P79" i="6"/>
  <c r="T78" i="6"/>
  <c r="BP108" i="1" s="1"/>
  <c r="R70" i="6"/>
  <c r="AF96" i="1" s="1"/>
  <c r="R68" i="6"/>
  <c r="AF92" i="1" s="1"/>
  <c r="R59" i="6"/>
  <c r="AF75" i="1" s="1"/>
  <c r="T58" i="6"/>
  <c r="X58" i="6"/>
  <c r="P57" i="6"/>
  <c r="U57" i="6" s="1"/>
  <c r="CI69" i="1" s="1"/>
  <c r="P47" i="6"/>
  <c r="T46" i="6"/>
  <c r="BP42" i="1" s="1"/>
  <c r="U36" i="6"/>
  <c r="CI32" i="1" s="1"/>
  <c r="P36" i="6"/>
  <c r="W32" i="6"/>
  <c r="P32" i="6"/>
  <c r="U32" i="6" s="1"/>
  <c r="CI28" i="1" s="1"/>
  <c r="R26" i="6"/>
  <c r="AF21" i="1" s="1"/>
  <c r="U23" i="6"/>
  <c r="CI18" i="1" s="1"/>
  <c r="T16" i="6"/>
  <c r="BP12" i="1" s="1"/>
  <c r="R11" i="6"/>
  <c r="T11" i="6"/>
  <c r="BP7" i="1" s="1"/>
  <c r="C3" i="6"/>
  <c r="N8" i="6"/>
  <c r="W85" i="9"/>
  <c r="U85" i="9"/>
  <c r="P85" i="9"/>
  <c r="T74" i="9"/>
  <c r="BS96" i="1" s="1"/>
  <c r="X68" i="9"/>
  <c r="R68" i="9"/>
  <c r="AI88" i="1" s="1"/>
  <c r="T68" i="9"/>
  <c r="BS88" i="1" s="1"/>
  <c r="P55" i="9"/>
  <c r="X55" i="9" s="1"/>
  <c r="T55" i="9"/>
  <c r="BS54" i="1" s="1"/>
  <c r="V86" i="9"/>
  <c r="P49" i="9"/>
  <c r="X49" i="9" s="1"/>
  <c r="T49" i="9"/>
  <c r="BS45" i="1" s="1"/>
  <c r="W49" i="9"/>
  <c r="R45" i="9"/>
  <c r="AI41" i="1" s="1"/>
  <c r="X42" i="9"/>
  <c r="T42" i="9"/>
  <c r="BS38" i="1" s="1"/>
  <c r="R40" i="9"/>
  <c r="AI36" i="1" s="1"/>
  <c r="T40" i="9"/>
  <c r="BS36" i="1" s="1"/>
  <c r="U40" i="9"/>
  <c r="CL36" i="1" s="1"/>
  <c r="P40" i="9"/>
  <c r="X40" i="9" s="1"/>
  <c r="X36" i="9"/>
  <c r="T59" i="8"/>
  <c r="X25" i="8"/>
  <c r="U25" i="8"/>
  <c r="CK21" i="1" s="1"/>
  <c r="U23" i="8"/>
  <c r="CK19" i="1" s="1"/>
  <c r="W23" i="8"/>
  <c r="P23" i="8"/>
  <c r="X23" i="8" s="1"/>
  <c r="X17" i="8"/>
  <c r="R17" i="8"/>
  <c r="AH13" i="1" s="1"/>
  <c r="P69" i="6"/>
  <c r="X69" i="6" s="1"/>
  <c r="U69" i="6"/>
  <c r="CI95" i="1" s="1"/>
  <c r="R48" i="6"/>
  <c r="AF44" i="1" s="1"/>
  <c r="X39" i="6"/>
  <c r="T39" i="6"/>
  <c r="BP35" i="1" s="1"/>
  <c r="X25" i="6"/>
  <c r="T25" i="6"/>
  <c r="BP20" i="1" s="1"/>
  <c r="R17" i="6"/>
  <c r="AF13" i="1" s="1"/>
  <c r="U17" i="6"/>
  <c r="CI13" i="1" s="1"/>
  <c r="W17" i="6"/>
  <c r="P82" i="9"/>
  <c r="W82" i="9"/>
  <c r="U43" i="9"/>
  <c r="CL39" i="1" s="1"/>
  <c r="X43" i="9"/>
  <c r="S88" i="9"/>
  <c r="R68" i="8"/>
  <c r="AH88" i="1" s="1"/>
  <c r="X68" i="8"/>
  <c r="X36" i="8"/>
  <c r="U36" i="8"/>
  <c r="CK32" i="1" s="1"/>
  <c r="T36" i="8"/>
  <c r="BR32" i="1" s="1"/>
  <c r="R32" i="8"/>
  <c r="AH28" i="1" s="1"/>
  <c r="T32" i="8"/>
  <c r="BR28" i="1" s="1"/>
  <c r="P32" i="8"/>
  <c r="X32" i="8" s="1"/>
  <c r="P14" i="8"/>
  <c r="X14" i="8" s="1"/>
  <c r="T36" i="7"/>
  <c r="BQ32" i="1" s="1"/>
  <c r="U35" i="7"/>
  <c r="CJ31" i="1" s="1"/>
  <c r="R30" i="7"/>
  <c r="AG26" i="1" s="1"/>
  <c r="T13" i="7"/>
  <c r="BQ9" i="1" s="1"/>
  <c r="X13" i="7"/>
  <c r="U12" i="7"/>
  <c r="CJ8" i="1" s="1"/>
  <c r="P12" i="7"/>
  <c r="R11" i="7"/>
  <c r="C3" i="7"/>
  <c r="N8" i="7"/>
  <c r="T82" i="6"/>
  <c r="BP113" i="1" s="1"/>
  <c r="X82" i="6"/>
  <c r="P81" i="6"/>
  <c r="T70" i="6"/>
  <c r="BP96" i="1" s="1"/>
  <c r="R60" i="6"/>
  <c r="AF77" i="1" s="1"/>
  <c r="T50" i="6"/>
  <c r="BP46" i="1" s="1"/>
  <c r="X50" i="6"/>
  <c r="U49" i="6"/>
  <c r="CI45" i="1" s="1"/>
  <c r="P49" i="6"/>
  <c r="P33" i="6"/>
  <c r="U33" i="6" s="1"/>
  <c r="CI29" i="1" s="1"/>
  <c r="T79" i="9"/>
  <c r="BS102" i="1" s="1"/>
  <c r="U79" i="9"/>
  <c r="CL102" i="1" s="1"/>
  <c r="R79" i="9"/>
  <c r="AI102" i="1" s="1"/>
  <c r="T71" i="9"/>
  <c r="BS92" i="1" s="1"/>
  <c r="U71" i="9"/>
  <c r="CL92" i="1" s="1"/>
  <c r="W71" i="9"/>
  <c r="P71" i="9"/>
  <c r="T62" i="9"/>
  <c r="P62" i="9"/>
  <c r="X62" i="9" s="1"/>
  <c r="R14" i="9"/>
  <c r="AI10" i="1" s="1"/>
  <c r="T14" i="9"/>
  <c r="BS10" i="1" s="1"/>
  <c r="U14" i="9"/>
  <c r="CL10" i="1" s="1"/>
  <c r="U12" i="9"/>
  <c r="CL8" i="1" s="1"/>
  <c r="W12" i="9"/>
  <c r="P12" i="9"/>
  <c r="X12" i="9" s="1"/>
  <c r="U74" i="8"/>
  <c r="CK96" i="1" s="1"/>
  <c r="W74" i="8"/>
  <c r="T74" i="8"/>
  <c r="BR96" i="1" s="1"/>
  <c r="P74" i="8"/>
  <c r="T46" i="8"/>
  <c r="BR42" i="1" s="1"/>
  <c r="W46" i="8"/>
  <c r="P46" i="8"/>
  <c r="X46" i="8" s="1"/>
  <c r="V22" i="8"/>
  <c r="S88" i="8"/>
  <c r="X18" i="8"/>
  <c r="U18" i="8"/>
  <c r="CK14" i="1" s="1"/>
  <c r="R37" i="6"/>
  <c r="AF33" i="1" s="1"/>
  <c r="U24" i="6"/>
  <c r="CI19" i="1" s="1"/>
  <c r="T19" i="6"/>
  <c r="BP15" i="1" s="1"/>
  <c r="U13" i="6"/>
  <c r="CI9" i="1" s="1"/>
  <c r="T77" i="9"/>
  <c r="BS100" i="1" s="1"/>
  <c r="U70" i="9"/>
  <c r="CL90" i="1" s="1"/>
  <c r="R52" i="9"/>
  <c r="AI48" i="1" s="1"/>
  <c r="W43" i="9"/>
  <c r="T43" i="9"/>
  <c r="BS39" i="1" s="1"/>
  <c r="T38" i="9"/>
  <c r="BS34" i="1" s="1"/>
  <c r="U38" i="9"/>
  <c r="CL34" i="1" s="1"/>
  <c r="P30" i="9"/>
  <c r="W30" i="9"/>
  <c r="X27" i="9"/>
  <c r="T27" i="9"/>
  <c r="BS23" i="1" s="1"/>
  <c r="R27" i="9"/>
  <c r="AI23" i="1" s="1"/>
  <c r="U26" i="9"/>
  <c r="CL22" i="1" s="1"/>
  <c r="W26" i="9"/>
  <c r="R26" i="9"/>
  <c r="AI22" i="1" s="1"/>
  <c r="X21" i="9"/>
  <c r="T21" i="9"/>
  <c r="BS17" i="1" s="1"/>
  <c r="W16" i="9"/>
  <c r="P16" i="9"/>
  <c r="T16" i="9"/>
  <c r="BS12" i="1" s="1"/>
  <c r="U16" i="9"/>
  <c r="CL12" i="1" s="1"/>
  <c r="T85" i="8"/>
  <c r="X85" i="8"/>
  <c r="P82" i="8"/>
  <c r="T82" i="8"/>
  <c r="X40" i="8"/>
  <c r="U40" i="8"/>
  <c r="CK36" i="1" s="1"/>
  <c r="R25" i="8"/>
  <c r="AH21" i="1" s="1"/>
  <c r="T25" i="8"/>
  <c r="BR21" i="1" s="1"/>
  <c r="P74" i="9"/>
  <c r="R74" i="9"/>
  <c r="AI96" i="1" s="1"/>
  <c r="R73" i="9"/>
  <c r="AI95" i="1" s="1"/>
  <c r="T72" i="9"/>
  <c r="BS93" i="1" s="1"/>
  <c r="T54" i="9"/>
  <c r="BS50" i="1" s="1"/>
  <c r="R54" i="9"/>
  <c r="AI50" i="1" s="1"/>
  <c r="U45" i="9"/>
  <c r="CL41" i="1" s="1"/>
  <c r="T45" i="9"/>
  <c r="BS41" i="1" s="1"/>
  <c r="T39" i="9"/>
  <c r="BS35" i="1" s="1"/>
  <c r="U39" i="9"/>
  <c r="CL35" i="1" s="1"/>
  <c r="T22" i="9"/>
  <c r="BS18" i="1" s="1"/>
  <c r="U22" i="9"/>
  <c r="CL18" i="1" s="1"/>
  <c r="N89" i="8"/>
  <c r="X73" i="8"/>
  <c r="U73" i="8"/>
  <c r="CK95" i="1" s="1"/>
  <c r="T73" i="8"/>
  <c r="BR95" i="1" s="1"/>
  <c r="P59" i="8"/>
  <c r="X59" i="8" s="1"/>
  <c r="R59" i="8"/>
  <c r="U59" i="8"/>
  <c r="R23" i="6"/>
  <c r="AF18" i="1" s="1"/>
  <c r="W73" i="9"/>
  <c r="W72" i="9"/>
  <c r="P57" i="9"/>
  <c r="R48" i="9"/>
  <c r="AI44" i="1" s="1"/>
  <c r="T48" i="9"/>
  <c r="BS44" i="1" s="1"/>
  <c r="T47" i="9"/>
  <c r="BS43" i="1" s="1"/>
  <c r="T36" i="9"/>
  <c r="BS32" i="1" s="1"/>
  <c r="U36" i="9"/>
  <c r="CL32" i="1" s="1"/>
  <c r="U32" i="9"/>
  <c r="CL28" i="1" s="1"/>
  <c r="T13" i="9"/>
  <c r="BS9" i="1" s="1"/>
  <c r="U13" i="9"/>
  <c r="CL9" i="1" s="1"/>
  <c r="U10" i="9"/>
  <c r="W80" i="8"/>
  <c r="P80" i="8"/>
  <c r="X77" i="8"/>
  <c r="U77" i="8"/>
  <c r="CK100" i="1" s="1"/>
  <c r="P41" i="8"/>
  <c r="R41" i="8"/>
  <c r="AH37" i="1" s="1"/>
  <c r="W41" i="8"/>
  <c r="T24" i="8"/>
  <c r="BR20" i="1" s="1"/>
  <c r="U24" i="8"/>
  <c r="CK20" i="1" s="1"/>
  <c r="W24" i="8"/>
  <c r="X22" i="8"/>
  <c r="R22" i="8"/>
  <c r="AH18" i="1" s="1"/>
  <c r="T22" i="8"/>
  <c r="BR18" i="1" s="1"/>
  <c r="U22" i="8"/>
  <c r="CK18" i="1" s="1"/>
  <c r="U35" i="9"/>
  <c r="CL31" i="1" s="1"/>
  <c r="W29" i="9"/>
  <c r="U25" i="9"/>
  <c r="CL21" i="1" s="1"/>
  <c r="U18" i="9"/>
  <c r="CL14" i="1" s="1"/>
  <c r="U53" i="8"/>
  <c r="CK49" i="1" s="1"/>
  <c r="W53" i="8"/>
  <c r="R53" i="8"/>
  <c r="AH49" i="1" s="1"/>
  <c r="T53" i="8"/>
  <c r="BR49" i="1" s="1"/>
  <c r="X44" i="8"/>
  <c r="U44" i="8"/>
  <c r="CK40" i="1" s="1"/>
  <c r="P38" i="8"/>
  <c r="T38" i="8" s="1"/>
  <c r="BR34" i="1" s="1"/>
  <c r="P30" i="8"/>
  <c r="R65" i="9"/>
  <c r="AI85" i="1" s="1"/>
  <c r="T35" i="9"/>
  <c r="BS31" i="1" s="1"/>
  <c r="U33" i="9"/>
  <c r="CL29" i="1" s="1"/>
  <c r="U11" i="9"/>
  <c r="CL7" i="1" s="1"/>
  <c r="T11" i="9"/>
  <c r="W11" i="9"/>
  <c r="T75" i="8"/>
  <c r="BR97" i="1" s="1"/>
  <c r="W75" i="8"/>
  <c r="U63" i="8"/>
  <c r="CK82" i="1" s="1"/>
  <c r="W63" i="8"/>
  <c r="R63" i="8"/>
  <c r="AH82" i="1" s="1"/>
  <c r="T63" i="8"/>
  <c r="BR82" i="1" s="1"/>
  <c r="W35" i="8"/>
  <c r="P35" i="8"/>
  <c r="U35" i="8" s="1"/>
  <c r="CK31" i="1" s="1"/>
  <c r="X29" i="8"/>
  <c r="P26" i="8"/>
  <c r="T11" i="8"/>
  <c r="BR7" i="1" s="1"/>
  <c r="W11" i="8"/>
  <c r="R32" i="9"/>
  <c r="AI28" i="1" s="1"/>
  <c r="T29" i="9"/>
  <c r="BS25" i="1" s="1"/>
  <c r="P17" i="9"/>
  <c r="R17" i="9"/>
  <c r="AI13" i="1" s="1"/>
  <c r="T83" i="8"/>
  <c r="BR108" i="1" s="1"/>
  <c r="P83" i="8"/>
  <c r="P78" i="8"/>
  <c r="R78" i="8"/>
  <c r="AH101" i="1" s="1"/>
  <c r="U55" i="8"/>
  <c r="CK54" i="1" s="1"/>
  <c r="T55" i="8"/>
  <c r="BR54" i="1" s="1"/>
  <c r="W55" i="8"/>
  <c r="X34" i="8"/>
  <c r="R34" i="8"/>
  <c r="AH30" i="1" s="1"/>
  <c r="T34" i="8"/>
  <c r="BR30" i="1" s="1"/>
  <c r="P33" i="8"/>
  <c r="T33" i="8"/>
  <c r="BR29" i="1" s="1"/>
  <c r="W21" i="8"/>
  <c r="P21" i="8"/>
  <c r="R21" i="8"/>
  <c r="AH17" i="1" s="1"/>
  <c r="T21" i="8"/>
  <c r="BR17" i="1" s="1"/>
  <c r="U24" i="9"/>
  <c r="CL20" i="1" s="1"/>
  <c r="R19" i="9"/>
  <c r="AI15" i="1" s="1"/>
  <c r="R85" i="8"/>
  <c r="R77" i="8"/>
  <c r="AH100" i="1" s="1"/>
  <c r="T77" i="8"/>
  <c r="BR100" i="1" s="1"/>
  <c r="U76" i="8"/>
  <c r="CK99" i="1" s="1"/>
  <c r="U66" i="8"/>
  <c r="CK86" i="1" s="1"/>
  <c r="W66" i="8"/>
  <c r="X60" i="8"/>
  <c r="R60" i="8"/>
  <c r="AH75" i="1" s="1"/>
  <c r="R58" i="8"/>
  <c r="AH69" i="1" s="1"/>
  <c r="T58" i="8"/>
  <c r="BR69" i="1" s="1"/>
  <c r="U57" i="8"/>
  <c r="X50" i="8"/>
  <c r="R50" i="8"/>
  <c r="AH46" i="1" s="1"/>
  <c r="R48" i="8"/>
  <c r="AH44" i="1" s="1"/>
  <c r="T48" i="8"/>
  <c r="BR44" i="1" s="1"/>
  <c r="U47" i="8"/>
  <c r="CK43" i="1" s="1"/>
  <c r="U37" i="8"/>
  <c r="CK33" i="1" s="1"/>
  <c r="W37" i="8"/>
  <c r="W27" i="8"/>
  <c r="P27" i="8"/>
  <c r="W15" i="8"/>
  <c r="P15" i="8"/>
  <c r="X71" i="8"/>
  <c r="R71" i="8"/>
  <c r="AH92" i="1" s="1"/>
  <c r="R69" i="8"/>
  <c r="AH89" i="1" s="1"/>
  <c r="T69" i="8"/>
  <c r="BR89" i="1" s="1"/>
  <c r="U68" i="8"/>
  <c r="CK88" i="1" s="1"/>
  <c r="W61" i="8"/>
  <c r="P61" i="8"/>
  <c r="W57" i="8"/>
  <c r="W51" i="8"/>
  <c r="P51" i="8"/>
  <c r="W47" i="8"/>
  <c r="X42" i="8"/>
  <c r="R42" i="8"/>
  <c r="AH38" i="1" s="1"/>
  <c r="R40" i="8"/>
  <c r="AH36" i="1" s="1"/>
  <c r="T40" i="8"/>
  <c r="BR36" i="1" s="1"/>
  <c r="U39" i="8"/>
  <c r="CK35" i="1" s="1"/>
  <c r="U29" i="8"/>
  <c r="CK25" i="1" s="1"/>
  <c r="W29" i="8"/>
  <c r="R20" i="8"/>
  <c r="AH16" i="1" s="1"/>
  <c r="R18" i="8"/>
  <c r="AH14" i="1" s="1"/>
  <c r="T18" i="8"/>
  <c r="BR14" i="1" s="1"/>
  <c r="T17" i="8"/>
  <c r="BR13" i="1" s="1"/>
  <c r="CA63" i="1" l="1"/>
  <c r="E63" i="1" s="1"/>
  <c r="AQ115" i="1"/>
  <c r="D115" i="1" s="1"/>
  <c r="CA43" i="1"/>
  <c r="E43" i="1" s="1"/>
  <c r="AQ30" i="1"/>
  <c r="D30" i="1" s="1"/>
  <c r="AQ59" i="1"/>
  <c r="D59" i="1" s="1"/>
  <c r="AQ74" i="1"/>
  <c r="D74" i="1" s="1"/>
  <c r="CA101" i="1"/>
  <c r="AQ105" i="1"/>
  <c r="CA52" i="1"/>
  <c r="E52" i="1" s="1"/>
  <c r="AQ49" i="1"/>
  <c r="D49" i="1" s="1"/>
  <c r="X81" i="6"/>
  <c r="R81" i="6"/>
  <c r="AF112" i="1" s="1"/>
  <c r="T81" i="6"/>
  <c r="BP112" i="1" s="1"/>
  <c r="T55" i="7"/>
  <c r="BQ54" i="1" s="1"/>
  <c r="CA54" i="1" s="1"/>
  <c r="E54" i="1" s="1"/>
  <c r="X55" i="7"/>
  <c r="X78" i="7"/>
  <c r="T78" i="7"/>
  <c r="BQ108" i="1" s="1"/>
  <c r="CA34" i="1"/>
  <c r="E34" i="1" s="1"/>
  <c r="X17" i="2"/>
  <c r="R17" i="2"/>
  <c r="AB13" i="1" s="1"/>
  <c r="AQ13" i="1" s="1"/>
  <c r="D13" i="1" s="1"/>
  <c r="CA35" i="1"/>
  <c r="E35" i="1" s="1"/>
  <c r="R40" i="4"/>
  <c r="AD36" i="1" s="1"/>
  <c r="AQ36" i="1" s="1"/>
  <c r="D36" i="1" s="1"/>
  <c r="X40" i="4"/>
  <c r="T40" i="4"/>
  <c r="BN36" i="1" s="1"/>
  <c r="T62" i="4"/>
  <c r="BN85" i="1" s="1"/>
  <c r="X62" i="4"/>
  <c r="CT88" i="1"/>
  <c r="F88" i="1" s="1"/>
  <c r="CT50" i="1"/>
  <c r="F50" i="1" s="1"/>
  <c r="T62" i="3"/>
  <c r="BM85" i="1" s="1"/>
  <c r="X62" i="3"/>
  <c r="X78" i="3"/>
  <c r="U78" i="3"/>
  <c r="CF108" i="1" s="1"/>
  <c r="X71" i="3"/>
  <c r="T71" i="3"/>
  <c r="BM97" i="1" s="1"/>
  <c r="R20" i="5"/>
  <c r="X20" i="5"/>
  <c r="T20" i="5"/>
  <c r="AQ34" i="1"/>
  <c r="D34" i="1" s="1"/>
  <c r="CT54" i="1"/>
  <c r="F54" i="1" s="1"/>
  <c r="X72" i="12"/>
  <c r="R72" i="12"/>
  <c r="AJ96" i="1" s="1"/>
  <c r="T72" i="12"/>
  <c r="BT96" i="1" s="1"/>
  <c r="X15" i="13"/>
  <c r="R15" i="13"/>
  <c r="AK11" i="1" s="1"/>
  <c r="T15" i="13"/>
  <c r="BU11" i="1" s="1"/>
  <c r="CA11" i="1" s="1"/>
  <c r="E11" i="1" s="1"/>
  <c r="X37" i="5"/>
  <c r="T37" i="5"/>
  <c r="BO33" i="1" s="1"/>
  <c r="R48" i="14"/>
  <c r="AM46" i="1" s="1"/>
  <c r="X48" i="14"/>
  <c r="T48" i="14"/>
  <c r="BW46" i="1" s="1"/>
  <c r="CA46" i="1" s="1"/>
  <c r="E46" i="1" s="1"/>
  <c r="X21" i="10"/>
  <c r="T21" i="10"/>
  <c r="BV18" i="1" s="1"/>
  <c r="X43" i="10"/>
  <c r="T43" i="10"/>
  <c r="BV40" i="1" s="1"/>
  <c r="X69" i="10"/>
  <c r="T69" i="10"/>
  <c r="BV67" i="1" s="1"/>
  <c r="CA67" i="1" s="1"/>
  <c r="E67" i="1" s="1"/>
  <c r="U69" i="10"/>
  <c r="CO67" i="1" s="1"/>
  <c r="CT67" i="1" s="1"/>
  <c r="F67" i="1" s="1"/>
  <c r="X57" i="10"/>
  <c r="R57" i="10"/>
  <c r="AL55" i="1" s="1"/>
  <c r="AQ55" i="1" s="1"/>
  <c r="D55" i="1" s="1"/>
  <c r="X116" i="14"/>
  <c r="R116" i="14"/>
  <c r="AM114" i="1" s="1"/>
  <c r="CH8" i="1"/>
  <c r="X31" i="5"/>
  <c r="T31" i="5"/>
  <c r="BO27" i="1" s="1"/>
  <c r="U31" i="5"/>
  <c r="CH27" i="1" s="1"/>
  <c r="R31" i="5"/>
  <c r="AE27" i="1" s="1"/>
  <c r="X65" i="10"/>
  <c r="U65" i="10"/>
  <c r="CO63" i="1" s="1"/>
  <c r="CT63" i="1" s="1"/>
  <c r="F63" i="1" s="1"/>
  <c r="X12" i="4"/>
  <c r="R12" i="4"/>
  <c r="AD8" i="1" s="1"/>
  <c r="X21" i="14"/>
  <c r="R21" i="14"/>
  <c r="AM18" i="1" s="1"/>
  <c r="X61" i="8"/>
  <c r="T61" i="8"/>
  <c r="BR77" i="1" s="1"/>
  <c r="R61" i="8"/>
  <c r="AH77" i="1" s="1"/>
  <c r="U61" i="8"/>
  <c r="CK77" i="1" s="1"/>
  <c r="CT77" i="1" s="1"/>
  <c r="F77" i="1" s="1"/>
  <c r="T17" i="9"/>
  <c r="BS13" i="1" s="1"/>
  <c r="X17" i="9"/>
  <c r="U30" i="8"/>
  <c r="CK26" i="1" s="1"/>
  <c r="X30" i="8"/>
  <c r="R30" i="8"/>
  <c r="AH26" i="1" s="1"/>
  <c r="U41" i="8"/>
  <c r="CK37" i="1" s="1"/>
  <c r="CT37" i="1" s="1"/>
  <c r="F37" i="1" s="1"/>
  <c r="X41" i="8"/>
  <c r="R71" i="9"/>
  <c r="AI92" i="1" s="1"/>
  <c r="X71" i="9"/>
  <c r="U81" i="6"/>
  <c r="CI112" i="1" s="1"/>
  <c r="T70" i="8"/>
  <c r="BR90" i="1" s="1"/>
  <c r="U46" i="9"/>
  <c r="CL42" i="1" s="1"/>
  <c r="X63" i="9"/>
  <c r="T63" i="9"/>
  <c r="BS82" i="1" s="1"/>
  <c r="X56" i="6"/>
  <c r="T56" i="6"/>
  <c r="U56" i="6"/>
  <c r="W90" i="2"/>
  <c r="R60" i="7"/>
  <c r="AG77" i="1" s="1"/>
  <c r="X60" i="7"/>
  <c r="U49" i="8"/>
  <c r="CK45" i="1" s="1"/>
  <c r="T14" i="6"/>
  <c r="BP10" i="1" s="1"/>
  <c r="CA10" i="1" s="1"/>
  <c r="E10" i="1" s="1"/>
  <c r="X22" i="6"/>
  <c r="T22" i="6"/>
  <c r="BP17" i="1" s="1"/>
  <c r="T61" i="6"/>
  <c r="BP82" i="1" s="1"/>
  <c r="CA82" i="1" s="1"/>
  <c r="E82" i="1" s="1"/>
  <c r="X48" i="2"/>
  <c r="T48" i="2"/>
  <c r="BL44" i="1" s="1"/>
  <c r="U78" i="7"/>
  <c r="CJ108" i="1" s="1"/>
  <c r="CT108" i="1" s="1"/>
  <c r="X20" i="2"/>
  <c r="X90" i="2" s="1"/>
  <c r="U20" i="2"/>
  <c r="U90" i="2" s="1"/>
  <c r="W86" i="3"/>
  <c r="U29" i="6"/>
  <c r="CI25" i="1" s="1"/>
  <c r="CT25" i="1" s="1"/>
  <c r="F25" i="1" s="1"/>
  <c r="AC7" i="1"/>
  <c r="AV7" i="1"/>
  <c r="U60" i="9"/>
  <c r="CL75" i="1" s="1"/>
  <c r="T85" i="6"/>
  <c r="X59" i="7"/>
  <c r="T59" i="7"/>
  <c r="BQ75" i="1" s="1"/>
  <c r="R56" i="2"/>
  <c r="U84" i="2"/>
  <c r="T84" i="2"/>
  <c r="U17" i="2"/>
  <c r="CE13" i="1" s="1"/>
  <c r="X77" i="3"/>
  <c r="T77" i="3"/>
  <c r="BM106" i="1" s="1"/>
  <c r="U40" i="4"/>
  <c r="CG36" i="1" s="1"/>
  <c r="CT36" i="1" s="1"/>
  <c r="F36" i="1" s="1"/>
  <c r="T63" i="4"/>
  <c r="BN86" i="1" s="1"/>
  <c r="X63" i="4"/>
  <c r="U63" i="4"/>
  <c r="CG86" i="1" s="1"/>
  <c r="CT93" i="1"/>
  <c r="AQ45" i="1"/>
  <c r="D45" i="1" s="1"/>
  <c r="U78" i="9"/>
  <c r="CL101" i="1" s="1"/>
  <c r="X19" i="7"/>
  <c r="T19" i="7"/>
  <c r="BQ15" i="1" s="1"/>
  <c r="CA15" i="1" s="1"/>
  <c r="E15" i="1" s="1"/>
  <c r="R82" i="3"/>
  <c r="X48" i="4"/>
  <c r="R48" i="4"/>
  <c r="AD44" i="1" s="1"/>
  <c r="T48" i="4"/>
  <c r="BN44" i="1" s="1"/>
  <c r="U20" i="5"/>
  <c r="U86" i="5" s="1"/>
  <c r="T85" i="7"/>
  <c r="R24" i="4"/>
  <c r="AD19" i="1" s="1"/>
  <c r="X24" i="4"/>
  <c r="T43" i="4"/>
  <c r="BN39" i="1" s="1"/>
  <c r="U73" i="7"/>
  <c r="CJ100" i="1" s="1"/>
  <c r="CT100" i="1" s="1"/>
  <c r="X16" i="4"/>
  <c r="R16" i="4"/>
  <c r="AD12" i="1" s="1"/>
  <c r="X22" i="3"/>
  <c r="T22" i="3"/>
  <c r="BM17" i="1" s="1"/>
  <c r="X63" i="5"/>
  <c r="T63" i="5"/>
  <c r="BO86" i="1" s="1"/>
  <c r="R63" i="5"/>
  <c r="AE86" i="1" s="1"/>
  <c r="AQ86" i="1" s="1"/>
  <c r="D86" i="1" s="1"/>
  <c r="X21" i="4"/>
  <c r="U21" i="4"/>
  <c r="CG16" i="1" s="1"/>
  <c r="T57" i="5"/>
  <c r="BO69" i="1" s="1"/>
  <c r="X57" i="5"/>
  <c r="R44" i="12"/>
  <c r="AJ40" i="1" s="1"/>
  <c r="X44" i="12"/>
  <c r="X79" i="3"/>
  <c r="U79" i="3"/>
  <c r="CF109" i="1" s="1"/>
  <c r="X27" i="5"/>
  <c r="T27" i="5"/>
  <c r="BO22" i="1" s="1"/>
  <c r="BT8" i="1"/>
  <c r="U72" i="12"/>
  <c r="CM96" i="1" s="1"/>
  <c r="U15" i="13"/>
  <c r="CN11" i="1" s="1"/>
  <c r="X31" i="12"/>
  <c r="T31" i="12"/>
  <c r="BT27" i="1" s="1"/>
  <c r="U31" i="12"/>
  <c r="CM27" i="1" s="1"/>
  <c r="R37" i="5"/>
  <c r="AE33" i="1" s="1"/>
  <c r="AQ33" i="1" s="1"/>
  <c r="D33" i="1" s="1"/>
  <c r="U48" i="14"/>
  <c r="CP46" i="1" s="1"/>
  <c r="X74" i="7"/>
  <c r="R74" i="7"/>
  <c r="AG101" i="1" s="1"/>
  <c r="X76" i="4"/>
  <c r="R76" i="4"/>
  <c r="AD103" i="1" s="1"/>
  <c r="U79" i="5"/>
  <c r="CH109" i="1" s="1"/>
  <c r="AQ76" i="1"/>
  <c r="D76" i="1" s="1"/>
  <c r="X36" i="14"/>
  <c r="R36" i="14"/>
  <c r="AM33" i="1" s="1"/>
  <c r="T36" i="14"/>
  <c r="BW33" i="1" s="1"/>
  <c r="U59" i="4"/>
  <c r="CG75" i="1" s="1"/>
  <c r="X24" i="12"/>
  <c r="R24" i="12"/>
  <c r="AJ20" i="1" s="1"/>
  <c r="AQ20" i="1" s="1"/>
  <c r="D20" i="1" s="1"/>
  <c r="T24" i="12"/>
  <c r="BT20" i="1" s="1"/>
  <c r="X33" i="13"/>
  <c r="R33" i="13"/>
  <c r="AK30" i="1" s="1"/>
  <c r="T33" i="13"/>
  <c r="BU30" i="1" s="1"/>
  <c r="T44" i="14"/>
  <c r="BW42" i="1" s="1"/>
  <c r="R44" i="14"/>
  <c r="AM42" i="1" s="1"/>
  <c r="X44" i="14"/>
  <c r="U44" i="14"/>
  <c r="CP42" i="1" s="1"/>
  <c r="X88" i="14"/>
  <c r="T88" i="14"/>
  <c r="BW86" i="1" s="1"/>
  <c r="R88" i="14"/>
  <c r="AM86" i="1" s="1"/>
  <c r="T43" i="8"/>
  <c r="BR39" i="1" s="1"/>
  <c r="BD7" i="1"/>
  <c r="BD117" i="1" s="1"/>
  <c r="AK7" i="1"/>
  <c r="X42" i="5"/>
  <c r="U42" i="5"/>
  <c r="CH38" i="1" s="1"/>
  <c r="X58" i="5"/>
  <c r="R58" i="5"/>
  <c r="U79" i="12"/>
  <c r="CM106" i="1" s="1"/>
  <c r="X72" i="2"/>
  <c r="U72" i="2"/>
  <c r="CE99" i="1" s="1"/>
  <c r="T72" i="2"/>
  <c r="BL99" i="1" s="1"/>
  <c r="CA99" i="1" s="1"/>
  <c r="S117" i="1"/>
  <c r="Z117" i="1" s="1"/>
  <c r="Z10" i="1"/>
  <c r="C10" i="1" s="1"/>
  <c r="C117" i="1" s="1"/>
  <c r="X31" i="14"/>
  <c r="R31" i="14"/>
  <c r="AM28" i="1" s="1"/>
  <c r="T31" i="14"/>
  <c r="BW28" i="1" s="1"/>
  <c r="T12" i="4"/>
  <c r="BN8" i="1" s="1"/>
  <c r="V86" i="6"/>
  <c r="W46" i="15"/>
  <c r="X27" i="8"/>
  <c r="T27" i="8"/>
  <c r="BR23" i="1" s="1"/>
  <c r="CA23" i="1" s="1"/>
  <c r="E23" i="1" s="1"/>
  <c r="R27" i="8"/>
  <c r="AH23" i="1" s="1"/>
  <c r="AQ23" i="1" s="1"/>
  <c r="D23" i="1" s="1"/>
  <c r="U27" i="8"/>
  <c r="CK23" i="1" s="1"/>
  <c r="CT23" i="1" s="1"/>
  <c r="F23" i="1" s="1"/>
  <c r="X21" i="8"/>
  <c r="U21" i="8"/>
  <c r="CK17" i="1" s="1"/>
  <c r="U17" i="9"/>
  <c r="CL13" i="1" s="1"/>
  <c r="T30" i="8"/>
  <c r="BR26" i="1" s="1"/>
  <c r="X16" i="9"/>
  <c r="R16" i="9"/>
  <c r="AI12" i="1" s="1"/>
  <c r="AQ12" i="1" s="1"/>
  <c r="D12" i="1" s="1"/>
  <c r="X74" i="8"/>
  <c r="R74" i="8"/>
  <c r="AH96" i="1" s="1"/>
  <c r="AQ96" i="1" s="1"/>
  <c r="T12" i="9"/>
  <c r="BS8" i="1" s="1"/>
  <c r="R49" i="6"/>
  <c r="AF45" i="1" s="1"/>
  <c r="X49" i="6"/>
  <c r="T49" i="6"/>
  <c r="BP45" i="1" s="1"/>
  <c r="U32" i="8"/>
  <c r="CK28" i="1" s="1"/>
  <c r="X85" i="9"/>
  <c r="R85" i="9"/>
  <c r="T85" i="9"/>
  <c r="X47" i="6"/>
  <c r="T47" i="6"/>
  <c r="BP43" i="1" s="1"/>
  <c r="R47" i="6"/>
  <c r="AF43" i="1" s="1"/>
  <c r="U47" i="6"/>
  <c r="CI43" i="1" s="1"/>
  <c r="CT43" i="1" s="1"/>
  <c r="F43" i="1" s="1"/>
  <c r="R70" i="8"/>
  <c r="AH90" i="1" s="1"/>
  <c r="X30" i="6"/>
  <c r="T30" i="6"/>
  <c r="BP26" i="1" s="1"/>
  <c r="U30" i="6"/>
  <c r="CI26" i="1" s="1"/>
  <c r="T67" i="8"/>
  <c r="BR87" i="1" s="1"/>
  <c r="T46" i="9"/>
  <c r="BS42" i="1" s="1"/>
  <c r="T60" i="7"/>
  <c r="BQ77" i="1" s="1"/>
  <c r="CA77" i="1" s="1"/>
  <c r="E77" i="1" s="1"/>
  <c r="R82" i="7"/>
  <c r="AG113" i="1" s="1"/>
  <c r="AQ113" i="1" s="1"/>
  <c r="D113" i="1" s="1"/>
  <c r="T82" i="7"/>
  <c r="BQ113" i="1" s="1"/>
  <c r="CA113" i="1" s="1"/>
  <c r="E113" i="1" s="1"/>
  <c r="X82" i="7"/>
  <c r="T49" i="8"/>
  <c r="BR45" i="1" s="1"/>
  <c r="R14" i="6"/>
  <c r="AF10" i="1" s="1"/>
  <c r="R61" i="6"/>
  <c r="AF82" i="1" s="1"/>
  <c r="X71" i="7"/>
  <c r="U71" i="7"/>
  <c r="CJ97" i="1" s="1"/>
  <c r="R71" i="7"/>
  <c r="AG97" i="1" s="1"/>
  <c r="CA19" i="1"/>
  <c r="E19" i="1" s="1"/>
  <c r="U77" i="6"/>
  <c r="CI106" i="1" s="1"/>
  <c r="T29" i="6"/>
  <c r="BP25" i="1" s="1"/>
  <c r="X45" i="2"/>
  <c r="U45" i="2"/>
  <c r="CE41" i="1" s="1"/>
  <c r="CT41" i="1" s="1"/>
  <c r="R60" i="9"/>
  <c r="AI75" i="1" s="1"/>
  <c r="U85" i="6"/>
  <c r="U59" i="7"/>
  <c r="CJ75" i="1" s="1"/>
  <c r="BL9" i="1"/>
  <c r="CT75" i="1"/>
  <c r="F75" i="1" s="1"/>
  <c r="T17" i="2"/>
  <c r="BL13" i="1" s="1"/>
  <c r="U21" i="3"/>
  <c r="CF16" i="1" s="1"/>
  <c r="CF117" i="1" s="1"/>
  <c r="R72" i="4"/>
  <c r="AD99" i="1" s="1"/>
  <c r="T72" i="4"/>
  <c r="BN99" i="1" s="1"/>
  <c r="X72" i="4"/>
  <c r="T31" i="2"/>
  <c r="BL27" i="1" s="1"/>
  <c r="X31" i="2"/>
  <c r="CA47" i="1"/>
  <c r="E47" i="1" s="1"/>
  <c r="R52" i="3"/>
  <c r="AC48" i="1" s="1"/>
  <c r="X52" i="3"/>
  <c r="X28" i="4"/>
  <c r="R28" i="4"/>
  <c r="AD24" i="1" s="1"/>
  <c r="R69" i="9"/>
  <c r="AI89" i="1" s="1"/>
  <c r="U19" i="7"/>
  <c r="CJ15" i="1" s="1"/>
  <c r="X77" i="2"/>
  <c r="T77" i="2"/>
  <c r="BL106" i="1" s="1"/>
  <c r="CA106" i="1" s="1"/>
  <c r="U62" i="3"/>
  <c r="CF85" i="1" s="1"/>
  <c r="CT85" i="1" s="1"/>
  <c r="F85" i="1" s="1"/>
  <c r="U82" i="3"/>
  <c r="U48" i="4"/>
  <c r="CG44" i="1" s="1"/>
  <c r="T53" i="6"/>
  <c r="BP49" i="1" s="1"/>
  <c r="R85" i="7"/>
  <c r="U27" i="2"/>
  <c r="CE22" i="1" s="1"/>
  <c r="U24" i="4"/>
  <c r="CG19" i="1" s="1"/>
  <c r="CT19" i="1" s="1"/>
  <c r="F19" i="1" s="1"/>
  <c r="R78" i="4"/>
  <c r="AD108" i="1" s="1"/>
  <c r="X78" i="4"/>
  <c r="R49" i="7"/>
  <c r="AG45" i="1" s="1"/>
  <c r="R52" i="2"/>
  <c r="AB48" i="1" s="1"/>
  <c r="R71" i="2"/>
  <c r="AB97" i="1" s="1"/>
  <c r="T84" i="3"/>
  <c r="R43" i="4"/>
  <c r="AD39" i="1" s="1"/>
  <c r="AQ39" i="1" s="1"/>
  <c r="D39" i="1" s="1"/>
  <c r="T73" i="7"/>
  <c r="BQ100" i="1" s="1"/>
  <c r="CA100" i="1" s="1"/>
  <c r="T12" i="2"/>
  <c r="BL8" i="1" s="1"/>
  <c r="R72" i="3"/>
  <c r="AC99" i="1" s="1"/>
  <c r="T28" i="4"/>
  <c r="BN24" i="1" s="1"/>
  <c r="U63" i="5"/>
  <c r="CH86" i="1" s="1"/>
  <c r="R56" i="12"/>
  <c r="AJ59" i="1" s="1"/>
  <c r="T56" i="12"/>
  <c r="BT59" i="1" s="1"/>
  <c r="CA59" i="1" s="1"/>
  <c r="E59" i="1" s="1"/>
  <c r="X56" i="12"/>
  <c r="T21" i="4"/>
  <c r="BN16" i="1" s="1"/>
  <c r="U43" i="4"/>
  <c r="CG39" i="1" s="1"/>
  <c r="CT39" i="1" s="1"/>
  <c r="F39" i="1" s="1"/>
  <c r="T29" i="7"/>
  <c r="BQ25" i="1" s="1"/>
  <c r="CA25" i="1" s="1"/>
  <c r="E25" i="1" s="1"/>
  <c r="R42" i="2"/>
  <c r="AB38" i="1" s="1"/>
  <c r="U27" i="5"/>
  <c r="CH22" i="1" s="1"/>
  <c r="X67" i="3"/>
  <c r="R67" i="3"/>
  <c r="AC90" i="1" s="1"/>
  <c r="AQ90" i="1" s="1"/>
  <c r="D90" i="1" s="1"/>
  <c r="X22" i="12"/>
  <c r="R22" i="12"/>
  <c r="AJ18" i="1" s="1"/>
  <c r="AQ18" i="1" s="1"/>
  <c r="D18" i="1" s="1"/>
  <c r="T59" i="4"/>
  <c r="BN75" i="1" s="1"/>
  <c r="U24" i="12"/>
  <c r="CM20" i="1" s="1"/>
  <c r="CT20" i="1" s="1"/>
  <c r="F20" i="1" s="1"/>
  <c r="U33" i="13"/>
  <c r="CN30" i="1" s="1"/>
  <c r="X90" i="13"/>
  <c r="R90" i="13"/>
  <c r="AK88" i="1" s="1"/>
  <c r="U88" i="14"/>
  <c r="CP86" i="1" s="1"/>
  <c r="R62" i="12"/>
  <c r="AJ85" i="1" s="1"/>
  <c r="X83" i="13"/>
  <c r="R83" i="13"/>
  <c r="AK81" i="1" s="1"/>
  <c r="U83" i="13"/>
  <c r="CN81" i="1" s="1"/>
  <c r="CT81" i="1" s="1"/>
  <c r="F81" i="1" s="1"/>
  <c r="U57" i="10"/>
  <c r="CO55" i="1" s="1"/>
  <c r="CT55" i="1" s="1"/>
  <c r="F55" i="1" s="1"/>
  <c r="CT62" i="1"/>
  <c r="F62" i="1" s="1"/>
  <c r="CT68" i="1"/>
  <c r="F68" i="1" s="1"/>
  <c r="R43" i="8"/>
  <c r="AH39" i="1" s="1"/>
  <c r="X76" i="14"/>
  <c r="U76" i="14"/>
  <c r="CP74" i="1" s="1"/>
  <c r="CT74" i="1" s="1"/>
  <c r="F74" i="1" s="1"/>
  <c r="R76" i="14"/>
  <c r="AM74" i="1" s="1"/>
  <c r="X58" i="14"/>
  <c r="U58" i="14"/>
  <c r="CP56" i="1" s="1"/>
  <c r="U85" i="14"/>
  <c r="CP83" i="1" s="1"/>
  <c r="CT83" i="1" s="1"/>
  <c r="F83" i="1" s="1"/>
  <c r="AE8" i="1"/>
  <c r="R46" i="14"/>
  <c r="AM44" i="1" s="1"/>
  <c r="U31" i="14"/>
  <c r="CP28" i="1" s="1"/>
  <c r="T77" i="10"/>
  <c r="BV75" i="1" s="1"/>
  <c r="X18" i="14"/>
  <c r="U18" i="14"/>
  <c r="CP14" i="1" s="1"/>
  <c r="R18" i="14"/>
  <c r="AM14" i="1" s="1"/>
  <c r="DN115" i="1"/>
  <c r="V64" i="15"/>
  <c r="T64" i="15"/>
  <c r="T51" i="15"/>
  <c r="U21" i="14"/>
  <c r="CP18" i="1" s="1"/>
  <c r="CA30" i="1"/>
  <c r="E30" i="1" s="1"/>
  <c r="CA14" i="1"/>
  <c r="E14" i="1" s="1"/>
  <c r="CA26" i="1"/>
  <c r="E26" i="1" s="1"/>
  <c r="X68" i="3"/>
  <c r="R68" i="3"/>
  <c r="AC92" i="1" s="1"/>
  <c r="U62" i="4"/>
  <c r="CG85" i="1" s="1"/>
  <c r="T52" i="4"/>
  <c r="BN48" i="1" s="1"/>
  <c r="CA48" i="1" s="1"/>
  <c r="E48" i="1" s="1"/>
  <c r="X52" i="4"/>
  <c r="R21" i="13"/>
  <c r="AK18" i="1" s="1"/>
  <c r="T21" i="13"/>
  <c r="BU18" i="1" s="1"/>
  <c r="X21" i="13"/>
  <c r="X80" i="12"/>
  <c r="R80" i="12"/>
  <c r="AJ108" i="1" s="1"/>
  <c r="T80" i="12"/>
  <c r="BT108" i="1" s="1"/>
  <c r="X80" i="8"/>
  <c r="R80" i="8"/>
  <c r="AH103" i="1" s="1"/>
  <c r="T80" i="8"/>
  <c r="BR103" i="1" s="1"/>
  <c r="X82" i="8"/>
  <c r="R82" i="8"/>
  <c r="R34" i="6"/>
  <c r="AF30" i="1" s="1"/>
  <c r="X34" i="6"/>
  <c r="CA86" i="1"/>
  <c r="E86" i="1" s="1"/>
  <c r="CT31" i="1"/>
  <c r="F31" i="1" s="1"/>
  <c r="X66" i="3"/>
  <c r="U66" i="3"/>
  <c r="CF89" i="1" s="1"/>
  <c r="CT89" i="1" s="1"/>
  <c r="F89" i="1" s="1"/>
  <c r="CT48" i="1"/>
  <c r="F48" i="1" s="1"/>
  <c r="CT92" i="1"/>
  <c r="X42" i="4"/>
  <c r="T42" i="4"/>
  <c r="BN38" i="1" s="1"/>
  <c r="CA38" i="1" s="1"/>
  <c r="E38" i="1" s="1"/>
  <c r="U42" i="4"/>
  <c r="CG38" i="1" s="1"/>
  <c r="X82" i="5"/>
  <c r="R82" i="5"/>
  <c r="T82" i="5"/>
  <c r="AQ91" i="1"/>
  <c r="CT84" i="1"/>
  <c r="F84" i="1" s="1"/>
  <c r="X14" i="7"/>
  <c r="T14" i="7"/>
  <c r="BQ10" i="1" s="1"/>
  <c r="V23" i="15"/>
  <c r="W23" i="15"/>
  <c r="T46" i="15"/>
  <c r="U82" i="8"/>
  <c r="X30" i="9"/>
  <c r="R30" i="9"/>
  <c r="AI26" i="1" s="1"/>
  <c r="U30" i="9"/>
  <c r="CL26" i="1" s="1"/>
  <c r="CT26" i="1" s="1"/>
  <c r="F26" i="1" s="1"/>
  <c r="R55" i="9"/>
  <c r="AI54" i="1" s="1"/>
  <c r="X84" i="8"/>
  <c r="U84" i="8"/>
  <c r="CK109" i="1" s="1"/>
  <c r="R84" i="8"/>
  <c r="AH109" i="1" s="1"/>
  <c r="X87" i="9"/>
  <c r="R87" i="9"/>
  <c r="AI113" i="1" s="1"/>
  <c r="X18" i="7"/>
  <c r="U18" i="7"/>
  <c r="CJ14" i="1" s="1"/>
  <c r="CJ117" i="1" s="1"/>
  <c r="R18" i="7"/>
  <c r="AG14" i="1" s="1"/>
  <c r="AQ14" i="1" s="1"/>
  <c r="D14" i="1" s="1"/>
  <c r="U14" i="8"/>
  <c r="CK10" i="1" s="1"/>
  <c r="X45" i="6"/>
  <c r="T45" i="6"/>
  <c r="BP41" i="1" s="1"/>
  <c r="CA41" i="1" s="1"/>
  <c r="U28" i="9"/>
  <c r="CL24" i="1" s="1"/>
  <c r="U34" i="6"/>
  <c r="CI30" i="1" s="1"/>
  <c r="CT30" i="1" s="1"/>
  <c r="F30" i="1" s="1"/>
  <c r="CA18" i="1"/>
  <c r="E18" i="1" s="1"/>
  <c r="U14" i="6"/>
  <c r="CI10" i="1" s="1"/>
  <c r="CT10" i="1" s="1"/>
  <c r="F10" i="1" s="1"/>
  <c r="X16" i="2"/>
  <c r="T16" i="2"/>
  <c r="BL12" i="1" s="1"/>
  <c r="T59" i="9"/>
  <c r="R55" i="6"/>
  <c r="AF54" i="1" s="1"/>
  <c r="R70" i="7"/>
  <c r="AG96" i="1" s="1"/>
  <c r="X61" i="7"/>
  <c r="T61" i="7"/>
  <c r="BQ82" i="1" s="1"/>
  <c r="X44" i="2"/>
  <c r="R44" i="2"/>
  <c r="AB40" i="1" s="1"/>
  <c r="U37" i="9"/>
  <c r="CL33" i="1" s="1"/>
  <c r="X21" i="6"/>
  <c r="R21" i="6"/>
  <c r="AF16" i="1" s="1"/>
  <c r="AQ16" i="1" s="1"/>
  <c r="D16" i="1" s="1"/>
  <c r="U68" i="3"/>
  <c r="CF92" i="1" s="1"/>
  <c r="R52" i="4"/>
  <c r="AD48" i="1" s="1"/>
  <c r="X41" i="7"/>
  <c r="R41" i="7"/>
  <c r="AG37" i="1" s="1"/>
  <c r="CT95" i="1"/>
  <c r="X51" i="3"/>
  <c r="R51" i="3"/>
  <c r="AC47" i="1" s="1"/>
  <c r="AQ47" i="1" s="1"/>
  <c r="D47" i="1" s="1"/>
  <c r="T78" i="9"/>
  <c r="BS101" i="1" s="1"/>
  <c r="U48" i="2"/>
  <c r="CE44" i="1" s="1"/>
  <c r="R57" i="3"/>
  <c r="AC69" i="1" s="1"/>
  <c r="R66" i="3"/>
  <c r="AC89" i="1" s="1"/>
  <c r="R44" i="9"/>
  <c r="AI40" i="1" s="1"/>
  <c r="T51" i="7"/>
  <c r="BQ47" i="1" s="1"/>
  <c r="U67" i="2"/>
  <c r="CE90" i="1" s="1"/>
  <c r="CT90" i="1" s="1"/>
  <c r="F90" i="1" s="1"/>
  <c r="U19" i="3"/>
  <c r="CF15" i="1" s="1"/>
  <c r="U71" i="3"/>
  <c r="CF97" i="1" s="1"/>
  <c r="CT97" i="1" s="1"/>
  <c r="AD7" i="1"/>
  <c r="AW7" i="1"/>
  <c r="AW117" i="1" s="1"/>
  <c r="R46" i="4"/>
  <c r="AD42" i="1" s="1"/>
  <c r="AQ42" i="1" s="1"/>
  <c r="D42" i="1" s="1"/>
  <c r="X46" i="4"/>
  <c r="R19" i="5"/>
  <c r="AE15" i="1" s="1"/>
  <c r="AQ15" i="1" s="1"/>
  <c r="D15" i="1" s="1"/>
  <c r="U19" i="5"/>
  <c r="CH15" i="1" s="1"/>
  <c r="X19" i="5"/>
  <c r="R73" i="7"/>
  <c r="AG100" i="1" s="1"/>
  <c r="AQ32" i="1"/>
  <c r="D32" i="1" s="1"/>
  <c r="T68" i="2"/>
  <c r="BL92" i="1" s="1"/>
  <c r="CA92" i="1" s="1"/>
  <c r="R42" i="4"/>
  <c r="AD38" i="1" s="1"/>
  <c r="X59" i="5"/>
  <c r="R59" i="5"/>
  <c r="AE75" i="1" s="1"/>
  <c r="U59" i="5"/>
  <c r="CH75" i="1" s="1"/>
  <c r="X16" i="12"/>
  <c r="U16" i="12"/>
  <c r="CM12" i="1" s="1"/>
  <c r="X64" i="12"/>
  <c r="R64" i="12"/>
  <c r="AJ87" i="1" s="1"/>
  <c r="AQ87" i="1" s="1"/>
  <c r="D87" i="1" s="1"/>
  <c r="T64" i="12"/>
  <c r="BT87" i="1" s="1"/>
  <c r="X18" i="13"/>
  <c r="U18" i="13"/>
  <c r="CN14" i="1" s="1"/>
  <c r="U28" i="5"/>
  <c r="CH24" i="1" s="1"/>
  <c r="X59" i="10"/>
  <c r="T59" i="10"/>
  <c r="BV57" i="1" s="1"/>
  <c r="R59" i="10"/>
  <c r="AL57" i="1" s="1"/>
  <c r="AQ57" i="1" s="1"/>
  <c r="D57" i="1" s="1"/>
  <c r="T28" i="14"/>
  <c r="BW25" i="1" s="1"/>
  <c r="X28" i="14"/>
  <c r="X20" i="4"/>
  <c r="T20" i="4"/>
  <c r="U68" i="12"/>
  <c r="CM91" i="1" s="1"/>
  <c r="CT91" i="1" s="1"/>
  <c r="R79" i="12"/>
  <c r="AJ106" i="1" s="1"/>
  <c r="AQ106" i="1" s="1"/>
  <c r="U61" i="13"/>
  <c r="CN59" i="1" s="1"/>
  <c r="CT59" i="1" s="1"/>
  <c r="F59" i="1" s="1"/>
  <c r="CA72" i="1"/>
  <c r="E72" i="1" s="1"/>
  <c r="X78" i="12"/>
  <c r="T78" i="12"/>
  <c r="BT103" i="1" s="1"/>
  <c r="R78" i="12"/>
  <c r="AJ103" i="1" s="1"/>
  <c r="U78" i="12"/>
  <c r="CM103" i="1" s="1"/>
  <c r="CT103" i="1" s="1"/>
  <c r="X51" i="10"/>
  <c r="U51" i="10"/>
  <c r="CO49" i="1" s="1"/>
  <c r="X54" i="14"/>
  <c r="T54" i="14"/>
  <c r="BW52" i="1" s="1"/>
  <c r="X36" i="3"/>
  <c r="R36" i="3"/>
  <c r="AC32" i="1" s="1"/>
  <c r="T62" i="12"/>
  <c r="BT85" i="1" s="1"/>
  <c r="R20" i="10"/>
  <c r="AL16" i="1" s="1"/>
  <c r="R104" i="14"/>
  <c r="AM102" i="1" s="1"/>
  <c r="AQ102" i="1" s="1"/>
  <c r="T21" i="12"/>
  <c r="BT17" i="1" s="1"/>
  <c r="T30" i="13"/>
  <c r="BU27" i="1" s="1"/>
  <c r="X15" i="14"/>
  <c r="U15" i="14"/>
  <c r="CP11" i="1" s="1"/>
  <c r="R15" i="14"/>
  <c r="AM11" i="1" s="1"/>
  <c r="DN48" i="1"/>
  <c r="X47" i="4"/>
  <c r="R47" i="4"/>
  <c r="AD43" i="1" s="1"/>
  <c r="AQ43" i="1" s="1"/>
  <c r="D43" i="1" s="1"/>
  <c r="X18" i="10"/>
  <c r="T18" i="10"/>
  <c r="BV14" i="1" s="1"/>
  <c r="U18" i="10"/>
  <c r="CO14" i="1" s="1"/>
  <c r="T23" i="15"/>
  <c r="X20" i="6"/>
  <c r="R20" i="6"/>
  <c r="R86" i="6" s="1"/>
  <c r="T97" i="15"/>
  <c r="W35" i="15"/>
  <c r="V35" i="15"/>
  <c r="W43" i="15"/>
  <c r="T43" i="15"/>
  <c r="V43" i="15"/>
  <c r="X15" i="8"/>
  <c r="U15" i="8"/>
  <c r="CK11" i="1" s="1"/>
  <c r="CT11" i="1" s="1"/>
  <c r="F11" i="1" s="1"/>
  <c r="R15" i="8"/>
  <c r="AH11" i="1" s="1"/>
  <c r="AH117" i="1" s="1"/>
  <c r="T15" i="8"/>
  <c r="BR11" i="1" s="1"/>
  <c r="R33" i="6"/>
  <c r="AF29" i="1" s="1"/>
  <c r="T33" i="6"/>
  <c r="BP29" i="1" s="1"/>
  <c r="X33" i="6"/>
  <c r="X82" i="9"/>
  <c r="T82" i="9"/>
  <c r="AY7" i="1"/>
  <c r="AY117" i="1" s="1"/>
  <c r="AF7" i="1"/>
  <c r="AF117" i="1" s="1"/>
  <c r="X35" i="8"/>
  <c r="R35" i="8"/>
  <c r="AH31" i="1" s="1"/>
  <c r="T35" i="8"/>
  <c r="BR31" i="1" s="1"/>
  <c r="X57" i="6"/>
  <c r="R57" i="6"/>
  <c r="AF69" i="1" s="1"/>
  <c r="T57" i="6"/>
  <c r="BP69" i="1" s="1"/>
  <c r="X79" i="6"/>
  <c r="T79" i="6"/>
  <c r="BP109" i="1" s="1"/>
  <c r="U79" i="6"/>
  <c r="CI109" i="1" s="1"/>
  <c r="R79" i="6"/>
  <c r="AF109" i="1" s="1"/>
  <c r="X35" i="6"/>
  <c r="R35" i="6"/>
  <c r="AF31" i="1" s="1"/>
  <c r="U35" i="6"/>
  <c r="CI31" i="1" s="1"/>
  <c r="CI117" i="1" s="1"/>
  <c r="X73" i="6"/>
  <c r="R73" i="6"/>
  <c r="AF100" i="1" s="1"/>
  <c r="AQ100" i="1" s="1"/>
  <c r="X21" i="7"/>
  <c r="T21" i="7"/>
  <c r="BQ16" i="1" s="1"/>
  <c r="R21" i="7"/>
  <c r="AG16" i="1" s="1"/>
  <c r="R62" i="3"/>
  <c r="AC85" i="1" s="1"/>
  <c r="AQ22" i="1"/>
  <c r="D22" i="1" s="1"/>
  <c r="X43" i="5"/>
  <c r="R43" i="5"/>
  <c r="AE39" i="1" s="1"/>
  <c r="T43" i="5"/>
  <c r="BO39" i="1" s="1"/>
  <c r="CT32" i="1"/>
  <c r="F32" i="1" s="1"/>
  <c r="X81" i="5"/>
  <c r="R81" i="5"/>
  <c r="AE112" i="1" s="1"/>
  <c r="AQ112" i="1" s="1"/>
  <c r="D112" i="1" s="1"/>
  <c r="T81" i="5"/>
  <c r="BO112" i="1" s="1"/>
  <c r="X53" i="10"/>
  <c r="T53" i="10"/>
  <c r="BV51" i="1" s="1"/>
  <c r="CA51" i="1" s="1"/>
  <c r="E51" i="1" s="1"/>
  <c r="U53" i="10"/>
  <c r="CO51" i="1" s="1"/>
  <c r="CT51" i="1" s="1"/>
  <c r="F51" i="1" s="1"/>
  <c r="CT102" i="1"/>
  <c r="BS7" i="1"/>
  <c r="U80" i="8"/>
  <c r="CK103" i="1" s="1"/>
  <c r="T35" i="6"/>
  <c r="BP31" i="1" s="1"/>
  <c r="X61" i="9"/>
  <c r="T61" i="9"/>
  <c r="BS77" i="1" s="1"/>
  <c r="X20" i="7"/>
  <c r="R20" i="7"/>
  <c r="T20" i="7"/>
  <c r="U73" i="6"/>
  <c r="CI100" i="1" s="1"/>
  <c r="X39" i="7"/>
  <c r="U39" i="7"/>
  <c r="CJ35" i="1" s="1"/>
  <c r="CT35" i="1" s="1"/>
  <c r="F35" i="1" s="1"/>
  <c r="CT12" i="1"/>
  <c r="F12" i="1" s="1"/>
  <c r="R29" i="6"/>
  <c r="AF25" i="1" s="1"/>
  <c r="AQ25" i="1" s="1"/>
  <c r="D25" i="1" s="1"/>
  <c r="T70" i="7"/>
  <c r="BQ96" i="1" s="1"/>
  <c r="BQ117" i="1" s="1"/>
  <c r="CA33" i="1"/>
  <c r="E33" i="1" s="1"/>
  <c r="X45" i="7"/>
  <c r="T45" i="7"/>
  <c r="BQ41" i="1" s="1"/>
  <c r="X32" i="3"/>
  <c r="T32" i="3"/>
  <c r="BM28" i="1" s="1"/>
  <c r="T66" i="3"/>
  <c r="BM89" i="1" s="1"/>
  <c r="X72" i="3"/>
  <c r="U72" i="3"/>
  <c r="CF99" i="1" s="1"/>
  <c r="U81" i="5"/>
  <c r="CH112" i="1" s="1"/>
  <c r="CA36" i="1"/>
  <c r="E36" i="1" s="1"/>
  <c r="AQ21" i="1"/>
  <c r="D21" i="1" s="1"/>
  <c r="X79" i="4"/>
  <c r="T79" i="4"/>
  <c r="BN109" i="1" s="1"/>
  <c r="CA109" i="1" s="1"/>
  <c r="T59" i="13"/>
  <c r="BU57" i="1" s="1"/>
  <c r="X59" i="13"/>
  <c r="X25" i="12"/>
  <c r="R25" i="12"/>
  <c r="AJ21" i="1" s="1"/>
  <c r="R59" i="4"/>
  <c r="AD75" i="1" s="1"/>
  <c r="X16" i="14"/>
  <c r="T16" i="14"/>
  <c r="BW12" i="1" s="1"/>
  <c r="R16" i="14"/>
  <c r="AM12" i="1" s="1"/>
  <c r="X89" i="13"/>
  <c r="R89" i="13"/>
  <c r="AK87" i="1" s="1"/>
  <c r="X48" i="12"/>
  <c r="T48" i="12"/>
  <c r="BT44" i="1" s="1"/>
  <c r="R48" i="12"/>
  <c r="AJ44" i="1" s="1"/>
  <c r="AQ44" i="1" s="1"/>
  <c r="D44" i="1" s="1"/>
  <c r="U48" i="12"/>
  <c r="CM44" i="1" s="1"/>
  <c r="X60" i="12"/>
  <c r="U60" i="12"/>
  <c r="CM82" i="1" s="1"/>
  <c r="CA83" i="1"/>
  <c r="E83" i="1" s="1"/>
  <c r="U80" i="12"/>
  <c r="CM108" i="1" s="1"/>
  <c r="X77" i="14"/>
  <c r="U77" i="14"/>
  <c r="CP75" i="1" s="1"/>
  <c r="T77" i="14"/>
  <c r="BW75" i="1" s="1"/>
  <c r="U30" i="13"/>
  <c r="CN27" i="1" s="1"/>
  <c r="X93" i="14"/>
  <c r="R93" i="14"/>
  <c r="AM91" i="1" s="1"/>
  <c r="X96" i="14"/>
  <c r="R96" i="14"/>
  <c r="AM94" i="1" s="1"/>
  <c r="W51" i="15"/>
  <c r="R33" i="8"/>
  <c r="AH29" i="1" s="1"/>
  <c r="U33" i="8"/>
  <c r="CK29" i="1" s="1"/>
  <c r="X33" i="8"/>
  <c r="X78" i="8"/>
  <c r="T78" i="8"/>
  <c r="BR101" i="1" s="1"/>
  <c r="U78" i="8"/>
  <c r="CK101" i="1" s="1"/>
  <c r="R51" i="8"/>
  <c r="AH47" i="1" s="1"/>
  <c r="X51" i="8"/>
  <c r="U51" i="8"/>
  <c r="CK47" i="1" s="1"/>
  <c r="CT47" i="1" s="1"/>
  <c r="F47" i="1" s="1"/>
  <c r="T51" i="8"/>
  <c r="BR47" i="1" s="1"/>
  <c r="X83" i="8"/>
  <c r="R83" i="8"/>
  <c r="AH108" i="1" s="1"/>
  <c r="U83" i="8"/>
  <c r="CK108" i="1" s="1"/>
  <c r="X74" i="9"/>
  <c r="U74" i="9"/>
  <c r="CL96" i="1" s="1"/>
  <c r="T30" i="9"/>
  <c r="BS26" i="1" s="1"/>
  <c r="R46" i="8"/>
  <c r="AH42" i="1" s="1"/>
  <c r="R12" i="9"/>
  <c r="R62" i="9"/>
  <c r="AZ7" i="1"/>
  <c r="AZ117" i="1" s="1"/>
  <c r="AG7" i="1"/>
  <c r="T14" i="8"/>
  <c r="BR10" i="1" s="1"/>
  <c r="U82" i="9"/>
  <c r="R23" i="8"/>
  <c r="AH19" i="1" s="1"/>
  <c r="U49" i="9"/>
  <c r="CL45" i="1" s="1"/>
  <c r="T18" i="7"/>
  <c r="BQ14" i="1" s="1"/>
  <c r="T44" i="9"/>
  <c r="BS40" i="1" s="1"/>
  <c r="CA40" i="1" s="1"/>
  <c r="E40" i="1" s="1"/>
  <c r="X71" i="6"/>
  <c r="T71" i="6"/>
  <c r="BP97" i="1" s="1"/>
  <c r="CA97" i="1" s="1"/>
  <c r="X15" i="7"/>
  <c r="R15" i="7"/>
  <c r="AG11" i="1" s="1"/>
  <c r="R90" i="2"/>
  <c r="AB9" i="1"/>
  <c r="X38" i="7"/>
  <c r="U38" i="7"/>
  <c r="CJ34" i="1" s="1"/>
  <c r="R22" i="6"/>
  <c r="AF17" i="1" s="1"/>
  <c r="U28" i="7"/>
  <c r="CJ24" i="1" s="1"/>
  <c r="CT24" i="1" s="1"/>
  <c r="F24" i="1" s="1"/>
  <c r="R28" i="7"/>
  <c r="AG24" i="1" s="1"/>
  <c r="X28" i="7"/>
  <c r="T58" i="7"/>
  <c r="R58" i="7"/>
  <c r="X58" i="7"/>
  <c r="U59" i="9"/>
  <c r="AQ7" i="1"/>
  <c r="D7" i="1" s="1"/>
  <c r="X66" i="2"/>
  <c r="T66" i="2"/>
  <c r="BL89" i="1" s="1"/>
  <c r="R66" i="2"/>
  <c r="AB89" i="1" s="1"/>
  <c r="T12" i="8"/>
  <c r="BR8" i="1" s="1"/>
  <c r="U23" i="7"/>
  <c r="CJ18" i="1" s="1"/>
  <c r="CT18" i="1" s="1"/>
  <c r="F18" i="1" s="1"/>
  <c r="CA108" i="1"/>
  <c r="X54" i="7"/>
  <c r="U54" i="7"/>
  <c r="CJ50" i="1" s="1"/>
  <c r="X22" i="2"/>
  <c r="R22" i="2"/>
  <c r="AB17" i="1" s="1"/>
  <c r="U56" i="2"/>
  <c r="U70" i="7"/>
  <c r="CJ96" i="1" s="1"/>
  <c r="T30" i="4"/>
  <c r="BN26" i="1" s="1"/>
  <c r="X30" i="4"/>
  <c r="CA29" i="1"/>
  <c r="E29" i="1" s="1"/>
  <c r="X74" i="3"/>
  <c r="R74" i="3"/>
  <c r="AC101" i="1" s="1"/>
  <c r="U74" i="3"/>
  <c r="CF101" i="1" s="1"/>
  <c r="X60" i="4"/>
  <c r="R60" i="4"/>
  <c r="AD77" i="1" s="1"/>
  <c r="AQ77" i="1" s="1"/>
  <c r="D77" i="1" s="1"/>
  <c r="CA95" i="1"/>
  <c r="U32" i="3"/>
  <c r="CF28" i="1" s="1"/>
  <c r="T56" i="4"/>
  <c r="X56" i="4"/>
  <c r="R56" i="4"/>
  <c r="R78" i="9"/>
  <c r="AI101" i="1" s="1"/>
  <c r="X54" i="2"/>
  <c r="T54" i="2"/>
  <c r="BL50" i="1" s="1"/>
  <c r="CA50" i="1" s="1"/>
  <c r="E50" i="1" s="1"/>
  <c r="R77" i="3"/>
  <c r="AC106" i="1" s="1"/>
  <c r="T67" i="2"/>
  <c r="BL90" i="1" s="1"/>
  <c r="CA7" i="1"/>
  <c r="E7" i="1" s="1"/>
  <c r="R35" i="5"/>
  <c r="AE31" i="1" s="1"/>
  <c r="AQ31" i="1" s="1"/>
  <c r="D31" i="1" s="1"/>
  <c r="X35" i="5"/>
  <c r="T35" i="5"/>
  <c r="BO31" i="1" s="1"/>
  <c r="CA31" i="1" s="1"/>
  <c r="E31" i="1" s="1"/>
  <c r="X75" i="4"/>
  <c r="U75" i="4"/>
  <c r="CG102" i="1" s="1"/>
  <c r="X47" i="7"/>
  <c r="R47" i="7"/>
  <c r="AG43" i="1" s="1"/>
  <c r="U12" i="2"/>
  <c r="CE8" i="1" s="1"/>
  <c r="X13" i="3"/>
  <c r="X86" i="3" s="1"/>
  <c r="R13" i="3"/>
  <c r="AC9" i="1" s="1"/>
  <c r="R78" i="5"/>
  <c r="AE108" i="1" s="1"/>
  <c r="X35" i="13"/>
  <c r="T35" i="13"/>
  <c r="BU32" i="1" s="1"/>
  <c r="CA32" i="1" s="1"/>
  <c r="E32" i="1" s="1"/>
  <c r="R35" i="13"/>
  <c r="AK32" i="1" s="1"/>
  <c r="R79" i="4"/>
  <c r="AD109" i="1" s="1"/>
  <c r="AQ109" i="1" s="1"/>
  <c r="U82" i="5"/>
  <c r="T28" i="5"/>
  <c r="BO24" i="1" s="1"/>
  <c r="T25" i="12"/>
  <c r="BT21" i="1" s="1"/>
  <c r="CA21" i="1" s="1"/>
  <c r="E21" i="1" s="1"/>
  <c r="X52" i="12"/>
  <c r="T52" i="12"/>
  <c r="BT48" i="1" s="1"/>
  <c r="X34" i="13"/>
  <c r="T34" i="13"/>
  <c r="BU31" i="1" s="1"/>
  <c r="R34" i="13"/>
  <c r="AK31" i="1" s="1"/>
  <c r="X74" i="4"/>
  <c r="U74" i="4"/>
  <c r="CG101" i="1" s="1"/>
  <c r="X84" i="12"/>
  <c r="T84" i="12"/>
  <c r="BT114" i="1" s="1"/>
  <c r="CA114" i="1" s="1"/>
  <c r="E114" i="1" s="1"/>
  <c r="R84" i="12"/>
  <c r="AJ114" i="1" s="1"/>
  <c r="AQ114" i="1" s="1"/>
  <c r="D114" i="1" s="1"/>
  <c r="U21" i="10"/>
  <c r="CO18" i="1" s="1"/>
  <c r="U43" i="10"/>
  <c r="CO40" i="1" s="1"/>
  <c r="CT40" i="1" s="1"/>
  <c r="F40" i="1" s="1"/>
  <c r="X22" i="14"/>
  <c r="T22" i="14"/>
  <c r="BW19" i="1" s="1"/>
  <c r="R22" i="14"/>
  <c r="AM19" i="1" s="1"/>
  <c r="X58" i="12"/>
  <c r="U58" i="12"/>
  <c r="CM75" i="1" s="1"/>
  <c r="R58" i="12"/>
  <c r="AJ75" i="1" s="1"/>
  <c r="X27" i="10"/>
  <c r="U27" i="10"/>
  <c r="CO24" i="1" s="1"/>
  <c r="CN7" i="1"/>
  <c r="CT7" i="1" s="1"/>
  <c r="F7" i="1" s="1"/>
  <c r="AQ58" i="1"/>
  <c r="D58" i="1" s="1"/>
  <c r="X83" i="4"/>
  <c r="T83" i="4"/>
  <c r="R83" i="4"/>
  <c r="U83" i="4"/>
  <c r="U58" i="5"/>
  <c r="X85" i="4"/>
  <c r="R85" i="4"/>
  <c r="R21" i="12"/>
  <c r="AJ17" i="1" s="1"/>
  <c r="R30" i="13"/>
  <c r="AK27" i="1" s="1"/>
  <c r="AQ27" i="1" s="1"/>
  <c r="D27" i="1" s="1"/>
  <c r="X49" i="10"/>
  <c r="U49" i="10"/>
  <c r="CO47" i="1" s="1"/>
  <c r="X32" i="2"/>
  <c r="U32" i="2"/>
  <c r="CE28" i="1" s="1"/>
  <c r="U34" i="13"/>
  <c r="CN31" i="1" s="1"/>
  <c r="X71" i="10"/>
  <c r="U71" i="10"/>
  <c r="CO69" i="1" s="1"/>
  <c r="CT69" i="1" s="1"/>
  <c r="F69" i="1" s="1"/>
  <c r="X68" i="14"/>
  <c r="R68" i="14"/>
  <c r="AM66" i="1" s="1"/>
  <c r="AQ66" i="1" s="1"/>
  <c r="D66" i="1" s="1"/>
  <c r="U68" i="14"/>
  <c r="CP66" i="1" s="1"/>
  <c r="X105" i="14"/>
  <c r="R105" i="14"/>
  <c r="AM103" i="1" s="1"/>
  <c r="X70" i="2"/>
  <c r="U70" i="2"/>
  <c r="CE96" i="1" s="1"/>
  <c r="X96" i="13"/>
  <c r="R96" i="13"/>
  <c r="AK94" i="1" s="1"/>
  <c r="X107" i="10"/>
  <c r="R107" i="10"/>
  <c r="AL105" i="1" s="1"/>
  <c r="X103" i="14"/>
  <c r="R103" i="14"/>
  <c r="AM101" i="1" s="1"/>
  <c r="X30" i="12"/>
  <c r="R30" i="12"/>
  <c r="AJ26" i="1" s="1"/>
  <c r="AQ26" i="1" s="1"/>
  <c r="D26" i="1" s="1"/>
  <c r="T30" i="12"/>
  <c r="BT26" i="1" s="1"/>
  <c r="U30" i="12"/>
  <c r="CM26" i="1" s="1"/>
  <c r="V27" i="15"/>
  <c r="W27" i="15"/>
  <c r="X12" i="14"/>
  <c r="T12" i="14"/>
  <c r="U12" i="14"/>
  <c r="V97" i="15"/>
  <c r="W87" i="15"/>
  <c r="W64" i="15"/>
  <c r="X26" i="8"/>
  <c r="U26" i="8"/>
  <c r="CK22" i="1" s="1"/>
  <c r="T26" i="8"/>
  <c r="BR22" i="1" s="1"/>
  <c r="CA22" i="1" s="1"/>
  <c r="E22" i="1" s="1"/>
  <c r="T57" i="9"/>
  <c r="X57" i="9"/>
  <c r="U57" i="9"/>
  <c r="U38" i="8"/>
  <c r="CK34" i="1" s="1"/>
  <c r="R38" i="8"/>
  <c r="AH34" i="1" s="1"/>
  <c r="X38" i="8"/>
  <c r="X65" i="6"/>
  <c r="R65" i="6"/>
  <c r="AF88" i="1" s="1"/>
  <c r="T65" i="6"/>
  <c r="BP88" i="1" s="1"/>
  <c r="CA88" i="1" s="1"/>
  <c r="E88" i="1" s="1"/>
  <c r="AQ46" i="1"/>
  <c r="D46" i="1" s="1"/>
  <c r="CE9" i="1"/>
  <c r="CT9" i="1" s="1"/>
  <c r="F9" i="1" s="1"/>
  <c r="AQ92" i="1"/>
  <c r="X60" i="14"/>
  <c r="R60" i="14"/>
  <c r="AM58" i="1" s="1"/>
  <c r="T60" i="14"/>
  <c r="BW58" i="1" s="1"/>
  <c r="CA58" i="1" s="1"/>
  <c r="E58" i="1" s="1"/>
  <c r="X12" i="10"/>
  <c r="R12" i="10"/>
  <c r="AL8" i="1" s="1"/>
  <c r="T12" i="10"/>
  <c r="BV8" i="1" s="1"/>
  <c r="V19" i="15"/>
  <c r="T19" i="15"/>
  <c r="W69" i="15"/>
  <c r="V69" i="15"/>
  <c r="W57" i="15"/>
  <c r="T57" i="15"/>
  <c r="V57" i="15"/>
  <c r="T32" i="6"/>
  <c r="BP28" i="1" s="1"/>
  <c r="X32" i="6"/>
  <c r="R32" i="6"/>
  <c r="AF28" i="1" s="1"/>
  <c r="U80" i="6"/>
  <c r="X80" i="6"/>
  <c r="X28" i="9"/>
  <c r="R28" i="9"/>
  <c r="AI24" i="1" s="1"/>
  <c r="X46" i="7"/>
  <c r="U46" i="7"/>
  <c r="CJ42" i="1" s="1"/>
  <c r="CA49" i="1"/>
  <c r="E49" i="1" s="1"/>
  <c r="AQ88" i="1"/>
  <c r="D88" i="1" s="1"/>
  <c r="U21" i="13"/>
  <c r="CN18" i="1" s="1"/>
  <c r="R80" i="6"/>
  <c r="X78" i="5"/>
  <c r="T78" i="5"/>
  <c r="BO108" i="1" s="1"/>
  <c r="R76" i="12"/>
  <c r="AJ101" i="1" s="1"/>
  <c r="X76" i="12"/>
  <c r="X79" i="5"/>
  <c r="T79" i="5"/>
  <c r="BO109" i="1" s="1"/>
  <c r="X75" i="10"/>
  <c r="T75" i="10"/>
  <c r="BV73" i="1" s="1"/>
  <c r="CA73" i="1" s="1"/>
  <c r="E73" i="1" s="1"/>
  <c r="U75" i="10"/>
  <c r="CO73" i="1" s="1"/>
  <c r="CT73" i="1" s="1"/>
  <c r="F73" i="1" s="1"/>
  <c r="X31" i="13"/>
  <c r="U31" i="13"/>
  <c r="CN28" i="1" s="1"/>
  <c r="T31" i="13"/>
  <c r="BU28" i="1" s="1"/>
  <c r="T20" i="10"/>
  <c r="BV16" i="1" s="1"/>
  <c r="X81" i="2"/>
  <c r="T81" i="2"/>
  <c r="BL112" i="1" s="1"/>
  <c r="R26" i="8"/>
  <c r="AH22" i="1" s="1"/>
  <c r="T41" i="8"/>
  <c r="BR37" i="1" s="1"/>
  <c r="R57" i="9"/>
  <c r="R12" i="7"/>
  <c r="AG8" i="1" s="1"/>
  <c r="X12" i="7"/>
  <c r="T12" i="7"/>
  <c r="BQ8" i="1" s="1"/>
  <c r="R14" i="8"/>
  <c r="AH10" i="1" s="1"/>
  <c r="R82" i="9"/>
  <c r="R49" i="9"/>
  <c r="AI45" i="1" s="1"/>
  <c r="X36" i="6"/>
  <c r="T36" i="6"/>
  <c r="BP32" i="1" s="1"/>
  <c r="R36" i="6"/>
  <c r="AF32" i="1" s="1"/>
  <c r="R67" i="8"/>
  <c r="AH87" i="1" s="1"/>
  <c r="R46" i="9"/>
  <c r="AI42" i="1" s="1"/>
  <c r="U63" i="9"/>
  <c r="CL82" i="1" s="1"/>
  <c r="CT82" i="1" s="1"/>
  <c r="F82" i="1" s="1"/>
  <c r="X81" i="9"/>
  <c r="U81" i="9"/>
  <c r="CL106" i="1" s="1"/>
  <c r="CT106" i="1" s="1"/>
  <c r="R55" i="7"/>
  <c r="AG54" i="1" s="1"/>
  <c r="R38" i="7"/>
  <c r="AG34" i="1" s="1"/>
  <c r="AQ35" i="1"/>
  <c r="D35" i="1" s="1"/>
  <c r="X72" i="6"/>
  <c r="U72" i="6"/>
  <c r="CI99" i="1" s="1"/>
  <c r="T28" i="7"/>
  <c r="BQ24" i="1" s="1"/>
  <c r="U58" i="7"/>
  <c r="T77" i="6"/>
  <c r="BP106" i="1" s="1"/>
  <c r="U55" i="7"/>
  <c r="CJ54" i="1" s="1"/>
  <c r="R59" i="9"/>
  <c r="R78" i="7"/>
  <c r="AG108" i="1" s="1"/>
  <c r="U12" i="8"/>
  <c r="CK8" i="1" s="1"/>
  <c r="U55" i="6"/>
  <c r="CI54" i="1" s="1"/>
  <c r="X38" i="2"/>
  <c r="U38" i="2"/>
  <c r="CE34" i="1" s="1"/>
  <c r="R85" i="6"/>
  <c r="R54" i="7"/>
  <c r="AG50" i="1" s="1"/>
  <c r="AQ50" i="1" s="1"/>
  <c r="D50" i="1" s="1"/>
  <c r="T22" i="2"/>
  <c r="BL17" i="1" s="1"/>
  <c r="CA17" i="1" s="1"/>
  <c r="T56" i="2"/>
  <c r="T21" i="3"/>
  <c r="BM16" i="1" s="1"/>
  <c r="CA16" i="1" s="1"/>
  <c r="E16" i="1" s="1"/>
  <c r="X76" i="3"/>
  <c r="U76" i="3"/>
  <c r="CF103" i="1" s="1"/>
  <c r="R76" i="3"/>
  <c r="AC103" i="1" s="1"/>
  <c r="X31" i="4"/>
  <c r="T31" i="4"/>
  <c r="BN27" i="1" s="1"/>
  <c r="U31" i="4"/>
  <c r="CG27" i="1" s="1"/>
  <c r="CT27" i="1" s="1"/>
  <c r="F27" i="1" s="1"/>
  <c r="X22" i="7"/>
  <c r="R22" i="7"/>
  <c r="AG17" i="1" s="1"/>
  <c r="T46" i="7"/>
  <c r="BQ42" i="1" s="1"/>
  <c r="CA42" i="1" s="1"/>
  <c r="E42" i="1" s="1"/>
  <c r="X33" i="2"/>
  <c r="R33" i="2"/>
  <c r="AB29" i="1" s="1"/>
  <c r="X30" i="3"/>
  <c r="T30" i="3"/>
  <c r="BM26" i="1" s="1"/>
  <c r="R30" i="3"/>
  <c r="AC26" i="1" s="1"/>
  <c r="R78" i="3"/>
  <c r="AC108" i="1" s="1"/>
  <c r="AQ108" i="1" s="1"/>
  <c r="R62" i="4"/>
  <c r="AD85" i="1" s="1"/>
  <c r="T23" i="7"/>
  <c r="BQ18" i="1" s="1"/>
  <c r="X57" i="7"/>
  <c r="T57" i="7"/>
  <c r="BQ69" i="1" s="1"/>
  <c r="AQ41" i="1"/>
  <c r="AQ95" i="1"/>
  <c r="R32" i="3"/>
  <c r="AC28" i="1" s="1"/>
  <c r="AQ28" i="1" s="1"/>
  <c r="D28" i="1" s="1"/>
  <c r="U56" i="4"/>
  <c r="T57" i="3"/>
  <c r="BM69" i="1" s="1"/>
  <c r="T78" i="3"/>
  <c r="BM108" i="1" s="1"/>
  <c r="R51" i="7"/>
  <c r="AG47" i="1" s="1"/>
  <c r="R71" i="3"/>
  <c r="AC97" i="1" s="1"/>
  <c r="X15" i="4"/>
  <c r="U15" i="4"/>
  <c r="CG11" i="1" s="1"/>
  <c r="U46" i="8"/>
  <c r="CK42" i="1" s="1"/>
  <c r="CT42" i="1" s="1"/>
  <c r="F42" i="1" s="1"/>
  <c r="U85" i="7"/>
  <c r="U18" i="4"/>
  <c r="CG14" i="1" s="1"/>
  <c r="CT14" i="1" s="1"/>
  <c r="F14" i="1" s="1"/>
  <c r="T26" i="4"/>
  <c r="BN21" i="1" s="1"/>
  <c r="T75" i="4"/>
  <c r="BN102" i="1" s="1"/>
  <c r="CA102" i="1" s="1"/>
  <c r="R55" i="5"/>
  <c r="AE54" i="1" s="1"/>
  <c r="X55" i="5"/>
  <c r="U49" i="7"/>
  <c r="CJ45" i="1" s="1"/>
  <c r="CT45" i="1" s="1"/>
  <c r="F45" i="1" s="1"/>
  <c r="CA39" i="1"/>
  <c r="E39" i="1" s="1"/>
  <c r="X80" i="4"/>
  <c r="T80" i="4"/>
  <c r="U80" i="4"/>
  <c r="R80" i="4"/>
  <c r="R12" i="2"/>
  <c r="AB8" i="1" s="1"/>
  <c r="AB117" i="1" s="1"/>
  <c r="T16" i="4"/>
  <c r="BN12" i="1" s="1"/>
  <c r="X68" i="4"/>
  <c r="T68" i="4"/>
  <c r="BN92" i="1" s="1"/>
  <c r="X51" i="5"/>
  <c r="R51" i="5"/>
  <c r="AE47" i="1" s="1"/>
  <c r="T51" i="5"/>
  <c r="BO47" i="1" s="1"/>
  <c r="R55" i="2"/>
  <c r="AB54" i="1" s="1"/>
  <c r="U22" i="3"/>
  <c r="CF17" i="1" s="1"/>
  <c r="CT17" i="1" s="1"/>
  <c r="X13" i="4"/>
  <c r="T13" i="4"/>
  <c r="BN9" i="1" s="1"/>
  <c r="BN117" i="1" s="1"/>
  <c r="X25" i="4"/>
  <c r="T25" i="4"/>
  <c r="BN20" i="1" s="1"/>
  <c r="CA20" i="1" s="1"/>
  <c r="E20" i="1" s="1"/>
  <c r="U57" i="5"/>
  <c r="CH69" i="1" s="1"/>
  <c r="U42" i="2"/>
  <c r="CE38" i="1" s="1"/>
  <c r="X32" i="12"/>
  <c r="T32" i="12"/>
  <c r="BT28" i="1" s="1"/>
  <c r="CA28" i="1" s="1"/>
  <c r="E28" i="1" s="1"/>
  <c r="R32" i="12"/>
  <c r="AJ28" i="1" s="1"/>
  <c r="U35" i="13"/>
  <c r="CN32" i="1" s="1"/>
  <c r="X40" i="12"/>
  <c r="R40" i="12"/>
  <c r="AJ36" i="1" s="1"/>
  <c r="T40" i="12"/>
  <c r="BT36" i="1" s="1"/>
  <c r="R53" i="7"/>
  <c r="AG49" i="1" s="1"/>
  <c r="R28" i="5"/>
  <c r="AE24" i="1" s="1"/>
  <c r="U59" i="10"/>
  <c r="CO57" i="1" s="1"/>
  <c r="CT57" i="1" s="1"/>
  <c r="F57" i="1" s="1"/>
  <c r="X79" i="10"/>
  <c r="T79" i="10"/>
  <c r="BV77" i="1" s="1"/>
  <c r="U37" i="5"/>
  <c r="CH33" i="1" s="1"/>
  <c r="CT33" i="1" s="1"/>
  <c r="F33" i="1" s="1"/>
  <c r="U25" i="12"/>
  <c r="CM21" i="1" s="1"/>
  <c r="CT21" i="1" s="1"/>
  <c r="F21" i="1" s="1"/>
  <c r="T74" i="7"/>
  <c r="BQ101" i="1" s="1"/>
  <c r="T76" i="4"/>
  <c r="BN103" i="1" s="1"/>
  <c r="CA103" i="1" s="1"/>
  <c r="U50" i="5"/>
  <c r="CH46" i="1" s="1"/>
  <c r="CT46" i="1" s="1"/>
  <c r="F46" i="1" s="1"/>
  <c r="R14" i="7"/>
  <c r="AG10" i="1" s="1"/>
  <c r="AQ10" i="1" s="1"/>
  <c r="D10" i="1" s="1"/>
  <c r="R74" i="4"/>
  <c r="AD101" i="1" s="1"/>
  <c r="R21" i="10"/>
  <c r="AL18" i="1" s="1"/>
  <c r="R43" i="10"/>
  <c r="AL40" i="1" s="1"/>
  <c r="T58" i="12"/>
  <c r="BT75" i="1" s="1"/>
  <c r="T57" i="10"/>
  <c r="BV55" i="1" s="1"/>
  <c r="CA55" i="1" s="1"/>
  <c r="E55" i="1" s="1"/>
  <c r="X35" i="14"/>
  <c r="T35" i="14"/>
  <c r="BW32" i="1" s="1"/>
  <c r="U35" i="14"/>
  <c r="CP32" i="1" s="1"/>
  <c r="X13" i="12"/>
  <c r="R13" i="12"/>
  <c r="T13" i="12"/>
  <c r="BT9" i="1" s="1"/>
  <c r="CA66" i="1"/>
  <c r="E66" i="1" s="1"/>
  <c r="X32" i="14"/>
  <c r="R32" i="14"/>
  <c r="AM29" i="1" s="1"/>
  <c r="U32" i="14"/>
  <c r="CP29" i="1" s="1"/>
  <c r="CT29" i="1" s="1"/>
  <c r="F29" i="1" s="1"/>
  <c r="X60" i="13"/>
  <c r="U60" i="13"/>
  <c r="CN58" i="1" s="1"/>
  <c r="CT58" i="1" s="1"/>
  <c r="F58" i="1" s="1"/>
  <c r="R117" i="10"/>
  <c r="AL115" i="1" s="1"/>
  <c r="U36" i="3"/>
  <c r="CF32" i="1" s="1"/>
  <c r="U62" i="12"/>
  <c r="CM85" i="1" s="1"/>
  <c r="X83" i="10"/>
  <c r="R83" i="10"/>
  <c r="AL81" i="1" s="1"/>
  <c r="U83" i="10"/>
  <c r="CO81" i="1" s="1"/>
  <c r="U85" i="4"/>
  <c r="T15" i="14"/>
  <c r="BW11" i="1" s="1"/>
  <c r="X90" i="14"/>
  <c r="R90" i="14"/>
  <c r="AM88" i="1" s="1"/>
  <c r="AX117" i="1"/>
  <c r="BJ14" i="1"/>
  <c r="G14" i="1" s="1"/>
  <c r="X39" i="10"/>
  <c r="U39" i="10"/>
  <c r="CO36" i="1" s="1"/>
  <c r="BE117" i="1"/>
  <c r="R72" i="2"/>
  <c r="AB99" i="1" s="1"/>
  <c r="T46" i="14"/>
  <c r="BW44" i="1" s="1"/>
  <c r="T65" i="10"/>
  <c r="BV63" i="1" s="1"/>
  <c r="U12" i="4"/>
  <c r="U81" i="2"/>
  <c r="CE112" i="1" s="1"/>
  <c r="CT56" i="1"/>
  <c r="F56" i="1" s="1"/>
  <c r="T69" i="15"/>
  <c r="X101" i="10"/>
  <c r="R101" i="10"/>
  <c r="AL99" i="1" s="1"/>
  <c r="W19" i="15"/>
  <c r="X13" i="5"/>
  <c r="T13" i="5"/>
  <c r="BO9" i="1" s="1"/>
  <c r="R27" i="13"/>
  <c r="AK24" i="1" s="1"/>
  <c r="T27" i="13"/>
  <c r="BU24" i="1" s="1"/>
  <c r="X27" i="13"/>
  <c r="R39" i="5"/>
  <c r="AE35" i="1" s="1"/>
  <c r="X39" i="5"/>
  <c r="X41" i="5"/>
  <c r="T41" i="5"/>
  <c r="BO37" i="1" s="1"/>
  <c r="CA37" i="1" s="1"/>
  <c r="E37" i="1" s="1"/>
  <c r="R41" i="5"/>
  <c r="AE37" i="1" s="1"/>
  <c r="AQ37" i="1" s="1"/>
  <c r="D37" i="1" s="1"/>
  <c r="X44" i="4"/>
  <c r="R44" i="4"/>
  <c r="AD40" i="1" s="1"/>
  <c r="AQ71" i="1"/>
  <c r="D71" i="1" s="1"/>
  <c r="X38" i="14"/>
  <c r="U38" i="14"/>
  <c r="CP35" i="1" s="1"/>
  <c r="X28" i="12"/>
  <c r="R28" i="12"/>
  <c r="AJ24" i="1" s="1"/>
  <c r="X25" i="14"/>
  <c r="U25" i="14"/>
  <c r="CP22" i="1" s="1"/>
  <c r="X13" i="14"/>
  <c r="T13" i="14"/>
  <c r="BW9" i="1" s="1"/>
  <c r="R13" i="14"/>
  <c r="AM9" i="1" s="1"/>
  <c r="AM117" i="1" s="1"/>
  <c r="T79" i="14"/>
  <c r="BW77" i="1" s="1"/>
  <c r="X79" i="14"/>
  <c r="X68" i="13"/>
  <c r="U68" i="13"/>
  <c r="CN66" i="1" s="1"/>
  <c r="CT66" i="1" s="1"/>
  <c r="F66" i="1" s="1"/>
  <c r="X80" i="14"/>
  <c r="R80" i="14"/>
  <c r="AM78" i="1" s="1"/>
  <c r="AQ78" i="1" s="1"/>
  <c r="D78" i="1" s="1"/>
  <c r="U53" i="9"/>
  <c r="CL49" i="1" s="1"/>
  <c r="CT49" i="1" s="1"/>
  <c r="F49" i="1" s="1"/>
  <c r="U63" i="13"/>
  <c r="CN61" i="1" s="1"/>
  <c r="CT61" i="1" s="1"/>
  <c r="F61" i="1" s="1"/>
  <c r="R50" i="10"/>
  <c r="AL48" i="1" s="1"/>
  <c r="X40" i="14"/>
  <c r="R40" i="14"/>
  <c r="AM37" i="1" s="1"/>
  <c r="T59" i="14"/>
  <c r="BW57" i="1" s="1"/>
  <c r="X59" i="14"/>
  <c r="T77" i="13"/>
  <c r="BU75" i="1" s="1"/>
  <c r="T12" i="5"/>
  <c r="U66" i="14"/>
  <c r="CP64" i="1" s="1"/>
  <c r="CT64" i="1" s="1"/>
  <c r="F64" i="1" s="1"/>
  <c r="R34" i="10"/>
  <c r="AL31" i="1" s="1"/>
  <c r="T84" i="10"/>
  <c r="BV82" i="1" s="1"/>
  <c r="BF117" i="1"/>
  <c r="R98" i="14"/>
  <c r="AM96" i="1" s="1"/>
  <c r="X20" i="14"/>
  <c r="R20" i="14"/>
  <c r="AM16" i="1" s="1"/>
  <c r="X42" i="14"/>
  <c r="R42" i="14"/>
  <c r="AM39" i="1" s="1"/>
  <c r="U42" i="14"/>
  <c r="CP39" i="1" s="1"/>
  <c r="R92" i="14"/>
  <c r="AM90" i="1" s="1"/>
  <c r="T64" i="13"/>
  <c r="BU62" i="1" s="1"/>
  <c r="CA62" i="1" s="1"/>
  <c r="E62" i="1" s="1"/>
  <c r="X62" i="14"/>
  <c r="R62" i="14"/>
  <c r="AM60" i="1" s="1"/>
  <c r="AQ60" i="1" s="1"/>
  <c r="D60" i="1" s="1"/>
  <c r="X78" i="14"/>
  <c r="R78" i="14"/>
  <c r="AM76" i="1" s="1"/>
  <c r="X47" i="10"/>
  <c r="R47" i="10"/>
  <c r="AL45" i="1" s="1"/>
  <c r="X84" i="14"/>
  <c r="T84" i="14"/>
  <c r="BW82" i="1" s="1"/>
  <c r="U78" i="14"/>
  <c r="CP76" i="1" s="1"/>
  <c r="CT76" i="1" s="1"/>
  <c r="F76" i="1" s="1"/>
  <c r="X34" i="14"/>
  <c r="R34" i="14"/>
  <c r="AM31" i="1" s="1"/>
  <c r="T34" i="14"/>
  <c r="BW31" i="1" s="1"/>
  <c r="X47" i="14"/>
  <c r="U47" i="14"/>
  <c r="CP45" i="1" s="1"/>
  <c r="AQ82" i="1"/>
  <c r="D82" i="1" s="1"/>
  <c r="T47" i="14"/>
  <c r="BW45" i="1" s="1"/>
  <c r="CA45" i="1" s="1"/>
  <c r="E45" i="1" s="1"/>
  <c r="U20" i="14"/>
  <c r="CP16" i="1" s="1"/>
  <c r="R47" i="14"/>
  <c r="AM45" i="1" s="1"/>
  <c r="U84" i="14"/>
  <c r="CP82" i="1" s="1"/>
  <c r="U34" i="14"/>
  <c r="CP31" i="1" s="1"/>
  <c r="T62" i="15"/>
  <c r="BJ25" i="1"/>
  <c r="G25" i="1" s="1"/>
  <c r="AQ85" i="1" l="1"/>
  <c r="D85" i="1" s="1"/>
  <c r="BP117" i="1"/>
  <c r="CA57" i="1"/>
  <c r="E57" i="1" s="1"/>
  <c r="R86" i="4"/>
  <c r="T86" i="9"/>
  <c r="BS112" i="1" s="1"/>
  <c r="T86" i="4"/>
  <c r="T86" i="3"/>
  <c r="AQ11" i="1"/>
  <c r="D11" i="1" s="1"/>
  <c r="CT16" i="1"/>
  <c r="F16" i="1" s="1"/>
  <c r="CA69" i="1"/>
  <c r="E69" i="1" s="1"/>
  <c r="AQ94" i="1"/>
  <c r="U86" i="7"/>
  <c r="U86" i="8"/>
  <c r="CK112" i="1" s="1"/>
  <c r="R119" i="10"/>
  <c r="AQ81" i="1"/>
  <c r="D81" i="1" s="1"/>
  <c r="CA75" i="1"/>
  <c r="E75" i="1" s="1"/>
  <c r="BL117" i="1"/>
  <c r="BM117" i="1"/>
  <c r="CT109" i="1"/>
  <c r="R119" i="13"/>
  <c r="CA85" i="1"/>
  <c r="E85" i="1" s="1"/>
  <c r="CK117" i="1"/>
  <c r="CP8" i="1"/>
  <c r="U89" i="14"/>
  <c r="CP87" i="1" s="1"/>
  <c r="U86" i="9"/>
  <c r="CL112" i="1" s="1"/>
  <c r="AQ40" i="1"/>
  <c r="D40" i="1" s="1"/>
  <c r="AK117" i="1"/>
  <c r="T86" i="8"/>
  <c r="BR112" i="1" s="1"/>
  <c r="BR117" i="1" s="1"/>
  <c r="T89" i="13"/>
  <c r="BU87" i="1" s="1"/>
  <c r="CA87" i="1" s="1"/>
  <c r="E87" i="1" s="1"/>
  <c r="AQ101" i="1"/>
  <c r="R86" i="7"/>
  <c r="AD117" i="1"/>
  <c r="AQ97" i="1"/>
  <c r="CT99" i="1"/>
  <c r="BT117" i="1"/>
  <c r="CT13" i="1"/>
  <c r="F13" i="1" s="1"/>
  <c r="AV117" i="1"/>
  <c r="BJ117" i="1" s="1"/>
  <c r="BJ7" i="1"/>
  <c r="G7" i="1" s="1"/>
  <c r="G117" i="1" s="1"/>
  <c r="CA44" i="1"/>
  <c r="E44" i="1" s="1"/>
  <c r="U87" i="12"/>
  <c r="CT22" i="1"/>
  <c r="F22" i="1" s="1"/>
  <c r="CA13" i="1"/>
  <c r="E13" i="1" s="1"/>
  <c r="R86" i="3"/>
  <c r="CA96" i="1"/>
  <c r="BW8" i="1"/>
  <c r="BW117" i="1" s="1"/>
  <c r="T89" i="14"/>
  <c r="BW87" i="1" s="1"/>
  <c r="U89" i="13"/>
  <c r="CN87" i="1" s="1"/>
  <c r="U86" i="3"/>
  <c r="CT101" i="1"/>
  <c r="U86" i="6"/>
  <c r="AQ69" i="1"/>
  <c r="D69" i="1" s="1"/>
  <c r="AE117" i="1"/>
  <c r="W97" i="15"/>
  <c r="CT28" i="1"/>
  <c r="F28" i="1" s="1"/>
  <c r="AL117" i="1"/>
  <c r="CA90" i="1"/>
  <c r="E90" i="1" s="1"/>
  <c r="AQ17" i="1"/>
  <c r="AQ89" i="1"/>
  <c r="D89" i="1" s="1"/>
  <c r="T86" i="7"/>
  <c r="CT44" i="1"/>
  <c r="F44" i="1" s="1"/>
  <c r="CA12" i="1"/>
  <c r="E12" i="1" s="1"/>
  <c r="AQ48" i="1"/>
  <c r="D48" i="1" s="1"/>
  <c r="CA27" i="1"/>
  <c r="E27" i="1" s="1"/>
  <c r="CA9" i="1"/>
  <c r="E9" i="1" s="1"/>
  <c r="T87" i="12"/>
  <c r="AC117" i="1"/>
  <c r="AQ117" i="1" s="1"/>
  <c r="CT112" i="1"/>
  <c r="F112" i="1" s="1"/>
  <c r="CA112" i="1"/>
  <c r="E112" i="1" s="1"/>
  <c r="CE117" i="1"/>
  <c r="T86" i="6"/>
  <c r="CG8" i="1"/>
  <c r="CG117" i="1" s="1"/>
  <c r="U86" i="4"/>
  <c r="CT96" i="1"/>
  <c r="AG117" i="1"/>
  <c r="R86" i="5"/>
  <c r="CH117" i="1"/>
  <c r="R88" i="8"/>
  <c r="AQ75" i="1"/>
  <c r="D75" i="1" s="1"/>
  <c r="T89" i="10"/>
  <c r="BV87" i="1" s="1"/>
  <c r="BV117" i="1" s="1"/>
  <c r="CT38" i="1"/>
  <c r="F38" i="1" s="1"/>
  <c r="AQ54" i="1"/>
  <c r="D54" i="1" s="1"/>
  <c r="U89" i="10"/>
  <c r="CO87" i="1" s="1"/>
  <c r="BO8" i="1"/>
  <c r="BO117" i="1" s="1"/>
  <c r="T86" i="5"/>
  <c r="AQ99" i="1"/>
  <c r="AJ9" i="1"/>
  <c r="AJ117" i="1" s="1"/>
  <c r="R87" i="12"/>
  <c r="AQ29" i="1"/>
  <c r="D29" i="1" s="1"/>
  <c r="AQ103" i="1"/>
  <c r="CT34" i="1"/>
  <c r="F34" i="1" s="1"/>
  <c r="CA89" i="1"/>
  <c r="E89" i="1" s="1"/>
  <c r="AQ9" i="1"/>
  <c r="D9" i="1" s="1"/>
  <c r="AI8" i="1"/>
  <c r="AI117" i="1" s="1"/>
  <c r="R88" i="9"/>
  <c r="BS117" i="1"/>
  <c r="CT15" i="1"/>
  <c r="F15" i="1" s="1"/>
  <c r="AQ38" i="1"/>
  <c r="D38" i="1" s="1"/>
  <c r="CA24" i="1"/>
  <c r="E24" i="1" s="1"/>
  <c r="AQ24" i="1"/>
  <c r="D24" i="1" s="1"/>
  <c r="T90" i="2"/>
  <c r="AQ19" i="1"/>
  <c r="D19" i="1" s="1"/>
  <c r="CT86" i="1"/>
  <c r="F86" i="1" s="1"/>
  <c r="CT87" i="1" l="1"/>
  <c r="F87" i="1" s="1"/>
  <c r="CT8" i="1"/>
  <c r="F8" i="1" s="1"/>
  <c r="F117" i="1" s="1"/>
  <c r="AQ8" i="1"/>
  <c r="D8" i="1" s="1"/>
  <c r="D117" i="1" s="1"/>
  <c r="CP117" i="1"/>
  <c r="CT117" i="1" s="1"/>
  <c r="CA8" i="1"/>
  <c r="E8" i="1" s="1"/>
  <c r="E117" i="1" s="1"/>
  <c r="BU117" i="1"/>
  <c r="CA117" i="1" s="1"/>
</calcChain>
</file>

<file path=xl/sharedStrings.xml><?xml version="1.0" encoding="utf-8"?>
<sst xmlns="http://schemas.openxmlformats.org/spreadsheetml/2006/main" count="1777" uniqueCount="74">
  <si>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</si>
  <si>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</si>
  <si>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</si>
  <si>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Targeted under Customer-Specific</t>
  </si>
  <si>
    <t>Significant Contributor per Settlement</t>
  </si>
  <si>
    <t>OFO Day Imbalance Increase &gt;</t>
  </si>
  <si>
    <t>dth</t>
  </si>
  <si>
    <t xml:space="preserve">Significant Cont &gt; </t>
  </si>
  <si>
    <t>Dth Only</t>
  </si>
  <si>
    <t xml:space="preserve">Significant Contribution &gt;  </t>
  </si>
  <si>
    <t>Only</t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</si>
  <si>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</si>
  <si>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</si>
  <si>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</si>
  <si>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</si>
  <si>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</si>
  <si>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</si>
  <si>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</si>
  <si>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Balancing Entity      ID #</t>
  </si>
  <si>
    <t>Balancing Entity Type1</t>
  </si>
  <si>
    <t>Total for Entity</t>
  </si>
  <si>
    <t>Dth Threshold</t>
  </si>
  <si>
    <t>---</t>
  </si>
  <si>
    <t>----</t>
  </si>
  <si>
    <t>Percent Threshold</t>
  </si>
  <si>
    <t>CTARGAS</t>
  </si>
  <si>
    <t>NBAA</t>
  </si>
  <si>
    <t>NGSA</t>
  </si>
  <si>
    <t>Total</t>
  </si>
  <si>
    <t>Assumptions:</t>
  </si>
  <si>
    <t>Thresholds for Significant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</si>
  <si>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</si>
  <si>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</si>
  <si>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</si>
  <si>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</si>
  <si>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</si>
  <si>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</si>
  <si>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</si>
  <si>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1% Tolerance</t>
  </si>
  <si>
    <t>OFO Type:</t>
  </si>
  <si>
    <t>System-Wide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</si>
  <si>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</si>
  <si>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</si>
  <si>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</si>
  <si>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</si>
  <si>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</si>
  <si>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</si>
  <si>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</si>
  <si>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</si>
  <si>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</si>
  <si>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</si>
  <si>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 xml:space="preserve">Dest Cust ID </t>
  </si>
  <si>
    <t xml:space="preserve">Dest Ctrct Type </t>
  </si>
  <si>
    <t>Delivery Tot NGSA Sched Vol</t>
  </si>
  <si>
    <t>Core OFO Usg MMBTU Vol</t>
  </si>
  <si>
    <t>Core Daily Imbalance</t>
  </si>
  <si>
    <t>% of Usage</t>
  </si>
  <si>
    <t>3% Tolerance</t>
  </si>
  <si>
    <t>Customer-Specific</t>
  </si>
  <si>
    <t>X</t>
  </si>
  <si>
    <t>Low Inventory</t>
  </si>
  <si>
    <t>2% Tolerance</t>
  </si>
  <si>
    <t>4% Tolerance</t>
  </si>
  <si>
    <t>10% Tolerance</t>
  </si>
  <si>
    <t>Stage 3</t>
  </si>
  <si>
    <t>Stage 2</t>
  </si>
  <si>
    <t>Stage 1</t>
  </si>
  <si>
    <t>&gt; Vol. Only</t>
  </si>
  <si>
    <t>&gt; % Only</t>
  </si>
  <si>
    <t>1.   CTARGAS is a Core Procurement Group; NBAA is  group of noncore enduse customers; NGSA is an individual customer.</t>
  </si>
  <si>
    <t>2. "Significant Contributor" per the OFO Settlement is the "3-Day Volume +  Percent Imbalance" Column.  The other significant contributor measures are for additional information.</t>
  </si>
  <si>
    <t>Average for Entity</t>
  </si>
  <si>
    <t xml:space="preserve"> Average OFO Day Usage Calculation</t>
  </si>
  <si>
    <t>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</si>
</sst>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8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" fontId="3" fillId="0" borderId="1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2" fillId="0" borderId="0" xfId="0" applyFont="1" applyBorder="1"/>
    <xf numFmtId="3" fontId="10" fillId="0" borderId="0" xfId="0" applyNumberFormat="1" applyFont="1" applyBorder="1"/>
    <xf numFmtId="9" fontId="10" fillId="0" borderId="0" xfId="0" applyNumberFormat="1" applyFont="1" applyBorder="1"/>
    <xf numFmtId="0" fontId="3" fillId="0" borderId="16" xfId="0" applyFont="1" applyBorder="1" applyAlignment="1">
      <alignment horizontal="center" wrapText="1"/>
    </xf>
    <xf numFmtId="3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20" xfId="0" quotePrefix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quotePrefix="1" applyFont="1" applyBorder="1" applyAlignment="1">
      <alignment horizontal="center" vertical="center" wrapText="1"/>
    </xf>
    <xf numFmtId="9" fontId="3" fillId="0" borderId="25" xfId="0" applyNumberFormat="1" applyFont="1" applyBorder="1" applyAlignment="1">
      <alignment horizontal="center" vertical="center" wrapText="1"/>
    </xf>
    <xf numFmtId="0" fontId="3" fillId="0" borderId="26" xfId="0" quotePrefix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 wrapText="1"/>
    </xf>
    <xf numFmtId="9" fontId="0" fillId="0" borderId="0" xfId="0" applyNumberFormat="1" applyBorder="1"/>
    <xf numFmtId="0" fontId="1" fillId="0" borderId="0" xfId="0" applyFont="1" applyBorder="1"/>
    <xf numFmtId="9" fontId="1" fillId="0" borderId="0" xfId="0" applyNumberFormat="1" applyFon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7" xfId="0" applyFont="1" applyBorder="1" applyAlignment="1">
      <alignment horizontal="center" wrapText="1"/>
    </xf>
    <xf numFmtId="0" fontId="13" fillId="0" borderId="30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3" fillId="0" borderId="0" xfId="0" applyFont="1"/>
    <xf numFmtId="0" fontId="13" fillId="0" borderId="0" xfId="0" applyFont="1" applyBorder="1" applyAlignment="1">
      <alignment horizont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0" fillId="0" borderId="35" xfId="0" applyBorder="1"/>
    <xf numFmtId="0" fontId="0" fillId="0" borderId="36" xfId="0" applyBorder="1"/>
    <xf numFmtId="9" fontId="0" fillId="0" borderId="35" xfId="0" applyNumberFormat="1" applyBorder="1"/>
    <xf numFmtId="0" fontId="13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3" fillId="0" borderId="40" xfId="0" applyFont="1" applyBorder="1" applyAlignment="1">
      <alignment horizontal="center" wrapText="1"/>
    </xf>
    <xf numFmtId="0" fontId="0" fillId="0" borderId="41" xfId="0" applyBorder="1"/>
    <xf numFmtId="0" fontId="1" fillId="0" borderId="42" xfId="0" applyFon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wrapText="1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48" xfId="0" applyNumberForma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3" fillId="0" borderId="0" xfId="0" applyFont="1" applyBorder="1"/>
    <xf numFmtId="0" fontId="1" fillId="0" borderId="48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" fillId="0" borderId="11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8" fillId="0" borderId="11" xfId="0" applyFont="1" applyBorder="1" applyAlignment="1">
      <alignment horizontal="center"/>
    </xf>
    <xf numFmtId="0" fontId="1" fillId="0" borderId="51" xfId="0" applyFont="1" applyBorder="1" applyAlignment="1">
      <alignment vertical="center"/>
    </xf>
    <xf numFmtId="164" fontId="8" fillId="0" borderId="52" xfId="0" applyNumberFormat="1" applyFont="1" applyBorder="1" applyAlignment="1">
      <alignment horizontal="center" textRotation="90"/>
    </xf>
    <xf numFmtId="0" fontId="1" fillId="0" borderId="51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 wrapText="1"/>
    </xf>
    <xf numFmtId="0" fontId="1" fillId="0" borderId="54" xfId="0" applyFont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8" fillId="0" borderId="58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0" fillId="0" borderId="51" xfId="0" applyBorder="1"/>
    <xf numFmtId="0" fontId="8" fillId="0" borderId="59" xfId="0" applyFont="1" applyBorder="1" applyAlignment="1">
      <alignment horizontal="center" wrapText="1"/>
    </xf>
    <xf numFmtId="0" fontId="1" fillId="0" borderId="59" xfId="0" applyFont="1" applyBorder="1" applyAlignment="1">
      <alignment vertical="center"/>
    </xf>
    <xf numFmtId="0" fontId="8" fillId="0" borderId="59" xfId="0" applyFont="1" applyBorder="1" applyAlignment="1">
      <alignment horizontal="center"/>
    </xf>
    <xf numFmtId="0" fontId="3" fillId="0" borderId="15" xfId="0" applyFont="1" applyBorder="1"/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0" fillId="0" borderId="15" xfId="0" applyBorder="1"/>
    <xf numFmtId="0" fontId="7" fillId="0" borderId="52" xfId="0" applyFont="1" applyBorder="1" applyAlignment="1">
      <alignment horizontal="center" wrapText="1"/>
    </xf>
    <xf numFmtId="0" fontId="15" fillId="0" borderId="0" xfId="0" applyFont="1"/>
    <xf numFmtId="0" fontId="15" fillId="0" borderId="0" xfId="0" applyFont="1" applyBorder="1"/>
    <xf numFmtId="0" fontId="7" fillId="0" borderId="5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5" fillId="0" borderId="11" xfId="0" applyFont="1" applyBorder="1"/>
    <xf numFmtId="0" fontId="7" fillId="0" borderId="51" xfId="0" applyFont="1" applyBorder="1"/>
    <xf numFmtId="0" fontId="7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63" xfId="0" applyFont="1" applyBorder="1" applyAlignment="1">
      <alignment horizontal="center" wrapText="1"/>
    </xf>
    <xf numFmtId="9" fontId="3" fillId="0" borderId="64" xfId="0" applyNumberFormat="1" applyFont="1" applyBorder="1" applyAlignment="1">
      <alignment horizontal="center" vertical="center" wrapText="1"/>
    </xf>
    <xf numFmtId="3" fontId="3" fillId="0" borderId="65" xfId="0" applyNumberFormat="1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/>
    </xf>
    <xf numFmtId="0" fontId="1" fillId="0" borderId="67" xfId="0" quotePrefix="1" applyFont="1" applyBorder="1" applyAlignment="1">
      <alignment horizontal="center" vertical="center"/>
    </xf>
    <xf numFmtId="0" fontId="3" fillId="0" borderId="68" xfId="0" applyFont="1" applyBorder="1" applyAlignment="1">
      <alignment horizontal="centerContinuous"/>
    </xf>
    <xf numFmtId="0" fontId="3" fillId="0" borderId="43" xfId="0" applyFont="1" applyBorder="1" applyAlignment="1">
      <alignment horizontal="centerContinuous"/>
    </xf>
    <xf numFmtId="0" fontId="3" fillId="0" borderId="69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8" fillId="0" borderId="70" xfId="0" applyFont="1" applyBorder="1" applyAlignment="1">
      <alignment horizontal="centerContinuous" vertical="center" wrapText="1"/>
    </xf>
    <xf numFmtId="0" fontId="6" fillId="0" borderId="44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6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5" xfId="0" applyBorder="1"/>
    <xf numFmtId="0" fontId="0" fillId="0" borderId="34" xfId="0" applyBorder="1"/>
    <xf numFmtId="9" fontId="0" fillId="0" borderId="71" xfId="0" applyNumberFormat="1" applyBorder="1"/>
    <xf numFmtId="0" fontId="0" fillId="0" borderId="38" xfId="0" applyBorder="1"/>
    <xf numFmtId="0" fontId="1" fillId="0" borderId="72" xfId="0" applyFont="1" applyBorder="1" applyAlignment="1">
      <alignment horizontal="center"/>
    </xf>
    <xf numFmtId="164" fontId="16" fillId="0" borderId="73" xfId="0" applyNumberFormat="1" applyFont="1" applyBorder="1"/>
    <xf numFmtId="0" fontId="8" fillId="0" borderId="7" xfId="0" applyFont="1" applyBorder="1" applyAlignment="1">
      <alignment horizontal="center" wrapText="1"/>
    </xf>
    <xf numFmtId="164" fontId="6" fillId="0" borderId="73" xfId="0" applyNumberFormat="1" applyFont="1" applyBorder="1"/>
    <xf numFmtId="164" fontId="8" fillId="0" borderId="0" xfId="0" applyNumberFormat="1" applyFont="1"/>
    <xf numFmtId="164" fontId="8" fillId="0" borderId="48" xfId="0" applyNumberFormat="1" applyFont="1" applyBorder="1" applyAlignment="1">
      <alignment horizontal="center"/>
    </xf>
    <xf numFmtId="164" fontId="8" fillId="0" borderId="49" xfId="0" applyNumberFormat="1" applyFont="1" applyBorder="1" applyAlignment="1">
      <alignment horizontal="center"/>
    </xf>
    <xf numFmtId="164" fontId="8" fillId="0" borderId="74" xfId="0" applyNumberFormat="1" applyFont="1" applyBorder="1"/>
    <xf numFmtId="164" fontId="8" fillId="0" borderId="72" xfId="0" applyNumberFormat="1" applyFont="1" applyBorder="1"/>
    <xf numFmtId="164" fontId="2" fillId="0" borderId="73" xfId="0" applyNumberFormat="1" applyFont="1" applyBorder="1"/>
    <xf numFmtId="164" fontId="8" fillId="0" borderId="48" xfId="0" applyNumberFormat="1" applyFont="1" applyBorder="1"/>
    <xf numFmtId="164" fontId="8" fillId="0" borderId="50" xfId="0" applyNumberFormat="1" applyFont="1" applyBorder="1"/>
    <xf numFmtId="164" fontId="8" fillId="0" borderId="7" xfId="0" applyNumberFormat="1" applyFont="1" applyBorder="1"/>
    <xf numFmtId="164" fontId="8" fillId="0" borderId="30" xfId="0" applyNumberFormat="1" applyFont="1" applyBorder="1"/>
    <xf numFmtId="164" fontId="8" fillId="0" borderId="75" xfId="0" applyNumberFormat="1" applyFont="1" applyBorder="1"/>
    <xf numFmtId="164" fontId="8" fillId="0" borderId="0" xfId="0" applyNumberFormat="1" applyFont="1" applyBorder="1"/>
    <xf numFmtId="164" fontId="8" fillId="0" borderId="49" xfId="0" applyNumberFormat="1" applyFont="1" applyBorder="1"/>
    <xf numFmtId="164" fontId="8" fillId="0" borderId="76" xfId="0" applyNumberFormat="1" applyFont="1" applyBorder="1"/>
    <xf numFmtId="164" fontId="8" fillId="0" borderId="77" xfId="0" applyNumberFormat="1" applyFont="1" applyBorder="1"/>
    <xf numFmtId="0" fontId="8" fillId="0" borderId="75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/>
    <xf numFmtId="0" fontId="0" fillId="0" borderId="71" xfId="0" applyBorder="1"/>
    <xf numFmtId="0" fontId="0" fillId="0" borderId="39" xfId="0" applyBorder="1"/>
    <xf numFmtId="0" fontId="0" fillId="0" borderId="42" xfId="0" applyBorder="1"/>
    <xf numFmtId="9" fontId="6" fillId="0" borderId="35" xfId="0" applyNumberFormat="1" applyFont="1" applyBorder="1"/>
    <xf numFmtId="0" fontId="1" fillId="0" borderId="2" xfId="0" applyFont="1" applyBorder="1"/>
    <xf numFmtId="9" fontId="6" fillId="0" borderId="71" xfId="0" applyNumberFormat="1" applyFont="1" applyBorder="1"/>
    <xf numFmtId="0" fontId="6" fillId="0" borderId="5" xfId="0" applyFont="1" applyBorder="1"/>
    <xf numFmtId="2" fontId="8" fillId="0" borderId="39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0" fillId="0" borderId="1" xfId="0" applyNumberFormat="1" applyBorder="1"/>
    <xf numFmtId="9" fontId="0" fillId="0" borderId="42" xfId="0" applyNumberFormat="1" applyBorder="1"/>
    <xf numFmtId="0" fontId="0" fillId="0" borderId="46" xfId="0" applyBorder="1"/>
    <xf numFmtId="0" fontId="1" fillId="0" borderId="46" xfId="0" applyFont="1" applyBorder="1"/>
    <xf numFmtId="0" fontId="15" fillId="0" borderId="51" xfId="0" applyFont="1" applyBorder="1"/>
    <xf numFmtId="49" fontId="8" fillId="0" borderId="11" xfId="0" applyNumberFormat="1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1" fontId="8" fillId="0" borderId="5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7" fillId="0" borderId="11" xfId="0" applyFon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Border="1"/>
    <xf numFmtId="1" fontId="8" fillId="0" borderId="11" xfId="0" applyNumberFormat="1" applyFont="1" applyBorder="1" applyAlignment="1">
      <alignment horizontal="center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</xdr:rowOff>
    </xdr:from>
    <xdr:to>
      <xdr:col>7</xdr:col>
      <xdr:colOff>28575</xdr:colOff>
      <xdr:row>0</xdr:row>
      <xdr:rowOff>561975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3324225" y="9525"/>
          <a:ext cx="35718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67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7.85546875" defaultRowHeight="12.75" x14ac:dyDescent="0.2"/>
  <cols>
    <col min="1" max="2" width="14.7109375" style="29" customWidth="1"/>
    <col min="3" max="3" width="14.7109375" style="19" customWidth="1"/>
    <col min="4" max="7" width="14.7109375" style="16" customWidth="1"/>
    <col min="8" max="8" width="25" customWidth="1"/>
    <col min="9" max="9" width="6.140625" customWidth="1"/>
    <col min="10" max="10" width="8.85546875" style="129" customWidth="1"/>
    <col min="11" max="25" width="3.7109375" customWidth="1"/>
    <col min="26" max="26" width="5" customWidth="1"/>
    <col min="27" max="27" width="2.5703125" customWidth="1"/>
    <col min="28" max="42" width="3.7109375" customWidth="1"/>
    <col min="43" max="43" width="5.28515625" customWidth="1"/>
    <col min="44" max="44" width="1.28515625" customWidth="1"/>
    <col min="45" max="45" width="5.85546875" customWidth="1"/>
    <col min="46" max="46" width="7.28515625" style="129" customWidth="1"/>
    <col min="47" max="61" width="3.7109375" customWidth="1"/>
    <col min="62" max="62" width="5.85546875" customWidth="1"/>
    <col min="63" max="63" width="1.7109375" customWidth="1"/>
    <col min="64" max="78" width="3.7109375" customWidth="1"/>
    <col min="79" max="79" width="5.5703125" customWidth="1"/>
    <col min="80" max="80" width="3.7109375" customWidth="1"/>
    <col min="81" max="81" width="5.85546875" customWidth="1"/>
    <col min="82" max="82" width="7.28515625" style="129" customWidth="1"/>
    <col min="83" max="97" width="3.7109375" customWidth="1"/>
    <col min="98" max="98" width="6.28515625" customWidth="1"/>
    <col min="99" max="99" width="7.85546875" customWidth="1"/>
    <col min="102" max="113" width="7.7109375" customWidth="1"/>
    <col min="114" max="116" width="6.7109375" customWidth="1"/>
    <col min="118" max="118" width="8" bestFit="1" customWidth="1"/>
  </cols>
  <sheetData>
    <row r="1" spans="1:118" ht="48.75" customHeight="1" x14ac:dyDescent="0.25">
      <c r="A1" s="151" t="s">
        <v>0</v>
      </c>
      <c r="B1" s="151"/>
      <c r="C1" s="151"/>
      <c r="D1" s="151"/>
      <c r="E1" s="140"/>
      <c r="F1" s="140"/>
      <c r="G1" s="140"/>
      <c r="BI1" s="221"/>
    </row>
    <row r="2" spans="1:118" ht="28.5" customHeight="1" thickBot="1" x14ac:dyDescent="0.25">
      <c r="A2" s="150" t="s">
        <v>1</v>
      </c>
      <c r="B2" s="150"/>
      <c r="C2" s="150"/>
      <c r="D2" s="150"/>
      <c r="E2" s="150"/>
      <c r="F2" s="150"/>
      <c r="G2" s="150"/>
    </row>
    <row r="3" spans="1:118" s="4" customFormat="1" ht="18" customHeight="1" thickBot="1" x14ac:dyDescent="0.3">
      <c r="A3" s="20"/>
      <c r="B3" s="20"/>
      <c r="C3" s="26"/>
      <c r="D3" s="147" t="s">
        <v>2</v>
      </c>
      <c r="E3" s="148"/>
      <c r="F3" s="148"/>
      <c r="G3" s="149"/>
      <c r="I3" s="33"/>
      <c r="J3" s="130"/>
      <c r="K3" s="48" t="s">
        <v>3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119"/>
      <c r="AB3" s="48" t="s">
        <v>4</v>
      </c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119"/>
      <c r="AS3" s="33"/>
      <c r="AT3" s="130"/>
      <c r="AU3" s="98" t="s">
        <v>5</v>
      </c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99" t="str">
        <f>TEXT($C$132,"#,#00")</f>
        <v>5,000</v>
      </c>
      <c r="BH3" s="48"/>
      <c r="BI3" s="98" t="s">
        <v>6</v>
      </c>
      <c r="BJ3" s="48"/>
      <c r="BK3" s="119"/>
      <c r="BL3" s="98" t="s">
        <v>7</v>
      </c>
      <c r="BM3" s="98"/>
      <c r="BN3" s="98"/>
      <c r="BO3" s="98"/>
      <c r="BP3" s="98"/>
      <c r="BQ3" s="99" t="str">
        <f>TEXT($C$128,"#,#00")</f>
        <v>5,000</v>
      </c>
      <c r="BR3" s="98"/>
      <c r="BS3" s="98"/>
      <c r="BT3" s="98"/>
      <c r="BU3" s="98"/>
      <c r="BV3" s="98"/>
      <c r="BW3" s="98" t="s">
        <v>8</v>
      </c>
      <c r="BX3" s="98"/>
      <c r="BY3" s="98"/>
      <c r="BZ3" s="98"/>
      <c r="CA3" s="98"/>
      <c r="CB3" s="119"/>
      <c r="CC3" s="33"/>
      <c r="CD3" s="130"/>
      <c r="CE3" s="98" t="s">
        <v>9</v>
      </c>
      <c r="CF3" s="48"/>
      <c r="CG3" s="48"/>
      <c r="CH3" s="48"/>
      <c r="CI3" s="15"/>
      <c r="CJ3" s="48"/>
      <c r="CK3" s="15"/>
      <c r="CL3" s="15"/>
      <c r="CM3" s="15"/>
      <c r="CN3" s="15"/>
      <c r="CO3" s="15"/>
      <c r="CP3" s="99" t="str">
        <f>TEXT($C$129,"00.0%")</f>
        <v>10.0%</v>
      </c>
      <c r="CQ3" s="15"/>
      <c r="CR3" s="98" t="s">
        <v>10</v>
      </c>
      <c r="CS3" s="48"/>
      <c r="CT3" s="48"/>
      <c r="CU3" s="124"/>
      <c r="CW3" s="4" t="s">
        <v>72</v>
      </c>
    </row>
    <row r="4" spans="1:118" s="3" customFormat="1" ht="67.5" customHeight="1" thickBot="1" x14ac:dyDescent="0.3">
      <c r="A4" s="21" t="s">
        <v>11</v>
      </c>
      <c r="B4" s="30" t="s">
        <v>12</v>
      </c>
      <c r="C4" s="40" t="s">
        <v>13</v>
      </c>
      <c r="D4" s="37" t="s">
        <v>14</v>
      </c>
      <c r="E4" s="22" t="s">
        <v>15</v>
      </c>
      <c r="F4" s="142" t="s">
        <v>16</v>
      </c>
      <c r="G4" s="23" t="s">
        <v>17</v>
      </c>
      <c r="I4" s="128" t="s">
        <v>18</v>
      </c>
      <c r="J4" s="128" t="s">
        <v>19</v>
      </c>
      <c r="K4" s="105">
        <v>36712</v>
      </c>
      <c r="L4" s="105">
        <v>36713</v>
      </c>
      <c r="M4" s="105">
        <v>36714</v>
      </c>
      <c r="N4" s="105">
        <v>36715</v>
      </c>
      <c r="O4" s="105">
        <v>36728</v>
      </c>
      <c r="P4" s="105">
        <v>36732</v>
      </c>
      <c r="Q4" s="105">
        <v>36767</v>
      </c>
      <c r="R4" s="105">
        <v>36768</v>
      </c>
      <c r="S4" s="105">
        <v>36779</v>
      </c>
      <c r="T4" s="105">
        <v>36791</v>
      </c>
      <c r="U4" s="105">
        <v>36792</v>
      </c>
      <c r="V4" s="105">
        <v>36798</v>
      </c>
      <c r="W4" s="105"/>
      <c r="X4" s="105"/>
      <c r="Y4" s="105"/>
      <c r="Z4" s="109" t="s">
        <v>20</v>
      </c>
      <c r="AA4" s="121"/>
      <c r="AB4" s="105">
        <v>36712</v>
      </c>
      <c r="AC4" s="105">
        <v>36713</v>
      </c>
      <c r="AD4" s="105">
        <v>36714</v>
      </c>
      <c r="AE4" s="105">
        <v>36715</v>
      </c>
      <c r="AF4" s="105">
        <v>36728</v>
      </c>
      <c r="AG4" s="105">
        <v>36732</v>
      </c>
      <c r="AH4" s="105">
        <v>36767</v>
      </c>
      <c r="AI4" s="105">
        <v>36768</v>
      </c>
      <c r="AJ4" s="105">
        <v>36779</v>
      </c>
      <c r="AK4" s="105">
        <v>36791</v>
      </c>
      <c r="AL4" s="105">
        <v>36792</v>
      </c>
      <c r="AM4" s="105">
        <v>36798</v>
      </c>
      <c r="AN4" s="105"/>
      <c r="AO4" s="105"/>
      <c r="AP4" s="105"/>
      <c r="AQ4" s="109" t="s">
        <v>20</v>
      </c>
      <c r="AR4" s="121"/>
      <c r="AS4" s="128" t="s">
        <v>18</v>
      </c>
      <c r="AT4" s="128" t="s">
        <v>19</v>
      </c>
      <c r="AU4" s="105">
        <v>36712</v>
      </c>
      <c r="AV4" s="105">
        <v>36713</v>
      </c>
      <c r="AW4" s="105">
        <v>36714</v>
      </c>
      <c r="AX4" s="105">
        <v>36715</v>
      </c>
      <c r="AY4" s="105">
        <v>36728</v>
      </c>
      <c r="AZ4" s="105">
        <v>36732</v>
      </c>
      <c r="BA4" s="105">
        <v>36767</v>
      </c>
      <c r="BB4" s="105">
        <v>36768</v>
      </c>
      <c r="BC4" s="105">
        <v>36779</v>
      </c>
      <c r="BD4" s="105">
        <v>36791</v>
      </c>
      <c r="BE4" s="105">
        <v>36792</v>
      </c>
      <c r="BF4" s="105">
        <v>36798</v>
      </c>
      <c r="BG4" s="105"/>
      <c r="BH4" s="105"/>
      <c r="BI4" s="105"/>
      <c r="BJ4" s="109" t="s">
        <v>20</v>
      </c>
      <c r="BK4" s="121"/>
      <c r="BL4" s="105">
        <v>36712</v>
      </c>
      <c r="BM4" s="105">
        <v>36713</v>
      </c>
      <c r="BN4" s="105">
        <v>36714</v>
      </c>
      <c r="BO4" s="105">
        <v>36715</v>
      </c>
      <c r="BP4" s="105">
        <v>36728</v>
      </c>
      <c r="BQ4" s="105">
        <v>36732</v>
      </c>
      <c r="BR4" s="105">
        <v>36767</v>
      </c>
      <c r="BS4" s="105">
        <v>36768</v>
      </c>
      <c r="BT4" s="105">
        <v>36779</v>
      </c>
      <c r="BU4" s="105">
        <v>36791</v>
      </c>
      <c r="BV4" s="105">
        <v>36792</v>
      </c>
      <c r="BW4" s="105">
        <v>36798</v>
      </c>
      <c r="BX4" s="105"/>
      <c r="BY4" s="105"/>
      <c r="BZ4" s="105"/>
      <c r="CA4" s="109" t="s">
        <v>20</v>
      </c>
      <c r="CB4" s="121"/>
      <c r="CC4" s="128" t="s">
        <v>18</v>
      </c>
      <c r="CD4" s="128" t="s">
        <v>19</v>
      </c>
      <c r="CE4" s="105">
        <v>36712</v>
      </c>
      <c r="CF4" s="105">
        <v>36713</v>
      </c>
      <c r="CG4" s="105">
        <v>36714</v>
      </c>
      <c r="CH4" s="105">
        <v>36715</v>
      </c>
      <c r="CI4" s="105">
        <v>36728</v>
      </c>
      <c r="CJ4" s="105">
        <v>36732</v>
      </c>
      <c r="CK4" s="105">
        <v>36767</v>
      </c>
      <c r="CL4" s="105">
        <v>36768</v>
      </c>
      <c r="CM4" s="105">
        <v>36779</v>
      </c>
      <c r="CN4" s="105">
        <v>36791</v>
      </c>
      <c r="CO4" s="105">
        <v>36792</v>
      </c>
      <c r="CP4" s="105">
        <v>36798</v>
      </c>
      <c r="CQ4" s="105"/>
      <c r="CR4" s="105"/>
      <c r="CS4" s="105"/>
      <c r="CT4" s="109" t="s">
        <v>20</v>
      </c>
      <c r="CU4" s="125"/>
      <c r="CV4" s="128" t="s">
        <v>18</v>
      </c>
      <c r="CW4" s="128" t="s">
        <v>19</v>
      </c>
      <c r="CX4" s="105">
        <v>36712</v>
      </c>
      <c r="CY4" s="105">
        <v>36713</v>
      </c>
      <c r="CZ4" s="105">
        <v>36714</v>
      </c>
      <c r="DA4" s="105">
        <v>36715</v>
      </c>
      <c r="DB4" s="105">
        <v>36728</v>
      </c>
      <c r="DC4" s="105">
        <v>36732</v>
      </c>
      <c r="DD4" s="105">
        <v>36767</v>
      </c>
      <c r="DE4" s="105">
        <v>36768</v>
      </c>
      <c r="DF4" s="105">
        <v>36779</v>
      </c>
      <c r="DG4" s="105">
        <v>36791</v>
      </c>
      <c r="DH4" s="105">
        <v>36792</v>
      </c>
      <c r="DI4" s="105">
        <v>36798</v>
      </c>
      <c r="DJ4" s="105"/>
      <c r="DK4" s="105"/>
      <c r="DL4" s="105"/>
      <c r="DM4" s="109" t="s">
        <v>71</v>
      </c>
    </row>
    <row r="5" spans="1:118" s="18" customFormat="1" ht="18.75" customHeight="1" x14ac:dyDescent="0.2">
      <c r="A5" s="24" t="s">
        <v>21</v>
      </c>
      <c r="B5" s="31"/>
      <c r="C5" s="41" t="s">
        <v>22</v>
      </c>
      <c r="D5" s="38">
        <f>Summary!$C$128</f>
        <v>5000</v>
      </c>
      <c r="E5" s="27">
        <f>Summary!$C$128</f>
        <v>5000</v>
      </c>
      <c r="F5" s="141" t="s">
        <v>23</v>
      </c>
      <c r="G5" s="144">
        <f>Summary!$C$132</f>
        <v>5000</v>
      </c>
      <c r="I5" s="104"/>
      <c r="J5" s="131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10"/>
      <c r="AA5" s="122"/>
      <c r="AB5" s="115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10"/>
      <c r="AR5" s="122"/>
      <c r="AS5" s="104"/>
      <c r="AT5" s="131"/>
      <c r="AU5" s="115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10"/>
      <c r="BK5" s="122"/>
      <c r="BL5" s="115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10"/>
      <c r="CB5" s="122"/>
      <c r="CC5" s="104"/>
      <c r="CD5" s="131"/>
      <c r="CE5" s="115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10"/>
      <c r="CU5" s="126"/>
      <c r="CV5" s="104"/>
      <c r="CW5" s="131"/>
      <c r="CX5" s="115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10"/>
    </row>
    <row r="6" spans="1:118" s="18" customFormat="1" ht="19.5" customHeight="1" thickBot="1" x14ac:dyDescent="0.25">
      <c r="A6" s="43" t="s">
        <v>24</v>
      </c>
      <c r="B6" s="44"/>
      <c r="C6" s="45" t="s">
        <v>22</v>
      </c>
      <c r="D6" s="46">
        <f>Summary!$C$129</f>
        <v>0.1</v>
      </c>
      <c r="E6" s="47" t="s">
        <v>22</v>
      </c>
      <c r="F6" s="143">
        <f>Summary!$C$129</f>
        <v>0.1</v>
      </c>
      <c r="G6" s="146" t="s">
        <v>23</v>
      </c>
      <c r="I6" s="100"/>
      <c r="J6" s="132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11"/>
      <c r="AA6" s="122"/>
      <c r="AB6" s="116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11"/>
      <c r="AR6" s="122"/>
      <c r="AS6" s="100"/>
      <c r="AT6" s="132"/>
      <c r="AU6" s="116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11"/>
      <c r="BK6" s="122"/>
      <c r="BL6" s="116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11"/>
      <c r="CB6" s="122"/>
      <c r="CC6" s="100"/>
      <c r="CD6" s="132"/>
      <c r="CE6" s="116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11"/>
      <c r="CU6" s="126"/>
      <c r="CV6" s="100"/>
      <c r="CW6" s="132"/>
      <c r="CX6" s="116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11"/>
    </row>
    <row r="7" spans="1:118" ht="15.75" x14ac:dyDescent="0.25">
      <c r="A7" s="136">
        <f>I7</f>
        <v>1117</v>
      </c>
      <c r="B7" s="136" t="str">
        <f>J7</f>
        <v>CTARGAS</v>
      </c>
      <c r="C7" s="42" t="str">
        <f xml:space="preserve"> Z7</f>
        <v xml:space="preserve"> </v>
      </c>
      <c r="D7" s="39" t="str">
        <f>AQ7</f>
        <v xml:space="preserve"> </v>
      </c>
      <c r="E7" s="25" t="str">
        <f>CA7</f>
        <v xml:space="preserve"> </v>
      </c>
      <c r="F7" s="25">
        <f>CT7</f>
        <v>1</v>
      </c>
      <c r="G7" s="145" t="str">
        <f>BJ7</f>
        <v xml:space="preserve"> </v>
      </c>
      <c r="I7" s="101">
        <v>1117</v>
      </c>
      <c r="J7" s="133" t="s">
        <v>25</v>
      </c>
      <c r="K7" s="103" t="str">
        <f t="shared" ref="K7:K23" si="0">VLOOKUP($I7,ctar0705,17,FALSE)</f>
        <v xml:space="preserve"> </v>
      </c>
      <c r="L7" s="103" t="str">
        <f t="shared" ref="L7:L23" si="1">VLOOKUP($I7,ctar0706,17,FALSE)</f>
        <v xml:space="preserve"> </v>
      </c>
      <c r="M7" s="103" t="str">
        <f t="shared" ref="M7:M23" si="2">VLOOKUP($I7,ctar0707,17,FALSE)</f>
        <v xml:space="preserve"> </v>
      </c>
      <c r="N7" s="103" t="str">
        <f t="shared" ref="N7:N23" si="3">VLOOKUP($I7,ctar0708,17,FALSE)</f>
        <v xml:space="preserve"> </v>
      </c>
      <c r="O7" s="103" t="str">
        <f t="shared" ref="O7:O23" si="4">VLOOKUP($I7,ctar0721,17,FALSE)</f>
        <v xml:space="preserve"> </v>
      </c>
      <c r="P7" s="103" t="str">
        <f t="shared" ref="P7:P23" si="5">VLOOKUP($I7,ctar0725,17,FALSE)</f>
        <v xml:space="preserve"> </v>
      </c>
      <c r="Q7" s="103" t="str">
        <f t="shared" ref="Q7:Q23" si="6">VLOOKUP($I7,ctar0829,17,FALSE)</f>
        <v xml:space="preserve"> </v>
      </c>
      <c r="R7" s="103" t="str">
        <f>VLOOKUP($I7,ctar0830,17,FALSE)</f>
        <v xml:space="preserve"> </v>
      </c>
      <c r="S7" s="103" t="str">
        <f>VLOOKUP($I7,ctar0910,17,FALSE)</f>
        <v xml:space="preserve"> </v>
      </c>
      <c r="T7" s="103" t="str">
        <f>VLOOKUP($I7,ctar0922,17,FALSE)</f>
        <v xml:space="preserve"> </v>
      </c>
      <c r="U7" s="103" t="str">
        <f>VLOOKUP($I7,ctar0923,17,FALSE)</f>
        <v xml:space="preserve"> </v>
      </c>
      <c r="V7" s="103" t="str">
        <f>VLOOKUP($I7,ctar0929,17,FALSE)</f>
        <v xml:space="preserve"> </v>
      </c>
      <c r="W7" s="103"/>
      <c r="X7" s="103"/>
      <c r="Y7" s="103"/>
      <c r="Z7" s="112" t="str">
        <f t="shared" ref="Z7:Z24" si="7">IF(COUNTIF(K7:Y7,"x")=0," ",COUNTIF(K7:Y7,"x"))</f>
        <v xml:space="preserve"> </v>
      </c>
      <c r="AA7" s="123"/>
      <c r="AB7" s="103" t="str">
        <f>VLOOKUP($I7,ctar0705,18,FALSE)</f>
        <v xml:space="preserve"> </v>
      </c>
      <c r="AC7" s="103" t="str">
        <f>VLOOKUP($I7,ctar0706,18,FALSE)</f>
        <v xml:space="preserve"> </v>
      </c>
      <c r="AD7" s="103" t="str">
        <f>VLOOKUP($I7,ctar0707,18,FALSE)</f>
        <v xml:space="preserve"> </v>
      </c>
      <c r="AE7" s="103" t="str">
        <f>VLOOKUP($I7,ctar0708,18,FALSE)</f>
        <v xml:space="preserve"> </v>
      </c>
      <c r="AF7" s="103" t="str">
        <f>VLOOKUP($I7,ctar0721,18,FALSE)</f>
        <v xml:space="preserve"> </v>
      </c>
      <c r="AG7" s="103" t="str">
        <f>VLOOKUP($I7,ctar0725,18,FALSE)</f>
        <v xml:space="preserve"> </v>
      </c>
      <c r="AH7" s="103" t="str">
        <f>VLOOKUP($I7,ctar0829,18,FALSE)</f>
        <v xml:space="preserve"> </v>
      </c>
      <c r="AI7" s="103" t="str">
        <f>VLOOKUP($I7,ctar0830,18,FALSE)</f>
        <v xml:space="preserve"> </v>
      </c>
      <c r="AJ7" s="103" t="str">
        <f>VLOOKUP($I7,ctar0910,18,FALSE)</f>
        <v xml:space="preserve"> </v>
      </c>
      <c r="AK7" s="103" t="str">
        <f>VLOOKUP($I7,ctar0922,18,FALSE)</f>
        <v xml:space="preserve"> </v>
      </c>
      <c r="AL7" s="103" t="str">
        <f>VLOOKUP($I7,ctar0923,18,FALSE)</f>
        <v xml:space="preserve"> </v>
      </c>
      <c r="AM7" s="103" t="str">
        <f>VLOOKUP($I7,ctar0929,18,FALSE)</f>
        <v xml:space="preserve"> </v>
      </c>
      <c r="AN7" s="103"/>
      <c r="AO7" s="103"/>
      <c r="AP7" s="103"/>
      <c r="AQ7" s="112" t="str">
        <f>IF(COUNTIF(AB7:AP7,"x")=0," ",COUNTIF(AB7:AP7,"x"))</f>
        <v xml:space="preserve"> </v>
      </c>
      <c r="AR7" s="123"/>
      <c r="AS7" s="101">
        <f t="shared" ref="AS7:AS72" si="8">$I7</f>
        <v>1117</v>
      </c>
      <c r="AT7" s="133" t="str">
        <f t="shared" ref="AT7:AT72" si="9">$J7</f>
        <v>CTARGAS</v>
      </c>
      <c r="AU7" s="103" t="str">
        <f>VLOOKUP($I7,ctar0705,20,FALSE)</f>
        <v xml:space="preserve"> </v>
      </c>
      <c r="AV7" s="103" t="str">
        <f>VLOOKUP($I7,ctar0706,18,FALSE)</f>
        <v xml:space="preserve"> </v>
      </c>
      <c r="AW7" s="103" t="str">
        <f>VLOOKUP($I7,ctar0707,18,FALSE)</f>
        <v xml:space="preserve"> </v>
      </c>
      <c r="AX7" s="103" t="str">
        <f>VLOOKUP($I7,ctar0708,18,FALSE)</f>
        <v xml:space="preserve"> </v>
      </c>
      <c r="AY7" s="103" t="str">
        <f>VLOOKUP($I7,ctar0721,18,FALSE)</f>
        <v xml:space="preserve"> </v>
      </c>
      <c r="AZ7" s="103" t="str">
        <f>VLOOKUP($I7,ctar0725,18,FALSE)</f>
        <v xml:space="preserve"> </v>
      </c>
      <c r="BA7" s="103" t="str">
        <f>VLOOKUP($I7,ctar0829,18,FALSE)</f>
        <v xml:space="preserve"> </v>
      </c>
      <c r="BB7" s="103" t="str">
        <f>VLOOKUP($I7,ctar0830,18,FALSE)</f>
        <v xml:space="preserve"> </v>
      </c>
      <c r="BC7" s="103" t="str">
        <f>VLOOKUP($I7,ctar0910,18,FALSE)</f>
        <v xml:space="preserve"> </v>
      </c>
      <c r="BD7" s="103" t="str">
        <f>VLOOKUP($I7,ctar0922,18,FALSE)</f>
        <v xml:space="preserve"> </v>
      </c>
      <c r="BE7" s="103" t="str">
        <f>VLOOKUP($I7,ctar0923,18,FALSE)</f>
        <v xml:space="preserve"> </v>
      </c>
      <c r="BF7" s="103" t="str">
        <f>VLOOKUP($I7,ctar0929,18,FALSE)</f>
        <v xml:space="preserve"> </v>
      </c>
      <c r="BG7" s="103"/>
      <c r="BH7" s="103"/>
      <c r="BI7" s="103"/>
      <c r="BJ7" s="112" t="str">
        <f>IF(COUNTIF(AU7:BI7,"x")=0," ",COUNTIF(AU7:BI7,"x"))</f>
        <v xml:space="preserve"> </v>
      </c>
      <c r="BK7" s="123"/>
      <c r="BL7" s="103" t="str">
        <f t="shared" ref="BL7:BL17" si="10">VLOOKUP($I7,ctar0705,20,FALSE)</f>
        <v xml:space="preserve"> </v>
      </c>
      <c r="BM7" s="103" t="str">
        <f t="shared" ref="BM7:BM17" si="11">VLOOKUP($I7,ctar0706,20,FALSE)</f>
        <v xml:space="preserve"> </v>
      </c>
      <c r="BN7" s="103" t="str">
        <f t="shared" ref="BN7:BN17" si="12">VLOOKUP($I7,ctar0707,20,FALSE)</f>
        <v xml:space="preserve"> </v>
      </c>
      <c r="BO7" s="103" t="str">
        <f t="shared" ref="BO7:BO17" si="13">VLOOKUP($I7,ctar0708,20,FALSE)</f>
        <v xml:space="preserve"> </v>
      </c>
      <c r="BP7" s="103" t="str">
        <f t="shared" ref="BP7:BP17" si="14">VLOOKUP($I7,ctar0721,20,FALSE)</f>
        <v xml:space="preserve"> </v>
      </c>
      <c r="BQ7" s="103" t="str">
        <f t="shared" ref="BQ7:BQ17" si="15">VLOOKUP($I7,ctar0725,20,FALSE)</f>
        <v xml:space="preserve"> </v>
      </c>
      <c r="BR7" s="103" t="str">
        <f t="shared" ref="BR7:BR17" si="16">VLOOKUP($I7,ctar0829,20,FALSE)</f>
        <v xml:space="preserve"> </v>
      </c>
      <c r="BS7" s="103" t="str">
        <f t="shared" ref="BS7:BS17" si="17">VLOOKUP($I7,ctar0830,20,FALSE)</f>
        <v xml:space="preserve"> </v>
      </c>
      <c r="BT7" s="103" t="str">
        <f t="shared" ref="BT7:BT17" si="18">VLOOKUP($I7,ctar0910,20,FALSE)</f>
        <v xml:space="preserve"> </v>
      </c>
      <c r="BU7" s="103" t="str">
        <f t="shared" ref="BU7:BU17" si="19">VLOOKUP($I7,ctar0922,20,FALSE)</f>
        <v xml:space="preserve"> </v>
      </c>
      <c r="BV7" s="103" t="str">
        <f t="shared" ref="BV7:BV17" si="20">VLOOKUP($I7,ctar0923,20,FALSE)</f>
        <v xml:space="preserve"> </v>
      </c>
      <c r="BW7" s="103" t="str">
        <f t="shared" ref="BW7:BW17" si="21">VLOOKUP($I7,ctar0929,20,FALSE)</f>
        <v xml:space="preserve"> </v>
      </c>
      <c r="BX7" s="103"/>
      <c r="BY7" s="103"/>
      <c r="BZ7" s="103"/>
      <c r="CA7" s="112" t="str">
        <f t="shared" ref="CA7:CA17" si="22">IF(COUNTIF(BL7:BZ7,"x")=0," ",COUNTIF(BL7:BZ7,"x"))</f>
        <v xml:space="preserve"> </v>
      </c>
      <c r="CB7" s="123"/>
      <c r="CC7" s="101">
        <f>$I7</f>
        <v>1117</v>
      </c>
      <c r="CD7" s="133" t="str">
        <f>$J7</f>
        <v>CTARGAS</v>
      </c>
      <c r="CE7" s="103" t="str">
        <f>VLOOKUP($I7,ctar0705,21,FALSE)</f>
        <v xml:space="preserve"> </v>
      </c>
      <c r="CF7" s="103" t="str">
        <f>VLOOKUP($I7,ctar0706,21,FALSE)</f>
        <v xml:space="preserve"> </v>
      </c>
      <c r="CG7" s="103" t="str">
        <f>VLOOKUP($I7,ctar0707,21,FALSE)</f>
        <v xml:space="preserve"> </v>
      </c>
      <c r="CH7" s="103" t="str">
        <f>VLOOKUP($I7,ctar0708,21,FALSE)</f>
        <v xml:space="preserve"> </v>
      </c>
      <c r="CI7" s="103" t="str">
        <f>VLOOKUP($I7,ctar0721,21,FALSE)</f>
        <v xml:space="preserve"> </v>
      </c>
      <c r="CJ7" s="103" t="str">
        <f>VLOOKUP($I7,ctar0725,21,FALSE)</f>
        <v xml:space="preserve"> </v>
      </c>
      <c r="CK7" s="103" t="str">
        <f>VLOOKUP($I7,ctar0829,21,FALSE)</f>
        <v xml:space="preserve"> </v>
      </c>
      <c r="CL7" s="103" t="str">
        <f>VLOOKUP($I7,ctar0830,21,FALSE)</f>
        <v xml:space="preserve"> </v>
      </c>
      <c r="CM7" s="103" t="str">
        <f>VLOOKUP($I7,ctar0910,21,FALSE)</f>
        <v xml:space="preserve"> </v>
      </c>
      <c r="CN7" s="103" t="str">
        <f>VLOOKUP($I7,ctar0922,21,FALSE)</f>
        <v xml:space="preserve"> </v>
      </c>
      <c r="CO7" s="103" t="str">
        <f>VLOOKUP($I7,ctar0923,21,FALSE)</f>
        <v xml:space="preserve"> </v>
      </c>
      <c r="CP7" s="103" t="str">
        <f>VLOOKUP($I7,ctar0929,21,FALSE)</f>
        <v>X</v>
      </c>
      <c r="CQ7" s="103"/>
      <c r="CR7" s="103"/>
      <c r="CS7" s="103"/>
      <c r="CT7" s="112">
        <f>IF(COUNTIF(CE7:CS7,"x")=0," ",COUNTIF(CE7:CS7,"x"))</f>
        <v>1</v>
      </c>
      <c r="CU7" s="127"/>
      <c r="CV7" s="101">
        <f>$I7</f>
        <v>1117</v>
      </c>
      <c r="CW7" s="133" t="str">
        <f>$J7</f>
        <v>CTARGAS</v>
      </c>
      <c r="CX7" s="103">
        <f>VLOOKUP($I7,ctar0705,13,FALSE)</f>
        <v>201</v>
      </c>
      <c r="CY7" s="103">
        <f>VLOOKUP($I7,ctar0706,13,FALSE)</f>
        <v>215</v>
      </c>
      <c r="CZ7" s="103">
        <f>VLOOKUP($I7,ctar0707,13,FALSE)</f>
        <v>205</v>
      </c>
      <c r="DA7" s="103">
        <f>VLOOKUP($I7,ctar0708,13,FALSE)</f>
        <v>167</v>
      </c>
      <c r="DB7" s="103">
        <f>VLOOKUP($I7,ctar0721,13,FALSE)</f>
        <v>212</v>
      </c>
      <c r="DC7" s="103">
        <f>VLOOKUP($I7,ctar0725,13,FALSE)</f>
        <v>218</v>
      </c>
      <c r="DD7" s="103">
        <f>VLOOKUP($I7,ctar0829,13,FALSE)</f>
        <v>320</v>
      </c>
      <c r="DE7" s="103">
        <f>VLOOKUP($I7,ctar0830,13,FALSE)</f>
        <v>303</v>
      </c>
      <c r="DF7" s="103">
        <f>VLOOKUP($I7,ctar0910,13,FALSE)</f>
        <v>269</v>
      </c>
      <c r="DG7" s="103">
        <f>VLOOKUP($I7,ctar0922,13,FALSE)</f>
        <v>297</v>
      </c>
      <c r="DH7" s="103">
        <f>VLOOKUP($I7,ctar0923,13,FALSE)</f>
        <v>273</v>
      </c>
      <c r="DI7" s="103">
        <f>VLOOKUP($I7,ctar0929,13,FALSE)</f>
        <v>258</v>
      </c>
      <c r="DM7" s="224">
        <f>SUM(CX7:DL7)/COUNT(CX7:DL7)</f>
        <v>244.83333333333334</v>
      </c>
      <c r="DN7" t="s">
        <v>73</v>
      </c>
    </row>
    <row r="8" spans="1:118" ht="15.75" x14ac:dyDescent="0.25">
      <c r="A8" s="136">
        <f t="shared" ref="A8:A23" si="23">I8</f>
        <v>1126</v>
      </c>
      <c r="B8" s="136" t="str">
        <f t="shared" ref="B8:B23" si="24">J8</f>
        <v>CTARGAS</v>
      </c>
      <c r="C8" s="42" t="str">
        <f t="shared" ref="C8:C73" si="25" xml:space="preserve"> Z8</f>
        <v xml:space="preserve"> </v>
      </c>
      <c r="D8" s="39" t="str">
        <f t="shared" ref="D8:D73" si="26">AQ8</f>
        <v xml:space="preserve"> </v>
      </c>
      <c r="E8" s="25" t="str">
        <f t="shared" ref="E8:E73" si="27">CA8</f>
        <v xml:space="preserve"> </v>
      </c>
      <c r="F8" s="25">
        <f t="shared" ref="F8:F73" si="28">CT8</f>
        <v>4</v>
      </c>
      <c r="G8" s="145" t="str">
        <f t="shared" ref="G8:G73" si="29">BJ8</f>
        <v xml:space="preserve"> </v>
      </c>
      <c r="I8" s="101">
        <v>1126</v>
      </c>
      <c r="J8" s="133" t="s">
        <v>25</v>
      </c>
      <c r="K8" s="103" t="str">
        <f t="shared" si="0"/>
        <v xml:space="preserve"> </v>
      </c>
      <c r="L8" s="103" t="str">
        <f t="shared" si="1"/>
        <v xml:space="preserve"> </v>
      </c>
      <c r="M8" s="218">
        <f t="shared" si="2"/>
        <v>0</v>
      </c>
      <c r="N8" s="103">
        <f t="shared" si="3"/>
        <v>0</v>
      </c>
      <c r="O8" s="103">
        <f t="shared" si="4"/>
        <v>0</v>
      </c>
      <c r="P8" s="103">
        <f t="shared" si="5"/>
        <v>0</v>
      </c>
      <c r="Q8" s="103">
        <f t="shared" si="6"/>
        <v>0</v>
      </c>
      <c r="R8" s="103">
        <f t="shared" ref="R8:R23" si="30">VLOOKUP($I8,ctar0830,17,FALSE)</f>
        <v>0</v>
      </c>
      <c r="S8" s="103">
        <f t="shared" ref="S8:S23" si="31">VLOOKUP($I8,ctar0910,17,FALSE)</f>
        <v>0</v>
      </c>
      <c r="T8" s="103">
        <f t="shared" ref="T8:T23" si="32">VLOOKUP($I8,ctar0922,17,FALSE)</f>
        <v>0</v>
      </c>
      <c r="U8" s="103">
        <f t="shared" ref="U8:U23" si="33">VLOOKUP($I8,ctar0923,17,FALSE)</f>
        <v>0</v>
      </c>
      <c r="V8" s="103">
        <f t="shared" ref="V8:V23" si="34">VLOOKUP($I8,ctar0929,17,FALSE)</f>
        <v>0</v>
      </c>
      <c r="W8" s="103"/>
      <c r="X8" s="103"/>
      <c r="Y8" s="103"/>
      <c r="Z8" s="112" t="str">
        <f t="shared" si="7"/>
        <v xml:space="preserve"> </v>
      </c>
      <c r="AA8" s="123"/>
      <c r="AB8" s="103" t="str">
        <f t="shared" ref="AB8:AB23" si="35">VLOOKUP($I8,ctar0705,18,FALSE)</f>
        <v xml:space="preserve"> </v>
      </c>
      <c r="AC8" s="103" t="str">
        <f t="shared" ref="AC8:AC23" si="36">VLOOKUP($I8,ctar0706,18,FALSE)</f>
        <v xml:space="preserve"> </v>
      </c>
      <c r="AD8" s="103" t="str">
        <f t="shared" ref="AD8:AD23" si="37">VLOOKUP($I8,ctar0707,18,FALSE)</f>
        <v xml:space="preserve"> </v>
      </c>
      <c r="AE8" s="103" t="str">
        <f t="shared" ref="AE8:AE23" si="38">VLOOKUP($I8,ctar0708,18,FALSE)</f>
        <v xml:space="preserve"> </v>
      </c>
      <c r="AF8" s="103" t="str">
        <f t="shared" ref="AF8:AF23" si="39">VLOOKUP($I8,ctar0721,18,FALSE)</f>
        <v xml:space="preserve"> </v>
      </c>
      <c r="AG8" s="103" t="str">
        <f t="shared" ref="AG8:AG23" si="40">VLOOKUP($I8,ctar0725,18,FALSE)</f>
        <v xml:space="preserve"> </v>
      </c>
      <c r="AH8" s="103" t="str">
        <f t="shared" ref="AH8:AH23" si="41">VLOOKUP($I8,ctar0829,18,FALSE)</f>
        <v xml:space="preserve"> </v>
      </c>
      <c r="AI8" s="103" t="str">
        <f t="shared" ref="AI8:AI23" si="42">VLOOKUP($I8,ctar0830,18,FALSE)</f>
        <v xml:space="preserve"> </v>
      </c>
      <c r="AJ8" s="103" t="str">
        <f t="shared" ref="AJ8:AJ23" si="43">VLOOKUP($I8,ctar0910,18,FALSE)</f>
        <v xml:space="preserve"> </v>
      </c>
      <c r="AK8" s="103" t="str">
        <f t="shared" ref="AK8:AK23" si="44">VLOOKUP($I8,ctar0922,18,FALSE)</f>
        <v xml:space="preserve"> </v>
      </c>
      <c r="AL8" s="103" t="str">
        <f t="shared" ref="AL8:AL23" si="45">VLOOKUP($I8,ctar0923,18,FALSE)</f>
        <v xml:space="preserve"> </v>
      </c>
      <c r="AM8" s="103" t="str">
        <f t="shared" ref="AM8:AM23" si="46">VLOOKUP($I8,ctar0929,18,FALSE)</f>
        <v xml:space="preserve"> </v>
      </c>
      <c r="AN8" s="103"/>
      <c r="AO8" s="103"/>
      <c r="AP8" s="103"/>
      <c r="AQ8" s="112" t="str">
        <f t="shared" ref="AQ8:AQ24" si="47">IF(COUNTIF(AB8:AP8,"x")=0," ",COUNTIF(AB8:AP8,"x"))</f>
        <v xml:space="preserve"> </v>
      </c>
      <c r="AR8" s="123"/>
      <c r="AS8" s="101">
        <f t="shared" si="8"/>
        <v>1126</v>
      </c>
      <c r="AT8" s="133" t="str">
        <f t="shared" si="9"/>
        <v>CTARGAS</v>
      </c>
      <c r="AU8" s="103" t="str">
        <f t="shared" ref="AU8:AU23" si="48">VLOOKUP($I8,ctar0705,19,FALSE)</f>
        <v xml:space="preserve"> </v>
      </c>
      <c r="AV8" s="103" t="str">
        <f t="shared" ref="AV8:AV23" si="49">VLOOKUP($I8,ctar0706,19,FALSE)</f>
        <v xml:space="preserve"> </v>
      </c>
      <c r="AW8" s="103" t="str">
        <f t="shared" ref="AW8:AW23" si="50">VLOOKUP($I8,ctar0707,19,FALSE)</f>
        <v xml:space="preserve"> </v>
      </c>
      <c r="AX8" s="103" t="str">
        <f t="shared" ref="AX8:AX23" si="51">VLOOKUP($I8,ctar0708,19,FALSE)</f>
        <v xml:space="preserve"> </v>
      </c>
      <c r="AY8" s="103" t="str">
        <f t="shared" ref="AY8:AY23" si="52">VLOOKUP($I8,ctar0721,19,FALSE)</f>
        <v xml:space="preserve"> </v>
      </c>
      <c r="AZ8" s="103" t="str">
        <f t="shared" ref="AZ8:AZ23" si="53">VLOOKUP($I8,ctar0725,19,FALSE)</f>
        <v xml:space="preserve"> </v>
      </c>
      <c r="BA8" s="103" t="str">
        <f t="shared" ref="BA8:BA23" si="54">VLOOKUP($I8,ctar0829,19,FALSE)</f>
        <v xml:space="preserve"> </v>
      </c>
      <c r="BB8" s="103" t="str">
        <f t="shared" ref="BB8:BB23" si="55">VLOOKUP($I8,ctar0830,19,FALSE)</f>
        <v xml:space="preserve"> </v>
      </c>
      <c r="BC8" s="103" t="str">
        <f t="shared" ref="BC8:BC23" si="56">VLOOKUP($I8,ctar0910,19,FALSE)</f>
        <v xml:space="preserve"> </v>
      </c>
      <c r="BD8" s="103" t="str">
        <f t="shared" ref="BD8:BD23" si="57">VLOOKUP($I8,ctar0922,19,FALSE)</f>
        <v xml:space="preserve"> </v>
      </c>
      <c r="BE8" s="103" t="str">
        <f t="shared" ref="BE8:BE23" si="58">VLOOKUP($I8,ctar0923,19,FALSE)</f>
        <v xml:space="preserve"> </v>
      </c>
      <c r="BF8" s="103" t="str">
        <f t="shared" ref="BF8:BF23" si="59">VLOOKUP($I8,ctar0929,19,FALSE)</f>
        <v xml:space="preserve"> </v>
      </c>
      <c r="BG8" s="103"/>
      <c r="BH8" s="103"/>
      <c r="BI8" s="103"/>
      <c r="BJ8" s="112" t="str">
        <f t="shared" ref="BJ8:BJ23" si="60">IF(COUNTIF(AU8:BI8,"x")=0," ",COUNTIF(AU8:BI8,"x"))</f>
        <v xml:space="preserve"> </v>
      </c>
      <c r="BK8" s="123"/>
      <c r="BL8" s="103" t="str">
        <f t="shared" si="10"/>
        <v xml:space="preserve"> </v>
      </c>
      <c r="BM8" s="103" t="str">
        <f t="shared" si="11"/>
        <v xml:space="preserve"> </v>
      </c>
      <c r="BN8" s="103" t="str">
        <f t="shared" si="12"/>
        <v xml:space="preserve"> </v>
      </c>
      <c r="BO8" s="103" t="str">
        <f t="shared" si="13"/>
        <v xml:space="preserve"> </v>
      </c>
      <c r="BP8" s="103" t="str">
        <f t="shared" si="14"/>
        <v xml:space="preserve"> </v>
      </c>
      <c r="BQ8" s="103" t="str">
        <f t="shared" si="15"/>
        <v xml:space="preserve"> </v>
      </c>
      <c r="BR8" s="103" t="str">
        <f t="shared" si="16"/>
        <v xml:space="preserve"> </v>
      </c>
      <c r="BS8" s="103" t="str">
        <f t="shared" si="17"/>
        <v xml:space="preserve"> </v>
      </c>
      <c r="BT8" s="103" t="str">
        <f t="shared" si="18"/>
        <v xml:space="preserve"> </v>
      </c>
      <c r="BU8" s="103" t="str">
        <f t="shared" si="19"/>
        <v xml:space="preserve"> </v>
      </c>
      <c r="BV8" s="103" t="str">
        <f t="shared" si="20"/>
        <v xml:space="preserve"> </v>
      </c>
      <c r="BW8" s="103" t="str">
        <f t="shared" si="21"/>
        <v xml:space="preserve"> </v>
      </c>
      <c r="BX8" s="103"/>
      <c r="BY8" s="103"/>
      <c r="BZ8" s="103"/>
      <c r="CA8" s="112" t="str">
        <f t="shared" si="22"/>
        <v xml:space="preserve"> </v>
      </c>
      <c r="CB8" s="123"/>
      <c r="CC8" s="101">
        <f t="shared" ref="CC8:CC73" si="61">$I8</f>
        <v>1126</v>
      </c>
      <c r="CD8" s="133" t="str">
        <f t="shared" ref="CD8:CD73" si="62">$J8</f>
        <v>CTARGAS</v>
      </c>
      <c r="CE8" s="103" t="str">
        <f t="shared" ref="CE8:CE23" si="63">VLOOKUP($I8,ctar0705,21,FALSE)</f>
        <v xml:space="preserve"> </v>
      </c>
      <c r="CF8" s="103" t="str">
        <f t="shared" ref="CF8:CF23" si="64">VLOOKUP($I8,ctar0706,21,FALSE)</f>
        <v xml:space="preserve"> </v>
      </c>
      <c r="CG8" s="103" t="str">
        <f t="shared" ref="CG8:CG23" si="65">VLOOKUP($I8,ctar0707,21,FALSE)</f>
        <v xml:space="preserve"> </v>
      </c>
      <c r="CH8" s="103" t="str">
        <f t="shared" ref="CH8:CH23" si="66">VLOOKUP($I8,ctar0708,21,FALSE)</f>
        <v xml:space="preserve"> </v>
      </c>
      <c r="CI8" s="103" t="str">
        <f t="shared" ref="CI8:CI23" si="67">VLOOKUP($I8,ctar0721,21,FALSE)</f>
        <v>X</v>
      </c>
      <c r="CJ8" s="103" t="str">
        <f t="shared" ref="CJ8:CJ23" si="68">VLOOKUP($I8,ctar0725,21,FALSE)</f>
        <v>X</v>
      </c>
      <c r="CK8" s="103" t="str">
        <f t="shared" ref="CK8:CK23" si="69">VLOOKUP($I8,ctar0829,21,FALSE)</f>
        <v>X</v>
      </c>
      <c r="CL8" s="103" t="str">
        <f t="shared" ref="CL8:CL23" si="70">VLOOKUP($I8,ctar0830,21,FALSE)</f>
        <v>X</v>
      </c>
      <c r="CM8" s="103" t="str">
        <f t="shared" ref="CM8:CM23" si="71">VLOOKUP($I8,ctar0910,21,FALSE)</f>
        <v xml:space="preserve"> </v>
      </c>
      <c r="CN8" s="103" t="str">
        <f t="shared" ref="CN8:CN23" si="72">VLOOKUP($I8,ctar0922,21,FALSE)</f>
        <v xml:space="preserve"> </v>
      </c>
      <c r="CO8" s="103" t="str">
        <f t="shared" ref="CO8:CO23" si="73">VLOOKUP($I8,ctar0923,21,FALSE)</f>
        <v xml:space="preserve"> </v>
      </c>
      <c r="CP8" s="103" t="str">
        <f t="shared" ref="CP8:CP23" si="74">VLOOKUP($I8,ctar0929,21,FALSE)</f>
        <v xml:space="preserve"> </v>
      </c>
      <c r="CQ8" s="103"/>
      <c r="CR8" s="103"/>
      <c r="CS8" s="103"/>
      <c r="CT8" s="112">
        <f t="shared" ref="CT8:CT24" si="75">IF(COUNTIF(CE8:CS8,"x")=0," ",COUNTIF(CE8:CS8,"x"))</f>
        <v>4</v>
      </c>
      <c r="CU8" s="127"/>
      <c r="CV8" s="101">
        <f t="shared" ref="CV8:CV73" si="76">$I8</f>
        <v>1126</v>
      </c>
      <c r="CW8" s="133" t="str">
        <f t="shared" ref="CW8:CW73" si="77">$J8</f>
        <v>CTARGAS</v>
      </c>
      <c r="CX8" s="103">
        <f>VLOOKUP($I8,ctar0705,13,FALSE)</f>
        <v>237</v>
      </c>
      <c r="CY8" s="103">
        <f>VLOOKUP($I8,ctar0706,13,FALSE)</f>
        <v>238</v>
      </c>
      <c r="CZ8" s="103">
        <f>VLOOKUP($I8,ctar0707,13,FALSE)</f>
        <v>224</v>
      </c>
      <c r="DA8" s="103">
        <f>VLOOKUP($I8,ctar0708,13,FALSE)</f>
        <v>178</v>
      </c>
      <c r="DB8" s="103">
        <f>VLOOKUP($I8,ctar0721,13,FALSE)</f>
        <v>226</v>
      </c>
      <c r="DC8" s="103">
        <f>VLOOKUP($I8,ctar0725,13,FALSE)</f>
        <v>233</v>
      </c>
      <c r="DD8" s="103">
        <f>VLOOKUP($I8,ctar0829,13,FALSE)</f>
        <v>441</v>
      </c>
      <c r="DE8" s="103">
        <f>VLOOKUP($I8,ctar0830,13,FALSE)</f>
        <v>435</v>
      </c>
      <c r="DF8" s="103">
        <f>VLOOKUP($I8,ctar0910,13,FALSE)</f>
        <v>389</v>
      </c>
      <c r="DG8" s="103">
        <f>VLOOKUP($I8,ctar0922,13,FALSE)</f>
        <v>446</v>
      </c>
      <c r="DH8" s="103">
        <f>VLOOKUP($I8,ctar0923,13,FALSE)</f>
        <v>400</v>
      </c>
      <c r="DI8" s="103">
        <f>VLOOKUP($I8,ctar0929,13,FALSE)</f>
        <v>372</v>
      </c>
      <c r="DJ8" s="103"/>
      <c r="DK8" s="103"/>
      <c r="DL8" s="103"/>
      <c r="DM8" s="224">
        <f t="shared" ref="DM8:DM16" si="78">SUM(CX8:DL8)/COUNT(CX8:DL8)</f>
        <v>318.25</v>
      </c>
    </row>
    <row r="9" spans="1:118" ht="15.75" x14ac:dyDescent="0.25">
      <c r="A9" s="136">
        <f t="shared" si="23"/>
        <v>1157</v>
      </c>
      <c r="B9" s="136" t="str">
        <f t="shared" si="24"/>
        <v>CTARGAS</v>
      </c>
      <c r="C9" s="42" t="str">
        <f t="shared" si="25"/>
        <v xml:space="preserve"> </v>
      </c>
      <c r="D9" s="39" t="str">
        <f t="shared" si="26"/>
        <v xml:space="preserve"> </v>
      </c>
      <c r="E9" s="25" t="str">
        <f t="shared" si="27"/>
        <v xml:space="preserve"> </v>
      </c>
      <c r="F9" s="25">
        <f t="shared" si="28"/>
        <v>4</v>
      </c>
      <c r="G9" s="145" t="str">
        <f t="shared" si="29"/>
        <v xml:space="preserve"> </v>
      </c>
      <c r="I9" s="101">
        <v>1157</v>
      </c>
      <c r="J9" s="133" t="s">
        <v>25</v>
      </c>
      <c r="K9" s="103" t="str">
        <f t="shared" si="0"/>
        <v xml:space="preserve"> </v>
      </c>
      <c r="L9" s="103" t="str">
        <f t="shared" si="1"/>
        <v xml:space="preserve"> </v>
      </c>
      <c r="M9" s="103">
        <f t="shared" si="2"/>
        <v>0</v>
      </c>
      <c r="N9" s="103">
        <f t="shared" si="3"/>
        <v>0</v>
      </c>
      <c r="O9" s="103">
        <f t="shared" si="4"/>
        <v>0</v>
      </c>
      <c r="P9" s="103">
        <f t="shared" si="5"/>
        <v>0</v>
      </c>
      <c r="Q9" s="103">
        <f t="shared" si="6"/>
        <v>0</v>
      </c>
      <c r="R9" s="103">
        <f t="shared" si="30"/>
        <v>0</v>
      </c>
      <c r="S9" s="103">
        <f t="shared" si="31"/>
        <v>0</v>
      </c>
      <c r="T9" s="103">
        <f t="shared" si="32"/>
        <v>0</v>
      </c>
      <c r="U9" s="103">
        <f t="shared" si="33"/>
        <v>0</v>
      </c>
      <c r="V9" s="103">
        <f t="shared" si="34"/>
        <v>0</v>
      </c>
      <c r="W9" s="103"/>
      <c r="X9" s="103"/>
      <c r="Y9" s="103"/>
      <c r="Z9" s="112" t="str">
        <f t="shared" si="7"/>
        <v xml:space="preserve"> </v>
      </c>
      <c r="AA9" s="123"/>
      <c r="AB9" s="103" t="str">
        <f t="shared" si="35"/>
        <v xml:space="preserve"> </v>
      </c>
      <c r="AC9" s="103" t="str">
        <f t="shared" si="36"/>
        <v xml:space="preserve"> </v>
      </c>
      <c r="AD9" s="103" t="str">
        <f t="shared" si="37"/>
        <v xml:space="preserve"> </v>
      </c>
      <c r="AE9" s="103" t="str">
        <f t="shared" si="38"/>
        <v xml:space="preserve"> </v>
      </c>
      <c r="AF9" s="103" t="str">
        <f t="shared" si="39"/>
        <v xml:space="preserve"> </v>
      </c>
      <c r="AG9" s="103" t="str">
        <f t="shared" si="40"/>
        <v xml:space="preserve"> </v>
      </c>
      <c r="AH9" s="103" t="str">
        <f t="shared" si="41"/>
        <v xml:space="preserve"> </v>
      </c>
      <c r="AI9" s="103" t="str">
        <f t="shared" si="42"/>
        <v xml:space="preserve"> </v>
      </c>
      <c r="AJ9" s="103" t="str">
        <f t="shared" si="43"/>
        <v xml:space="preserve"> </v>
      </c>
      <c r="AK9" s="103" t="str">
        <f t="shared" si="44"/>
        <v xml:space="preserve"> </v>
      </c>
      <c r="AL9" s="103" t="str">
        <f t="shared" si="45"/>
        <v xml:space="preserve"> </v>
      </c>
      <c r="AM9" s="103" t="str">
        <f t="shared" si="46"/>
        <v xml:space="preserve"> </v>
      </c>
      <c r="AN9" s="103"/>
      <c r="AO9" s="103"/>
      <c r="AP9" s="103"/>
      <c r="AQ9" s="112" t="str">
        <f t="shared" si="47"/>
        <v xml:space="preserve"> </v>
      </c>
      <c r="AR9" s="123"/>
      <c r="AS9" s="101">
        <f t="shared" si="8"/>
        <v>1157</v>
      </c>
      <c r="AT9" s="133" t="str">
        <f t="shared" si="9"/>
        <v>CTARGAS</v>
      </c>
      <c r="AU9" s="103" t="str">
        <f t="shared" si="48"/>
        <v xml:space="preserve"> </v>
      </c>
      <c r="AV9" s="103" t="str">
        <f t="shared" si="49"/>
        <v xml:space="preserve"> </v>
      </c>
      <c r="AW9" s="103" t="str">
        <f t="shared" si="50"/>
        <v xml:space="preserve"> </v>
      </c>
      <c r="AX9" s="103" t="str">
        <f t="shared" si="51"/>
        <v xml:space="preserve"> </v>
      </c>
      <c r="AY9" s="103" t="str">
        <f t="shared" si="52"/>
        <v xml:space="preserve"> </v>
      </c>
      <c r="AZ9" s="103" t="str">
        <f t="shared" si="53"/>
        <v xml:space="preserve"> </v>
      </c>
      <c r="BA9" s="103" t="str">
        <f t="shared" si="54"/>
        <v xml:space="preserve"> </v>
      </c>
      <c r="BB9" s="103" t="str">
        <f t="shared" si="55"/>
        <v xml:space="preserve"> </v>
      </c>
      <c r="BC9" s="103" t="str">
        <f t="shared" si="56"/>
        <v xml:space="preserve"> </v>
      </c>
      <c r="BD9" s="103" t="str">
        <f t="shared" si="57"/>
        <v xml:space="preserve"> </v>
      </c>
      <c r="BE9" s="103" t="str">
        <f t="shared" si="58"/>
        <v xml:space="preserve"> </v>
      </c>
      <c r="BF9" s="103" t="str">
        <f t="shared" si="59"/>
        <v xml:space="preserve"> </v>
      </c>
      <c r="BG9" s="103"/>
      <c r="BH9" s="103"/>
      <c r="BI9" s="103"/>
      <c r="BJ9" s="112" t="str">
        <f t="shared" si="60"/>
        <v xml:space="preserve"> </v>
      </c>
      <c r="BK9" s="123"/>
      <c r="BL9" s="103" t="str">
        <f t="shared" si="10"/>
        <v xml:space="preserve"> </v>
      </c>
      <c r="BM9" s="103" t="str">
        <f t="shared" si="11"/>
        <v xml:space="preserve"> </v>
      </c>
      <c r="BN9" s="103" t="str">
        <f t="shared" si="12"/>
        <v xml:space="preserve"> </v>
      </c>
      <c r="BO9" s="103" t="str">
        <f t="shared" si="13"/>
        <v xml:space="preserve"> </v>
      </c>
      <c r="BP9" s="103" t="str">
        <f t="shared" si="14"/>
        <v xml:space="preserve"> </v>
      </c>
      <c r="BQ9" s="103" t="str">
        <f t="shared" si="15"/>
        <v xml:space="preserve"> </v>
      </c>
      <c r="BR9" s="103" t="str">
        <f t="shared" si="16"/>
        <v xml:space="preserve"> </v>
      </c>
      <c r="BS9" s="103" t="str">
        <f t="shared" si="17"/>
        <v xml:space="preserve"> </v>
      </c>
      <c r="BT9" s="103" t="str">
        <f t="shared" si="18"/>
        <v xml:space="preserve"> </v>
      </c>
      <c r="BU9" s="103" t="str">
        <f t="shared" si="19"/>
        <v xml:space="preserve"> </v>
      </c>
      <c r="BV9" s="103" t="str">
        <f t="shared" si="20"/>
        <v xml:space="preserve"> </v>
      </c>
      <c r="BW9" s="103" t="str">
        <f t="shared" si="21"/>
        <v xml:space="preserve"> </v>
      </c>
      <c r="BX9" s="103"/>
      <c r="BY9" s="103"/>
      <c r="BZ9" s="103"/>
      <c r="CA9" s="112" t="str">
        <f t="shared" si="22"/>
        <v xml:space="preserve"> </v>
      </c>
      <c r="CB9" s="123"/>
      <c r="CC9" s="101">
        <f t="shared" si="61"/>
        <v>1157</v>
      </c>
      <c r="CD9" s="133" t="str">
        <f t="shared" si="62"/>
        <v>CTARGAS</v>
      </c>
      <c r="CE9" s="103" t="str">
        <f t="shared" si="63"/>
        <v xml:space="preserve"> </v>
      </c>
      <c r="CF9" s="103" t="str">
        <f t="shared" si="64"/>
        <v xml:space="preserve"> </v>
      </c>
      <c r="CG9" s="103" t="str">
        <f t="shared" si="65"/>
        <v xml:space="preserve"> </v>
      </c>
      <c r="CH9" s="103" t="str">
        <f t="shared" si="66"/>
        <v xml:space="preserve"> </v>
      </c>
      <c r="CI9" s="103" t="str">
        <f t="shared" si="67"/>
        <v>X</v>
      </c>
      <c r="CJ9" s="103" t="str">
        <f t="shared" si="68"/>
        <v>X</v>
      </c>
      <c r="CK9" s="103" t="str">
        <f t="shared" si="69"/>
        <v>X</v>
      </c>
      <c r="CL9" s="103" t="str">
        <f t="shared" si="70"/>
        <v>X</v>
      </c>
      <c r="CM9" s="103" t="str">
        <f t="shared" si="71"/>
        <v xml:space="preserve"> </v>
      </c>
      <c r="CN9" s="103" t="str">
        <f t="shared" si="72"/>
        <v xml:space="preserve"> </v>
      </c>
      <c r="CO9" s="103" t="str">
        <f t="shared" si="73"/>
        <v xml:space="preserve"> </v>
      </c>
      <c r="CP9" s="103" t="str">
        <f t="shared" si="74"/>
        <v xml:space="preserve"> </v>
      </c>
      <c r="CQ9" s="103"/>
      <c r="CR9" s="103"/>
      <c r="CS9" s="103"/>
      <c r="CT9" s="112">
        <f t="shared" si="75"/>
        <v>4</v>
      </c>
      <c r="CU9" s="127"/>
      <c r="CV9" s="101">
        <f t="shared" si="76"/>
        <v>1157</v>
      </c>
      <c r="CW9" s="133" t="str">
        <f t="shared" si="77"/>
        <v>CTARGAS</v>
      </c>
      <c r="CX9" s="103">
        <f t="shared" ref="CX9:CX22" si="79">VLOOKUP($I9,ctar0705,13,FALSE)</f>
        <v>135</v>
      </c>
      <c r="CY9" s="103">
        <f t="shared" ref="CY9:CY22" si="80">VLOOKUP($I9,ctar0706,13,FALSE)</f>
        <v>128</v>
      </c>
      <c r="CZ9" s="103">
        <f t="shared" ref="CZ9:CZ22" si="81">VLOOKUP($I9,ctar0707,13,FALSE)</f>
        <v>120</v>
      </c>
      <c r="DA9" s="103">
        <f t="shared" ref="DA9:DA22" si="82">VLOOKUP($I9,ctar0708,13,FALSE)</f>
        <v>93</v>
      </c>
      <c r="DB9" s="103">
        <f t="shared" ref="DB9:DB22" si="83">VLOOKUP($I9,ctar0721,13,FALSE)</f>
        <v>118</v>
      </c>
      <c r="DC9" s="103">
        <f t="shared" ref="DC9:DC22" si="84">VLOOKUP($I9,ctar0725,13,FALSE)</f>
        <v>122</v>
      </c>
      <c r="DD9" s="103">
        <f t="shared" ref="DD9:DD22" si="85">VLOOKUP($I9,ctar0829,13,FALSE)</f>
        <v>127</v>
      </c>
      <c r="DE9" s="103">
        <f t="shared" ref="DE9:DE22" si="86">VLOOKUP($I9,ctar0830,13,FALSE)</f>
        <v>120</v>
      </c>
      <c r="DF9" s="103">
        <f t="shared" ref="DF9:DF23" si="87">VLOOKUP($I9,ctar0910,13,FALSE)</f>
        <v>118</v>
      </c>
      <c r="DG9" s="103">
        <f t="shared" ref="DG9:DG23" si="88">VLOOKUP($I9,ctar0922,13,FALSE)</f>
        <v>130</v>
      </c>
      <c r="DH9" s="103">
        <f t="shared" ref="DH9:DH23" si="89">VLOOKUP($I9,ctar0923,13,FALSE)</f>
        <v>120</v>
      </c>
      <c r="DI9" s="103">
        <f t="shared" ref="DI9:DI23" si="90">VLOOKUP($I9,ctar0929,13,FALSE)</f>
        <v>112</v>
      </c>
      <c r="DM9" s="224">
        <f t="shared" si="78"/>
        <v>120.25</v>
      </c>
    </row>
    <row r="10" spans="1:118" ht="15.75" x14ac:dyDescent="0.25">
      <c r="A10" s="136">
        <f t="shared" si="23"/>
        <v>1780</v>
      </c>
      <c r="B10" s="136" t="str">
        <f t="shared" si="24"/>
        <v>CTARGAS</v>
      </c>
      <c r="C10" s="42" t="str">
        <f t="shared" si="25"/>
        <v xml:space="preserve"> </v>
      </c>
      <c r="D10" s="39" t="str">
        <f t="shared" si="26"/>
        <v xml:space="preserve"> </v>
      </c>
      <c r="E10" s="25" t="str">
        <f t="shared" si="27"/>
        <v xml:space="preserve"> </v>
      </c>
      <c r="F10" s="25">
        <f t="shared" si="28"/>
        <v>4</v>
      </c>
      <c r="G10" s="145" t="str">
        <f t="shared" si="29"/>
        <v xml:space="preserve"> </v>
      </c>
      <c r="I10" s="101">
        <v>1780</v>
      </c>
      <c r="J10" s="133" t="s">
        <v>25</v>
      </c>
      <c r="K10" s="103" t="str">
        <f t="shared" si="0"/>
        <v xml:space="preserve"> </v>
      </c>
      <c r="L10" s="103" t="str">
        <f t="shared" si="1"/>
        <v xml:space="preserve"> </v>
      </c>
      <c r="M10" s="103" t="str">
        <f t="shared" si="2"/>
        <v xml:space="preserve"> </v>
      </c>
      <c r="N10" s="103" t="str">
        <f t="shared" si="3"/>
        <v xml:space="preserve"> </v>
      </c>
      <c r="O10" s="103" t="str">
        <f t="shared" si="4"/>
        <v xml:space="preserve"> </v>
      </c>
      <c r="P10" s="103" t="str">
        <f t="shared" si="5"/>
        <v xml:space="preserve"> </v>
      </c>
      <c r="Q10" s="103" t="str">
        <f t="shared" si="6"/>
        <v xml:space="preserve"> </v>
      </c>
      <c r="R10" s="103" t="str">
        <f t="shared" si="30"/>
        <v xml:space="preserve"> </v>
      </c>
      <c r="S10" s="103" t="str">
        <f t="shared" si="31"/>
        <v xml:space="preserve"> </v>
      </c>
      <c r="T10" s="103" t="str">
        <f t="shared" si="32"/>
        <v xml:space="preserve"> </v>
      </c>
      <c r="U10" s="103" t="str">
        <f t="shared" si="33"/>
        <v xml:space="preserve"> </v>
      </c>
      <c r="V10" s="103" t="str">
        <f t="shared" si="34"/>
        <v xml:space="preserve"> </v>
      </c>
      <c r="W10" s="103"/>
      <c r="X10" s="103"/>
      <c r="Y10" s="103"/>
      <c r="Z10" s="112" t="str">
        <f t="shared" si="7"/>
        <v xml:space="preserve"> </v>
      </c>
      <c r="AA10" s="123"/>
      <c r="AB10" s="103" t="str">
        <f t="shared" si="35"/>
        <v xml:space="preserve"> </v>
      </c>
      <c r="AC10" s="103" t="str">
        <f t="shared" si="36"/>
        <v xml:space="preserve"> </v>
      </c>
      <c r="AD10" s="103" t="str">
        <f t="shared" si="37"/>
        <v xml:space="preserve"> </v>
      </c>
      <c r="AE10" s="103" t="str">
        <f t="shared" si="38"/>
        <v xml:space="preserve"> </v>
      </c>
      <c r="AF10" s="103" t="str">
        <f t="shared" si="39"/>
        <v xml:space="preserve"> </v>
      </c>
      <c r="AG10" s="103" t="str">
        <f t="shared" si="40"/>
        <v xml:space="preserve"> </v>
      </c>
      <c r="AH10" s="103" t="str">
        <f t="shared" si="41"/>
        <v xml:space="preserve"> </v>
      </c>
      <c r="AI10" s="103" t="str">
        <f t="shared" si="42"/>
        <v xml:space="preserve"> </v>
      </c>
      <c r="AJ10" s="103" t="str">
        <f t="shared" si="43"/>
        <v xml:space="preserve"> </v>
      </c>
      <c r="AK10" s="103" t="str">
        <f t="shared" si="44"/>
        <v xml:space="preserve"> </v>
      </c>
      <c r="AL10" s="103" t="str">
        <f t="shared" si="45"/>
        <v xml:space="preserve"> </v>
      </c>
      <c r="AM10" s="103" t="str">
        <f t="shared" si="46"/>
        <v xml:space="preserve"> </v>
      </c>
      <c r="AN10" s="103"/>
      <c r="AO10" s="103"/>
      <c r="AP10" s="103"/>
      <c r="AQ10" s="112" t="str">
        <f t="shared" si="47"/>
        <v xml:space="preserve"> </v>
      </c>
      <c r="AR10" s="123"/>
      <c r="AS10" s="101">
        <f t="shared" si="8"/>
        <v>1780</v>
      </c>
      <c r="AT10" s="133" t="str">
        <f t="shared" si="9"/>
        <v>CTARGAS</v>
      </c>
      <c r="AU10" s="103" t="str">
        <f t="shared" si="48"/>
        <v xml:space="preserve"> </v>
      </c>
      <c r="AV10" s="103" t="str">
        <f t="shared" si="49"/>
        <v xml:space="preserve"> </v>
      </c>
      <c r="AW10" s="103" t="str">
        <f t="shared" si="50"/>
        <v xml:space="preserve"> </v>
      </c>
      <c r="AX10" s="103" t="str">
        <f t="shared" si="51"/>
        <v xml:space="preserve"> </v>
      </c>
      <c r="AY10" s="103" t="str">
        <f t="shared" si="52"/>
        <v xml:space="preserve"> </v>
      </c>
      <c r="AZ10" s="103" t="str">
        <f t="shared" si="53"/>
        <v xml:space="preserve"> </v>
      </c>
      <c r="BA10" s="103" t="str">
        <f t="shared" si="54"/>
        <v xml:space="preserve"> </v>
      </c>
      <c r="BB10" s="103" t="str">
        <f t="shared" si="55"/>
        <v xml:space="preserve"> </v>
      </c>
      <c r="BC10" s="103" t="str">
        <f t="shared" si="56"/>
        <v xml:space="preserve"> </v>
      </c>
      <c r="BD10" s="103" t="str">
        <f t="shared" si="57"/>
        <v xml:space="preserve"> </v>
      </c>
      <c r="BE10" s="103" t="str">
        <f t="shared" si="58"/>
        <v xml:space="preserve"> </v>
      </c>
      <c r="BF10" s="103" t="str">
        <f t="shared" si="59"/>
        <v xml:space="preserve"> </v>
      </c>
      <c r="BG10" s="103"/>
      <c r="BH10" s="103"/>
      <c r="BI10" s="103"/>
      <c r="BJ10" s="112" t="str">
        <f t="shared" si="60"/>
        <v xml:space="preserve"> </v>
      </c>
      <c r="BK10" s="123"/>
      <c r="BL10" s="103" t="str">
        <f t="shared" si="10"/>
        <v xml:space="preserve"> </v>
      </c>
      <c r="BM10" s="103" t="str">
        <f t="shared" si="11"/>
        <v xml:space="preserve"> </v>
      </c>
      <c r="BN10" s="103" t="str">
        <f t="shared" si="12"/>
        <v xml:space="preserve"> </v>
      </c>
      <c r="BO10" s="103" t="str">
        <f t="shared" si="13"/>
        <v xml:space="preserve"> </v>
      </c>
      <c r="BP10" s="103" t="str">
        <f t="shared" si="14"/>
        <v xml:space="preserve"> </v>
      </c>
      <c r="BQ10" s="103" t="str">
        <f t="shared" si="15"/>
        <v xml:space="preserve"> </v>
      </c>
      <c r="BR10" s="103" t="str">
        <f t="shared" si="16"/>
        <v xml:space="preserve"> </v>
      </c>
      <c r="BS10" s="103" t="str">
        <f t="shared" si="17"/>
        <v xml:space="preserve"> </v>
      </c>
      <c r="BT10" s="103" t="str">
        <f t="shared" si="18"/>
        <v xml:space="preserve"> </v>
      </c>
      <c r="BU10" s="103" t="str">
        <f t="shared" si="19"/>
        <v xml:space="preserve"> </v>
      </c>
      <c r="BV10" s="103" t="str">
        <f t="shared" si="20"/>
        <v xml:space="preserve"> </v>
      </c>
      <c r="BW10" s="103" t="str">
        <f t="shared" si="21"/>
        <v xml:space="preserve"> </v>
      </c>
      <c r="BX10" s="103"/>
      <c r="BY10" s="103"/>
      <c r="BZ10" s="103"/>
      <c r="CA10" s="112" t="str">
        <f t="shared" si="22"/>
        <v xml:space="preserve"> </v>
      </c>
      <c r="CB10" s="123"/>
      <c r="CC10" s="101">
        <f t="shared" si="61"/>
        <v>1780</v>
      </c>
      <c r="CD10" s="133" t="str">
        <f t="shared" si="62"/>
        <v>CTARGAS</v>
      </c>
      <c r="CE10" s="103" t="str">
        <f t="shared" si="63"/>
        <v>X</v>
      </c>
      <c r="CF10" s="103" t="str">
        <f t="shared" si="64"/>
        <v>X</v>
      </c>
      <c r="CG10" s="103" t="str">
        <f t="shared" si="65"/>
        <v>X</v>
      </c>
      <c r="CH10" s="103" t="str">
        <f t="shared" si="66"/>
        <v xml:space="preserve"> </v>
      </c>
      <c r="CI10" s="103" t="str">
        <f t="shared" si="67"/>
        <v xml:space="preserve"> </v>
      </c>
      <c r="CJ10" s="103" t="str">
        <f t="shared" si="68"/>
        <v xml:space="preserve"> </v>
      </c>
      <c r="CK10" s="103" t="str">
        <f t="shared" si="69"/>
        <v xml:space="preserve"> </v>
      </c>
      <c r="CL10" s="103" t="str">
        <f t="shared" si="70"/>
        <v xml:space="preserve"> </v>
      </c>
      <c r="CM10" s="103" t="str">
        <f t="shared" si="71"/>
        <v>X</v>
      </c>
      <c r="CN10" s="103" t="str">
        <f t="shared" si="72"/>
        <v xml:space="preserve"> </v>
      </c>
      <c r="CO10" s="103" t="str">
        <f t="shared" si="73"/>
        <v xml:space="preserve"> </v>
      </c>
      <c r="CP10" s="103" t="str">
        <f t="shared" si="74"/>
        <v xml:space="preserve"> </v>
      </c>
      <c r="CQ10" s="103"/>
      <c r="CR10" s="103"/>
      <c r="CS10" s="103"/>
      <c r="CT10" s="112">
        <f t="shared" si="75"/>
        <v>4</v>
      </c>
      <c r="CU10" s="127"/>
      <c r="CV10" s="101">
        <f t="shared" si="76"/>
        <v>1780</v>
      </c>
      <c r="CW10" s="133" t="str">
        <f t="shared" si="77"/>
        <v>CTARGAS</v>
      </c>
      <c r="CX10" s="103">
        <f t="shared" si="79"/>
        <v>965</v>
      </c>
      <c r="CY10" s="103">
        <f t="shared" si="80"/>
        <v>1003</v>
      </c>
      <c r="CZ10" s="103">
        <f t="shared" si="81"/>
        <v>939</v>
      </c>
      <c r="DA10" s="103">
        <f t="shared" si="82"/>
        <v>740</v>
      </c>
      <c r="DB10" s="103">
        <f t="shared" si="83"/>
        <v>938</v>
      </c>
      <c r="DC10" s="103">
        <f t="shared" si="84"/>
        <v>967</v>
      </c>
      <c r="DD10" s="103">
        <f t="shared" si="85"/>
        <v>1060</v>
      </c>
      <c r="DE10" s="103">
        <f t="shared" si="86"/>
        <v>1009</v>
      </c>
      <c r="DF10" s="103">
        <f t="shared" si="87"/>
        <v>985</v>
      </c>
      <c r="DG10" s="103">
        <f t="shared" si="88"/>
        <v>1094</v>
      </c>
      <c r="DH10" s="103">
        <f t="shared" si="89"/>
        <v>998</v>
      </c>
      <c r="DI10" s="103">
        <f t="shared" si="90"/>
        <v>942</v>
      </c>
      <c r="DM10" s="224">
        <f t="shared" si="78"/>
        <v>970</v>
      </c>
    </row>
    <row r="11" spans="1:118" ht="15.75" x14ac:dyDescent="0.25">
      <c r="A11" s="136">
        <f t="shared" si="23"/>
        <v>2280</v>
      </c>
      <c r="B11" s="136" t="str">
        <f t="shared" si="24"/>
        <v>CTARGAS</v>
      </c>
      <c r="C11" s="42">
        <f t="shared" si="25"/>
        <v>1</v>
      </c>
      <c r="D11" s="39">
        <f t="shared" si="26"/>
        <v>3</v>
      </c>
      <c r="E11" s="25">
        <f t="shared" si="27"/>
        <v>3</v>
      </c>
      <c r="F11" s="25">
        <f t="shared" si="28"/>
        <v>5</v>
      </c>
      <c r="G11" s="145" t="str">
        <f t="shared" si="29"/>
        <v xml:space="preserve"> </v>
      </c>
      <c r="I11" s="101">
        <v>2280</v>
      </c>
      <c r="J11" s="133" t="s">
        <v>25</v>
      </c>
      <c r="K11" s="103" t="str">
        <f t="shared" si="0"/>
        <v xml:space="preserve"> </v>
      </c>
      <c r="L11" s="103" t="str">
        <f t="shared" si="1"/>
        <v xml:space="preserve"> </v>
      </c>
      <c r="M11" s="103">
        <f t="shared" si="2"/>
        <v>0</v>
      </c>
      <c r="N11" s="103">
        <f t="shared" si="3"/>
        <v>0</v>
      </c>
      <c r="O11" s="103">
        <f t="shared" si="4"/>
        <v>0</v>
      </c>
      <c r="P11" s="103">
        <f t="shared" si="5"/>
        <v>0</v>
      </c>
      <c r="Q11" s="103">
        <f t="shared" si="6"/>
        <v>0</v>
      </c>
      <c r="R11" s="103">
        <f t="shared" si="30"/>
        <v>0</v>
      </c>
      <c r="S11" s="103">
        <f t="shared" si="31"/>
        <v>0</v>
      </c>
      <c r="T11" s="103" t="str">
        <f t="shared" si="32"/>
        <v>X</v>
      </c>
      <c r="U11" s="103">
        <f t="shared" si="33"/>
        <v>0</v>
      </c>
      <c r="V11" s="103">
        <f t="shared" si="34"/>
        <v>0</v>
      </c>
      <c r="W11" s="103"/>
      <c r="X11" s="103"/>
      <c r="Y11" s="103"/>
      <c r="Z11" s="112">
        <f t="shared" si="7"/>
        <v>1</v>
      </c>
      <c r="AA11" s="123"/>
      <c r="AB11" s="103" t="str">
        <f t="shared" si="35"/>
        <v xml:space="preserve"> </v>
      </c>
      <c r="AC11" s="103" t="str">
        <f t="shared" si="36"/>
        <v xml:space="preserve"> </v>
      </c>
      <c r="AD11" s="103" t="str">
        <f t="shared" si="37"/>
        <v xml:space="preserve"> </v>
      </c>
      <c r="AE11" s="103" t="str">
        <f t="shared" si="38"/>
        <v xml:space="preserve"> </v>
      </c>
      <c r="AF11" s="103" t="str">
        <f t="shared" si="39"/>
        <v xml:space="preserve"> </v>
      </c>
      <c r="AG11" s="103" t="str">
        <f t="shared" si="40"/>
        <v xml:space="preserve"> </v>
      </c>
      <c r="AH11" s="103" t="str">
        <f t="shared" si="41"/>
        <v xml:space="preserve"> </v>
      </c>
      <c r="AI11" s="103" t="str">
        <f t="shared" si="42"/>
        <v xml:space="preserve"> </v>
      </c>
      <c r="AJ11" s="103" t="str">
        <f t="shared" si="43"/>
        <v xml:space="preserve"> </v>
      </c>
      <c r="AK11" s="103" t="str">
        <f t="shared" si="44"/>
        <v>X</v>
      </c>
      <c r="AL11" s="103" t="str">
        <f t="shared" si="45"/>
        <v>X</v>
      </c>
      <c r="AM11" s="103" t="str">
        <f t="shared" si="46"/>
        <v>X</v>
      </c>
      <c r="AN11" s="103"/>
      <c r="AO11" s="103"/>
      <c r="AP11" s="103"/>
      <c r="AQ11" s="112">
        <f t="shared" si="47"/>
        <v>3</v>
      </c>
      <c r="AR11" s="123"/>
      <c r="AS11" s="101">
        <f t="shared" si="8"/>
        <v>2280</v>
      </c>
      <c r="AT11" s="133" t="str">
        <f t="shared" si="9"/>
        <v>CTARGAS</v>
      </c>
      <c r="AU11" s="103" t="str">
        <f t="shared" si="48"/>
        <v xml:space="preserve"> </v>
      </c>
      <c r="AV11" s="103" t="str">
        <f t="shared" si="49"/>
        <v xml:space="preserve"> </v>
      </c>
      <c r="AW11" s="103" t="str">
        <f t="shared" si="50"/>
        <v xml:space="preserve"> </v>
      </c>
      <c r="AX11" s="103" t="str">
        <f t="shared" si="51"/>
        <v xml:space="preserve"> </v>
      </c>
      <c r="AY11" s="103" t="str">
        <f t="shared" si="52"/>
        <v xml:space="preserve"> </v>
      </c>
      <c r="AZ11" s="103" t="str">
        <f t="shared" si="53"/>
        <v xml:space="preserve"> </v>
      </c>
      <c r="BA11" s="103" t="str">
        <f t="shared" si="54"/>
        <v xml:space="preserve"> </v>
      </c>
      <c r="BB11" s="103" t="str">
        <f t="shared" si="55"/>
        <v xml:space="preserve"> </v>
      </c>
      <c r="BC11" s="103" t="str">
        <f t="shared" si="56"/>
        <v xml:space="preserve"> </v>
      </c>
      <c r="BD11" s="103" t="str">
        <f t="shared" si="57"/>
        <v xml:space="preserve"> </v>
      </c>
      <c r="BE11" s="103" t="str">
        <f t="shared" si="58"/>
        <v xml:space="preserve"> </v>
      </c>
      <c r="BF11" s="103" t="str">
        <f t="shared" si="59"/>
        <v xml:space="preserve"> </v>
      </c>
      <c r="BG11" s="103"/>
      <c r="BH11" s="103"/>
      <c r="BI11" s="103"/>
      <c r="BJ11" s="112" t="str">
        <f t="shared" si="60"/>
        <v xml:space="preserve"> </v>
      </c>
      <c r="BK11" s="123"/>
      <c r="BL11" s="103" t="str">
        <f t="shared" si="10"/>
        <v xml:space="preserve"> </v>
      </c>
      <c r="BM11" s="103" t="str">
        <f t="shared" si="11"/>
        <v xml:space="preserve"> </v>
      </c>
      <c r="BN11" s="103" t="str">
        <f t="shared" si="12"/>
        <v xml:space="preserve"> </v>
      </c>
      <c r="BO11" s="103" t="str">
        <f t="shared" si="13"/>
        <v xml:space="preserve"> </v>
      </c>
      <c r="BP11" s="103" t="str">
        <f t="shared" si="14"/>
        <v xml:space="preserve"> </v>
      </c>
      <c r="BQ11" s="103" t="str">
        <f t="shared" si="15"/>
        <v xml:space="preserve"> </v>
      </c>
      <c r="BR11" s="103" t="str">
        <f t="shared" si="16"/>
        <v xml:space="preserve"> </v>
      </c>
      <c r="BS11" s="103" t="str">
        <f t="shared" si="17"/>
        <v xml:space="preserve"> </v>
      </c>
      <c r="BT11" s="103" t="str">
        <f t="shared" si="18"/>
        <v xml:space="preserve"> </v>
      </c>
      <c r="BU11" s="103" t="str">
        <f t="shared" si="19"/>
        <v>X</v>
      </c>
      <c r="BV11" s="103" t="str">
        <f t="shared" si="20"/>
        <v>X</v>
      </c>
      <c r="BW11" s="103" t="str">
        <f t="shared" si="21"/>
        <v>X</v>
      </c>
      <c r="BX11" s="103"/>
      <c r="BY11" s="103"/>
      <c r="BZ11" s="103"/>
      <c r="CA11" s="112">
        <f t="shared" si="22"/>
        <v>3</v>
      </c>
      <c r="CB11" s="123"/>
      <c r="CC11" s="101">
        <f t="shared" si="61"/>
        <v>2280</v>
      </c>
      <c r="CD11" s="133" t="str">
        <f t="shared" si="62"/>
        <v>CTARGAS</v>
      </c>
      <c r="CE11" s="103" t="str">
        <f t="shared" si="63"/>
        <v xml:space="preserve"> </v>
      </c>
      <c r="CF11" s="103" t="str">
        <f t="shared" si="64"/>
        <v xml:space="preserve"> </v>
      </c>
      <c r="CG11" s="103" t="str">
        <f t="shared" si="65"/>
        <v xml:space="preserve"> </v>
      </c>
      <c r="CH11" s="103" t="str">
        <f t="shared" si="66"/>
        <v xml:space="preserve"> </v>
      </c>
      <c r="CI11" s="103" t="str">
        <f t="shared" si="67"/>
        <v>X</v>
      </c>
      <c r="CJ11" s="103" t="str">
        <f t="shared" si="68"/>
        <v xml:space="preserve"> </v>
      </c>
      <c r="CK11" s="103" t="str">
        <f t="shared" si="69"/>
        <v xml:space="preserve"> </v>
      </c>
      <c r="CL11" s="103" t="str">
        <f t="shared" si="70"/>
        <v xml:space="preserve"> </v>
      </c>
      <c r="CM11" s="103" t="str">
        <f t="shared" si="71"/>
        <v>X</v>
      </c>
      <c r="CN11" s="103" t="str">
        <f t="shared" si="72"/>
        <v>X</v>
      </c>
      <c r="CO11" s="103" t="str">
        <f t="shared" si="73"/>
        <v>X</v>
      </c>
      <c r="CP11" s="103" t="str">
        <f t="shared" si="74"/>
        <v>X</v>
      </c>
      <c r="CQ11" s="103"/>
      <c r="CR11" s="103"/>
      <c r="CS11" s="103"/>
      <c r="CT11" s="112">
        <f t="shared" si="75"/>
        <v>5</v>
      </c>
      <c r="CU11" s="127"/>
      <c r="CV11" s="101">
        <f t="shared" si="76"/>
        <v>2280</v>
      </c>
      <c r="CW11" s="133" t="str">
        <f t="shared" si="77"/>
        <v>CTARGAS</v>
      </c>
      <c r="CX11" s="103">
        <f t="shared" si="79"/>
        <v>837</v>
      </c>
      <c r="CY11" s="103">
        <f t="shared" si="80"/>
        <v>896</v>
      </c>
      <c r="CZ11" s="103">
        <f t="shared" si="81"/>
        <v>843</v>
      </c>
      <c r="DA11" s="103">
        <f t="shared" si="82"/>
        <v>698</v>
      </c>
      <c r="DB11" s="103">
        <f t="shared" si="83"/>
        <v>885</v>
      </c>
      <c r="DC11" s="103">
        <f t="shared" si="84"/>
        <v>912</v>
      </c>
      <c r="DD11" s="103">
        <f t="shared" si="85"/>
        <v>779</v>
      </c>
      <c r="DE11" s="103">
        <f t="shared" si="86"/>
        <v>735</v>
      </c>
      <c r="DF11" s="103">
        <f t="shared" si="87"/>
        <v>499</v>
      </c>
      <c r="DG11" s="103">
        <f t="shared" si="88"/>
        <v>550</v>
      </c>
      <c r="DH11" s="103">
        <f t="shared" si="89"/>
        <v>506</v>
      </c>
      <c r="DI11" s="103">
        <f t="shared" si="90"/>
        <v>477</v>
      </c>
      <c r="DM11" s="224">
        <f t="shared" si="78"/>
        <v>718.08333333333337</v>
      </c>
    </row>
    <row r="12" spans="1:118" ht="15.75" x14ac:dyDescent="0.25">
      <c r="A12" s="136">
        <f t="shared" si="23"/>
        <v>2584</v>
      </c>
      <c r="B12" s="136" t="str">
        <f t="shared" si="24"/>
        <v>CTARGAS</v>
      </c>
      <c r="C12" s="42" t="str">
        <f t="shared" si="25"/>
        <v xml:space="preserve"> </v>
      </c>
      <c r="D12" s="39" t="str">
        <f t="shared" si="26"/>
        <v xml:space="preserve"> </v>
      </c>
      <c r="E12" s="25" t="str">
        <f t="shared" si="27"/>
        <v xml:space="preserve"> </v>
      </c>
      <c r="F12" s="25">
        <f t="shared" si="28"/>
        <v>3</v>
      </c>
      <c r="G12" s="145" t="str">
        <f t="shared" si="29"/>
        <v xml:space="preserve"> </v>
      </c>
      <c r="I12" s="101">
        <v>2584</v>
      </c>
      <c r="J12" s="133" t="s">
        <v>25</v>
      </c>
      <c r="K12" s="103" t="str">
        <f t="shared" si="0"/>
        <v xml:space="preserve"> </v>
      </c>
      <c r="L12" s="103" t="str">
        <f t="shared" si="1"/>
        <v xml:space="preserve"> </v>
      </c>
      <c r="M12" s="103">
        <f t="shared" si="2"/>
        <v>0</v>
      </c>
      <c r="N12" s="103">
        <f t="shared" si="3"/>
        <v>0</v>
      </c>
      <c r="O12" s="103">
        <f t="shared" si="4"/>
        <v>0</v>
      </c>
      <c r="P12" s="103">
        <f t="shared" si="5"/>
        <v>0</v>
      </c>
      <c r="Q12" s="103">
        <f t="shared" si="6"/>
        <v>0</v>
      </c>
      <c r="R12" s="103">
        <f t="shared" si="30"/>
        <v>0</v>
      </c>
      <c r="S12" s="103">
        <f t="shared" si="31"/>
        <v>0</v>
      </c>
      <c r="T12" s="103">
        <f t="shared" si="32"/>
        <v>0</v>
      </c>
      <c r="U12" s="103">
        <f t="shared" si="33"/>
        <v>0</v>
      </c>
      <c r="V12" s="103">
        <f t="shared" si="34"/>
        <v>0</v>
      </c>
      <c r="W12" s="103"/>
      <c r="X12" s="103"/>
      <c r="Y12" s="103"/>
      <c r="Z12" s="112" t="str">
        <f t="shared" si="7"/>
        <v xml:space="preserve"> </v>
      </c>
      <c r="AA12" s="123"/>
      <c r="AB12" s="103" t="str">
        <f t="shared" si="35"/>
        <v xml:space="preserve"> </v>
      </c>
      <c r="AC12" s="103" t="str">
        <f t="shared" si="36"/>
        <v xml:space="preserve"> </v>
      </c>
      <c r="AD12" s="103" t="str">
        <f t="shared" si="37"/>
        <v xml:space="preserve"> </v>
      </c>
      <c r="AE12" s="103" t="str">
        <f t="shared" si="38"/>
        <v xml:space="preserve"> </v>
      </c>
      <c r="AF12" s="103" t="str">
        <f t="shared" si="39"/>
        <v xml:space="preserve"> </v>
      </c>
      <c r="AG12" s="103" t="str">
        <f t="shared" si="40"/>
        <v xml:space="preserve"> </v>
      </c>
      <c r="AH12" s="103" t="str">
        <f t="shared" si="41"/>
        <v xml:space="preserve"> </v>
      </c>
      <c r="AI12" s="103" t="str">
        <f t="shared" si="42"/>
        <v xml:space="preserve"> </v>
      </c>
      <c r="AJ12" s="103" t="str">
        <f t="shared" si="43"/>
        <v xml:space="preserve"> </v>
      </c>
      <c r="AK12" s="103" t="str">
        <f t="shared" si="44"/>
        <v xml:space="preserve"> </v>
      </c>
      <c r="AL12" s="103" t="str">
        <f t="shared" si="45"/>
        <v xml:space="preserve"> </v>
      </c>
      <c r="AM12" s="103" t="str">
        <f t="shared" si="46"/>
        <v xml:space="preserve"> </v>
      </c>
      <c r="AN12" s="103"/>
      <c r="AO12" s="103"/>
      <c r="AP12" s="103"/>
      <c r="AQ12" s="112" t="str">
        <f t="shared" si="47"/>
        <v xml:space="preserve"> </v>
      </c>
      <c r="AR12" s="123"/>
      <c r="AS12" s="101">
        <f t="shared" si="8"/>
        <v>2584</v>
      </c>
      <c r="AT12" s="133" t="str">
        <f t="shared" si="9"/>
        <v>CTARGAS</v>
      </c>
      <c r="AU12" s="103" t="str">
        <f t="shared" si="48"/>
        <v xml:space="preserve"> </v>
      </c>
      <c r="AV12" s="103" t="str">
        <f t="shared" si="49"/>
        <v xml:space="preserve"> </v>
      </c>
      <c r="AW12" s="103" t="str">
        <f t="shared" si="50"/>
        <v xml:space="preserve"> </v>
      </c>
      <c r="AX12" s="103" t="str">
        <f t="shared" si="51"/>
        <v xml:space="preserve"> </v>
      </c>
      <c r="AY12" s="103" t="str">
        <f t="shared" si="52"/>
        <v xml:space="preserve"> </v>
      </c>
      <c r="AZ12" s="103" t="str">
        <f t="shared" si="53"/>
        <v xml:space="preserve"> </v>
      </c>
      <c r="BA12" s="103" t="str">
        <f t="shared" si="54"/>
        <v xml:space="preserve"> </v>
      </c>
      <c r="BB12" s="103" t="str">
        <f t="shared" si="55"/>
        <v xml:space="preserve"> </v>
      </c>
      <c r="BC12" s="103" t="str">
        <f t="shared" si="56"/>
        <v xml:space="preserve"> </v>
      </c>
      <c r="BD12" s="103" t="str">
        <f t="shared" si="57"/>
        <v xml:space="preserve"> </v>
      </c>
      <c r="BE12" s="103" t="str">
        <f t="shared" si="58"/>
        <v xml:space="preserve"> </v>
      </c>
      <c r="BF12" s="103" t="str">
        <f t="shared" si="59"/>
        <v xml:space="preserve"> </v>
      </c>
      <c r="BG12" s="103"/>
      <c r="BH12" s="103"/>
      <c r="BI12" s="103"/>
      <c r="BJ12" s="112" t="str">
        <f t="shared" si="60"/>
        <v xml:space="preserve"> </v>
      </c>
      <c r="BK12" s="123"/>
      <c r="BL12" s="103" t="str">
        <f t="shared" si="10"/>
        <v xml:space="preserve"> </v>
      </c>
      <c r="BM12" s="103" t="str">
        <f t="shared" si="11"/>
        <v xml:space="preserve"> </v>
      </c>
      <c r="BN12" s="103" t="str">
        <f t="shared" si="12"/>
        <v xml:space="preserve"> </v>
      </c>
      <c r="BO12" s="103" t="str">
        <f t="shared" si="13"/>
        <v xml:space="preserve"> </v>
      </c>
      <c r="BP12" s="103" t="str">
        <f t="shared" si="14"/>
        <v xml:space="preserve"> </v>
      </c>
      <c r="BQ12" s="103" t="str">
        <f t="shared" si="15"/>
        <v xml:space="preserve"> </v>
      </c>
      <c r="BR12" s="103" t="str">
        <f t="shared" si="16"/>
        <v xml:space="preserve"> </v>
      </c>
      <c r="BS12" s="103" t="str">
        <f t="shared" si="17"/>
        <v xml:space="preserve"> </v>
      </c>
      <c r="BT12" s="103" t="str">
        <f t="shared" si="18"/>
        <v xml:space="preserve"> </v>
      </c>
      <c r="BU12" s="103" t="str">
        <f t="shared" si="19"/>
        <v xml:space="preserve"> </v>
      </c>
      <c r="BV12" s="103" t="str">
        <f t="shared" si="20"/>
        <v xml:space="preserve"> </v>
      </c>
      <c r="BW12" s="103" t="str">
        <f t="shared" si="21"/>
        <v xml:space="preserve"> </v>
      </c>
      <c r="BX12" s="103"/>
      <c r="BY12" s="103"/>
      <c r="BZ12" s="103"/>
      <c r="CA12" s="112" t="str">
        <f t="shared" si="22"/>
        <v xml:space="preserve"> </v>
      </c>
      <c r="CB12" s="123"/>
      <c r="CC12" s="101">
        <f t="shared" si="61"/>
        <v>2584</v>
      </c>
      <c r="CD12" s="133" t="str">
        <f t="shared" si="62"/>
        <v>CTARGAS</v>
      </c>
      <c r="CE12" s="103" t="str">
        <f t="shared" si="63"/>
        <v xml:space="preserve"> </v>
      </c>
      <c r="CF12" s="103" t="str">
        <f t="shared" si="64"/>
        <v xml:space="preserve"> </v>
      </c>
      <c r="CG12" s="103" t="str">
        <f t="shared" si="65"/>
        <v xml:space="preserve"> </v>
      </c>
      <c r="CH12" s="103" t="str">
        <f t="shared" si="66"/>
        <v xml:space="preserve"> </v>
      </c>
      <c r="CI12" s="103" t="str">
        <f t="shared" si="67"/>
        <v>X</v>
      </c>
      <c r="CJ12" s="103" t="str">
        <f t="shared" si="68"/>
        <v xml:space="preserve"> </v>
      </c>
      <c r="CK12" s="103" t="str">
        <f t="shared" si="69"/>
        <v>X</v>
      </c>
      <c r="CL12" s="103" t="str">
        <f t="shared" si="70"/>
        <v>X</v>
      </c>
      <c r="CM12" s="103" t="str">
        <f t="shared" si="71"/>
        <v xml:space="preserve"> </v>
      </c>
      <c r="CN12" s="103" t="str">
        <f t="shared" si="72"/>
        <v xml:space="preserve"> </v>
      </c>
      <c r="CO12" s="103" t="str">
        <f t="shared" si="73"/>
        <v xml:space="preserve"> </v>
      </c>
      <c r="CP12" s="103" t="str">
        <f t="shared" si="74"/>
        <v xml:space="preserve"> </v>
      </c>
      <c r="CQ12" s="103"/>
      <c r="CR12" s="103"/>
      <c r="CS12" s="103"/>
      <c r="CT12" s="112">
        <f t="shared" si="75"/>
        <v>3</v>
      </c>
      <c r="CU12" s="127"/>
      <c r="CV12" s="101">
        <f t="shared" si="76"/>
        <v>2584</v>
      </c>
      <c r="CW12" s="133" t="str">
        <f t="shared" si="77"/>
        <v>CTARGAS</v>
      </c>
      <c r="CX12" s="103">
        <f t="shared" si="79"/>
        <v>2787</v>
      </c>
      <c r="CY12" s="103">
        <f t="shared" si="80"/>
        <v>3009</v>
      </c>
      <c r="CZ12" s="103">
        <f t="shared" si="81"/>
        <v>2823</v>
      </c>
      <c r="DA12" s="103">
        <f t="shared" si="82"/>
        <v>2317</v>
      </c>
      <c r="DB12" s="103">
        <f t="shared" si="83"/>
        <v>2941</v>
      </c>
      <c r="DC12" s="103">
        <f t="shared" si="84"/>
        <v>3030</v>
      </c>
      <c r="DD12" s="103">
        <f t="shared" si="85"/>
        <v>3418</v>
      </c>
      <c r="DE12" s="103">
        <f t="shared" si="86"/>
        <v>3237</v>
      </c>
      <c r="DF12" s="103">
        <f t="shared" si="87"/>
        <v>2882</v>
      </c>
      <c r="DG12" s="103">
        <f t="shared" si="88"/>
        <v>3190</v>
      </c>
      <c r="DH12" s="103">
        <f t="shared" si="89"/>
        <v>2921</v>
      </c>
      <c r="DI12" s="103">
        <f t="shared" si="90"/>
        <v>2758</v>
      </c>
      <c r="DM12" s="224">
        <f t="shared" si="78"/>
        <v>2942.75</v>
      </c>
    </row>
    <row r="13" spans="1:118" ht="15.75" x14ac:dyDescent="0.25">
      <c r="A13" s="136">
        <f t="shared" si="23"/>
        <v>2771</v>
      </c>
      <c r="B13" s="136" t="str">
        <f t="shared" si="24"/>
        <v>CTARGAS</v>
      </c>
      <c r="C13" s="42" t="str">
        <f t="shared" si="25"/>
        <v xml:space="preserve"> </v>
      </c>
      <c r="D13" s="39">
        <f t="shared" si="26"/>
        <v>6</v>
      </c>
      <c r="E13" s="25">
        <f t="shared" si="27"/>
        <v>6</v>
      </c>
      <c r="F13" s="25">
        <f t="shared" si="28"/>
        <v>6</v>
      </c>
      <c r="G13" s="145">
        <f t="shared" si="29"/>
        <v>4</v>
      </c>
      <c r="I13" s="101">
        <v>2771</v>
      </c>
      <c r="J13" s="133" t="s">
        <v>25</v>
      </c>
      <c r="K13" s="103" t="str">
        <f t="shared" si="0"/>
        <v xml:space="preserve"> </v>
      </c>
      <c r="L13" s="103" t="str">
        <f t="shared" si="1"/>
        <v xml:space="preserve"> </v>
      </c>
      <c r="M13" s="103" t="str">
        <f t="shared" si="2"/>
        <v xml:space="preserve"> </v>
      </c>
      <c r="N13" s="103" t="str">
        <f t="shared" si="3"/>
        <v xml:space="preserve"> </v>
      </c>
      <c r="O13" s="103" t="str">
        <f t="shared" si="4"/>
        <v xml:space="preserve"> </v>
      </c>
      <c r="P13" s="103" t="str">
        <f t="shared" si="5"/>
        <v xml:space="preserve"> </v>
      </c>
      <c r="Q13" s="103" t="str">
        <f t="shared" si="6"/>
        <v xml:space="preserve"> </v>
      </c>
      <c r="R13" s="103" t="str">
        <f t="shared" si="30"/>
        <v xml:space="preserve"> </v>
      </c>
      <c r="S13" s="103" t="str">
        <f t="shared" si="31"/>
        <v xml:space="preserve"> </v>
      </c>
      <c r="T13" s="103" t="str">
        <f t="shared" si="32"/>
        <v xml:space="preserve"> </v>
      </c>
      <c r="U13" s="103" t="str">
        <f t="shared" si="33"/>
        <v xml:space="preserve"> </v>
      </c>
      <c r="V13" s="103" t="str">
        <f t="shared" si="34"/>
        <v xml:space="preserve"> </v>
      </c>
      <c r="W13" s="103"/>
      <c r="X13" s="103"/>
      <c r="Y13" s="103"/>
      <c r="Z13" s="112" t="str">
        <f t="shared" si="7"/>
        <v xml:space="preserve"> </v>
      </c>
      <c r="AA13" s="123"/>
      <c r="AB13" s="103" t="str">
        <f t="shared" si="35"/>
        <v xml:space="preserve"> </v>
      </c>
      <c r="AC13" s="103" t="str">
        <f t="shared" si="36"/>
        <v xml:space="preserve"> </v>
      </c>
      <c r="AD13" s="103" t="str">
        <f t="shared" si="37"/>
        <v>X</v>
      </c>
      <c r="AE13" s="103" t="str">
        <f t="shared" si="38"/>
        <v>X</v>
      </c>
      <c r="AF13" s="103" t="str">
        <f t="shared" si="39"/>
        <v>X</v>
      </c>
      <c r="AG13" s="103" t="str">
        <f t="shared" si="40"/>
        <v>X</v>
      </c>
      <c r="AH13" s="103" t="str">
        <f t="shared" si="41"/>
        <v xml:space="preserve"> </v>
      </c>
      <c r="AI13" s="103" t="str">
        <f t="shared" si="42"/>
        <v xml:space="preserve"> </v>
      </c>
      <c r="AJ13" s="103" t="str">
        <f t="shared" si="43"/>
        <v xml:space="preserve"> </v>
      </c>
      <c r="AK13" s="103" t="str">
        <f t="shared" si="44"/>
        <v xml:space="preserve"> </v>
      </c>
      <c r="AL13" s="103" t="str">
        <f t="shared" si="45"/>
        <v>X</v>
      </c>
      <c r="AM13" s="103" t="str">
        <f t="shared" si="46"/>
        <v>X</v>
      </c>
      <c r="AN13" s="103"/>
      <c r="AO13" s="103"/>
      <c r="AP13" s="103"/>
      <c r="AQ13" s="112">
        <f t="shared" si="47"/>
        <v>6</v>
      </c>
      <c r="AR13" s="123"/>
      <c r="AS13" s="101">
        <f t="shared" si="8"/>
        <v>2771</v>
      </c>
      <c r="AT13" s="133" t="str">
        <f t="shared" si="9"/>
        <v>CTARGAS</v>
      </c>
      <c r="AU13" s="103" t="str">
        <f t="shared" si="48"/>
        <v xml:space="preserve"> </v>
      </c>
      <c r="AV13" s="103" t="str">
        <f t="shared" si="49"/>
        <v>X</v>
      </c>
      <c r="AW13" s="103" t="str">
        <f t="shared" si="50"/>
        <v xml:space="preserve"> </v>
      </c>
      <c r="AX13" s="103" t="str">
        <f t="shared" si="51"/>
        <v xml:space="preserve"> </v>
      </c>
      <c r="AY13" s="103" t="str">
        <f t="shared" si="52"/>
        <v xml:space="preserve"> </v>
      </c>
      <c r="AZ13" s="103" t="str">
        <f t="shared" si="53"/>
        <v xml:space="preserve"> </v>
      </c>
      <c r="BA13" s="103" t="str">
        <f t="shared" si="54"/>
        <v>X</v>
      </c>
      <c r="BB13" s="103" t="str">
        <f t="shared" si="55"/>
        <v xml:space="preserve"> </v>
      </c>
      <c r="BC13" s="103" t="str">
        <f t="shared" si="56"/>
        <v xml:space="preserve"> </v>
      </c>
      <c r="BD13" s="103" t="str">
        <f t="shared" si="57"/>
        <v>X</v>
      </c>
      <c r="BE13" s="103" t="str">
        <f t="shared" si="58"/>
        <v xml:space="preserve"> </v>
      </c>
      <c r="BF13" s="103" t="str">
        <f t="shared" si="59"/>
        <v>X</v>
      </c>
      <c r="BG13" s="103"/>
      <c r="BH13" s="103"/>
      <c r="BI13" s="103"/>
      <c r="BJ13" s="112">
        <f t="shared" si="60"/>
        <v>4</v>
      </c>
      <c r="BK13" s="123"/>
      <c r="BL13" s="103" t="str">
        <f t="shared" si="10"/>
        <v xml:space="preserve"> </v>
      </c>
      <c r="BM13" s="103" t="str">
        <f t="shared" si="11"/>
        <v xml:space="preserve"> </v>
      </c>
      <c r="BN13" s="103" t="str">
        <f t="shared" si="12"/>
        <v>X</v>
      </c>
      <c r="BO13" s="103" t="str">
        <f t="shared" si="13"/>
        <v>X</v>
      </c>
      <c r="BP13" s="103" t="str">
        <f t="shared" si="14"/>
        <v>X</v>
      </c>
      <c r="BQ13" s="103" t="str">
        <f t="shared" si="15"/>
        <v>X</v>
      </c>
      <c r="BR13" s="103" t="str">
        <f t="shared" si="16"/>
        <v xml:space="preserve"> </v>
      </c>
      <c r="BS13" s="103" t="str">
        <f t="shared" si="17"/>
        <v xml:space="preserve"> </v>
      </c>
      <c r="BT13" s="103" t="str">
        <f t="shared" si="18"/>
        <v xml:space="preserve"> </v>
      </c>
      <c r="BU13" s="103" t="str">
        <f t="shared" si="19"/>
        <v xml:space="preserve"> </v>
      </c>
      <c r="BV13" s="103" t="str">
        <f t="shared" si="20"/>
        <v>X</v>
      </c>
      <c r="BW13" s="103" t="str">
        <f t="shared" si="21"/>
        <v>X</v>
      </c>
      <c r="BX13" s="103"/>
      <c r="BY13" s="103"/>
      <c r="BZ13" s="103"/>
      <c r="CA13" s="112">
        <f t="shared" si="22"/>
        <v>6</v>
      </c>
      <c r="CB13" s="123"/>
      <c r="CC13" s="101">
        <f t="shared" si="61"/>
        <v>2771</v>
      </c>
      <c r="CD13" s="133" t="str">
        <f t="shared" si="62"/>
        <v>CTARGAS</v>
      </c>
      <c r="CE13" s="103" t="str">
        <f t="shared" si="63"/>
        <v xml:space="preserve"> </v>
      </c>
      <c r="CF13" s="103" t="str">
        <f t="shared" si="64"/>
        <v xml:space="preserve"> </v>
      </c>
      <c r="CG13" s="103" t="str">
        <f t="shared" si="65"/>
        <v>X</v>
      </c>
      <c r="CH13" s="103" t="str">
        <f t="shared" si="66"/>
        <v>X</v>
      </c>
      <c r="CI13" s="103" t="str">
        <f t="shared" si="67"/>
        <v>X</v>
      </c>
      <c r="CJ13" s="103" t="str">
        <f t="shared" si="68"/>
        <v>X</v>
      </c>
      <c r="CK13" s="103" t="str">
        <f t="shared" si="69"/>
        <v xml:space="preserve"> </v>
      </c>
      <c r="CL13" s="103" t="str">
        <f t="shared" si="70"/>
        <v xml:space="preserve"> </v>
      </c>
      <c r="CM13" s="103" t="str">
        <f t="shared" si="71"/>
        <v xml:space="preserve"> </v>
      </c>
      <c r="CN13" s="103" t="str">
        <f t="shared" si="72"/>
        <v xml:space="preserve"> </v>
      </c>
      <c r="CO13" s="103" t="str">
        <f t="shared" si="73"/>
        <v>X</v>
      </c>
      <c r="CP13" s="103" t="str">
        <f t="shared" si="74"/>
        <v>X</v>
      </c>
      <c r="CQ13" s="103"/>
      <c r="CR13" s="103"/>
      <c r="CS13" s="103"/>
      <c r="CT13" s="112">
        <f t="shared" si="75"/>
        <v>6</v>
      </c>
      <c r="CU13" s="127"/>
      <c r="CV13" s="101">
        <f t="shared" si="76"/>
        <v>2771</v>
      </c>
      <c r="CW13" s="133" t="str">
        <f t="shared" si="77"/>
        <v>CTARGAS</v>
      </c>
      <c r="CX13" s="103">
        <f t="shared" si="79"/>
        <v>5686</v>
      </c>
      <c r="CY13" s="103">
        <f t="shared" si="80"/>
        <v>6067</v>
      </c>
      <c r="CZ13" s="103">
        <f t="shared" si="81"/>
        <v>5713</v>
      </c>
      <c r="DA13" s="103">
        <f t="shared" si="82"/>
        <v>4674</v>
      </c>
      <c r="DB13" s="103">
        <f t="shared" si="83"/>
        <v>5937</v>
      </c>
      <c r="DC13" s="103">
        <f t="shared" si="84"/>
        <v>6112</v>
      </c>
      <c r="DD13" s="103">
        <f t="shared" si="85"/>
        <v>6920</v>
      </c>
      <c r="DE13" s="103">
        <f t="shared" si="86"/>
        <v>6558</v>
      </c>
      <c r="DF13" s="103">
        <f t="shared" si="87"/>
        <v>6411</v>
      </c>
      <c r="DG13" s="103">
        <f t="shared" si="88"/>
        <v>7097</v>
      </c>
      <c r="DH13" s="103">
        <f t="shared" si="89"/>
        <v>6501</v>
      </c>
      <c r="DI13" s="103">
        <f t="shared" si="90"/>
        <v>6133</v>
      </c>
      <c r="DM13" s="224">
        <f t="shared" si="78"/>
        <v>6150.75</v>
      </c>
    </row>
    <row r="14" spans="1:118" ht="15.75" x14ac:dyDescent="0.25">
      <c r="A14" s="136">
        <f t="shared" si="23"/>
        <v>2832</v>
      </c>
      <c r="B14" s="136" t="str">
        <f t="shared" si="24"/>
        <v>CTARGAS</v>
      </c>
      <c r="C14" s="42" t="str">
        <f t="shared" si="25"/>
        <v xml:space="preserve"> </v>
      </c>
      <c r="D14" s="39" t="str">
        <f t="shared" si="26"/>
        <v xml:space="preserve"> </v>
      </c>
      <c r="E14" s="25" t="str">
        <f t="shared" si="27"/>
        <v xml:space="preserve"> </v>
      </c>
      <c r="F14" s="25">
        <f t="shared" si="28"/>
        <v>3</v>
      </c>
      <c r="G14" s="145" t="str">
        <f t="shared" si="29"/>
        <v xml:space="preserve"> </v>
      </c>
      <c r="I14" s="101">
        <v>2832</v>
      </c>
      <c r="J14" s="133" t="s">
        <v>25</v>
      </c>
      <c r="K14" s="103" t="str">
        <f t="shared" si="0"/>
        <v xml:space="preserve"> </v>
      </c>
      <c r="L14" s="103" t="str">
        <f t="shared" si="1"/>
        <v xml:space="preserve"> </v>
      </c>
      <c r="M14" s="103" t="str">
        <f t="shared" si="2"/>
        <v xml:space="preserve"> </v>
      </c>
      <c r="N14" s="103" t="str">
        <f t="shared" si="3"/>
        <v xml:space="preserve"> </v>
      </c>
      <c r="O14" s="103" t="str">
        <f t="shared" si="4"/>
        <v xml:space="preserve"> </v>
      </c>
      <c r="P14" s="103" t="str">
        <f t="shared" si="5"/>
        <v xml:space="preserve"> </v>
      </c>
      <c r="Q14" s="103" t="str">
        <f t="shared" si="6"/>
        <v xml:space="preserve"> </v>
      </c>
      <c r="R14" s="103" t="str">
        <f t="shared" si="30"/>
        <v xml:space="preserve"> </v>
      </c>
      <c r="S14" s="103" t="str">
        <f t="shared" si="31"/>
        <v xml:space="preserve"> </v>
      </c>
      <c r="T14" s="103" t="str">
        <f t="shared" si="32"/>
        <v xml:space="preserve"> </v>
      </c>
      <c r="U14" s="103" t="str">
        <f t="shared" si="33"/>
        <v xml:space="preserve"> </v>
      </c>
      <c r="V14" s="103" t="str">
        <f t="shared" si="34"/>
        <v xml:space="preserve"> </v>
      </c>
      <c r="W14" s="103"/>
      <c r="X14" s="103"/>
      <c r="Y14" s="103"/>
      <c r="Z14" s="112" t="str">
        <f t="shared" si="7"/>
        <v xml:space="preserve"> </v>
      </c>
      <c r="AA14" s="123"/>
      <c r="AB14" s="103" t="str">
        <f t="shared" si="35"/>
        <v xml:space="preserve"> </v>
      </c>
      <c r="AC14" s="103" t="str">
        <f t="shared" si="36"/>
        <v xml:space="preserve"> </v>
      </c>
      <c r="AD14" s="103" t="str">
        <f t="shared" si="37"/>
        <v xml:space="preserve"> </v>
      </c>
      <c r="AE14" s="103" t="str">
        <f t="shared" si="38"/>
        <v xml:space="preserve"> </v>
      </c>
      <c r="AF14" s="103" t="str">
        <f t="shared" si="39"/>
        <v xml:space="preserve"> </v>
      </c>
      <c r="AG14" s="103" t="str">
        <f t="shared" si="40"/>
        <v xml:space="preserve"> </v>
      </c>
      <c r="AH14" s="103" t="str">
        <f t="shared" si="41"/>
        <v xml:space="preserve"> </v>
      </c>
      <c r="AI14" s="103" t="str">
        <f t="shared" si="42"/>
        <v xml:space="preserve"> </v>
      </c>
      <c r="AJ14" s="103" t="str">
        <f t="shared" si="43"/>
        <v xml:space="preserve"> </v>
      </c>
      <c r="AK14" s="103" t="str">
        <f t="shared" si="44"/>
        <v xml:space="preserve"> </v>
      </c>
      <c r="AL14" s="103" t="str">
        <f t="shared" si="45"/>
        <v xml:space="preserve"> </v>
      </c>
      <c r="AM14" s="103" t="str">
        <f t="shared" si="46"/>
        <v xml:space="preserve"> </v>
      </c>
      <c r="AN14" s="103"/>
      <c r="AO14" s="103"/>
      <c r="AP14" s="103"/>
      <c r="AQ14" s="112" t="str">
        <f t="shared" si="47"/>
        <v xml:space="preserve"> </v>
      </c>
      <c r="AR14" s="123"/>
      <c r="AS14" s="101">
        <f t="shared" si="8"/>
        <v>2832</v>
      </c>
      <c r="AT14" s="133" t="str">
        <f t="shared" si="9"/>
        <v>CTARGAS</v>
      </c>
      <c r="AU14" s="103" t="str">
        <f t="shared" si="48"/>
        <v xml:space="preserve"> </v>
      </c>
      <c r="AV14" s="103" t="str">
        <f t="shared" si="49"/>
        <v xml:space="preserve"> </v>
      </c>
      <c r="AW14" s="103" t="str">
        <f t="shared" si="50"/>
        <v xml:space="preserve"> </v>
      </c>
      <c r="AX14" s="103" t="str">
        <f t="shared" si="51"/>
        <v xml:space="preserve"> </v>
      </c>
      <c r="AY14" s="103" t="str">
        <f t="shared" si="52"/>
        <v xml:space="preserve"> </v>
      </c>
      <c r="AZ14" s="103" t="str">
        <f t="shared" si="53"/>
        <v xml:space="preserve"> </v>
      </c>
      <c r="BA14" s="103" t="str">
        <f t="shared" si="54"/>
        <v xml:space="preserve"> </v>
      </c>
      <c r="BB14" s="103" t="str">
        <f t="shared" si="55"/>
        <v xml:space="preserve"> </v>
      </c>
      <c r="BC14" s="103" t="str">
        <f t="shared" si="56"/>
        <v xml:space="preserve"> </v>
      </c>
      <c r="BD14" s="103" t="str">
        <f t="shared" si="57"/>
        <v xml:space="preserve"> </v>
      </c>
      <c r="BE14" s="103" t="str">
        <f t="shared" si="58"/>
        <v xml:space="preserve"> </v>
      </c>
      <c r="BF14" s="103" t="str">
        <f t="shared" si="59"/>
        <v xml:space="preserve"> </v>
      </c>
      <c r="BG14" s="103"/>
      <c r="BH14" s="103"/>
      <c r="BI14" s="103"/>
      <c r="BJ14" s="112" t="str">
        <f t="shared" si="60"/>
        <v xml:space="preserve"> </v>
      </c>
      <c r="BK14" s="123"/>
      <c r="BL14" s="103" t="str">
        <f t="shared" si="10"/>
        <v xml:space="preserve"> </v>
      </c>
      <c r="BM14" s="103" t="str">
        <f t="shared" si="11"/>
        <v xml:space="preserve"> </v>
      </c>
      <c r="BN14" s="103" t="str">
        <f t="shared" si="12"/>
        <v xml:space="preserve"> </v>
      </c>
      <c r="BO14" s="103" t="str">
        <f t="shared" si="13"/>
        <v xml:space="preserve"> </v>
      </c>
      <c r="BP14" s="103" t="str">
        <f t="shared" si="14"/>
        <v xml:space="preserve"> </v>
      </c>
      <c r="BQ14" s="103" t="str">
        <f t="shared" si="15"/>
        <v xml:space="preserve"> </v>
      </c>
      <c r="BR14" s="103" t="str">
        <f t="shared" si="16"/>
        <v xml:space="preserve"> </v>
      </c>
      <c r="BS14" s="103" t="str">
        <f t="shared" si="17"/>
        <v xml:space="preserve"> </v>
      </c>
      <c r="BT14" s="103" t="str">
        <f t="shared" si="18"/>
        <v xml:space="preserve"> </v>
      </c>
      <c r="BU14" s="103" t="str">
        <f t="shared" si="19"/>
        <v xml:space="preserve"> </v>
      </c>
      <c r="BV14" s="103" t="str">
        <f t="shared" si="20"/>
        <v xml:space="preserve"> </v>
      </c>
      <c r="BW14" s="103" t="str">
        <f t="shared" si="21"/>
        <v xml:space="preserve"> </v>
      </c>
      <c r="BX14" s="103"/>
      <c r="BY14" s="103"/>
      <c r="BZ14" s="103"/>
      <c r="CA14" s="112" t="str">
        <f t="shared" si="22"/>
        <v xml:space="preserve"> </v>
      </c>
      <c r="CB14" s="123"/>
      <c r="CC14" s="101">
        <f t="shared" si="61"/>
        <v>2832</v>
      </c>
      <c r="CD14" s="133" t="str">
        <f t="shared" si="62"/>
        <v>CTARGAS</v>
      </c>
      <c r="CE14" s="103" t="str">
        <f t="shared" si="63"/>
        <v xml:space="preserve"> </v>
      </c>
      <c r="CF14" s="103" t="str">
        <f t="shared" si="64"/>
        <v xml:space="preserve"> </v>
      </c>
      <c r="CG14" s="103" t="str">
        <f t="shared" si="65"/>
        <v xml:space="preserve"> </v>
      </c>
      <c r="CH14" s="103" t="str">
        <f t="shared" si="66"/>
        <v xml:space="preserve"> </v>
      </c>
      <c r="CI14" s="103" t="str">
        <f t="shared" si="67"/>
        <v>X</v>
      </c>
      <c r="CJ14" s="103" t="str">
        <f t="shared" si="68"/>
        <v xml:space="preserve"> </v>
      </c>
      <c r="CK14" s="103" t="str">
        <f t="shared" si="69"/>
        <v>X</v>
      </c>
      <c r="CL14" s="103" t="str">
        <f t="shared" si="70"/>
        <v>X</v>
      </c>
      <c r="CM14" s="103" t="str">
        <f t="shared" si="71"/>
        <v xml:space="preserve"> </v>
      </c>
      <c r="CN14" s="103" t="str">
        <f t="shared" si="72"/>
        <v xml:space="preserve"> </v>
      </c>
      <c r="CO14" s="103" t="str">
        <f t="shared" si="73"/>
        <v xml:space="preserve"> </v>
      </c>
      <c r="CP14" s="103" t="str">
        <f t="shared" si="74"/>
        <v xml:space="preserve"> </v>
      </c>
      <c r="CQ14" s="103"/>
      <c r="CR14" s="103"/>
      <c r="CS14" s="103"/>
      <c r="CT14" s="112">
        <f t="shared" si="75"/>
        <v>3</v>
      </c>
      <c r="CU14" s="127"/>
      <c r="CV14" s="101">
        <f t="shared" si="76"/>
        <v>2832</v>
      </c>
      <c r="CW14" s="133" t="str">
        <f t="shared" si="77"/>
        <v>CTARGAS</v>
      </c>
      <c r="CX14" s="103">
        <f t="shared" si="79"/>
        <v>907</v>
      </c>
      <c r="CY14" s="103">
        <f t="shared" si="80"/>
        <v>977</v>
      </c>
      <c r="CZ14" s="103">
        <f t="shared" si="81"/>
        <v>912</v>
      </c>
      <c r="DA14" s="103">
        <f t="shared" si="82"/>
        <v>732</v>
      </c>
      <c r="DB14" s="103">
        <f t="shared" si="83"/>
        <v>930</v>
      </c>
      <c r="DC14" s="103">
        <f t="shared" si="84"/>
        <v>958</v>
      </c>
      <c r="DD14" s="103">
        <f t="shared" si="85"/>
        <v>1054</v>
      </c>
      <c r="DE14" s="103">
        <f t="shared" si="86"/>
        <v>1003</v>
      </c>
      <c r="DF14" s="103">
        <f t="shared" si="87"/>
        <v>846</v>
      </c>
      <c r="DG14" s="103">
        <f t="shared" si="88"/>
        <v>940</v>
      </c>
      <c r="DH14" s="103">
        <f t="shared" si="89"/>
        <v>856</v>
      </c>
      <c r="DI14" s="103">
        <f t="shared" si="90"/>
        <v>809</v>
      </c>
      <c r="DM14" s="224">
        <f t="shared" si="78"/>
        <v>910.33333333333337</v>
      </c>
    </row>
    <row r="15" spans="1:118" ht="15.75" x14ac:dyDescent="0.25">
      <c r="A15" s="136">
        <f t="shared" si="23"/>
        <v>2892</v>
      </c>
      <c r="B15" s="136" t="str">
        <f t="shared" si="24"/>
        <v>CTARGAS</v>
      </c>
      <c r="C15" s="42">
        <f t="shared" si="25"/>
        <v>1</v>
      </c>
      <c r="D15" s="39">
        <f t="shared" si="26"/>
        <v>1</v>
      </c>
      <c r="E15" s="25">
        <f t="shared" si="27"/>
        <v>1</v>
      </c>
      <c r="F15" s="25">
        <f t="shared" si="28"/>
        <v>2</v>
      </c>
      <c r="G15" s="145" t="str">
        <f t="shared" si="29"/>
        <v xml:space="preserve"> </v>
      </c>
      <c r="I15" s="101">
        <v>2892</v>
      </c>
      <c r="J15" s="133" t="s">
        <v>25</v>
      </c>
      <c r="K15" s="103" t="str">
        <f t="shared" si="0"/>
        <v xml:space="preserve"> </v>
      </c>
      <c r="L15" s="103" t="str">
        <f t="shared" si="1"/>
        <v xml:space="preserve"> </v>
      </c>
      <c r="M15" s="103">
        <f t="shared" si="2"/>
        <v>0</v>
      </c>
      <c r="N15" s="103">
        <f t="shared" si="3"/>
        <v>0</v>
      </c>
      <c r="O15" s="103">
        <f t="shared" si="4"/>
        <v>0</v>
      </c>
      <c r="P15" s="103">
        <f t="shared" si="5"/>
        <v>0</v>
      </c>
      <c r="Q15" s="103">
        <f t="shared" si="6"/>
        <v>0</v>
      </c>
      <c r="R15" s="103">
        <f t="shared" si="30"/>
        <v>0</v>
      </c>
      <c r="S15" s="103">
        <f t="shared" si="31"/>
        <v>0</v>
      </c>
      <c r="T15" s="103">
        <f t="shared" si="32"/>
        <v>0</v>
      </c>
      <c r="U15" s="103">
        <f t="shared" si="33"/>
        <v>0</v>
      </c>
      <c r="V15" s="103" t="str">
        <f t="shared" si="34"/>
        <v>X</v>
      </c>
      <c r="W15" s="103"/>
      <c r="X15" s="103"/>
      <c r="Y15" s="103"/>
      <c r="Z15" s="112">
        <f t="shared" si="7"/>
        <v>1</v>
      </c>
      <c r="AA15" s="123"/>
      <c r="AB15" s="103" t="str">
        <f t="shared" si="35"/>
        <v xml:space="preserve"> </v>
      </c>
      <c r="AC15" s="103" t="str">
        <f t="shared" si="36"/>
        <v xml:space="preserve"> </v>
      </c>
      <c r="AD15" s="103" t="str">
        <f t="shared" si="37"/>
        <v xml:space="preserve"> </v>
      </c>
      <c r="AE15" s="103" t="str">
        <f t="shared" si="38"/>
        <v xml:space="preserve"> </v>
      </c>
      <c r="AF15" s="103" t="str">
        <f t="shared" si="39"/>
        <v xml:space="preserve"> </v>
      </c>
      <c r="AG15" s="103" t="str">
        <f t="shared" si="40"/>
        <v xml:space="preserve"> </v>
      </c>
      <c r="AH15" s="103" t="str">
        <f t="shared" si="41"/>
        <v xml:space="preserve"> </v>
      </c>
      <c r="AI15" s="103" t="str">
        <f t="shared" si="42"/>
        <v xml:space="preserve"> </v>
      </c>
      <c r="AJ15" s="103" t="str">
        <f t="shared" si="43"/>
        <v xml:space="preserve"> </v>
      </c>
      <c r="AK15" s="103" t="str">
        <f t="shared" si="44"/>
        <v xml:space="preserve"> </v>
      </c>
      <c r="AL15" s="103" t="str">
        <f t="shared" si="45"/>
        <v xml:space="preserve"> </v>
      </c>
      <c r="AM15" s="103" t="str">
        <f t="shared" si="46"/>
        <v>X</v>
      </c>
      <c r="AN15" s="103"/>
      <c r="AO15" s="103"/>
      <c r="AP15" s="103"/>
      <c r="AQ15" s="112">
        <f t="shared" si="47"/>
        <v>1</v>
      </c>
      <c r="AR15" s="123"/>
      <c r="AS15" s="101">
        <f t="shared" si="8"/>
        <v>2892</v>
      </c>
      <c r="AT15" s="133" t="str">
        <f t="shared" si="9"/>
        <v>CTARGAS</v>
      </c>
      <c r="AU15" s="103" t="str">
        <f t="shared" si="48"/>
        <v xml:space="preserve"> </v>
      </c>
      <c r="AV15" s="103" t="str">
        <f t="shared" si="49"/>
        <v xml:space="preserve"> </v>
      </c>
      <c r="AW15" s="103" t="str">
        <f t="shared" si="50"/>
        <v xml:space="preserve"> </v>
      </c>
      <c r="AX15" s="103" t="str">
        <f t="shared" si="51"/>
        <v xml:space="preserve"> </v>
      </c>
      <c r="AY15" s="103" t="str">
        <f t="shared" si="52"/>
        <v xml:space="preserve"> </v>
      </c>
      <c r="AZ15" s="103" t="str">
        <f t="shared" si="53"/>
        <v xml:space="preserve"> </v>
      </c>
      <c r="BA15" s="103" t="str">
        <f t="shared" si="54"/>
        <v xml:space="preserve"> </v>
      </c>
      <c r="BB15" s="103" t="str">
        <f t="shared" si="55"/>
        <v xml:space="preserve"> </v>
      </c>
      <c r="BC15" s="103" t="str">
        <f t="shared" si="56"/>
        <v xml:space="preserve"> </v>
      </c>
      <c r="BD15" s="103" t="str">
        <f t="shared" si="57"/>
        <v xml:space="preserve"> </v>
      </c>
      <c r="BE15" s="103" t="str">
        <f t="shared" si="58"/>
        <v xml:space="preserve"> </v>
      </c>
      <c r="BF15" s="103" t="str">
        <f t="shared" si="59"/>
        <v xml:space="preserve"> </v>
      </c>
      <c r="BG15" s="103"/>
      <c r="BH15" s="103"/>
      <c r="BI15" s="103"/>
      <c r="BJ15" s="112" t="str">
        <f t="shared" si="60"/>
        <v xml:space="preserve"> </v>
      </c>
      <c r="BK15" s="123"/>
      <c r="BL15" s="103" t="str">
        <f t="shared" si="10"/>
        <v xml:space="preserve"> </v>
      </c>
      <c r="BM15" s="103" t="str">
        <f t="shared" si="11"/>
        <v xml:space="preserve"> </v>
      </c>
      <c r="BN15" s="103" t="str">
        <f t="shared" si="12"/>
        <v xml:space="preserve"> </v>
      </c>
      <c r="BO15" s="103" t="str">
        <f t="shared" si="13"/>
        <v xml:space="preserve"> </v>
      </c>
      <c r="BP15" s="103" t="str">
        <f t="shared" si="14"/>
        <v xml:space="preserve"> </v>
      </c>
      <c r="BQ15" s="103" t="str">
        <f t="shared" si="15"/>
        <v xml:space="preserve"> </v>
      </c>
      <c r="BR15" s="103" t="str">
        <f t="shared" si="16"/>
        <v xml:space="preserve"> </v>
      </c>
      <c r="BS15" s="103" t="str">
        <f t="shared" si="17"/>
        <v xml:space="preserve"> </v>
      </c>
      <c r="BT15" s="103" t="str">
        <f t="shared" si="18"/>
        <v xml:space="preserve"> </v>
      </c>
      <c r="BU15" s="103" t="str">
        <f t="shared" si="19"/>
        <v xml:space="preserve"> </v>
      </c>
      <c r="BV15" s="103" t="str">
        <f t="shared" si="20"/>
        <v xml:space="preserve"> </v>
      </c>
      <c r="BW15" s="103" t="str">
        <f t="shared" si="21"/>
        <v>X</v>
      </c>
      <c r="BX15" s="103"/>
      <c r="BY15" s="103"/>
      <c r="BZ15" s="103"/>
      <c r="CA15" s="112">
        <f t="shared" si="22"/>
        <v>1</v>
      </c>
      <c r="CB15" s="123"/>
      <c r="CC15" s="101">
        <f t="shared" si="61"/>
        <v>2892</v>
      </c>
      <c r="CD15" s="133" t="str">
        <f t="shared" si="62"/>
        <v>CTARGAS</v>
      </c>
      <c r="CE15" s="103" t="str">
        <f t="shared" si="63"/>
        <v xml:space="preserve"> </v>
      </c>
      <c r="CF15" s="103" t="str">
        <f t="shared" si="64"/>
        <v xml:space="preserve"> </v>
      </c>
      <c r="CG15" s="103" t="str">
        <f t="shared" si="65"/>
        <v xml:space="preserve"> </v>
      </c>
      <c r="CH15" s="103" t="str">
        <f t="shared" si="66"/>
        <v xml:space="preserve"> </v>
      </c>
      <c r="CI15" s="103" t="str">
        <f t="shared" si="67"/>
        <v>X</v>
      </c>
      <c r="CJ15" s="103" t="str">
        <f t="shared" si="68"/>
        <v xml:space="preserve"> </v>
      </c>
      <c r="CK15" s="103" t="str">
        <f t="shared" si="69"/>
        <v xml:space="preserve"> </v>
      </c>
      <c r="CL15" s="103" t="str">
        <f t="shared" si="70"/>
        <v xml:space="preserve"> </v>
      </c>
      <c r="CM15" s="103" t="str">
        <f t="shared" si="71"/>
        <v xml:space="preserve"> </v>
      </c>
      <c r="CN15" s="103" t="str">
        <f t="shared" si="72"/>
        <v xml:space="preserve"> </v>
      </c>
      <c r="CO15" s="103" t="str">
        <f t="shared" si="73"/>
        <v xml:space="preserve"> </v>
      </c>
      <c r="CP15" s="103" t="str">
        <f t="shared" si="74"/>
        <v>X</v>
      </c>
      <c r="CQ15" s="103"/>
      <c r="CR15" s="103"/>
      <c r="CS15" s="103"/>
      <c r="CT15" s="112">
        <f t="shared" si="75"/>
        <v>2</v>
      </c>
      <c r="CU15" s="127"/>
      <c r="CV15" s="101">
        <f t="shared" si="76"/>
        <v>2892</v>
      </c>
      <c r="CW15" s="133" t="str">
        <f t="shared" si="77"/>
        <v>CTARGAS</v>
      </c>
      <c r="CX15" s="103">
        <f t="shared" si="79"/>
        <v>4368</v>
      </c>
      <c r="CY15" s="103">
        <f t="shared" si="80"/>
        <v>4728</v>
      </c>
      <c r="CZ15" s="103">
        <f t="shared" si="81"/>
        <v>4435</v>
      </c>
      <c r="DA15" s="103">
        <f t="shared" si="82"/>
        <v>3628</v>
      </c>
      <c r="DB15" s="103">
        <f t="shared" si="83"/>
        <v>4605</v>
      </c>
      <c r="DC15" s="103">
        <f t="shared" si="84"/>
        <v>4745</v>
      </c>
      <c r="DD15" s="103">
        <f t="shared" si="85"/>
        <v>5280</v>
      </c>
      <c r="DE15" s="103">
        <f t="shared" si="86"/>
        <v>5009</v>
      </c>
      <c r="DF15" s="103">
        <f t="shared" si="87"/>
        <v>4471</v>
      </c>
      <c r="DG15" s="103">
        <f t="shared" si="88"/>
        <v>4960</v>
      </c>
      <c r="DH15" s="103">
        <f t="shared" si="89"/>
        <v>4530</v>
      </c>
      <c r="DI15" s="103">
        <f t="shared" si="90"/>
        <v>4277</v>
      </c>
      <c r="DM15" s="224">
        <f t="shared" si="78"/>
        <v>4586.333333333333</v>
      </c>
    </row>
    <row r="16" spans="1:118" ht="15.75" x14ac:dyDescent="0.25">
      <c r="A16" s="136">
        <f t="shared" si="23"/>
        <v>3152</v>
      </c>
      <c r="B16" s="136" t="str">
        <f t="shared" si="24"/>
        <v>CTARGAS</v>
      </c>
      <c r="C16" s="42" t="str">
        <f t="shared" si="25"/>
        <v xml:space="preserve"> </v>
      </c>
      <c r="D16" s="39">
        <f t="shared" si="26"/>
        <v>3</v>
      </c>
      <c r="E16" s="25">
        <f t="shared" si="27"/>
        <v>3</v>
      </c>
      <c r="F16" s="25">
        <f t="shared" si="28"/>
        <v>7</v>
      </c>
      <c r="G16" s="145" t="str">
        <f t="shared" si="29"/>
        <v xml:space="preserve"> </v>
      </c>
      <c r="I16" s="101">
        <v>3152</v>
      </c>
      <c r="J16" s="133" t="s">
        <v>25</v>
      </c>
      <c r="K16" s="103" t="str">
        <f t="shared" si="0"/>
        <v xml:space="preserve"> </v>
      </c>
      <c r="L16" s="103" t="str">
        <f t="shared" si="1"/>
        <v xml:space="preserve"> </v>
      </c>
      <c r="M16" s="103">
        <f t="shared" si="2"/>
        <v>0</v>
      </c>
      <c r="N16" s="103">
        <f t="shared" si="3"/>
        <v>0</v>
      </c>
      <c r="O16" s="103">
        <f t="shared" si="4"/>
        <v>0</v>
      </c>
      <c r="P16" s="103">
        <f t="shared" si="5"/>
        <v>0</v>
      </c>
      <c r="Q16" s="103">
        <f t="shared" si="6"/>
        <v>0</v>
      </c>
      <c r="R16" s="103">
        <f t="shared" si="30"/>
        <v>0</v>
      </c>
      <c r="S16" s="103">
        <f t="shared" si="31"/>
        <v>0</v>
      </c>
      <c r="T16" s="103">
        <f t="shared" si="32"/>
        <v>0</v>
      </c>
      <c r="U16" s="103">
        <f t="shared" si="33"/>
        <v>0</v>
      </c>
      <c r="V16" s="103">
        <f t="shared" si="34"/>
        <v>0</v>
      </c>
      <c r="W16" s="103"/>
      <c r="X16" s="103"/>
      <c r="Y16" s="103"/>
      <c r="Z16" s="112" t="str">
        <f t="shared" si="7"/>
        <v xml:space="preserve"> </v>
      </c>
      <c r="AA16" s="123"/>
      <c r="AB16" s="103" t="str">
        <f t="shared" si="35"/>
        <v>X</v>
      </c>
      <c r="AC16" s="103" t="str">
        <f t="shared" si="36"/>
        <v xml:space="preserve"> </v>
      </c>
      <c r="AD16" s="103" t="str">
        <f t="shared" si="37"/>
        <v xml:space="preserve"> </v>
      </c>
      <c r="AE16" s="103" t="str">
        <f t="shared" si="38"/>
        <v xml:space="preserve"> </v>
      </c>
      <c r="AF16" s="103" t="str">
        <f t="shared" si="39"/>
        <v xml:space="preserve"> </v>
      </c>
      <c r="AG16" s="103" t="str">
        <f t="shared" si="40"/>
        <v xml:space="preserve"> </v>
      </c>
      <c r="AH16" s="103" t="str">
        <f t="shared" si="41"/>
        <v xml:space="preserve"> </v>
      </c>
      <c r="AI16" s="103" t="str">
        <f t="shared" si="42"/>
        <v xml:space="preserve"> </v>
      </c>
      <c r="AJ16" s="103" t="str">
        <f t="shared" si="43"/>
        <v>X</v>
      </c>
      <c r="AK16" s="103" t="str">
        <f t="shared" si="44"/>
        <v xml:space="preserve"> </v>
      </c>
      <c r="AL16" s="103" t="str">
        <f t="shared" si="45"/>
        <v xml:space="preserve"> </v>
      </c>
      <c r="AM16" s="103" t="str">
        <f t="shared" si="46"/>
        <v>X</v>
      </c>
      <c r="AN16" s="103"/>
      <c r="AO16" s="103"/>
      <c r="AP16" s="103"/>
      <c r="AQ16" s="112">
        <f t="shared" si="47"/>
        <v>3</v>
      </c>
      <c r="AR16" s="123"/>
      <c r="AS16" s="101">
        <f t="shared" si="8"/>
        <v>3152</v>
      </c>
      <c r="AT16" s="133" t="str">
        <f t="shared" si="9"/>
        <v>CTARGAS</v>
      </c>
      <c r="AU16" s="103" t="str">
        <f t="shared" si="48"/>
        <v xml:space="preserve"> </v>
      </c>
      <c r="AV16" s="103" t="str">
        <f t="shared" si="49"/>
        <v xml:space="preserve"> </v>
      </c>
      <c r="AW16" s="103" t="str">
        <f t="shared" si="50"/>
        <v xml:space="preserve"> </v>
      </c>
      <c r="AX16" s="103" t="str">
        <f t="shared" si="51"/>
        <v xml:space="preserve"> </v>
      </c>
      <c r="AY16" s="103" t="str">
        <f t="shared" si="52"/>
        <v xml:space="preserve"> </v>
      </c>
      <c r="AZ16" s="103" t="str">
        <f t="shared" si="53"/>
        <v xml:space="preserve"> </v>
      </c>
      <c r="BA16" s="103" t="str">
        <f t="shared" si="54"/>
        <v xml:space="preserve"> </v>
      </c>
      <c r="BB16" s="103" t="str">
        <f t="shared" si="55"/>
        <v xml:space="preserve"> </v>
      </c>
      <c r="BC16" s="103" t="str">
        <f t="shared" si="56"/>
        <v xml:space="preserve"> </v>
      </c>
      <c r="BD16" s="103" t="str">
        <f t="shared" si="57"/>
        <v xml:space="preserve"> </v>
      </c>
      <c r="BE16" s="103" t="str">
        <f t="shared" si="58"/>
        <v xml:space="preserve"> </v>
      </c>
      <c r="BF16" s="103" t="str">
        <f t="shared" si="59"/>
        <v xml:space="preserve"> </v>
      </c>
      <c r="BG16" s="103"/>
      <c r="BH16" s="103"/>
      <c r="BI16" s="103"/>
      <c r="BJ16" s="112" t="str">
        <f t="shared" si="60"/>
        <v xml:space="preserve"> </v>
      </c>
      <c r="BK16" s="123"/>
      <c r="BL16" s="103" t="str">
        <f t="shared" si="10"/>
        <v>X</v>
      </c>
      <c r="BM16" s="103" t="str">
        <f t="shared" si="11"/>
        <v xml:space="preserve"> </v>
      </c>
      <c r="BN16" s="103" t="str">
        <f t="shared" si="12"/>
        <v xml:space="preserve"> </v>
      </c>
      <c r="BO16" s="103" t="str">
        <f t="shared" si="13"/>
        <v xml:space="preserve"> </v>
      </c>
      <c r="BP16" s="103" t="str">
        <f t="shared" si="14"/>
        <v xml:space="preserve"> </v>
      </c>
      <c r="BQ16" s="103" t="str">
        <f t="shared" si="15"/>
        <v xml:space="preserve"> </v>
      </c>
      <c r="BR16" s="103" t="str">
        <f t="shared" si="16"/>
        <v xml:space="preserve"> </v>
      </c>
      <c r="BS16" s="103" t="str">
        <f t="shared" si="17"/>
        <v xml:space="preserve"> </v>
      </c>
      <c r="BT16" s="103" t="str">
        <f t="shared" si="18"/>
        <v>X</v>
      </c>
      <c r="BU16" s="103" t="str">
        <f t="shared" si="19"/>
        <v xml:space="preserve"> </v>
      </c>
      <c r="BV16" s="103" t="str">
        <f t="shared" si="20"/>
        <v xml:space="preserve"> </v>
      </c>
      <c r="BW16" s="103" t="str">
        <f t="shared" si="21"/>
        <v>X</v>
      </c>
      <c r="BX16" s="103"/>
      <c r="BY16" s="103"/>
      <c r="BZ16" s="103"/>
      <c r="CA16" s="112">
        <f t="shared" si="22"/>
        <v>3</v>
      </c>
      <c r="CB16" s="123"/>
      <c r="CC16" s="101">
        <f t="shared" si="61"/>
        <v>3152</v>
      </c>
      <c r="CD16" s="133" t="str">
        <f t="shared" si="62"/>
        <v>CTARGAS</v>
      </c>
      <c r="CE16" s="103" t="str">
        <f t="shared" si="63"/>
        <v>X</v>
      </c>
      <c r="CF16" s="103" t="str">
        <f t="shared" si="64"/>
        <v>X</v>
      </c>
      <c r="CG16" s="103" t="str">
        <f t="shared" si="65"/>
        <v>X</v>
      </c>
      <c r="CH16" s="103" t="str">
        <f t="shared" si="66"/>
        <v>X</v>
      </c>
      <c r="CI16" s="103" t="str">
        <f t="shared" si="67"/>
        <v xml:space="preserve"> </v>
      </c>
      <c r="CJ16" s="103" t="str">
        <f t="shared" si="68"/>
        <v xml:space="preserve"> </v>
      </c>
      <c r="CK16" s="103" t="str">
        <f t="shared" si="69"/>
        <v xml:space="preserve"> </v>
      </c>
      <c r="CL16" s="103" t="str">
        <f t="shared" si="70"/>
        <v xml:space="preserve"> </v>
      </c>
      <c r="CM16" s="103" t="str">
        <f t="shared" si="71"/>
        <v>X</v>
      </c>
      <c r="CN16" s="103" t="str">
        <f t="shared" si="72"/>
        <v xml:space="preserve"> </v>
      </c>
      <c r="CO16" s="103" t="str">
        <f t="shared" si="73"/>
        <v>X</v>
      </c>
      <c r="CP16" s="103" t="str">
        <f t="shared" si="74"/>
        <v>X</v>
      </c>
      <c r="CQ16" s="103"/>
      <c r="CR16" s="103"/>
      <c r="CS16" s="103"/>
      <c r="CT16" s="112">
        <f t="shared" si="75"/>
        <v>7</v>
      </c>
      <c r="CU16" s="127"/>
      <c r="CV16" s="101">
        <f t="shared" si="76"/>
        <v>3152</v>
      </c>
      <c r="CW16" s="133" t="str">
        <f t="shared" si="77"/>
        <v>CTARGAS</v>
      </c>
      <c r="CX16" s="103">
        <f t="shared" si="79"/>
        <v>3251</v>
      </c>
      <c r="CY16" s="103">
        <f t="shared" si="80"/>
        <v>3336</v>
      </c>
      <c r="CZ16" s="103">
        <f t="shared" si="81"/>
        <v>3147</v>
      </c>
      <c r="DA16" s="103">
        <f t="shared" si="82"/>
        <v>2437</v>
      </c>
      <c r="DB16" s="103">
        <f t="shared" si="83"/>
        <v>3107</v>
      </c>
      <c r="DC16" s="103">
        <f t="shared" si="84"/>
        <v>3188</v>
      </c>
      <c r="DD16" s="103">
        <f t="shared" si="85"/>
        <v>3666</v>
      </c>
      <c r="DE16" s="103">
        <f t="shared" si="86"/>
        <v>3497</v>
      </c>
      <c r="DF16" s="103">
        <f t="shared" si="87"/>
        <v>3860</v>
      </c>
      <c r="DG16" s="103">
        <f t="shared" si="88"/>
        <v>4304</v>
      </c>
      <c r="DH16" s="103">
        <f t="shared" si="89"/>
        <v>3916</v>
      </c>
      <c r="DI16" s="103">
        <f t="shared" si="90"/>
        <v>3693</v>
      </c>
      <c r="DM16" s="224">
        <f t="shared" si="78"/>
        <v>3450.1666666666665</v>
      </c>
    </row>
    <row r="17" spans="1:118" ht="15.75" x14ac:dyDescent="0.25">
      <c r="A17" s="136">
        <f t="shared" si="23"/>
        <v>4303</v>
      </c>
      <c r="B17" s="136" t="str">
        <f t="shared" si="24"/>
        <v>CTARGAS</v>
      </c>
      <c r="C17" s="42"/>
      <c r="D17" s="39"/>
      <c r="E17" s="25"/>
      <c r="F17" s="25"/>
      <c r="G17" s="145"/>
      <c r="I17" s="101">
        <v>4303</v>
      </c>
      <c r="J17" s="133" t="s">
        <v>25</v>
      </c>
      <c r="K17" s="103" t="str">
        <f t="shared" si="0"/>
        <v xml:space="preserve"> </v>
      </c>
      <c r="L17" s="103" t="str">
        <f t="shared" si="1"/>
        <v xml:space="preserve"> </v>
      </c>
      <c r="M17" s="103">
        <f t="shared" si="2"/>
        <v>0</v>
      </c>
      <c r="N17" s="103">
        <f t="shared" si="3"/>
        <v>0</v>
      </c>
      <c r="O17" s="103">
        <f t="shared" si="4"/>
        <v>0</v>
      </c>
      <c r="P17" s="103">
        <f t="shared" si="5"/>
        <v>0</v>
      </c>
      <c r="Q17" s="103">
        <f t="shared" si="6"/>
        <v>0</v>
      </c>
      <c r="R17" s="103">
        <f t="shared" si="30"/>
        <v>0</v>
      </c>
      <c r="S17" s="103">
        <f t="shared" si="31"/>
        <v>0</v>
      </c>
      <c r="T17" s="103" t="e">
        <f t="shared" si="32"/>
        <v>#N/A</v>
      </c>
      <c r="U17" s="103" t="e">
        <f t="shared" si="33"/>
        <v>#N/A</v>
      </c>
      <c r="V17" s="103" t="e">
        <f t="shared" si="34"/>
        <v>#N/A</v>
      </c>
      <c r="W17" s="103"/>
      <c r="X17" s="103"/>
      <c r="Y17" s="103"/>
      <c r="Z17" s="112" t="str">
        <f>IF(COUNTIF(K17:Y17,"x")=0," ",COUNTIF(K17:Y17,"x"))</f>
        <v xml:space="preserve"> </v>
      </c>
      <c r="AA17" s="123"/>
      <c r="AB17" s="103" t="str">
        <f t="shared" si="35"/>
        <v xml:space="preserve"> </v>
      </c>
      <c r="AC17" s="103" t="str">
        <f t="shared" si="36"/>
        <v xml:space="preserve"> </v>
      </c>
      <c r="AD17" s="103" t="str">
        <f t="shared" si="37"/>
        <v xml:space="preserve"> </v>
      </c>
      <c r="AE17" s="103" t="str">
        <f t="shared" si="38"/>
        <v xml:space="preserve"> </v>
      </c>
      <c r="AF17" s="103" t="str">
        <f t="shared" si="39"/>
        <v xml:space="preserve"> </v>
      </c>
      <c r="AG17" s="103" t="str">
        <f t="shared" si="40"/>
        <v xml:space="preserve"> </v>
      </c>
      <c r="AH17" s="103" t="str">
        <f t="shared" si="41"/>
        <v xml:space="preserve"> </v>
      </c>
      <c r="AI17" s="103" t="str">
        <f t="shared" si="42"/>
        <v xml:space="preserve"> </v>
      </c>
      <c r="AJ17" s="103" t="str">
        <f t="shared" si="43"/>
        <v xml:space="preserve"> </v>
      </c>
      <c r="AK17" s="103" t="e">
        <f t="shared" si="44"/>
        <v>#N/A</v>
      </c>
      <c r="AL17" s="103" t="e">
        <f t="shared" si="45"/>
        <v>#N/A</v>
      </c>
      <c r="AM17" s="103" t="e">
        <f t="shared" si="46"/>
        <v>#N/A</v>
      </c>
      <c r="AN17" s="103"/>
      <c r="AO17" s="103"/>
      <c r="AP17" s="103"/>
      <c r="AQ17" s="112" t="str">
        <f t="shared" si="47"/>
        <v xml:space="preserve"> </v>
      </c>
      <c r="AR17" s="123"/>
      <c r="AS17" s="101">
        <f t="shared" si="8"/>
        <v>4303</v>
      </c>
      <c r="AT17" s="133"/>
      <c r="AU17" s="103" t="str">
        <f t="shared" si="48"/>
        <v xml:space="preserve"> </v>
      </c>
      <c r="AV17" s="103" t="str">
        <f t="shared" si="49"/>
        <v xml:space="preserve"> </v>
      </c>
      <c r="AW17" s="103" t="str">
        <f t="shared" si="50"/>
        <v xml:space="preserve"> </v>
      </c>
      <c r="AX17" s="103" t="str">
        <f t="shared" si="51"/>
        <v xml:space="preserve"> </v>
      </c>
      <c r="AY17" s="103" t="str">
        <f t="shared" si="52"/>
        <v xml:space="preserve"> </v>
      </c>
      <c r="AZ17" s="103" t="str">
        <f t="shared" si="53"/>
        <v xml:space="preserve"> </v>
      </c>
      <c r="BA17" s="103" t="str">
        <f t="shared" si="54"/>
        <v xml:space="preserve"> </v>
      </c>
      <c r="BB17" s="103" t="str">
        <f t="shared" si="55"/>
        <v xml:space="preserve"> </v>
      </c>
      <c r="BC17" s="103" t="str">
        <f t="shared" si="56"/>
        <v xml:space="preserve"> </v>
      </c>
      <c r="BD17" s="103" t="e">
        <f t="shared" si="57"/>
        <v>#N/A</v>
      </c>
      <c r="BE17" s="103" t="e">
        <f t="shared" si="58"/>
        <v>#N/A</v>
      </c>
      <c r="BF17" s="103" t="e">
        <f t="shared" si="59"/>
        <v>#N/A</v>
      </c>
      <c r="BG17" s="103"/>
      <c r="BH17" s="103"/>
      <c r="BI17" s="103"/>
      <c r="BJ17" s="112" t="str">
        <f t="shared" si="60"/>
        <v xml:space="preserve"> </v>
      </c>
      <c r="BK17" s="123"/>
      <c r="BL17" s="103" t="str">
        <f t="shared" si="10"/>
        <v xml:space="preserve"> </v>
      </c>
      <c r="BM17" s="103" t="str">
        <f t="shared" si="11"/>
        <v xml:space="preserve"> </v>
      </c>
      <c r="BN17" s="103" t="str">
        <f t="shared" si="12"/>
        <v xml:space="preserve"> </v>
      </c>
      <c r="BO17" s="103" t="str">
        <f t="shared" si="13"/>
        <v xml:space="preserve"> </v>
      </c>
      <c r="BP17" s="103" t="str">
        <f t="shared" si="14"/>
        <v xml:space="preserve"> </v>
      </c>
      <c r="BQ17" s="103" t="str">
        <f t="shared" si="15"/>
        <v xml:space="preserve"> </v>
      </c>
      <c r="BR17" s="103" t="str">
        <f t="shared" si="16"/>
        <v xml:space="preserve"> </v>
      </c>
      <c r="BS17" s="103" t="str">
        <f t="shared" si="17"/>
        <v xml:space="preserve"> </v>
      </c>
      <c r="BT17" s="103" t="str">
        <f t="shared" si="18"/>
        <v xml:space="preserve"> </v>
      </c>
      <c r="BU17" s="103" t="e">
        <f t="shared" si="19"/>
        <v>#N/A</v>
      </c>
      <c r="BV17" s="103" t="e">
        <f t="shared" si="20"/>
        <v>#N/A</v>
      </c>
      <c r="BW17" s="103" t="e">
        <f t="shared" si="21"/>
        <v>#N/A</v>
      </c>
      <c r="BX17" s="103"/>
      <c r="BY17" s="103"/>
      <c r="BZ17" s="103"/>
      <c r="CA17" s="112" t="str">
        <f t="shared" si="22"/>
        <v xml:space="preserve"> </v>
      </c>
      <c r="CB17" s="123"/>
      <c r="CC17" s="101">
        <f t="shared" si="61"/>
        <v>4303</v>
      </c>
      <c r="CD17" s="133"/>
      <c r="CE17" s="103" t="str">
        <f t="shared" si="63"/>
        <v xml:space="preserve"> </v>
      </c>
      <c r="CF17" s="103" t="str">
        <f t="shared" si="64"/>
        <v xml:space="preserve"> </v>
      </c>
      <c r="CG17" s="103" t="str">
        <f t="shared" si="65"/>
        <v xml:space="preserve"> </v>
      </c>
      <c r="CH17" s="103" t="str">
        <f t="shared" si="66"/>
        <v xml:space="preserve"> </v>
      </c>
      <c r="CI17" s="103" t="str">
        <f t="shared" si="67"/>
        <v>X</v>
      </c>
      <c r="CJ17" s="103" t="str">
        <f t="shared" si="68"/>
        <v xml:space="preserve"> </v>
      </c>
      <c r="CK17" s="103" t="str">
        <f t="shared" si="69"/>
        <v>X</v>
      </c>
      <c r="CL17" s="103" t="str">
        <f t="shared" si="70"/>
        <v>X</v>
      </c>
      <c r="CM17" s="103" t="str">
        <f t="shared" si="71"/>
        <v xml:space="preserve"> </v>
      </c>
      <c r="CN17" s="103" t="e">
        <f t="shared" si="72"/>
        <v>#N/A</v>
      </c>
      <c r="CO17" s="103" t="e">
        <f t="shared" si="73"/>
        <v>#N/A</v>
      </c>
      <c r="CP17" s="103" t="e">
        <f t="shared" si="74"/>
        <v>#N/A</v>
      </c>
      <c r="CQ17" s="103"/>
      <c r="CR17" s="103"/>
      <c r="CS17" s="103"/>
      <c r="CT17" s="112">
        <f t="shared" si="75"/>
        <v>3</v>
      </c>
      <c r="CU17" s="127"/>
      <c r="CV17" s="101">
        <f t="shared" si="76"/>
        <v>4303</v>
      </c>
      <c r="CW17" s="133"/>
      <c r="CX17" s="103">
        <f t="shared" si="79"/>
        <v>2319</v>
      </c>
      <c r="CY17" s="103">
        <f t="shared" si="80"/>
        <v>2450</v>
      </c>
      <c r="CZ17" s="103">
        <f t="shared" si="81"/>
        <v>2307</v>
      </c>
      <c r="DA17" s="103">
        <f t="shared" si="82"/>
        <v>1885</v>
      </c>
      <c r="DB17" s="103">
        <f t="shared" si="83"/>
        <v>2391</v>
      </c>
      <c r="DC17" s="103">
        <f t="shared" si="84"/>
        <v>2465</v>
      </c>
      <c r="DD17" s="103">
        <f t="shared" si="85"/>
        <v>2770</v>
      </c>
      <c r="DE17" s="103">
        <f t="shared" si="86"/>
        <v>2620</v>
      </c>
      <c r="DF17" s="103">
        <f t="shared" si="87"/>
        <v>2319</v>
      </c>
      <c r="DG17" s="227"/>
      <c r="DH17" s="227"/>
      <c r="DI17" s="227"/>
      <c r="DM17" s="224">
        <f>AVERAGE(CX17:DL17)</f>
        <v>2391.7777777777778</v>
      </c>
      <c r="DN17" s="224"/>
    </row>
    <row r="18" spans="1:118" ht="15.75" x14ac:dyDescent="0.25">
      <c r="A18" s="136">
        <f t="shared" si="23"/>
        <v>6500</v>
      </c>
      <c r="B18" s="136" t="str">
        <f t="shared" si="24"/>
        <v>CTARGAS</v>
      </c>
      <c r="C18" s="42">
        <f t="shared" si="25"/>
        <v>1</v>
      </c>
      <c r="D18" s="39" t="str">
        <f t="shared" si="26"/>
        <v xml:space="preserve"> </v>
      </c>
      <c r="E18" s="25">
        <f t="shared" si="27"/>
        <v>8</v>
      </c>
      <c r="F18" s="25" t="str">
        <f t="shared" si="28"/>
        <v xml:space="preserve"> </v>
      </c>
      <c r="G18" s="145">
        <f t="shared" si="29"/>
        <v>1</v>
      </c>
      <c r="I18" s="101">
        <v>6500</v>
      </c>
      <c r="J18" s="133" t="s">
        <v>25</v>
      </c>
      <c r="K18" s="103" t="str">
        <f t="shared" si="0"/>
        <v xml:space="preserve"> </v>
      </c>
      <c r="L18" s="103" t="str">
        <f t="shared" si="1"/>
        <v xml:space="preserve"> </v>
      </c>
      <c r="M18" s="103">
        <f t="shared" si="2"/>
        <v>0</v>
      </c>
      <c r="N18" s="103">
        <f t="shared" si="3"/>
        <v>0</v>
      </c>
      <c r="O18" s="103">
        <f t="shared" si="4"/>
        <v>0</v>
      </c>
      <c r="P18" s="103">
        <f t="shared" si="5"/>
        <v>0</v>
      </c>
      <c r="Q18" s="103">
        <f t="shared" si="6"/>
        <v>0</v>
      </c>
      <c r="R18" s="103">
        <f t="shared" si="30"/>
        <v>0</v>
      </c>
      <c r="S18" s="103" t="str">
        <f t="shared" si="31"/>
        <v>X</v>
      </c>
      <c r="T18" s="103">
        <f t="shared" si="32"/>
        <v>0</v>
      </c>
      <c r="U18" s="103">
        <f t="shared" si="33"/>
        <v>0</v>
      </c>
      <c r="V18" s="103">
        <f t="shared" si="34"/>
        <v>0</v>
      </c>
      <c r="W18" s="103"/>
      <c r="X18" s="103"/>
      <c r="Y18" s="103"/>
      <c r="Z18" s="112">
        <f t="shared" si="7"/>
        <v>1</v>
      </c>
      <c r="AA18" s="123"/>
      <c r="AB18" s="103" t="str">
        <f t="shared" si="35"/>
        <v xml:space="preserve"> </v>
      </c>
      <c r="AC18" s="103" t="str">
        <f t="shared" si="36"/>
        <v xml:space="preserve"> </v>
      </c>
      <c r="AD18" s="103" t="str">
        <f t="shared" si="37"/>
        <v xml:space="preserve"> </v>
      </c>
      <c r="AE18" s="103" t="str">
        <f t="shared" si="38"/>
        <v xml:space="preserve"> </v>
      </c>
      <c r="AF18" s="103" t="str">
        <f t="shared" si="39"/>
        <v xml:space="preserve"> </v>
      </c>
      <c r="AG18" s="103" t="str">
        <f t="shared" si="40"/>
        <v xml:space="preserve"> </v>
      </c>
      <c r="AH18" s="103" t="str">
        <f t="shared" si="41"/>
        <v xml:space="preserve"> </v>
      </c>
      <c r="AI18" s="103" t="str">
        <f t="shared" si="42"/>
        <v xml:space="preserve"> </v>
      </c>
      <c r="AJ18" s="103" t="str">
        <f t="shared" si="43"/>
        <v xml:space="preserve"> </v>
      </c>
      <c r="AK18" s="103" t="str">
        <f t="shared" si="44"/>
        <v xml:space="preserve"> </v>
      </c>
      <c r="AL18" s="103" t="str">
        <f t="shared" si="45"/>
        <v xml:space="preserve"> </v>
      </c>
      <c r="AM18" s="103" t="str">
        <f t="shared" si="46"/>
        <v xml:space="preserve"> </v>
      </c>
      <c r="AN18" s="103"/>
      <c r="AO18" s="103"/>
      <c r="AP18" s="103"/>
      <c r="AQ18" s="112" t="str">
        <f t="shared" si="47"/>
        <v xml:space="preserve"> </v>
      </c>
      <c r="AR18" s="123"/>
      <c r="AS18" s="101">
        <f t="shared" si="8"/>
        <v>6500</v>
      </c>
      <c r="AT18" s="133" t="str">
        <f t="shared" si="9"/>
        <v>CTARGAS</v>
      </c>
      <c r="AU18" s="103" t="str">
        <f t="shared" si="48"/>
        <v xml:space="preserve"> </v>
      </c>
      <c r="AV18" s="103" t="str">
        <f t="shared" si="49"/>
        <v>X</v>
      </c>
      <c r="AW18" s="103" t="str">
        <f t="shared" si="50"/>
        <v xml:space="preserve"> </v>
      </c>
      <c r="AX18" s="103" t="str">
        <f t="shared" si="51"/>
        <v xml:space="preserve"> </v>
      </c>
      <c r="AY18" s="103" t="str">
        <f t="shared" si="52"/>
        <v xml:space="preserve"> </v>
      </c>
      <c r="AZ18" s="103" t="str">
        <f t="shared" si="53"/>
        <v xml:space="preserve"> </v>
      </c>
      <c r="BA18" s="103" t="str">
        <f t="shared" si="54"/>
        <v xml:space="preserve"> </v>
      </c>
      <c r="BB18" s="103" t="str">
        <f t="shared" si="55"/>
        <v xml:space="preserve"> </v>
      </c>
      <c r="BC18" s="103" t="str">
        <f t="shared" si="56"/>
        <v xml:space="preserve"> </v>
      </c>
      <c r="BD18" s="103" t="str">
        <f t="shared" si="57"/>
        <v xml:space="preserve"> </v>
      </c>
      <c r="BE18" s="103" t="str">
        <f t="shared" si="58"/>
        <v xml:space="preserve"> </v>
      </c>
      <c r="BF18" s="103" t="str">
        <f t="shared" si="59"/>
        <v xml:space="preserve"> </v>
      </c>
      <c r="BG18" s="103"/>
      <c r="BH18" s="103"/>
      <c r="BI18" s="103"/>
      <c r="BJ18" s="112">
        <f t="shared" si="60"/>
        <v>1</v>
      </c>
      <c r="BK18" s="123"/>
      <c r="BL18" s="103" t="str">
        <f t="shared" ref="BL18:BL23" si="91">VLOOKUP($I18,ctar0705,20,FALSE)</f>
        <v>X</v>
      </c>
      <c r="BM18" s="103" t="str">
        <f t="shared" ref="BM18:BM23" si="92">VLOOKUP($I18,ctar0706,20,FALSE)</f>
        <v>X</v>
      </c>
      <c r="BN18" s="103" t="str">
        <f t="shared" ref="BN18:BN23" si="93">VLOOKUP($I18,ctar0707,20,FALSE)</f>
        <v>X</v>
      </c>
      <c r="BO18" s="103" t="str">
        <f t="shared" ref="BO18:BO23" si="94">VLOOKUP($I18,ctar0708,20,FALSE)</f>
        <v>X</v>
      </c>
      <c r="BP18" s="103" t="str">
        <f t="shared" ref="BP18:BP23" si="95">VLOOKUP($I18,ctar0721,20,FALSE)</f>
        <v xml:space="preserve"> </v>
      </c>
      <c r="BQ18" s="103" t="str">
        <f t="shared" ref="BQ18:BQ23" si="96">VLOOKUP($I18,ctar0725,20,FALSE)</f>
        <v xml:space="preserve"> </v>
      </c>
      <c r="BR18" s="103" t="str">
        <f t="shared" ref="BR18:BR23" si="97">VLOOKUP($I18,ctar0829,20,FALSE)</f>
        <v xml:space="preserve"> </v>
      </c>
      <c r="BS18" s="103" t="str">
        <f t="shared" ref="BS18:BS23" si="98">VLOOKUP($I18,ctar0830,20,FALSE)</f>
        <v xml:space="preserve"> </v>
      </c>
      <c r="BT18" s="103" t="str">
        <f t="shared" ref="BT18:BT23" si="99">VLOOKUP($I18,ctar0910,20,FALSE)</f>
        <v>X</v>
      </c>
      <c r="BU18" s="103" t="str">
        <f t="shared" ref="BU18:BU23" si="100">VLOOKUP($I18,ctar0922,20,FALSE)</f>
        <v>X</v>
      </c>
      <c r="BV18" s="103" t="str">
        <f t="shared" ref="BV18:BV23" si="101">VLOOKUP($I18,ctar0923,20,FALSE)</f>
        <v>X</v>
      </c>
      <c r="BW18" s="103" t="str">
        <f t="shared" ref="BW18:BW23" si="102">VLOOKUP($I18,ctar0929,20,FALSE)</f>
        <v>X</v>
      </c>
      <c r="BX18" s="103"/>
      <c r="BY18" s="103"/>
      <c r="BZ18" s="103"/>
      <c r="CA18" s="112">
        <f t="shared" ref="CA18:CA24" si="103">IF(COUNTIF(BL18:BZ18,"x")=0," ",COUNTIF(BL18:BZ18,"x"))</f>
        <v>8</v>
      </c>
      <c r="CB18" s="123"/>
      <c r="CC18" s="101">
        <f t="shared" si="61"/>
        <v>6500</v>
      </c>
      <c r="CD18" s="133" t="str">
        <f t="shared" si="62"/>
        <v>CTARGAS</v>
      </c>
      <c r="CE18" s="103" t="str">
        <f t="shared" si="63"/>
        <v xml:space="preserve"> </v>
      </c>
      <c r="CF18" s="103" t="str">
        <f t="shared" si="64"/>
        <v xml:space="preserve"> </v>
      </c>
      <c r="CG18" s="103" t="str">
        <f t="shared" si="65"/>
        <v xml:space="preserve"> </v>
      </c>
      <c r="CH18" s="103" t="str">
        <f t="shared" si="66"/>
        <v xml:space="preserve"> </v>
      </c>
      <c r="CI18" s="103" t="str">
        <f t="shared" si="67"/>
        <v xml:space="preserve"> </v>
      </c>
      <c r="CJ18" s="103" t="str">
        <f t="shared" si="68"/>
        <v xml:space="preserve"> </v>
      </c>
      <c r="CK18" s="103" t="str">
        <f t="shared" si="69"/>
        <v xml:space="preserve"> </v>
      </c>
      <c r="CL18" s="103" t="str">
        <f t="shared" si="70"/>
        <v xml:space="preserve"> </v>
      </c>
      <c r="CM18" s="103" t="str">
        <f t="shared" si="71"/>
        <v xml:space="preserve"> </v>
      </c>
      <c r="CN18" s="103" t="str">
        <f t="shared" si="72"/>
        <v xml:space="preserve"> </v>
      </c>
      <c r="CO18" s="103" t="str">
        <f t="shared" si="73"/>
        <v xml:space="preserve"> </v>
      </c>
      <c r="CP18" s="103" t="str">
        <f t="shared" si="74"/>
        <v xml:space="preserve"> </v>
      </c>
      <c r="CQ18" s="103"/>
      <c r="CR18" s="103"/>
      <c r="CS18" s="103"/>
      <c r="CT18" s="112" t="str">
        <f t="shared" si="75"/>
        <v xml:space="preserve"> </v>
      </c>
      <c r="CU18" s="127"/>
      <c r="CV18" s="101">
        <f t="shared" si="76"/>
        <v>6500</v>
      </c>
      <c r="CW18" s="133" t="str">
        <f t="shared" si="77"/>
        <v>CTARGAS</v>
      </c>
      <c r="CX18" s="103">
        <f t="shared" si="79"/>
        <v>443251</v>
      </c>
      <c r="CY18" s="103">
        <f t="shared" si="80"/>
        <v>463737</v>
      </c>
      <c r="CZ18" s="103">
        <f t="shared" si="81"/>
        <v>433811</v>
      </c>
      <c r="DA18" s="103">
        <f t="shared" si="82"/>
        <v>337675</v>
      </c>
      <c r="DB18" s="103">
        <f t="shared" si="83"/>
        <v>428774</v>
      </c>
      <c r="DC18" s="103">
        <f t="shared" si="84"/>
        <v>441651</v>
      </c>
      <c r="DD18" s="103">
        <f t="shared" si="85"/>
        <v>506517</v>
      </c>
      <c r="DE18" s="103">
        <f t="shared" si="86"/>
        <v>484483</v>
      </c>
      <c r="DF18" s="103">
        <f t="shared" si="87"/>
        <v>461762</v>
      </c>
      <c r="DG18" s="103">
        <f t="shared" si="88"/>
        <v>515542</v>
      </c>
      <c r="DH18" s="103">
        <f t="shared" si="89"/>
        <v>468043</v>
      </c>
      <c r="DI18" s="103">
        <f t="shared" si="90"/>
        <v>441721</v>
      </c>
      <c r="DM18" s="224">
        <f t="shared" ref="DM18:DM74" si="104">AVERAGE(CX18:DL18)</f>
        <v>452247.25</v>
      </c>
    </row>
    <row r="19" spans="1:118" ht="15.75" x14ac:dyDescent="0.25">
      <c r="A19" s="136">
        <f t="shared" si="23"/>
        <v>10656</v>
      </c>
      <c r="B19" s="136" t="str">
        <f t="shared" si="24"/>
        <v>CTARGAS</v>
      </c>
      <c r="C19" s="42" t="str">
        <f t="shared" si="25"/>
        <v xml:space="preserve"> </v>
      </c>
      <c r="D19" s="39" t="str">
        <f t="shared" si="26"/>
        <v xml:space="preserve"> </v>
      </c>
      <c r="E19" s="25" t="str">
        <f t="shared" si="27"/>
        <v xml:space="preserve"> </v>
      </c>
      <c r="F19" s="25">
        <f t="shared" si="28"/>
        <v>2</v>
      </c>
      <c r="G19" s="145" t="str">
        <f t="shared" si="29"/>
        <v xml:space="preserve"> </v>
      </c>
      <c r="I19" s="101">
        <v>10656</v>
      </c>
      <c r="J19" s="133" t="s">
        <v>25</v>
      </c>
      <c r="K19" s="103" t="str">
        <f t="shared" si="0"/>
        <v xml:space="preserve"> </v>
      </c>
      <c r="L19" s="103">
        <f t="shared" si="1"/>
        <v>0</v>
      </c>
      <c r="M19" s="103">
        <f t="shared" si="2"/>
        <v>0</v>
      </c>
      <c r="N19" s="103">
        <f t="shared" si="3"/>
        <v>0</v>
      </c>
      <c r="O19" s="103">
        <f t="shared" si="4"/>
        <v>0</v>
      </c>
      <c r="P19" s="103">
        <f t="shared" si="5"/>
        <v>0</v>
      </c>
      <c r="Q19" s="103">
        <f t="shared" si="6"/>
        <v>0</v>
      </c>
      <c r="R19" s="103">
        <f t="shared" si="30"/>
        <v>0</v>
      </c>
      <c r="S19" s="103">
        <f t="shared" si="31"/>
        <v>0</v>
      </c>
      <c r="T19" s="103">
        <f t="shared" si="32"/>
        <v>0</v>
      </c>
      <c r="U19" s="103">
        <f t="shared" si="33"/>
        <v>0</v>
      </c>
      <c r="V19" s="103">
        <f t="shared" si="34"/>
        <v>0</v>
      </c>
      <c r="W19" s="103"/>
      <c r="X19" s="103"/>
      <c r="Y19" s="103"/>
      <c r="Z19" s="112" t="str">
        <f t="shared" si="7"/>
        <v xml:space="preserve"> </v>
      </c>
      <c r="AA19" s="123"/>
      <c r="AB19" s="103" t="str">
        <f t="shared" si="35"/>
        <v xml:space="preserve"> </v>
      </c>
      <c r="AC19" s="103" t="str">
        <f t="shared" si="36"/>
        <v xml:space="preserve"> </v>
      </c>
      <c r="AD19" s="103" t="str">
        <f t="shared" si="37"/>
        <v xml:space="preserve"> </v>
      </c>
      <c r="AE19" s="103" t="str">
        <f t="shared" si="38"/>
        <v xml:space="preserve"> </v>
      </c>
      <c r="AF19" s="103" t="str">
        <f t="shared" si="39"/>
        <v xml:space="preserve"> </v>
      </c>
      <c r="AG19" s="103" t="str">
        <f t="shared" si="40"/>
        <v xml:space="preserve"> </v>
      </c>
      <c r="AH19" s="103" t="str">
        <f t="shared" si="41"/>
        <v xml:space="preserve"> </v>
      </c>
      <c r="AI19" s="103" t="str">
        <f t="shared" si="42"/>
        <v xml:space="preserve"> </v>
      </c>
      <c r="AJ19" s="103" t="str">
        <f t="shared" si="43"/>
        <v xml:space="preserve"> </v>
      </c>
      <c r="AK19" s="103" t="str">
        <f t="shared" si="44"/>
        <v xml:space="preserve"> </v>
      </c>
      <c r="AL19" s="103" t="str">
        <f t="shared" si="45"/>
        <v xml:space="preserve"> </v>
      </c>
      <c r="AM19" s="103" t="str">
        <f t="shared" si="46"/>
        <v xml:space="preserve"> </v>
      </c>
      <c r="AN19" s="103"/>
      <c r="AO19" s="103"/>
      <c r="AP19" s="103"/>
      <c r="AQ19" s="112" t="str">
        <f t="shared" si="47"/>
        <v xml:space="preserve"> </v>
      </c>
      <c r="AR19" s="123"/>
      <c r="AS19" s="101">
        <f t="shared" si="8"/>
        <v>10656</v>
      </c>
      <c r="AT19" s="133" t="str">
        <f t="shared" si="9"/>
        <v>CTARGAS</v>
      </c>
      <c r="AU19" s="103" t="str">
        <f t="shared" si="48"/>
        <v xml:space="preserve"> </v>
      </c>
      <c r="AV19" s="103" t="str">
        <f t="shared" si="49"/>
        <v xml:space="preserve"> </v>
      </c>
      <c r="AW19" s="103" t="str">
        <f t="shared" si="50"/>
        <v xml:space="preserve"> </v>
      </c>
      <c r="AX19" s="103" t="str">
        <f t="shared" si="51"/>
        <v xml:space="preserve"> </v>
      </c>
      <c r="AY19" s="103" t="str">
        <f t="shared" si="52"/>
        <v xml:space="preserve"> </v>
      </c>
      <c r="AZ19" s="103" t="str">
        <f t="shared" si="53"/>
        <v xml:space="preserve"> </v>
      </c>
      <c r="BA19" s="103" t="str">
        <f t="shared" si="54"/>
        <v xml:space="preserve"> </v>
      </c>
      <c r="BB19" s="103" t="str">
        <f t="shared" si="55"/>
        <v xml:space="preserve"> </v>
      </c>
      <c r="BC19" s="103" t="str">
        <f t="shared" si="56"/>
        <v xml:space="preserve"> </v>
      </c>
      <c r="BD19" s="103" t="str">
        <f t="shared" si="57"/>
        <v xml:space="preserve"> </v>
      </c>
      <c r="BE19" s="103" t="str">
        <f t="shared" si="58"/>
        <v xml:space="preserve"> </v>
      </c>
      <c r="BF19" s="103" t="str">
        <f t="shared" si="59"/>
        <v xml:space="preserve"> </v>
      </c>
      <c r="BG19" s="103"/>
      <c r="BH19" s="103"/>
      <c r="BI19" s="103"/>
      <c r="BJ19" s="112" t="str">
        <f t="shared" si="60"/>
        <v xml:space="preserve"> </v>
      </c>
      <c r="BK19" s="123"/>
      <c r="BL19" s="103" t="str">
        <f t="shared" si="91"/>
        <v xml:space="preserve"> </v>
      </c>
      <c r="BM19" s="103" t="str">
        <f t="shared" si="92"/>
        <v xml:space="preserve"> </v>
      </c>
      <c r="BN19" s="103" t="str">
        <f t="shared" si="93"/>
        <v xml:space="preserve"> </v>
      </c>
      <c r="BO19" s="103" t="str">
        <f t="shared" si="94"/>
        <v xml:space="preserve"> </v>
      </c>
      <c r="BP19" s="103" t="str">
        <f t="shared" si="95"/>
        <v xml:space="preserve"> </v>
      </c>
      <c r="BQ19" s="103" t="str">
        <f t="shared" si="96"/>
        <v xml:space="preserve"> </v>
      </c>
      <c r="BR19" s="103" t="str">
        <f t="shared" si="97"/>
        <v xml:space="preserve"> </v>
      </c>
      <c r="BS19" s="103" t="str">
        <f t="shared" si="98"/>
        <v xml:space="preserve"> </v>
      </c>
      <c r="BT19" s="103" t="str">
        <f t="shared" si="99"/>
        <v xml:space="preserve"> </v>
      </c>
      <c r="BU19" s="103" t="str">
        <f t="shared" si="100"/>
        <v xml:space="preserve"> </v>
      </c>
      <c r="BV19" s="103" t="str">
        <f t="shared" si="101"/>
        <v xml:space="preserve"> </v>
      </c>
      <c r="BW19" s="103" t="str">
        <f t="shared" si="102"/>
        <v xml:space="preserve"> </v>
      </c>
      <c r="BX19" s="103"/>
      <c r="BY19" s="103"/>
      <c r="BZ19" s="103"/>
      <c r="CA19" s="112" t="str">
        <f t="shared" si="103"/>
        <v xml:space="preserve"> </v>
      </c>
      <c r="CB19" s="123"/>
      <c r="CC19" s="101">
        <f t="shared" si="61"/>
        <v>10656</v>
      </c>
      <c r="CD19" s="133" t="str">
        <f t="shared" si="62"/>
        <v>CTARGAS</v>
      </c>
      <c r="CE19" s="103" t="str">
        <f t="shared" si="63"/>
        <v xml:space="preserve"> </v>
      </c>
      <c r="CF19" s="103" t="str">
        <f t="shared" si="64"/>
        <v xml:space="preserve"> </v>
      </c>
      <c r="CG19" s="103" t="str">
        <f t="shared" si="65"/>
        <v xml:space="preserve"> </v>
      </c>
      <c r="CH19" s="103" t="str">
        <f t="shared" si="66"/>
        <v xml:space="preserve"> </v>
      </c>
      <c r="CI19" s="103" t="str">
        <f t="shared" si="67"/>
        <v xml:space="preserve"> </v>
      </c>
      <c r="CJ19" s="103" t="str">
        <f t="shared" si="68"/>
        <v xml:space="preserve"> </v>
      </c>
      <c r="CK19" s="103" t="str">
        <f t="shared" si="69"/>
        <v xml:space="preserve"> </v>
      </c>
      <c r="CL19" s="103" t="str">
        <f t="shared" si="70"/>
        <v xml:space="preserve"> </v>
      </c>
      <c r="CM19" s="103" t="str">
        <f t="shared" si="71"/>
        <v>X</v>
      </c>
      <c r="CN19" s="103" t="str">
        <f t="shared" si="72"/>
        <v xml:space="preserve"> </v>
      </c>
      <c r="CO19" s="103" t="str">
        <f t="shared" si="73"/>
        <v xml:space="preserve"> </v>
      </c>
      <c r="CP19" s="103" t="str">
        <f t="shared" si="74"/>
        <v>X</v>
      </c>
      <c r="CQ19" s="103"/>
      <c r="CR19" s="103"/>
      <c r="CS19" s="103"/>
      <c r="CT19" s="112">
        <f t="shared" si="75"/>
        <v>2</v>
      </c>
      <c r="CU19" s="127"/>
      <c r="CV19" s="101">
        <f t="shared" si="76"/>
        <v>10656</v>
      </c>
      <c r="CW19" s="133" t="str">
        <f t="shared" si="77"/>
        <v>CTARGAS</v>
      </c>
      <c r="CX19" s="103">
        <f t="shared" si="79"/>
        <v>262</v>
      </c>
      <c r="CY19" s="103">
        <f t="shared" si="80"/>
        <v>229</v>
      </c>
      <c r="CZ19" s="103">
        <f t="shared" si="81"/>
        <v>214</v>
      </c>
      <c r="DA19" s="103">
        <f t="shared" si="82"/>
        <v>155</v>
      </c>
      <c r="DB19" s="103">
        <f t="shared" si="83"/>
        <v>198</v>
      </c>
      <c r="DC19" s="103">
        <f t="shared" si="84"/>
        <v>203</v>
      </c>
      <c r="DD19" s="103">
        <f t="shared" si="85"/>
        <v>231</v>
      </c>
      <c r="DE19" s="103">
        <f t="shared" si="86"/>
        <v>218</v>
      </c>
      <c r="DF19" s="103">
        <f t="shared" si="87"/>
        <v>207</v>
      </c>
      <c r="DG19" s="103">
        <f t="shared" si="88"/>
        <v>229</v>
      </c>
      <c r="DH19" s="103">
        <f t="shared" si="89"/>
        <v>209</v>
      </c>
      <c r="DI19" s="103">
        <f t="shared" si="90"/>
        <v>198</v>
      </c>
      <c r="DM19" s="224">
        <f t="shared" si="104"/>
        <v>212.75</v>
      </c>
    </row>
    <row r="20" spans="1:118" ht="15.75" x14ac:dyDescent="0.25">
      <c r="A20" s="136">
        <f t="shared" si="23"/>
        <v>12296</v>
      </c>
      <c r="B20" s="136" t="str">
        <f t="shared" si="24"/>
        <v>CTARGAS</v>
      </c>
      <c r="C20" s="42">
        <f t="shared" si="25"/>
        <v>1</v>
      </c>
      <c r="D20" s="39">
        <f t="shared" si="26"/>
        <v>1</v>
      </c>
      <c r="E20" s="25">
        <f t="shared" si="27"/>
        <v>1</v>
      </c>
      <c r="F20" s="25">
        <f t="shared" si="28"/>
        <v>1</v>
      </c>
      <c r="G20" s="145" t="str">
        <f t="shared" si="29"/>
        <v xml:space="preserve"> </v>
      </c>
      <c r="I20" s="101">
        <v>12296</v>
      </c>
      <c r="J20" s="133" t="s">
        <v>25</v>
      </c>
      <c r="K20" s="103" t="str">
        <f t="shared" si="0"/>
        <v xml:space="preserve"> </v>
      </c>
      <c r="L20" s="103" t="str">
        <f t="shared" si="1"/>
        <v xml:space="preserve"> </v>
      </c>
      <c r="M20" s="103">
        <f t="shared" si="2"/>
        <v>0</v>
      </c>
      <c r="N20" s="103">
        <f t="shared" si="3"/>
        <v>0</v>
      </c>
      <c r="O20" s="103">
        <f t="shared" si="4"/>
        <v>0</v>
      </c>
      <c r="P20" s="103">
        <f t="shared" si="5"/>
        <v>0</v>
      </c>
      <c r="Q20" s="103">
        <f t="shared" si="6"/>
        <v>0</v>
      </c>
      <c r="R20" s="103">
        <f t="shared" si="30"/>
        <v>0</v>
      </c>
      <c r="S20" s="103">
        <f t="shared" si="31"/>
        <v>0</v>
      </c>
      <c r="T20" s="103">
        <f t="shared" si="32"/>
        <v>0</v>
      </c>
      <c r="U20" s="103">
        <f t="shared" si="33"/>
        <v>0</v>
      </c>
      <c r="V20" s="103" t="str">
        <f t="shared" si="34"/>
        <v>X</v>
      </c>
      <c r="W20" s="103"/>
      <c r="X20" s="103"/>
      <c r="Y20" s="103"/>
      <c r="Z20" s="112">
        <f t="shared" si="7"/>
        <v>1</v>
      </c>
      <c r="AA20" s="123"/>
      <c r="AB20" s="103" t="str">
        <f t="shared" si="35"/>
        <v xml:space="preserve"> </v>
      </c>
      <c r="AC20" s="103" t="str">
        <f t="shared" si="36"/>
        <v xml:space="preserve"> </v>
      </c>
      <c r="AD20" s="103" t="str">
        <f t="shared" si="37"/>
        <v xml:space="preserve"> </v>
      </c>
      <c r="AE20" s="103" t="str">
        <f t="shared" si="38"/>
        <v xml:space="preserve"> </v>
      </c>
      <c r="AF20" s="103" t="str">
        <f t="shared" si="39"/>
        <v xml:space="preserve"> </v>
      </c>
      <c r="AG20" s="103" t="str">
        <f t="shared" si="40"/>
        <v xml:space="preserve"> </v>
      </c>
      <c r="AH20" s="103" t="str">
        <f t="shared" si="41"/>
        <v xml:space="preserve"> </v>
      </c>
      <c r="AI20" s="103" t="str">
        <f t="shared" si="42"/>
        <v xml:space="preserve"> </v>
      </c>
      <c r="AJ20" s="103" t="str">
        <f t="shared" si="43"/>
        <v xml:space="preserve"> </v>
      </c>
      <c r="AK20" s="103" t="str">
        <f t="shared" si="44"/>
        <v xml:space="preserve"> </v>
      </c>
      <c r="AL20" s="103" t="str">
        <f t="shared" si="45"/>
        <v xml:space="preserve"> </v>
      </c>
      <c r="AM20" s="103" t="str">
        <f t="shared" si="46"/>
        <v>X</v>
      </c>
      <c r="AN20" s="103"/>
      <c r="AO20" s="103"/>
      <c r="AP20" s="103"/>
      <c r="AQ20" s="112">
        <f t="shared" si="47"/>
        <v>1</v>
      </c>
      <c r="AR20" s="123"/>
      <c r="AS20" s="101">
        <f t="shared" si="8"/>
        <v>12296</v>
      </c>
      <c r="AT20" s="133" t="str">
        <f t="shared" si="9"/>
        <v>CTARGAS</v>
      </c>
      <c r="AU20" s="103" t="str">
        <f t="shared" si="48"/>
        <v xml:space="preserve"> </v>
      </c>
      <c r="AV20" s="103" t="str">
        <f t="shared" si="49"/>
        <v xml:space="preserve"> </v>
      </c>
      <c r="AW20" s="103" t="str">
        <f t="shared" si="50"/>
        <v xml:space="preserve"> </v>
      </c>
      <c r="AX20" s="103" t="str">
        <f t="shared" si="51"/>
        <v xml:space="preserve"> </v>
      </c>
      <c r="AY20" s="103" t="str">
        <f t="shared" si="52"/>
        <v xml:space="preserve"> </v>
      </c>
      <c r="AZ20" s="103" t="str">
        <f t="shared" si="53"/>
        <v xml:space="preserve"> </v>
      </c>
      <c r="BA20" s="103" t="str">
        <f t="shared" si="54"/>
        <v xml:space="preserve"> </v>
      </c>
      <c r="BB20" s="103" t="str">
        <f t="shared" si="55"/>
        <v xml:space="preserve"> </v>
      </c>
      <c r="BC20" s="103" t="str">
        <f t="shared" si="56"/>
        <v xml:space="preserve"> </v>
      </c>
      <c r="BD20" s="103" t="str">
        <f t="shared" si="57"/>
        <v xml:space="preserve"> </v>
      </c>
      <c r="BE20" s="103" t="str">
        <f t="shared" si="58"/>
        <v xml:space="preserve"> </v>
      </c>
      <c r="BF20" s="103" t="str">
        <f t="shared" si="59"/>
        <v xml:space="preserve"> </v>
      </c>
      <c r="BG20" s="103"/>
      <c r="BH20" s="103"/>
      <c r="BI20" s="103"/>
      <c r="BJ20" s="112" t="str">
        <f t="shared" si="60"/>
        <v xml:space="preserve"> </v>
      </c>
      <c r="BK20" s="123"/>
      <c r="BL20" s="103" t="str">
        <f t="shared" si="91"/>
        <v xml:space="preserve"> </v>
      </c>
      <c r="BM20" s="103" t="str">
        <f t="shared" si="92"/>
        <v xml:space="preserve"> </v>
      </c>
      <c r="BN20" s="103" t="str">
        <f t="shared" si="93"/>
        <v xml:space="preserve"> </v>
      </c>
      <c r="BO20" s="103" t="str">
        <f t="shared" si="94"/>
        <v xml:space="preserve"> </v>
      </c>
      <c r="BP20" s="103" t="str">
        <f t="shared" si="95"/>
        <v xml:space="preserve"> </v>
      </c>
      <c r="BQ20" s="103" t="str">
        <f t="shared" si="96"/>
        <v xml:space="preserve"> </v>
      </c>
      <c r="BR20" s="103" t="str">
        <f t="shared" si="97"/>
        <v xml:space="preserve"> </v>
      </c>
      <c r="BS20" s="103" t="str">
        <f t="shared" si="98"/>
        <v xml:space="preserve"> </v>
      </c>
      <c r="BT20" s="103" t="str">
        <f t="shared" si="99"/>
        <v xml:space="preserve"> </v>
      </c>
      <c r="BU20" s="103" t="str">
        <f t="shared" si="100"/>
        <v xml:space="preserve"> </v>
      </c>
      <c r="BV20" s="103" t="str">
        <f t="shared" si="101"/>
        <v xml:space="preserve"> </v>
      </c>
      <c r="BW20" s="103" t="str">
        <f t="shared" si="102"/>
        <v>X</v>
      </c>
      <c r="BX20" s="103"/>
      <c r="BY20" s="103"/>
      <c r="BZ20" s="103"/>
      <c r="CA20" s="112">
        <f t="shared" si="103"/>
        <v>1</v>
      </c>
      <c r="CB20" s="123"/>
      <c r="CC20" s="101">
        <f t="shared" si="61"/>
        <v>12296</v>
      </c>
      <c r="CD20" s="133" t="str">
        <f t="shared" si="62"/>
        <v>CTARGAS</v>
      </c>
      <c r="CE20" s="103" t="str">
        <f t="shared" si="63"/>
        <v xml:space="preserve"> </v>
      </c>
      <c r="CF20" s="103" t="str">
        <f t="shared" si="64"/>
        <v xml:space="preserve"> </v>
      </c>
      <c r="CG20" s="103" t="str">
        <f t="shared" si="65"/>
        <v xml:space="preserve"> </v>
      </c>
      <c r="CH20" s="103" t="str">
        <f t="shared" si="66"/>
        <v xml:space="preserve"> </v>
      </c>
      <c r="CI20" s="103" t="str">
        <f t="shared" si="67"/>
        <v xml:space="preserve"> </v>
      </c>
      <c r="CJ20" s="103" t="str">
        <f t="shared" si="68"/>
        <v xml:space="preserve"> </v>
      </c>
      <c r="CK20" s="103" t="str">
        <f t="shared" si="69"/>
        <v xml:space="preserve"> </v>
      </c>
      <c r="CL20" s="103" t="str">
        <f t="shared" si="70"/>
        <v xml:space="preserve"> </v>
      </c>
      <c r="CM20" s="103" t="str">
        <f t="shared" si="71"/>
        <v xml:space="preserve"> </v>
      </c>
      <c r="CN20" s="103" t="str">
        <f t="shared" si="72"/>
        <v xml:space="preserve"> </v>
      </c>
      <c r="CO20" s="103" t="str">
        <f t="shared" si="73"/>
        <v xml:space="preserve"> </v>
      </c>
      <c r="CP20" s="103" t="str">
        <f t="shared" si="74"/>
        <v>X</v>
      </c>
      <c r="CQ20" s="103"/>
      <c r="CR20" s="103"/>
      <c r="CS20" s="103"/>
      <c r="CT20" s="112">
        <f t="shared" si="75"/>
        <v>1</v>
      </c>
      <c r="CU20" s="127"/>
      <c r="CV20" s="101">
        <f t="shared" si="76"/>
        <v>12296</v>
      </c>
      <c r="CW20" s="133" t="str">
        <f t="shared" si="77"/>
        <v>CTARGAS</v>
      </c>
      <c r="CX20" s="103">
        <f t="shared" si="79"/>
        <v>2712</v>
      </c>
      <c r="CY20" s="103">
        <f t="shared" si="80"/>
        <v>2944</v>
      </c>
      <c r="CZ20" s="103">
        <f t="shared" si="81"/>
        <v>2772</v>
      </c>
      <c r="DA20" s="103">
        <f t="shared" si="82"/>
        <v>2297</v>
      </c>
      <c r="DB20" s="103">
        <f t="shared" si="83"/>
        <v>2915</v>
      </c>
      <c r="DC20" s="103">
        <f t="shared" si="84"/>
        <v>3005</v>
      </c>
      <c r="DD20" s="103">
        <f t="shared" si="85"/>
        <v>3456</v>
      </c>
      <c r="DE20" s="103">
        <f t="shared" si="86"/>
        <v>3263</v>
      </c>
      <c r="DF20" s="103">
        <f t="shared" si="87"/>
        <v>3184</v>
      </c>
      <c r="DG20" s="103">
        <f t="shared" si="88"/>
        <v>3516</v>
      </c>
      <c r="DH20" s="103">
        <f t="shared" si="89"/>
        <v>3226</v>
      </c>
      <c r="DI20" s="103">
        <f t="shared" si="90"/>
        <v>3046</v>
      </c>
      <c r="DM20" s="224">
        <f t="shared" si="104"/>
        <v>3028</v>
      </c>
    </row>
    <row r="21" spans="1:118" ht="15.75" x14ac:dyDescent="0.25">
      <c r="A21" s="136">
        <f t="shared" si="23"/>
        <v>16786</v>
      </c>
      <c r="B21" s="136" t="str">
        <f t="shared" si="24"/>
        <v>CTARGAS</v>
      </c>
      <c r="C21" s="42" t="str">
        <f t="shared" si="25"/>
        <v xml:space="preserve"> </v>
      </c>
      <c r="D21" s="39">
        <f t="shared" si="26"/>
        <v>1</v>
      </c>
      <c r="E21" s="25">
        <f t="shared" si="27"/>
        <v>1</v>
      </c>
      <c r="F21" s="25">
        <f t="shared" si="28"/>
        <v>4</v>
      </c>
      <c r="G21" s="145" t="str">
        <f t="shared" si="29"/>
        <v xml:space="preserve"> </v>
      </c>
      <c r="I21" s="101">
        <v>16786</v>
      </c>
      <c r="J21" s="133" t="s">
        <v>25</v>
      </c>
      <c r="K21" s="103" t="str">
        <f t="shared" si="0"/>
        <v xml:space="preserve"> </v>
      </c>
      <c r="L21" s="103" t="str">
        <f t="shared" si="1"/>
        <v xml:space="preserve"> </v>
      </c>
      <c r="M21" s="103" t="str">
        <f t="shared" si="2"/>
        <v xml:space="preserve"> </v>
      </c>
      <c r="N21" s="103" t="str">
        <f t="shared" si="3"/>
        <v xml:space="preserve"> </v>
      </c>
      <c r="O21" s="103" t="str">
        <f t="shared" si="4"/>
        <v xml:space="preserve"> </v>
      </c>
      <c r="P21" s="103" t="str">
        <f t="shared" si="5"/>
        <v xml:space="preserve"> </v>
      </c>
      <c r="Q21" s="103" t="str">
        <f t="shared" si="6"/>
        <v xml:space="preserve"> </v>
      </c>
      <c r="R21" s="103" t="str">
        <f t="shared" si="30"/>
        <v xml:space="preserve"> </v>
      </c>
      <c r="S21" s="103" t="str">
        <f t="shared" si="31"/>
        <v xml:space="preserve"> </v>
      </c>
      <c r="T21" s="103" t="str">
        <f t="shared" si="32"/>
        <v xml:space="preserve"> </v>
      </c>
      <c r="U21" s="103" t="str">
        <f t="shared" si="33"/>
        <v xml:space="preserve"> </v>
      </c>
      <c r="V21" s="103" t="str">
        <f t="shared" si="34"/>
        <v xml:space="preserve"> </v>
      </c>
      <c r="W21" s="103"/>
      <c r="X21" s="103"/>
      <c r="Y21" s="103"/>
      <c r="Z21" s="112" t="str">
        <f t="shared" si="7"/>
        <v xml:space="preserve"> </v>
      </c>
      <c r="AA21" s="123"/>
      <c r="AB21" s="103" t="str">
        <f t="shared" si="35"/>
        <v xml:space="preserve"> </v>
      </c>
      <c r="AC21" s="103" t="str">
        <f t="shared" si="36"/>
        <v xml:space="preserve"> </v>
      </c>
      <c r="AD21" s="103" t="str">
        <f t="shared" si="37"/>
        <v xml:space="preserve"> </v>
      </c>
      <c r="AE21" s="103" t="str">
        <f t="shared" si="38"/>
        <v xml:space="preserve"> </v>
      </c>
      <c r="AF21" s="103" t="str">
        <f t="shared" si="39"/>
        <v xml:space="preserve"> </v>
      </c>
      <c r="AG21" s="103" t="str">
        <f t="shared" si="40"/>
        <v>X</v>
      </c>
      <c r="AH21" s="103" t="str">
        <f t="shared" si="41"/>
        <v xml:space="preserve"> </v>
      </c>
      <c r="AI21" s="103" t="str">
        <f t="shared" si="42"/>
        <v xml:space="preserve"> </v>
      </c>
      <c r="AJ21" s="103" t="str">
        <f t="shared" si="43"/>
        <v xml:space="preserve"> </v>
      </c>
      <c r="AK21" s="103" t="str">
        <f t="shared" si="44"/>
        <v xml:space="preserve"> </v>
      </c>
      <c r="AL21" s="103" t="str">
        <f t="shared" si="45"/>
        <v xml:space="preserve"> </v>
      </c>
      <c r="AM21" s="103" t="str">
        <f t="shared" si="46"/>
        <v xml:space="preserve"> </v>
      </c>
      <c r="AN21" s="103"/>
      <c r="AO21" s="103"/>
      <c r="AP21" s="103"/>
      <c r="AQ21" s="112">
        <f t="shared" si="47"/>
        <v>1</v>
      </c>
      <c r="AR21" s="123"/>
      <c r="AS21" s="101">
        <f t="shared" si="8"/>
        <v>16786</v>
      </c>
      <c r="AT21" s="133" t="str">
        <f t="shared" si="9"/>
        <v>CTARGAS</v>
      </c>
      <c r="AU21" s="103" t="str">
        <f t="shared" si="48"/>
        <v xml:space="preserve"> </v>
      </c>
      <c r="AV21" s="103" t="str">
        <f t="shared" si="49"/>
        <v xml:space="preserve"> </v>
      </c>
      <c r="AW21" s="103" t="str">
        <f t="shared" si="50"/>
        <v xml:space="preserve"> </v>
      </c>
      <c r="AX21" s="103" t="str">
        <f t="shared" si="51"/>
        <v xml:space="preserve"> </v>
      </c>
      <c r="AY21" s="103" t="str">
        <f t="shared" si="52"/>
        <v xml:space="preserve"> </v>
      </c>
      <c r="AZ21" s="103" t="str">
        <f t="shared" si="53"/>
        <v xml:space="preserve"> </v>
      </c>
      <c r="BA21" s="103" t="str">
        <f t="shared" si="54"/>
        <v xml:space="preserve"> </v>
      </c>
      <c r="BB21" s="103" t="str">
        <f t="shared" si="55"/>
        <v xml:space="preserve"> </v>
      </c>
      <c r="BC21" s="103" t="str">
        <f t="shared" si="56"/>
        <v xml:space="preserve"> </v>
      </c>
      <c r="BD21" s="103" t="str">
        <f t="shared" si="57"/>
        <v xml:space="preserve"> </v>
      </c>
      <c r="BE21" s="103" t="str">
        <f t="shared" si="58"/>
        <v xml:space="preserve"> </v>
      </c>
      <c r="BF21" s="103" t="str">
        <f t="shared" si="59"/>
        <v xml:space="preserve"> </v>
      </c>
      <c r="BG21" s="103"/>
      <c r="BH21" s="103"/>
      <c r="BI21" s="103"/>
      <c r="BJ21" s="112" t="str">
        <f t="shared" si="60"/>
        <v xml:space="preserve"> </v>
      </c>
      <c r="BK21" s="123"/>
      <c r="BL21" s="103" t="str">
        <f t="shared" si="91"/>
        <v xml:space="preserve"> </v>
      </c>
      <c r="BM21" s="103" t="str">
        <f t="shared" si="92"/>
        <v xml:space="preserve"> </v>
      </c>
      <c r="BN21" s="103" t="str">
        <f t="shared" si="93"/>
        <v xml:space="preserve"> </v>
      </c>
      <c r="BO21" s="103" t="str">
        <f t="shared" si="94"/>
        <v xml:space="preserve"> </v>
      </c>
      <c r="BP21" s="103" t="str">
        <f t="shared" si="95"/>
        <v xml:space="preserve"> </v>
      </c>
      <c r="BQ21" s="103" t="str">
        <f t="shared" si="96"/>
        <v>X</v>
      </c>
      <c r="BR21" s="103" t="str">
        <f t="shared" si="97"/>
        <v xml:space="preserve"> </v>
      </c>
      <c r="BS21" s="103" t="str">
        <f t="shared" si="98"/>
        <v xml:space="preserve"> </v>
      </c>
      <c r="BT21" s="103" t="str">
        <f t="shared" si="99"/>
        <v xml:space="preserve"> </v>
      </c>
      <c r="BU21" s="103" t="str">
        <f t="shared" si="100"/>
        <v xml:space="preserve"> </v>
      </c>
      <c r="BV21" s="103" t="str">
        <f t="shared" si="101"/>
        <v xml:space="preserve"> </v>
      </c>
      <c r="BW21" s="103" t="str">
        <f t="shared" si="102"/>
        <v xml:space="preserve"> </v>
      </c>
      <c r="BX21" s="103"/>
      <c r="BY21" s="103"/>
      <c r="BZ21" s="103"/>
      <c r="CA21" s="112">
        <f t="shared" si="103"/>
        <v>1</v>
      </c>
      <c r="CB21" s="123"/>
      <c r="CC21" s="101">
        <f t="shared" si="61"/>
        <v>16786</v>
      </c>
      <c r="CD21" s="133" t="str">
        <f t="shared" si="62"/>
        <v>CTARGAS</v>
      </c>
      <c r="CE21" s="103" t="str">
        <f t="shared" si="63"/>
        <v xml:space="preserve"> </v>
      </c>
      <c r="CF21" s="103" t="str">
        <f t="shared" si="64"/>
        <v xml:space="preserve"> </v>
      </c>
      <c r="CG21" s="103" t="str">
        <f t="shared" si="65"/>
        <v xml:space="preserve"> </v>
      </c>
      <c r="CH21" s="103" t="str">
        <f t="shared" si="66"/>
        <v xml:space="preserve"> </v>
      </c>
      <c r="CI21" s="103" t="str">
        <f t="shared" si="67"/>
        <v>X</v>
      </c>
      <c r="CJ21" s="103" t="str">
        <f t="shared" si="68"/>
        <v>X</v>
      </c>
      <c r="CK21" s="103" t="str">
        <f t="shared" si="69"/>
        <v xml:space="preserve"> </v>
      </c>
      <c r="CL21" s="103" t="str">
        <f t="shared" si="70"/>
        <v xml:space="preserve"> </v>
      </c>
      <c r="CM21" s="103" t="str">
        <f t="shared" si="71"/>
        <v>X</v>
      </c>
      <c r="CN21" s="103" t="str">
        <f t="shared" si="72"/>
        <v xml:space="preserve"> </v>
      </c>
      <c r="CO21" s="103" t="str">
        <f t="shared" si="73"/>
        <v xml:space="preserve"> </v>
      </c>
      <c r="CP21" s="103" t="str">
        <f t="shared" si="74"/>
        <v>X</v>
      </c>
      <c r="CQ21" s="103"/>
      <c r="CR21" s="103"/>
      <c r="CS21" s="103"/>
      <c r="CT21" s="112">
        <f t="shared" si="75"/>
        <v>4</v>
      </c>
      <c r="CU21" s="127"/>
      <c r="CV21" s="101">
        <f t="shared" si="76"/>
        <v>16786</v>
      </c>
      <c r="CW21" s="133" t="str">
        <f t="shared" si="77"/>
        <v>CTARGAS</v>
      </c>
      <c r="CX21" s="103">
        <f t="shared" si="79"/>
        <v>3490</v>
      </c>
      <c r="CY21" s="103">
        <f t="shared" si="80"/>
        <v>3665</v>
      </c>
      <c r="CZ21" s="103">
        <f t="shared" si="81"/>
        <v>3445</v>
      </c>
      <c r="DA21" s="103">
        <f t="shared" si="82"/>
        <v>2761</v>
      </c>
      <c r="DB21" s="103">
        <f t="shared" si="83"/>
        <v>3503</v>
      </c>
      <c r="DC21" s="103">
        <f t="shared" si="84"/>
        <v>3611</v>
      </c>
      <c r="DD21" s="103">
        <f t="shared" si="85"/>
        <v>3995</v>
      </c>
      <c r="DE21" s="103">
        <f t="shared" si="86"/>
        <v>3793</v>
      </c>
      <c r="DF21" s="103">
        <f t="shared" si="87"/>
        <v>3368</v>
      </c>
      <c r="DG21" s="103">
        <f t="shared" si="88"/>
        <v>3736</v>
      </c>
      <c r="DH21" s="103">
        <f t="shared" si="89"/>
        <v>3414</v>
      </c>
      <c r="DI21" s="103">
        <f t="shared" si="90"/>
        <v>3223</v>
      </c>
      <c r="DM21" s="224">
        <f t="shared" si="104"/>
        <v>3500.3333333333335</v>
      </c>
    </row>
    <row r="22" spans="1:118" ht="15.75" x14ac:dyDescent="0.25">
      <c r="A22" s="136">
        <f t="shared" si="23"/>
        <v>17791</v>
      </c>
      <c r="B22" s="136" t="str">
        <f t="shared" si="24"/>
        <v>CTARGAS</v>
      </c>
      <c r="C22" s="42" t="str">
        <f t="shared" si="25"/>
        <v xml:space="preserve"> </v>
      </c>
      <c r="D22" s="39" t="str">
        <f t="shared" si="26"/>
        <v xml:space="preserve"> </v>
      </c>
      <c r="E22" s="25" t="str">
        <f t="shared" si="27"/>
        <v xml:space="preserve"> </v>
      </c>
      <c r="F22" s="25">
        <f t="shared" si="28"/>
        <v>5</v>
      </c>
      <c r="G22" s="145" t="str">
        <f t="shared" si="29"/>
        <v xml:space="preserve"> </v>
      </c>
      <c r="I22" s="101">
        <v>17791</v>
      </c>
      <c r="J22" s="133" t="s">
        <v>25</v>
      </c>
      <c r="K22" s="103" t="str">
        <f t="shared" si="0"/>
        <v xml:space="preserve"> </v>
      </c>
      <c r="L22" s="103" t="str">
        <f t="shared" si="1"/>
        <v xml:space="preserve"> </v>
      </c>
      <c r="M22" s="103" t="str">
        <f t="shared" si="2"/>
        <v xml:space="preserve"> </v>
      </c>
      <c r="N22" s="103" t="str">
        <f t="shared" si="3"/>
        <v xml:space="preserve"> </v>
      </c>
      <c r="O22" s="103" t="str">
        <f t="shared" si="4"/>
        <v xml:space="preserve"> </v>
      </c>
      <c r="P22" s="103" t="str">
        <f t="shared" si="5"/>
        <v xml:space="preserve"> </v>
      </c>
      <c r="Q22" s="103" t="str">
        <f t="shared" si="6"/>
        <v xml:space="preserve"> </v>
      </c>
      <c r="R22" s="103" t="str">
        <f t="shared" si="30"/>
        <v xml:space="preserve"> </v>
      </c>
      <c r="S22" s="103" t="str">
        <f t="shared" si="31"/>
        <v xml:space="preserve"> </v>
      </c>
      <c r="T22" s="103" t="str">
        <f t="shared" si="32"/>
        <v xml:space="preserve"> </v>
      </c>
      <c r="U22" s="103" t="str">
        <f t="shared" si="33"/>
        <v xml:space="preserve"> </v>
      </c>
      <c r="V22" s="103" t="str">
        <f t="shared" si="34"/>
        <v xml:space="preserve"> </v>
      </c>
      <c r="W22" s="103"/>
      <c r="X22" s="103"/>
      <c r="Y22" s="103"/>
      <c r="Z22" s="112" t="str">
        <f t="shared" si="7"/>
        <v xml:space="preserve"> </v>
      </c>
      <c r="AA22" s="123"/>
      <c r="AB22" s="103" t="str">
        <f t="shared" si="35"/>
        <v xml:space="preserve"> </v>
      </c>
      <c r="AC22" s="103" t="str">
        <f t="shared" si="36"/>
        <v xml:space="preserve"> </v>
      </c>
      <c r="AD22" s="103" t="str">
        <f t="shared" si="37"/>
        <v xml:space="preserve"> </v>
      </c>
      <c r="AE22" s="103" t="str">
        <f t="shared" si="38"/>
        <v xml:space="preserve"> </v>
      </c>
      <c r="AF22" s="103" t="str">
        <f t="shared" si="39"/>
        <v xml:space="preserve"> </v>
      </c>
      <c r="AG22" s="103" t="str">
        <f t="shared" si="40"/>
        <v xml:space="preserve"> </v>
      </c>
      <c r="AH22" s="103" t="str">
        <f t="shared" si="41"/>
        <v xml:space="preserve"> </v>
      </c>
      <c r="AI22" s="103" t="str">
        <f t="shared" si="42"/>
        <v xml:space="preserve"> </v>
      </c>
      <c r="AJ22" s="103" t="str">
        <f t="shared" si="43"/>
        <v xml:space="preserve"> </v>
      </c>
      <c r="AK22" s="103" t="str">
        <f t="shared" si="44"/>
        <v xml:space="preserve"> </v>
      </c>
      <c r="AL22" s="103" t="str">
        <f t="shared" si="45"/>
        <v xml:space="preserve"> </v>
      </c>
      <c r="AM22" s="103" t="str">
        <f t="shared" si="46"/>
        <v xml:space="preserve"> </v>
      </c>
      <c r="AN22" s="103"/>
      <c r="AO22" s="103"/>
      <c r="AP22" s="103"/>
      <c r="AQ22" s="112" t="str">
        <f t="shared" si="47"/>
        <v xml:space="preserve"> </v>
      </c>
      <c r="AR22" s="123"/>
      <c r="AS22" s="101">
        <f t="shared" si="8"/>
        <v>17791</v>
      </c>
      <c r="AT22" s="133" t="str">
        <f t="shared" si="9"/>
        <v>CTARGAS</v>
      </c>
      <c r="AU22" s="103" t="str">
        <f t="shared" si="48"/>
        <v xml:space="preserve"> </v>
      </c>
      <c r="AV22" s="103" t="str">
        <f t="shared" si="49"/>
        <v xml:space="preserve"> </v>
      </c>
      <c r="AW22" s="103" t="str">
        <f t="shared" si="50"/>
        <v xml:space="preserve"> </v>
      </c>
      <c r="AX22" s="103" t="str">
        <f t="shared" si="51"/>
        <v xml:space="preserve"> </v>
      </c>
      <c r="AY22" s="103" t="str">
        <f t="shared" si="52"/>
        <v xml:space="preserve"> </v>
      </c>
      <c r="AZ22" s="103" t="str">
        <f t="shared" si="53"/>
        <v xml:space="preserve"> </v>
      </c>
      <c r="BA22" s="103" t="str">
        <f t="shared" si="54"/>
        <v xml:space="preserve"> </v>
      </c>
      <c r="BB22" s="103" t="str">
        <f t="shared" si="55"/>
        <v xml:space="preserve"> </v>
      </c>
      <c r="BC22" s="103" t="str">
        <f t="shared" si="56"/>
        <v xml:space="preserve"> </v>
      </c>
      <c r="BD22" s="103" t="str">
        <f t="shared" si="57"/>
        <v xml:space="preserve"> </v>
      </c>
      <c r="BE22" s="103" t="str">
        <f t="shared" si="58"/>
        <v xml:space="preserve"> </v>
      </c>
      <c r="BF22" s="103" t="str">
        <f t="shared" si="59"/>
        <v xml:space="preserve"> </v>
      </c>
      <c r="BG22" s="103"/>
      <c r="BH22" s="103"/>
      <c r="BI22" s="103"/>
      <c r="BJ22" s="112" t="str">
        <f t="shared" si="60"/>
        <v xml:space="preserve"> </v>
      </c>
      <c r="BK22" s="123"/>
      <c r="BL22" s="103" t="str">
        <f t="shared" si="91"/>
        <v xml:space="preserve"> </v>
      </c>
      <c r="BM22" s="103" t="str">
        <f t="shared" si="92"/>
        <v xml:space="preserve"> </v>
      </c>
      <c r="BN22" s="103" t="str">
        <f t="shared" si="93"/>
        <v xml:space="preserve"> </v>
      </c>
      <c r="BO22" s="103" t="str">
        <f t="shared" si="94"/>
        <v xml:space="preserve"> </v>
      </c>
      <c r="BP22" s="103" t="str">
        <f t="shared" si="95"/>
        <v xml:space="preserve"> </v>
      </c>
      <c r="BQ22" s="103" t="str">
        <f t="shared" si="96"/>
        <v xml:space="preserve"> </v>
      </c>
      <c r="BR22" s="103" t="str">
        <f t="shared" si="97"/>
        <v xml:space="preserve"> </v>
      </c>
      <c r="BS22" s="103" t="str">
        <f t="shared" si="98"/>
        <v xml:space="preserve"> </v>
      </c>
      <c r="BT22" s="103" t="str">
        <f t="shared" si="99"/>
        <v xml:space="preserve"> </v>
      </c>
      <c r="BU22" s="103" t="str">
        <f t="shared" si="100"/>
        <v xml:space="preserve"> </v>
      </c>
      <c r="BV22" s="103" t="str">
        <f t="shared" si="101"/>
        <v xml:space="preserve"> </v>
      </c>
      <c r="BW22" s="103" t="str">
        <f t="shared" si="102"/>
        <v xml:space="preserve"> </v>
      </c>
      <c r="BX22" s="103"/>
      <c r="BY22" s="103"/>
      <c r="BZ22" s="103"/>
      <c r="CA22" s="112" t="str">
        <f t="shared" si="103"/>
        <v xml:space="preserve"> </v>
      </c>
      <c r="CB22" s="123"/>
      <c r="CC22" s="101">
        <f t="shared" si="61"/>
        <v>17791</v>
      </c>
      <c r="CD22" s="133" t="str">
        <f t="shared" si="62"/>
        <v>CTARGAS</v>
      </c>
      <c r="CE22" s="103" t="str">
        <f t="shared" si="63"/>
        <v>X</v>
      </c>
      <c r="CF22" s="103" t="str">
        <f t="shared" si="64"/>
        <v>X</v>
      </c>
      <c r="CG22" s="103" t="str">
        <f t="shared" si="65"/>
        <v>X</v>
      </c>
      <c r="CH22" s="103" t="str">
        <f t="shared" si="66"/>
        <v xml:space="preserve"> </v>
      </c>
      <c r="CI22" s="103" t="str">
        <f t="shared" si="67"/>
        <v>X</v>
      </c>
      <c r="CJ22" s="103" t="str">
        <f t="shared" si="68"/>
        <v>X</v>
      </c>
      <c r="CK22" s="103" t="str">
        <f t="shared" si="69"/>
        <v xml:space="preserve"> </v>
      </c>
      <c r="CL22" s="103" t="str">
        <f t="shared" si="70"/>
        <v xml:space="preserve"> </v>
      </c>
      <c r="CM22" s="103" t="str">
        <f t="shared" si="71"/>
        <v xml:space="preserve"> </v>
      </c>
      <c r="CN22" s="103" t="str">
        <f t="shared" si="72"/>
        <v xml:space="preserve"> </v>
      </c>
      <c r="CO22" s="103" t="str">
        <f t="shared" si="73"/>
        <v xml:space="preserve"> </v>
      </c>
      <c r="CP22" s="103" t="str">
        <f t="shared" si="74"/>
        <v xml:space="preserve"> </v>
      </c>
      <c r="CQ22" s="103"/>
      <c r="CR22" s="103"/>
      <c r="CS22" s="103"/>
      <c r="CT22" s="112">
        <f t="shared" si="75"/>
        <v>5</v>
      </c>
      <c r="CU22" s="127"/>
      <c r="CV22" s="101">
        <f t="shared" si="76"/>
        <v>17791</v>
      </c>
      <c r="CW22" s="133" t="str">
        <f t="shared" si="77"/>
        <v>CTARGAS</v>
      </c>
      <c r="CX22" s="103">
        <f t="shared" si="79"/>
        <v>184</v>
      </c>
      <c r="CY22" s="103">
        <f t="shared" si="80"/>
        <v>176</v>
      </c>
      <c r="CZ22" s="103">
        <f t="shared" si="81"/>
        <v>165</v>
      </c>
      <c r="DA22" s="103">
        <f t="shared" si="82"/>
        <v>128</v>
      </c>
      <c r="DB22" s="103">
        <f t="shared" si="83"/>
        <v>163</v>
      </c>
      <c r="DC22" s="103">
        <f t="shared" si="84"/>
        <v>167</v>
      </c>
      <c r="DD22" s="103">
        <f t="shared" si="85"/>
        <v>171</v>
      </c>
      <c r="DE22" s="103">
        <f t="shared" si="86"/>
        <v>161</v>
      </c>
      <c r="DF22" s="103">
        <f t="shared" si="87"/>
        <v>244</v>
      </c>
      <c r="DG22" s="103">
        <f t="shared" si="88"/>
        <v>269</v>
      </c>
      <c r="DH22" s="103">
        <f t="shared" si="89"/>
        <v>248</v>
      </c>
      <c r="DI22" s="103">
        <f t="shared" si="90"/>
        <v>233</v>
      </c>
      <c r="DM22" s="224">
        <f t="shared" si="104"/>
        <v>192.41666666666666</v>
      </c>
    </row>
    <row r="23" spans="1:118" ht="15.75" x14ac:dyDescent="0.25">
      <c r="A23" s="136">
        <f t="shared" si="23"/>
        <v>30649</v>
      </c>
      <c r="B23" s="136" t="str">
        <f t="shared" si="24"/>
        <v>CTARGAS</v>
      </c>
      <c r="C23" s="42" t="str">
        <f t="shared" si="25"/>
        <v xml:space="preserve"> </v>
      </c>
      <c r="D23" s="39" t="str">
        <f t="shared" si="26"/>
        <v xml:space="preserve"> </v>
      </c>
      <c r="E23" s="25" t="str">
        <f t="shared" si="27"/>
        <v xml:space="preserve"> </v>
      </c>
      <c r="F23" s="25">
        <f t="shared" si="28"/>
        <v>3</v>
      </c>
      <c r="G23" s="145" t="str">
        <f t="shared" si="29"/>
        <v xml:space="preserve"> </v>
      </c>
      <c r="I23" s="101">
        <v>30649</v>
      </c>
      <c r="J23" s="133" t="s">
        <v>25</v>
      </c>
      <c r="K23" s="103" t="e">
        <f t="shared" si="0"/>
        <v>#N/A</v>
      </c>
      <c r="L23" s="103" t="e">
        <f t="shared" si="1"/>
        <v>#N/A</v>
      </c>
      <c r="M23" s="103" t="e">
        <f t="shared" si="2"/>
        <v>#N/A</v>
      </c>
      <c r="N23" s="103" t="e">
        <f t="shared" si="3"/>
        <v>#N/A</v>
      </c>
      <c r="O23" s="103" t="e">
        <f t="shared" si="4"/>
        <v>#N/A</v>
      </c>
      <c r="P23" s="103" t="e">
        <f t="shared" si="5"/>
        <v>#N/A</v>
      </c>
      <c r="Q23" s="103">
        <f t="shared" si="6"/>
        <v>0</v>
      </c>
      <c r="R23" s="103">
        <f t="shared" si="30"/>
        <v>0</v>
      </c>
      <c r="S23" s="103">
        <f t="shared" si="31"/>
        <v>0</v>
      </c>
      <c r="T23" s="103">
        <f t="shared" si="32"/>
        <v>0</v>
      </c>
      <c r="U23" s="103">
        <f t="shared" si="33"/>
        <v>0</v>
      </c>
      <c r="V23" s="103">
        <f t="shared" si="34"/>
        <v>0</v>
      </c>
      <c r="W23" s="103"/>
      <c r="X23" s="103"/>
      <c r="Y23" s="103"/>
      <c r="Z23" s="112" t="str">
        <f t="shared" si="7"/>
        <v xml:space="preserve"> </v>
      </c>
      <c r="AA23" s="123"/>
      <c r="AB23" s="103" t="e">
        <f t="shared" si="35"/>
        <v>#N/A</v>
      </c>
      <c r="AC23" s="103" t="e">
        <f t="shared" si="36"/>
        <v>#N/A</v>
      </c>
      <c r="AD23" s="103" t="e">
        <f t="shared" si="37"/>
        <v>#N/A</v>
      </c>
      <c r="AE23" s="103" t="e">
        <f t="shared" si="38"/>
        <v>#N/A</v>
      </c>
      <c r="AF23" s="103" t="e">
        <f t="shared" si="39"/>
        <v>#N/A</v>
      </c>
      <c r="AG23" s="103" t="e">
        <f t="shared" si="40"/>
        <v>#N/A</v>
      </c>
      <c r="AH23" s="103" t="str">
        <f t="shared" si="41"/>
        <v xml:space="preserve"> </v>
      </c>
      <c r="AI23" s="103" t="str">
        <f t="shared" si="42"/>
        <v xml:space="preserve"> </v>
      </c>
      <c r="AJ23" s="103" t="str">
        <f t="shared" si="43"/>
        <v xml:space="preserve"> </v>
      </c>
      <c r="AK23" s="103" t="str">
        <f t="shared" si="44"/>
        <v xml:space="preserve"> </v>
      </c>
      <c r="AL23" s="103" t="str">
        <f t="shared" si="45"/>
        <v xml:space="preserve"> </v>
      </c>
      <c r="AM23" s="103" t="str">
        <f t="shared" si="46"/>
        <v xml:space="preserve"> </v>
      </c>
      <c r="AN23" s="103"/>
      <c r="AO23" s="103"/>
      <c r="AP23" s="103"/>
      <c r="AQ23" s="112" t="str">
        <f t="shared" si="47"/>
        <v xml:space="preserve"> </v>
      </c>
      <c r="AR23" s="123"/>
      <c r="AS23" s="101">
        <f t="shared" si="8"/>
        <v>30649</v>
      </c>
      <c r="AT23" s="133" t="str">
        <f t="shared" si="9"/>
        <v>CTARGAS</v>
      </c>
      <c r="AU23" s="103" t="e">
        <f t="shared" si="48"/>
        <v>#N/A</v>
      </c>
      <c r="AV23" s="103" t="e">
        <f t="shared" si="49"/>
        <v>#N/A</v>
      </c>
      <c r="AW23" s="103" t="e">
        <f t="shared" si="50"/>
        <v>#N/A</v>
      </c>
      <c r="AX23" s="103" t="e">
        <f t="shared" si="51"/>
        <v>#N/A</v>
      </c>
      <c r="AY23" s="103" t="e">
        <f t="shared" si="52"/>
        <v>#N/A</v>
      </c>
      <c r="AZ23" s="103" t="e">
        <f t="shared" si="53"/>
        <v>#N/A</v>
      </c>
      <c r="BA23" s="103" t="str">
        <f t="shared" si="54"/>
        <v xml:space="preserve"> </v>
      </c>
      <c r="BB23" s="103" t="str">
        <f t="shared" si="55"/>
        <v xml:space="preserve"> </v>
      </c>
      <c r="BC23" s="103" t="str">
        <f t="shared" si="56"/>
        <v xml:space="preserve"> </v>
      </c>
      <c r="BD23" s="103" t="str">
        <f t="shared" si="57"/>
        <v xml:space="preserve"> </v>
      </c>
      <c r="BE23" s="103" t="str">
        <f t="shared" si="58"/>
        <v xml:space="preserve"> </v>
      </c>
      <c r="BF23" s="103" t="str">
        <f t="shared" si="59"/>
        <v xml:space="preserve"> </v>
      </c>
      <c r="BG23" s="103"/>
      <c r="BH23" s="103"/>
      <c r="BI23" s="103"/>
      <c r="BJ23" s="112" t="str">
        <f t="shared" si="60"/>
        <v xml:space="preserve"> </v>
      </c>
      <c r="BK23" s="123"/>
      <c r="BL23" s="103" t="e">
        <f t="shared" si="91"/>
        <v>#N/A</v>
      </c>
      <c r="BM23" s="103" t="e">
        <f t="shared" si="92"/>
        <v>#N/A</v>
      </c>
      <c r="BN23" s="103" t="e">
        <f t="shared" si="93"/>
        <v>#N/A</v>
      </c>
      <c r="BO23" s="103" t="e">
        <f t="shared" si="94"/>
        <v>#N/A</v>
      </c>
      <c r="BP23" s="103" t="e">
        <f t="shared" si="95"/>
        <v>#N/A</v>
      </c>
      <c r="BQ23" s="103" t="e">
        <f t="shared" si="96"/>
        <v>#N/A</v>
      </c>
      <c r="BR23" s="103" t="str">
        <f t="shared" si="97"/>
        <v xml:space="preserve"> </v>
      </c>
      <c r="BS23" s="103" t="str">
        <f t="shared" si="98"/>
        <v xml:space="preserve"> </v>
      </c>
      <c r="BT23" s="103" t="str">
        <f t="shared" si="99"/>
        <v xml:space="preserve"> </v>
      </c>
      <c r="BU23" s="103" t="str">
        <f t="shared" si="100"/>
        <v xml:space="preserve"> </v>
      </c>
      <c r="BV23" s="103" t="str">
        <f t="shared" si="101"/>
        <v xml:space="preserve"> </v>
      </c>
      <c r="BW23" s="103" t="str">
        <f t="shared" si="102"/>
        <v xml:space="preserve"> </v>
      </c>
      <c r="BX23" s="103"/>
      <c r="BY23" s="103"/>
      <c r="BZ23" s="103"/>
      <c r="CA23" s="112" t="str">
        <f t="shared" si="103"/>
        <v xml:space="preserve"> </v>
      </c>
      <c r="CB23" s="123"/>
      <c r="CC23" s="101">
        <f t="shared" si="61"/>
        <v>30649</v>
      </c>
      <c r="CD23" s="133" t="str">
        <f t="shared" si="62"/>
        <v>CTARGAS</v>
      </c>
      <c r="CE23" s="103" t="e">
        <f t="shared" si="63"/>
        <v>#N/A</v>
      </c>
      <c r="CF23" s="103" t="e">
        <f t="shared" si="64"/>
        <v>#N/A</v>
      </c>
      <c r="CG23" s="103" t="e">
        <f t="shared" si="65"/>
        <v>#N/A</v>
      </c>
      <c r="CH23" s="103" t="e">
        <f t="shared" si="66"/>
        <v>#N/A</v>
      </c>
      <c r="CI23" s="103" t="e">
        <f t="shared" si="67"/>
        <v>#N/A</v>
      </c>
      <c r="CJ23" s="103" t="e">
        <f t="shared" si="68"/>
        <v>#N/A</v>
      </c>
      <c r="CK23" s="103" t="str">
        <f t="shared" si="69"/>
        <v xml:space="preserve"> </v>
      </c>
      <c r="CL23" s="103" t="str">
        <f t="shared" si="70"/>
        <v xml:space="preserve"> </v>
      </c>
      <c r="CM23" s="103" t="str">
        <f t="shared" si="71"/>
        <v>X</v>
      </c>
      <c r="CN23" s="103" t="str">
        <f t="shared" si="72"/>
        <v>X</v>
      </c>
      <c r="CO23" s="103" t="str">
        <f t="shared" si="73"/>
        <v>X</v>
      </c>
      <c r="CP23" s="103" t="str">
        <f t="shared" si="74"/>
        <v xml:space="preserve"> </v>
      </c>
      <c r="CQ23" s="103"/>
      <c r="CR23" s="103"/>
      <c r="CS23" s="103"/>
      <c r="CT23" s="112">
        <f t="shared" si="75"/>
        <v>3</v>
      </c>
      <c r="CU23" s="127"/>
      <c r="CV23" s="101">
        <f t="shared" si="76"/>
        <v>30649</v>
      </c>
      <c r="CW23" s="133" t="str">
        <f t="shared" si="77"/>
        <v>CTARGAS</v>
      </c>
      <c r="CX23" s="103"/>
      <c r="CY23" s="103"/>
      <c r="CZ23" s="103"/>
      <c r="DA23" s="103"/>
      <c r="DB23" s="103"/>
      <c r="DC23" s="103"/>
      <c r="DD23" s="103"/>
      <c r="DE23" s="103"/>
      <c r="DF23" s="103">
        <f t="shared" si="87"/>
        <v>883</v>
      </c>
      <c r="DG23" s="103">
        <f t="shared" si="88"/>
        <v>975</v>
      </c>
      <c r="DH23" s="103">
        <f t="shared" si="89"/>
        <v>895</v>
      </c>
      <c r="DI23" s="103">
        <f t="shared" si="90"/>
        <v>845</v>
      </c>
      <c r="DM23" s="224">
        <f t="shared" si="104"/>
        <v>899.5</v>
      </c>
      <c r="DN23" s="224">
        <f>SUM(DM7:DM23)</f>
        <v>482883.77777777775</v>
      </c>
    </row>
    <row r="24" spans="1:118" ht="15.75" x14ac:dyDescent="0.25">
      <c r="A24" s="136">
        <f t="shared" ref="A24:A88" si="105">I24</f>
        <v>1117</v>
      </c>
      <c r="B24" s="136" t="str">
        <f t="shared" ref="B24:B88" si="106">J24</f>
        <v>NBAA</v>
      </c>
      <c r="C24" s="42">
        <f t="shared" si="25"/>
        <v>1</v>
      </c>
      <c r="D24" s="39">
        <f t="shared" si="26"/>
        <v>5</v>
      </c>
      <c r="E24" s="25">
        <f t="shared" si="27"/>
        <v>6</v>
      </c>
      <c r="F24" s="25">
        <f t="shared" si="28"/>
        <v>5</v>
      </c>
      <c r="G24" s="145">
        <f t="shared" si="29"/>
        <v>3</v>
      </c>
      <c r="I24" s="101">
        <v>1117</v>
      </c>
      <c r="J24" s="133" t="s">
        <v>26</v>
      </c>
      <c r="K24" s="103" t="str">
        <f>VLOOKUP($I24,nbaa0705,17,FALSE)</f>
        <v xml:space="preserve"> </v>
      </c>
      <c r="L24" s="103" t="str">
        <f>VLOOKUP($I24,nbaa0706,17,FALSE)</f>
        <v xml:space="preserve"> </v>
      </c>
      <c r="M24" s="103">
        <f>VLOOKUP($I24,nbaa0707,17,FALSE)</f>
        <v>0</v>
      </c>
      <c r="N24" s="103">
        <f>VLOOKUP($I24,nbaa0708,17,FALSE)</f>
        <v>0</v>
      </c>
      <c r="O24" s="103">
        <f>VLOOKUP($I24,nbaa0721,17,FALSE)</f>
        <v>0</v>
      </c>
      <c r="P24" s="103">
        <f>VLOOKUP($I24,nbaa0725,17,FALSE)</f>
        <v>0</v>
      </c>
      <c r="Q24" s="103">
        <f>VLOOKUP($I24,nbaa0829,17,FALSE)</f>
        <v>0</v>
      </c>
      <c r="R24" s="103">
        <f>VLOOKUP($I24,nbaa0830,17,FALSE)</f>
        <v>0</v>
      </c>
      <c r="S24" s="103">
        <f>VLOOKUP($I24,nbaa0910,17,FALSE)</f>
        <v>0</v>
      </c>
      <c r="T24" s="103">
        <f>VLOOKUP($I24,nbaa0922,17,FALSE)</f>
        <v>0</v>
      </c>
      <c r="U24" s="103">
        <f>VLOOKUP($I24,nbaa0923,17,FALSE)</f>
        <v>0</v>
      </c>
      <c r="V24" s="103" t="str">
        <f>VLOOKUP($I24,nbaa0929,17,FALSE)</f>
        <v>X</v>
      </c>
      <c r="W24" s="103"/>
      <c r="X24" s="103"/>
      <c r="Y24" s="103"/>
      <c r="Z24" s="112">
        <f t="shared" si="7"/>
        <v>1</v>
      </c>
      <c r="AA24" s="123"/>
      <c r="AB24" s="103" t="str">
        <f>VLOOKUP($I24,nbaa0705,18,FALSE)</f>
        <v>X</v>
      </c>
      <c r="AC24" s="103" t="str">
        <f>VLOOKUP($I24,nbaa0706,18,FALSE)</f>
        <v xml:space="preserve"> </v>
      </c>
      <c r="AD24" s="103" t="str">
        <f>VLOOKUP($I24,nbaa0707,18,FALSE)</f>
        <v>X</v>
      </c>
      <c r="AE24" s="103" t="str">
        <f>VLOOKUP($I24,nbaa0708,18,FALSE)</f>
        <v>X</v>
      </c>
      <c r="AF24" s="103" t="str">
        <f>VLOOKUP($I24,nbaa0721,18,FALSE)</f>
        <v>X</v>
      </c>
      <c r="AG24" s="103" t="str">
        <f>VLOOKUP($I24,nbaa0725,18,FALSE)</f>
        <v xml:space="preserve"> </v>
      </c>
      <c r="AH24" s="103" t="str">
        <f>VLOOKUP($I24,nbaa0829,18,FALSE)</f>
        <v xml:space="preserve"> </v>
      </c>
      <c r="AI24" s="103" t="str">
        <f>VLOOKUP($I24,nbaa0830,18,FALSE)</f>
        <v xml:space="preserve"> </v>
      </c>
      <c r="AJ24" s="103" t="str">
        <f>VLOOKUP($I24,nbaa0910,18,FALSE)</f>
        <v xml:space="preserve"> </v>
      </c>
      <c r="AK24" s="103" t="str">
        <f>VLOOKUP($I24,nbaa0922,18,FALSE)</f>
        <v xml:space="preserve"> </v>
      </c>
      <c r="AL24" s="103" t="str">
        <f>VLOOKUP($I24,nbaa0923,18,FALSE)</f>
        <v xml:space="preserve"> </v>
      </c>
      <c r="AM24" s="103" t="str">
        <f>VLOOKUP($I24,nbaa0929,18,FALSE)</f>
        <v>X</v>
      </c>
      <c r="AN24" s="103"/>
      <c r="AO24" s="103"/>
      <c r="AP24" s="103"/>
      <c r="AQ24" s="112">
        <f t="shared" si="47"/>
        <v>5</v>
      </c>
      <c r="AR24" s="123"/>
      <c r="AS24" s="101">
        <f t="shared" si="8"/>
        <v>1117</v>
      </c>
      <c r="AT24" s="133" t="str">
        <f t="shared" si="9"/>
        <v>NBAA</v>
      </c>
      <c r="AU24" s="103" t="str">
        <f>VLOOKUP($I24,nbaa0705,19,FALSE)</f>
        <v xml:space="preserve"> </v>
      </c>
      <c r="AV24" s="103" t="str">
        <f>VLOOKUP($I24,nbaa0706,19,FALSE)</f>
        <v>X</v>
      </c>
      <c r="AW24" s="103" t="str">
        <f>VLOOKUP($I24,nbaa0707,19,FALSE)</f>
        <v xml:space="preserve"> </v>
      </c>
      <c r="AX24" s="103" t="str">
        <f>VLOOKUP($I24,nbaa0708,19,FALSE)</f>
        <v xml:space="preserve"> </v>
      </c>
      <c r="AY24" s="103" t="str">
        <f>VLOOKUP($I24,nbaa0721,19,FALSE)</f>
        <v xml:space="preserve"> </v>
      </c>
      <c r="AZ24" s="103" t="str">
        <f>VLOOKUP($I24,nbaa0725,19,FALSE)</f>
        <v xml:space="preserve"> </v>
      </c>
      <c r="BA24" s="103" t="str">
        <f>VLOOKUP($I24,nbaa0829,19,FALSE)</f>
        <v>X</v>
      </c>
      <c r="BB24" s="103" t="str">
        <f>VLOOKUP($I24,nbaa0830,19,FALSE)</f>
        <v xml:space="preserve"> </v>
      </c>
      <c r="BC24" s="103" t="str">
        <f>VLOOKUP($I24,nbaa0910,19,FALSE)</f>
        <v xml:space="preserve"> </v>
      </c>
      <c r="BD24" s="103" t="str">
        <f>VLOOKUP($I24,nbaa0922,19,FALSE)</f>
        <v>X</v>
      </c>
      <c r="BE24" s="103" t="str">
        <f>VLOOKUP($I24,nbaa0923,19,FALSE)</f>
        <v xml:space="preserve"> </v>
      </c>
      <c r="BF24" s="103" t="str">
        <f>VLOOKUP($I24,nbaa0929,19,FALSE)</f>
        <v xml:space="preserve"> </v>
      </c>
      <c r="BG24" s="103"/>
      <c r="BH24" s="103"/>
      <c r="BI24" s="103"/>
      <c r="BJ24" s="112">
        <f>IF(COUNTIF(AU24:BI24,"x")=0," ",COUNTIF(AU24:BI24,"x"))</f>
        <v>3</v>
      </c>
      <c r="BK24" s="123"/>
      <c r="BL24" s="103" t="str">
        <f>VLOOKUP($I24,nbaa0705,20,FALSE)</f>
        <v>X</v>
      </c>
      <c r="BM24" s="103" t="str">
        <f>VLOOKUP($I24,nbaa0706,20,FALSE)</f>
        <v xml:space="preserve"> </v>
      </c>
      <c r="BN24" s="103" t="str">
        <f>VLOOKUP($I24,nbaa0707,20,FALSE)</f>
        <v>X</v>
      </c>
      <c r="BO24" s="103" t="str">
        <f>VLOOKUP($I24,nbaa0708,20,FALSE)</f>
        <v>X</v>
      </c>
      <c r="BP24" s="103" t="str">
        <f>VLOOKUP($I24,nbaa0721,20,FALSE)</f>
        <v>X</v>
      </c>
      <c r="BQ24" s="103" t="str">
        <f>VLOOKUP($I24,nbaa0725,20,FALSE)</f>
        <v xml:space="preserve"> </v>
      </c>
      <c r="BR24" s="103" t="str">
        <f>VLOOKUP($I24,nbaa0829,20,FALSE)</f>
        <v xml:space="preserve"> </v>
      </c>
      <c r="BS24" s="103" t="str">
        <f>VLOOKUP($I24,nbaa0830,20,FALSE)</f>
        <v>X</v>
      </c>
      <c r="BT24" s="103" t="str">
        <f>VLOOKUP($I24,nbaa0910,20,FALSE)</f>
        <v xml:space="preserve"> </v>
      </c>
      <c r="BU24" s="103" t="str">
        <f>VLOOKUP($I24,nbaa0922,20,FALSE)</f>
        <v xml:space="preserve"> </v>
      </c>
      <c r="BV24" s="103" t="str">
        <f>VLOOKUP($I24,nbaa0923,20,FALSE)</f>
        <v xml:space="preserve"> </v>
      </c>
      <c r="BW24" s="103" t="str">
        <f>VLOOKUP($I24,nbaa0929,20,FALSE)</f>
        <v>X</v>
      </c>
      <c r="BX24" s="103"/>
      <c r="BY24" s="103"/>
      <c r="BZ24" s="103"/>
      <c r="CA24" s="112">
        <f t="shared" si="103"/>
        <v>6</v>
      </c>
      <c r="CB24" s="123"/>
      <c r="CC24" s="101">
        <f t="shared" si="61"/>
        <v>1117</v>
      </c>
      <c r="CD24" s="133" t="str">
        <f t="shared" si="62"/>
        <v>NBAA</v>
      </c>
      <c r="CE24" s="103" t="str">
        <f>VLOOKUP($I24,nbaa0705,21,FALSE)</f>
        <v>X</v>
      </c>
      <c r="CF24" s="103" t="str">
        <f>VLOOKUP($I24,nbaa0706,21,FALSE)</f>
        <v xml:space="preserve"> </v>
      </c>
      <c r="CG24" s="103" t="str">
        <f>VLOOKUP($I24,nbaa0707,21,FALSE)</f>
        <v>X</v>
      </c>
      <c r="CH24" s="103" t="str">
        <f>VLOOKUP($I24,nbaa0708,21,FALSE)</f>
        <v>X</v>
      </c>
      <c r="CI24" s="103" t="str">
        <f>VLOOKUP($I24,nbaa0721,21,FALSE)</f>
        <v>X</v>
      </c>
      <c r="CJ24" s="103" t="str">
        <f>VLOOKUP($I24,nbaa0725,21,FALSE)</f>
        <v xml:space="preserve"> </v>
      </c>
      <c r="CK24" s="103" t="str">
        <f>VLOOKUP($I24,nbaa0829,21,FALSE)</f>
        <v xml:space="preserve"> </v>
      </c>
      <c r="CL24" s="103" t="str">
        <f>VLOOKUP($I24,nbaa0830,21,FALSE)</f>
        <v xml:space="preserve"> </v>
      </c>
      <c r="CM24" s="103" t="str">
        <f>VLOOKUP($I24,nbaa0910,21,FALSE)</f>
        <v xml:space="preserve"> </v>
      </c>
      <c r="CN24" s="103" t="str">
        <f>VLOOKUP($I24,nbaa0922,21,FALSE)</f>
        <v xml:space="preserve"> </v>
      </c>
      <c r="CO24" s="103" t="str">
        <f>VLOOKUP($I24,nbaa0923,21,FALSE)</f>
        <v xml:space="preserve"> </v>
      </c>
      <c r="CP24" s="103" t="str">
        <f>VLOOKUP($I24,nbaa0929,21,FALSE)</f>
        <v>X</v>
      </c>
      <c r="CQ24" s="103"/>
      <c r="CR24" s="103"/>
      <c r="CS24" s="103"/>
      <c r="CT24" s="112">
        <f t="shared" si="75"/>
        <v>5</v>
      </c>
      <c r="CU24" s="127"/>
      <c r="CV24" s="101">
        <f t="shared" si="76"/>
        <v>1117</v>
      </c>
      <c r="CW24" s="133" t="str">
        <f t="shared" si="77"/>
        <v>NBAA</v>
      </c>
      <c r="CX24" s="103">
        <f>VLOOKUP($I24,nbaa0705,13,FALSE)</f>
        <v>67186</v>
      </c>
      <c r="CY24" s="103">
        <f>VLOOKUP($I24,nbaa0706,13,FALSE)</f>
        <v>69204</v>
      </c>
      <c r="CZ24" s="103">
        <f>VLOOKUP($I24,nbaa0707,13,FALSE)</f>
        <v>67720</v>
      </c>
      <c r="DA24" s="103">
        <f>VLOOKUP($I24,nbaa0708,13,FALSE)</f>
        <v>56655</v>
      </c>
      <c r="DB24" s="103">
        <f>VLOOKUP($I24,nbaa0721,13,FALSE)</f>
        <v>80028</v>
      </c>
      <c r="DC24" s="103">
        <f>VLOOKUP($I24,nbaa0725,13,FALSE)</f>
        <v>80354</v>
      </c>
      <c r="DD24" s="103">
        <f>VLOOKUP($I24,nbaa0829,13,FALSE)</f>
        <v>100493</v>
      </c>
      <c r="DE24" s="103">
        <f>VLOOKUP($I24,nbaa0830,13,FALSE)</f>
        <v>99791</v>
      </c>
      <c r="DF24" s="103">
        <f>VLOOKUP($I24,nbaa0910,13,FALSE)</f>
        <v>86610</v>
      </c>
      <c r="DG24" s="103">
        <f>VLOOKUP($I24,nbaa0922,13,FALSE)</f>
        <v>87511</v>
      </c>
      <c r="DH24" s="103">
        <f>VLOOKUP($I24,nbaa0923,13,FALSE)</f>
        <v>75895</v>
      </c>
      <c r="DI24" s="103">
        <f>VLOOKUP($I24,nbaa0929,13,FALSE)</f>
        <v>77598</v>
      </c>
      <c r="DJ24" s="103"/>
      <c r="DK24" s="103"/>
      <c r="DL24" s="103"/>
      <c r="DM24" s="224">
        <f t="shared" si="104"/>
        <v>79087.083333333328</v>
      </c>
    </row>
    <row r="25" spans="1:118" ht="15.75" x14ac:dyDescent="0.25">
      <c r="A25" s="136">
        <f t="shared" si="105"/>
        <v>1126</v>
      </c>
      <c r="B25" s="136" t="str">
        <f t="shared" si="106"/>
        <v>NBAA</v>
      </c>
      <c r="C25" s="42">
        <f t="shared" si="25"/>
        <v>1</v>
      </c>
      <c r="D25" s="39">
        <f t="shared" si="26"/>
        <v>2</v>
      </c>
      <c r="E25" s="25">
        <f t="shared" si="27"/>
        <v>3</v>
      </c>
      <c r="F25" s="25">
        <f t="shared" si="28"/>
        <v>2</v>
      </c>
      <c r="G25" s="145">
        <f t="shared" si="29"/>
        <v>1</v>
      </c>
      <c r="I25" s="101">
        <v>1126</v>
      </c>
      <c r="J25" s="133" t="s">
        <v>26</v>
      </c>
      <c r="K25" s="103" t="str">
        <f t="shared" ref="K25:K48" si="107">VLOOKUP($I25,nbaa0705,17,FALSE)</f>
        <v xml:space="preserve"> </v>
      </c>
      <c r="L25" s="103" t="str">
        <f t="shared" ref="L25:L48" si="108">VLOOKUP($I25,nbaa0706,17,FALSE)</f>
        <v xml:space="preserve"> </v>
      </c>
      <c r="M25" s="103">
        <f t="shared" ref="M25:M47" si="109">VLOOKUP($I25,nbaa0707,17,FALSE)</f>
        <v>0</v>
      </c>
      <c r="N25" s="103">
        <f t="shared" ref="N25:N48" si="110">VLOOKUP($I25,nbaa0708,17,FALSE)</f>
        <v>0</v>
      </c>
      <c r="O25" s="103">
        <f t="shared" ref="O25:O48" si="111">VLOOKUP($I25,nbaa0721,17,FALSE)</f>
        <v>0</v>
      </c>
      <c r="P25" s="103">
        <f t="shared" ref="P25:P48" si="112">VLOOKUP($I25,nbaa0725,17,FALSE)</f>
        <v>0</v>
      </c>
      <c r="Q25" s="103">
        <f t="shared" ref="Q25:Q48" si="113">VLOOKUP($I25,nbaa0829,17,FALSE)</f>
        <v>0</v>
      </c>
      <c r="R25" s="103">
        <f t="shared" ref="R25:R48" si="114">VLOOKUP($I25,nbaa0830,17,FALSE)</f>
        <v>0</v>
      </c>
      <c r="S25" s="103" t="str">
        <f t="shared" ref="S25:S48" si="115">VLOOKUP($I25,nbaa0910,17,FALSE)</f>
        <v>X</v>
      </c>
      <c r="T25" s="103">
        <f t="shared" ref="T25:T48" si="116">VLOOKUP($I25,nbaa0922,17,FALSE)</f>
        <v>0</v>
      </c>
      <c r="U25" s="103">
        <f t="shared" ref="U25:U48" si="117">VLOOKUP($I25,nbaa0923,17,FALSE)</f>
        <v>0</v>
      </c>
      <c r="V25" s="103">
        <f t="shared" ref="V25:V48" si="118">VLOOKUP($I25,nbaa0929,17,FALSE)</f>
        <v>0</v>
      </c>
      <c r="W25" s="103"/>
      <c r="X25" s="103"/>
      <c r="Y25" s="103"/>
      <c r="Z25" s="112">
        <f t="shared" ref="Z25:Z49" si="119">IF(COUNTIF(K25:Y25,"x")=0," ",COUNTIF(K25:Y25,"x"))</f>
        <v>1</v>
      </c>
      <c r="AA25" s="123"/>
      <c r="AB25" s="103" t="str">
        <f t="shared" ref="AB25:AB48" si="120">VLOOKUP($I25,nbaa0705,18,FALSE)</f>
        <v xml:space="preserve"> </v>
      </c>
      <c r="AC25" s="103" t="str">
        <f t="shared" ref="AC25:AC48" si="121">VLOOKUP($I25,nbaa0706,18,FALSE)</f>
        <v xml:space="preserve"> </v>
      </c>
      <c r="AD25" s="103" t="str">
        <f t="shared" ref="AD25:AD48" si="122">VLOOKUP($I25,nbaa0707,18,FALSE)</f>
        <v>X</v>
      </c>
      <c r="AE25" s="103" t="str">
        <f t="shared" ref="AE25:AE48" si="123">VLOOKUP($I25,nbaa0708,18,FALSE)</f>
        <v>X</v>
      </c>
      <c r="AF25" s="103" t="str">
        <f t="shared" ref="AF25:AF48" si="124">VLOOKUP($I25,nbaa0721,18,FALSE)</f>
        <v xml:space="preserve"> </v>
      </c>
      <c r="AG25" s="103" t="str">
        <f t="shared" ref="AG25:AG48" si="125">VLOOKUP($I25,nbaa0725,18,FALSE)</f>
        <v xml:space="preserve"> </v>
      </c>
      <c r="AH25" s="103" t="str">
        <f t="shared" ref="AH25:AH48" si="126">VLOOKUP($I25,nbaa0829,18,FALSE)</f>
        <v xml:space="preserve"> </v>
      </c>
      <c r="AI25" s="103" t="str">
        <f t="shared" ref="AI25:AI48" si="127">VLOOKUP($I25,nbaa0830,18,FALSE)</f>
        <v xml:space="preserve"> </v>
      </c>
      <c r="AJ25" s="103" t="str">
        <f t="shared" ref="AJ25:AJ48" si="128">VLOOKUP($I25,nbaa0910,18,FALSE)</f>
        <v xml:space="preserve"> </v>
      </c>
      <c r="AK25" s="103" t="str">
        <f t="shared" ref="AK25:AK48" si="129">VLOOKUP($I25,nbaa0922,18,FALSE)</f>
        <v xml:space="preserve"> </v>
      </c>
      <c r="AL25" s="103" t="str">
        <f t="shared" ref="AL25:AL48" si="130">VLOOKUP($I25,nbaa0923,18,FALSE)</f>
        <v xml:space="preserve"> </v>
      </c>
      <c r="AM25" s="103" t="str">
        <f t="shared" ref="AM25:AM48" si="131">VLOOKUP($I25,nbaa0929,18,FALSE)</f>
        <v xml:space="preserve"> </v>
      </c>
      <c r="AN25" s="103"/>
      <c r="AO25" s="103"/>
      <c r="AP25" s="103"/>
      <c r="AQ25" s="112">
        <f t="shared" ref="AQ25:AQ49" si="132">IF(COUNTIF(AB25:AP25,"x")=0," ",COUNTIF(AB25:AP25,"x"))</f>
        <v>2</v>
      </c>
      <c r="AR25" s="123"/>
      <c r="AS25" s="101">
        <f t="shared" si="8"/>
        <v>1126</v>
      </c>
      <c r="AT25" s="133" t="str">
        <f t="shared" si="9"/>
        <v>NBAA</v>
      </c>
      <c r="AU25" s="103" t="str">
        <f t="shared" ref="AU25:AU48" si="133">VLOOKUP($I25,nbaa0705,19,FALSE)</f>
        <v xml:space="preserve"> </v>
      </c>
      <c r="AV25" s="103" t="str">
        <f t="shared" ref="AV25:AV48" si="134">VLOOKUP($I25,nbaa0706,19,FALSE)</f>
        <v>X</v>
      </c>
      <c r="AW25" s="103" t="str">
        <f t="shared" ref="AW25:AW48" si="135">VLOOKUP($I25,nbaa0707,19,FALSE)</f>
        <v xml:space="preserve"> </v>
      </c>
      <c r="AX25" s="103" t="str">
        <f t="shared" ref="AX25:AX48" si="136">VLOOKUP($I25,nbaa0708,19,FALSE)</f>
        <v xml:space="preserve"> </v>
      </c>
      <c r="AY25" s="103" t="str">
        <f t="shared" ref="AY25:AY48" si="137">VLOOKUP($I25,nbaa0721,19,FALSE)</f>
        <v xml:space="preserve"> </v>
      </c>
      <c r="AZ25" s="103" t="str">
        <f t="shared" ref="AZ25:AZ48" si="138">VLOOKUP($I25,nbaa0725,19,FALSE)</f>
        <v xml:space="preserve"> </v>
      </c>
      <c r="BA25" s="103" t="str">
        <f t="shared" ref="BA25:BA48" si="139">VLOOKUP($I25,nbaa0829,19,FALSE)</f>
        <v xml:space="preserve"> </v>
      </c>
      <c r="BB25" s="103" t="str">
        <f t="shared" ref="BB25:BB48" si="140">VLOOKUP($I25,nbaa0830,19,FALSE)</f>
        <v xml:space="preserve"> </v>
      </c>
      <c r="BC25" s="103" t="str">
        <f t="shared" ref="BC25:BC48" si="141">VLOOKUP($I25,nbaa0910,19,FALSE)</f>
        <v xml:space="preserve"> </v>
      </c>
      <c r="BD25" s="103" t="str">
        <f t="shared" ref="BD25:BD48" si="142">VLOOKUP($I25,nbaa0922,19,FALSE)</f>
        <v xml:space="preserve"> </v>
      </c>
      <c r="BE25" s="103" t="str">
        <f t="shared" ref="BE25:BE48" si="143">VLOOKUP($I25,nbaa0923,19,FALSE)</f>
        <v xml:space="preserve"> </v>
      </c>
      <c r="BF25" s="103" t="str">
        <f t="shared" ref="BF25:BF48" si="144">VLOOKUP($I25,nbaa0929,19,FALSE)</f>
        <v xml:space="preserve"> </v>
      </c>
      <c r="BG25" s="103"/>
      <c r="BH25" s="103"/>
      <c r="BI25" s="103"/>
      <c r="BJ25" s="112">
        <f t="shared" ref="BJ25:BJ48" si="145">IF(COUNTIF(AU25:BI25,"x")=0," ",COUNTIF(AU25:BI25,"x"))</f>
        <v>1</v>
      </c>
      <c r="BK25" s="123"/>
      <c r="BL25" s="103" t="str">
        <f t="shared" ref="BL25:BL48" si="146">VLOOKUP($I25,nbaa0705,20,FALSE)</f>
        <v xml:space="preserve"> </v>
      </c>
      <c r="BM25" s="103" t="str">
        <f t="shared" ref="BM25:BM48" si="147">VLOOKUP($I25,nbaa0706,20,FALSE)</f>
        <v xml:space="preserve"> </v>
      </c>
      <c r="BN25" s="103" t="str">
        <f t="shared" ref="BN25:BN48" si="148">VLOOKUP($I25,nbaa0707,20,FALSE)</f>
        <v>X</v>
      </c>
      <c r="BO25" s="103" t="str">
        <f t="shared" ref="BO25:BO48" si="149">VLOOKUP($I25,nbaa0708,20,FALSE)</f>
        <v>X</v>
      </c>
      <c r="BP25" s="103" t="str">
        <f t="shared" ref="BP25:BP48" si="150">VLOOKUP($I25,nbaa0721,20,FALSE)</f>
        <v xml:space="preserve"> </v>
      </c>
      <c r="BQ25" s="103" t="str">
        <f t="shared" ref="BQ25:BQ48" si="151">VLOOKUP($I25,nbaa0725,20,FALSE)</f>
        <v xml:space="preserve"> </v>
      </c>
      <c r="BR25" s="103" t="str">
        <f t="shared" ref="BR25:BR48" si="152">VLOOKUP($I25,nbaa0829,20,FALSE)</f>
        <v xml:space="preserve"> </v>
      </c>
      <c r="BS25" s="103" t="str">
        <f t="shared" ref="BS25:BS48" si="153">VLOOKUP($I25,nbaa0830,20,FALSE)</f>
        <v>X</v>
      </c>
      <c r="BT25" s="103" t="str">
        <f t="shared" ref="BT25:BT48" si="154">VLOOKUP($I25,nbaa0910,20,FALSE)</f>
        <v xml:space="preserve"> </v>
      </c>
      <c r="BU25" s="103" t="str">
        <f t="shared" ref="BU25:BU48" si="155">VLOOKUP($I25,nbaa0922,20,FALSE)</f>
        <v xml:space="preserve"> </v>
      </c>
      <c r="BV25" s="103" t="str">
        <f t="shared" ref="BV25:BV48" si="156">VLOOKUP($I25,nbaa0923,20,FALSE)</f>
        <v xml:space="preserve"> </v>
      </c>
      <c r="BW25" s="103" t="str">
        <f t="shared" ref="BW25:BW48" si="157">VLOOKUP($I25,nbaa0929,20,FALSE)</f>
        <v xml:space="preserve"> </v>
      </c>
      <c r="BX25" s="103"/>
      <c r="BY25" s="103"/>
      <c r="BZ25" s="103"/>
      <c r="CA25" s="112">
        <f t="shared" ref="CA25:CA49" si="158">IF(COUNTIF(BL25:BZ25,"x")=0," ",COUNTIF(BL25:BZ25,"x"))</f>
        <v>3</v>
      </c>
      <c r="CB25" s="123"/>
      <c r="CC25" s="101">
        <f t="shared" si="61"/>
        <v>1126</v>
      </c>
      <c r="CD25" s="133" t="str">
        <f t="shared" si="62"/>
        <v>NBAA</v>
      </c>
      <c r="CE25" s="103" t="str">
        <f t="shared" ref="CE25:CE48" si="159">VLOOKUP($I25,nbaa0705,21,FALSE)</f>
        <v xml:space="preserve"> </v>
      </c>
      <c r="CF25" s="103" t="str">
        <f t="shared" ref="CF25:CF48" si="160">VLOOKUP($I25,nbaa0706,21,FALSE)</f>
        <v xml:space="preserve"> </v>
      </c>
      <c r="CG25" s="103" t="str">
        <f t="shared" ref="CG25:CG48" si="161">VLOOKUP($I25,nbaa0707,21,FALSE)</f>
        <v>X</v>
      </c>
      <c r="CH25" s="103" t="str">
        <f t="shared" ref="CH25:CH48" si="162">VLOOKUP($I25,nbaa0708,21,FALSE)</f>
        <v>X</v>
      </c>
      <c r="CI25" s="103" t="str">
        <f t="shared" ref="CI25:CI48" si="163">VLOOKUP($I25,nbaa0721,21,FALSE)</f>
        <v xml:space="preserve"> </v>
      </c>
      <c r="CJ25" s="103" t="str">
        <f t="shared" ref="CJ25:CJ48" si="164">VLOOKUP($I25,nbaa0725,21,FALSE)</f>
        <v xml:space="preserve"> </v>
      </c>
      <c r="CK25" s="103" t="str">
        <f t="shared" ref="CK25:CK48" si="165">VLOOKUP($I25,nbaa0829,21,FALSE)</f>
        <v xml:space="preserve"> </v>
      </c>
      <c r="CL25" s="103" t="str">
        <f t="shared" ref="CL25:CL48" si="166">VLOOKUP($I25,nbaa0830,21,FALSE)</f>
        <v xml:space="preserve"> </v>
      </c>
      <c r="CM25" s="103" t="str">
        <f t="shared" ref="CM25:CM48" si="167">VLOOKUP($I25,nbaa0910,21,FALSE)</f>
        <v xml:space="preserve"> </v>
      </c>
      <c r="CN25" s="103" t="str">
        <f t="shared" ref="CN25:CN48" si="168">VLOOKUP($I25,nbaa0922,21,FALSE)</f>
        <v xml:space="preserve"> </v>
      </c>
      <c r="CO25" s="103" t="str">
        <f t="shared" ref="CO25:CO48" si="169">VLOOKUP($I25,nbaa0923,21,FALSE)</f>
        <v xml:space="preserve"> </v>
      </c>
      <c r="CP25" s="103" t="str">
        <f t="shared" ref="CP25:CP48" si="170">VLOOKUP($I25,nbaa0929,21,FALSE)</f>
        <v xml:space="preserve"> </v>
      </c>
      <c r="CQ25" s="103"/>
      <c r="CR25" s="103"/>
      <c r="CS25" s="103"/>
      <c r="CT25" s="112">
        <f t="shared" ref="CT25:CT49" si="171">IF(COUNTIF(CE25:CS25,"x")=0," ",COUNTIF(CE25:CS25,"x"))</f>
        <v>2</v>
      </c>
      <c r="CU25" s="127"/>
      <c r="CV25" s="101">
        <f t="shared" si="76"/>
        <v>1126</v>
      </c>
      <c r="CW25" s="133" t="str">
        <f t="shared" si="77"/>
        <v>NBAA</v>
      </c>
      <c r="CX25" s="103">
        <f t="shared" ref="CX25:CX48" si="172">VLOOKUP($I25,nbaa0705,13,FALSE)</f>
        <v>29283</v>
      </c>
      <c r="CY25" s="103">
        <f t="shared" ref="CY25:CY48" si="173">VLOOKUP($I25,nbaa0706,13,FALSE)</f>
        <v>29794</v>
      </c>
      <c r="CZ25" s="103">
        <f t="shared" ref="CZ25:CZ48" si="174">VLOOKUP($I25,nbaa0707,13,FALSE)</f>
        <v>28315</v>
      </c>
      <c r="DA25" s="103">
        <f t="shared" ref="DA25:DA48" si="175">VLOOKUP($I25,nbaa0708,13,FALSE)</f>
        <v>26871</v>
      </c>
      <c r="DB25" s="103">
        <f t="shared" ref="DB25:DB48" si="176">VLOOKUP($I25,nbaa0721,13,FALSE)</f>
        <v>29428</v>
      </c>
      <c r="DC25" s="103">
        <f t="shared" ref="DC25:DC48" si="177">VLOOKUP($I25,nbaa0725,13,FALSE)</f>
        <v>28849</v>
      </c>
      <c r="DD25" s="103">
        <f t="shared" ref="DD25:DD48" si="178">VLOOKUP($I25,nbaa0829,13,FALSE)</f>
        <v>28735</v>
      </c>
      <c r="DE25" s="103">
        <f t="shared" ref="DE25:DE48" si="179">VLOOKUP($I25,nbaa0830,13,FALSE)</f>
        <v>28714</v>
      </c>
      <c r="DF25" s="103">
        <f t="shared" ref="DF25:DF48" si="180">VLOOKUP($I25,nbaa0910,13,FALSE)</f>
        <v>25764</v>
      </c>
      <c r="DG25" s="103">
        <f t="shared" ref="DG25:DG48" si="181">VLOOKUP($I25,nbaa0922,13,FALSE)</f>
        <v>28068</v>
      </c>
      <c r="DH25" s="103">
        <f t="shared" ref="DH25:DH48" si="182">VLOOKUP($I25,nbaa0923,13,FALSE)</f>
        <v>25450</v>
      </c>
      <c r="DI25" s="103">
        <f t="shared" ref="DI25:DI48" si="183">VLOOKUP($I25,nbaa0929,13,FALSE)</f>
        <v>28570</v>
      </c>
      <c r="DM25" s="224">
        <f t="shared" si="104"/>
        <v>28153.416666666668</v>
      </c>
    </row>
    <row r="26" spans="1:118" ht="15.75" x14ac:dyDescent="0.25">
      <c r="A26" s="136">
        <f t="shared" si="105"/>
        <v>1157</v>
      </c>
      <c r="B26" s="136" t="str">
        <f t="shared" si="106"/>
        <v>NBAA</v>
      </c>
      <c r="C26" s="42">
        <f t="shared" si="25"/>
        <v>2</v>
      </c>
      <c r="D26" s="39">
        <f t="shared" si="26"/>
        <v>4</v>
      </c>
      <c r="E26" s="25">
        <f t="shared" si="27"/>
        <v>5</v>
      </c>
      <c r="F26" s="25">
        <f t="shared" si="28"/>
        <v>4</v>
      </c>
      <c r="G26" s="145" t="str">
        <f t="shared" si="29"/>
        <v xml:space="preserve"> </v>
      </c>
      <c r="I26" s="101">
        <v>1157</v>
      </c>
      <c r="J26" s="133" t="s">
        <v>26</v>
      </c>
      <c r="K26" s="103" t="str">
        <f t="shared" si="107"/>
        <v xml:space="preserve"> </v>
      </c>
      <c r="L26" s="103" t="str">
        <f t="shared" si="108"/>
        <v>X</v>
      </c>
      <c r="M26" s="103">
        <f t="shared" si="109"/>
        <v>0</v>
      </c>
      <c r="N26" s="103">
        <f t="shared" si="110"/>
        <v>0</v>
      </c>
      <c r="O26" s="103">
        <f t="shared" si="111"/>
        <v>0</v>
      </c>
      <c r="P26" s="103">
        <f t="shared" si="112"/>
        <v>0</v>
      </c>
      <c r="Q26" s="103">
        <f t="shared" si="113"/>
        <v>0</v>
      </c>
      <c r="R26" s="103">
        <f t="shared" si="114"/>
        <v>0</v>
      </c>
      <c r="S26" s="103" t="str">
        <f t="shared" si="115"/>
        <v>X</v>
      </c>
      <c r="T26" s="103">
        <f t="shared" si="116"/>
        <v>0</v>
      </c>
      <c r="U26" s="103">
        <f t="shared" si="117"/>
        <v>0</v>
      </c>
      <c r="V26" s="103">
        <f t="shared" si="118"/>
        <v>0</v>
      </c>
      <c r="W26" s="103"/>
      <c r="X26" s="103"/>
      <c r="Y26" s="103"/>
      <c r="Z26" s="112">
        <f t="shared" si="119"/>
        <v>2</v>
      </c>
      <c r="AA26" s="123"/>
      <c r="AB26" s="103" t="str">
        <f t="shared" si="120"/>
        <v>X</v>
      </c>
      <c r="AC26" s="103" t="str">
        <f t="shared" si="121"/>
        <v>X</v>
      </c>
      <c r="AD26" s="103" t="str">
        <f t="shared" si="122"/>
        <v>X</v>
      </c>
      <c r="AE26" s="103" t="str">
        <f t="shared" si="123"/>
        <v xml:space="preserve"> </v>
      </c>
      <c r="AF26" s="103" t="str">
        <f t="shared" si="124"/>
        <v>X</v>
      </c>
      <c r="AG26" s="103" t="str">
        <f t="shared" si="125"/>
        <v xml:space="preserve"> </v>
      </c>
      <c r="AH26" s="103" t="str">
        <f t="shared" si="126"/>
        <v xml:space="preserve"> </v>
      </c>
      <c r="AI26" s="103" t="str">
        <f t="shared" si="127"/>
        <v xml:space="preserve"> </v>
      </c>
      <c r="AJ26" s="103" t="str">
        <f t="shared" si="128"/>
        <v xml:space="preserve"> </v>
      </c>
      <c r="AK26" s="103" t="str">
        <f t="shared" si="129"/>
        <v xml:space="preserve"> </v>
      </c>
      <c r="AL26" s="103" t="str">
        <f t="shared" si="130"/>
        <v xml:space="preserve"> </v>
      </c>
      <c r="AM26" s="103" t="str">
        <f t="shared" si="131"/>
        <v xml:space="preserve"> </v>
      </c>
      <c r="AN26" s="103"/>
      <c r="AO26" s="103"/>
      <c r="AP26" s="103"/>
      <c r="AQ26" s="112">
        <f t="shared" si="132"/>
        <v>4</v>
      </c>
      <c r="AR26" s="123"/>
      <c r="AS26" s="101">
        <f t="shared" si="8"/>
        <v>1157</v>
      </c>
      <c r="AT26" s="133" t="str">
        <f t="shared" si="9"/>
        <v>NBAA</v>
      </c>
      <c r="AU26" s="103" t="str">
        <f t="shared" si="133"/>
        <v xml:space="preserve"> </v>
      </c>
      <c r="AV26" s="103" t="str">
        <f t="shared" si="134"/>
        <v xml:space="preserve"> </v>
      </c>
      <c r="AW26" s="103" t="str">
        <f t="shared" si="135"/>
        <v xml:space="preserve"> </v>
      </c>
      <c r="AX26" s="103" t="str">
        <f t="shared" si="136"/>
        <v xml:space="preserve"> </v>
      </c>
      <c r="AY26" s="103" t="str">
        <f t="shared" si="137"/>
        <v xml:space="preserve"> </v>
      </c>
      <c r="AZ26" s="103" t="str">
        <f t="shared" si="138"/>
        <v xml:space="preserve"> </v>
      </c>
      <c r="BA26" s="103" t="str">
        <f t="shared" si="139"/>
        <v xml:space="preserve"> </v>
      </c>
      <c r="BB26" s="103" t="str">
        <f t="shared" si="140"/>
        <v xml:space="preserve"> </v>
      </c>
      <c r="BC26" s="103" t="str">
        <f t="shared" si="141"/>
        <v xml:space="preserve"> </v>
      </c>
      <c r="BD26" s="103" t="str">
        <f t="shared" si="142"/>
        <v xml:space="preserve"> </v>
      </c>
      <c r="BE26" s="103" t="str">
        <f t="shared" si="143"/>
        <v xml:space="preserve"> </v>
      </c>
      <c r="BF26" s="103" t="str">
        <f t="shared" si="144"/>
        <v xml:space="preserve"> </v>
      </c>
      <c r="BG26" s="103"/>
      <c r="BH26" s="103"/>
      <c r="BI26" s="103"/>
      <c r="BJ26" s="112" t="str">
        <f t="shared" si="145"/>
        <v xml:space="preserve"> </v>
      </c>
      <c r="BK26" s="123"/>
      <c r="BL26" s="103" t="str">
        <f t="shared" si="146"/>
        <v>X</v>
      </c>
      <c r="BM26" s="103" t="str">
        <f t="shared" si="147"/>
        <v>X</v>
      </c>
      <c r="BN26" s="103" t="str">
        <f t="shared" si="148"/>
        <v>X</v>
      </c>
      <c r="BO26" s="103" t="str">
        <f t="shared" si="149"/>
        <v xml:space="preserve"> </v>
      </c>
      <c r="BP26" s="103" t="str">
        <f t="shared" si="150"/>
        <v>X</v>
      </c>
      <c r="BQ26" s="103" t="str">
        <f t="shared" si="151"/>
        <v>X</v>
      </c>
      <c r="BR26" s="103" t="str">
        <f t="shared" si="152"/>
        <v xml:space="preserve"> </v>
      </c>
      <c r="BS26" s="103" t="str">
        <f t="shared" si="153"/>
        <v xml:space="preserve"> </v>
      </c>
      <c r="BT26" s="103" t="str">
        <f t="shared" si="154"/>
        <v xml:space="preserve"> </v>
      </c>
      <c r="BU26" s="103" t="str">
        <f t="shared" si="155"/>
        <v xml:space="preserve"> </v>
      </c>
      <c r="BV26" s="103" t="str">
        <f t="shared" si="156"/>
        <v xml:space="preserve"> </v>
      </c>
      <c r="BW26" s="103" t="str">
        <f t="shared" si="157"/>
        <v xml:space="preserve"> </v>
      </c>
      <c r="BX26" s="103"/>
      <c r="BY26" s="103"/>
      <c r="BZ26" s="103"/>
      <c r="CA26" s="112">
        <f t="shared" si="158"/>
        <v>5</v>
      </c>
      <c r="CB26" s="123"/>
      <c r="CC26" s="101">
        <f t="shared" si="61"/>
        <v>1157</v>
      </c>
      <c r="CD26" s="133" t="str">
        <f t="shared" si="62"/>
        <v>NBAA</v>
      </c>
      <c r="CE26" s="103" t="str">
        <f t="shared" si="159"/>
        <v>X</v>
      </c>
      <c r="CF26" s="103" t="str">
        <f t="shared" si="160"/>
        <v>X</v>
      </c>
      <c r="CG26" s="103" t="str">
        <f t="shared" si="161"/>
        <v>X</v>
      </c>
      <c r="CH26" s="103" t="str">
        <f t="shared" si="162"/>
        <v xml:space="preserve"> </v>
      </c>
      <c r="CI26" s="103" t="str">
        <f t="shared" si="163"/>
        <v>X</v>
      </c>
      <c r="CJ26" s="103" t="str">
        <f t="shared" si="164"/>
        <v xml:space="preserve"> </v>
      </c>
      <c r="CK26" s="103" t="str">
        <f t="shared" si="165"/>
        <v xml:space="preserve"> </v>
      </c>
      <c r="CL26" s="103" t="str">
        <f t="shared" si="166"/>
        <v xml:space="preserve"> </v>
      </c>
      <c r="CM26" s="103" t="str">
        <f t="shared" si="167"/>
        <v xml:space="preserve"> </v>
      </c>
      <c r="CN26" s="103" t="str">
        <f t="shared" si="168"/>
        <v xml:space="preserve"> </v>
      </c>
      <c r="CO26" s="103" t="str">
        <f t="shared" si="169"/>
        <v xml:space="preserve"> </v>
      </c>
      <c r="CP26" s="103" t="str">
        <f t="shared" si="170"/>
        <v xml:space="preserve"> </v>
      </c>
      <c r="CQ26" s="103"/>
      <c r="CR26" s="103"/>
      <c r="CS26" s="103"/>
      <c r="CT26" s="112">
        <f t="shared" si="171"/>
        <v>4</v>
      </c>
      <c r="CU26" s="127"/>
      <c r="CV26" s="101">
        <f t="shared" si="76"/>
        <v>1157</v>
      </c>
      <c r="CW26" s="133" t="str">
        <f t="shared" si="77"/>
        <v>NBAA</v>
      </c>
      <c r="CX26" s="103">
        <f t="shared" si="172"/>
        <v>113998</v>
      </c>
      <c r="CY26" s="103">
        <f t="shared" si="173"/>
        <v>117648</v>
      </c>
      <c r="CZ26" s="103">
        <f t="shared" si="174"/>
        <v>118108</v>
      </c>
      <c r="DA26" s="103">
        <f t="shared" si="175"/>
        <v>100474</v>
      </c>
      <c r="DB26" s="103">
        <f t="shared" si="176"/>
        <v>151108</v>
      </c>
      <c r="DC26" s="103">
        <f t="shared" si="177"/>
        <v>164346</v>
      </c>
      <c r="DD26" s="103">
        <f t="shared" si="178"/>
        <v>189117</v>
      </c>
      <c r="DE26" s="103">
        <f t="shared" si="179"/>
        <v>176443</v>
      </c>
      <c r="DF26" s="103">
        <f t="shared" si="180"/>
        <v>139602</v>
      </c>
      <c r="DG26" s="103">
        <f t="shared" si="181"/>
        <v>147902</v>
      </c>
      <c r="DH26" s="103">
        <f t="shared" si="182"/>
        <v>117841</v>
      </c>
      <c r="DI26" s="103">
        <f t="shared" si="183"/>
        <v>159050</v>
      </c>
      <c r="DM26" s="224">
        <f t="shared" si="104"/>
        <v>141303.08333333334</v>
      </c>
    </row>
    <row r="27" spans="1:118" ht="15.75" x14ac:dyDescent="0.25">
      <c r="A27" s="136">
        <f t="shared" si="105"/>
        <v>1281</v>
      </c>
      <c r="B27" s="136" t="str">
        <f t="shared" si="106"/>
        <v>NBAA</v>
      </c>
      <c r="C27" s="42">
        <f t="shared" si="25"/>
        <v>2</v>
      </c>
      <c r="D27" s="39">
        <f t="shared" si="26"/>
        <v>7</v>
      </c>
      <c r="E27" s="25">
        <f t="shared" si="27"/>
        <v>8</v>
      </c>
      <c r="F27" s="25">
        <f t="shared" si="28"/>
        <v>7</v>
      </c>
      <c r="G27" s="145">
        <f t="shared" si="29"/>
        <v>2</v>
      </c>
      <c r="I27" s="101">
        <v>1281</v>
      </c>
      <c r="J27" s="133" t="s">
        <v>26</v>
      </c>
      <c r="K27" s="103" t="str">
        <f t="shared" si="107"/>
        <v xml:space="preserve"> </v>
      </c>
      <c r="L27" s="103" t="str">
        <f t="shared" si="108"/>
        <v xml:space="preserve"> </v>
      </c>
      <c r="M27" s="103">
        <f t="shared" si="109"/>
        <v>0</v>
      </c>
      <c r="N27" s="103">
        <f t="shared" si="110"/>
        <v>0</v>
      </c>
      <c r="O27" s="103">
        <f t="shared" si="111"/>
        <v>0</v>
      </c>
      <c r="P27" s="103">
        <f t="shared" si="112"/>
        <v>0</v>
      </c>
      <c r="Q27" s="103" t="str">
        <f t="shared" si="113"/>
        <v>X</v>
      </c>
      <c r="R27" s="103">
        <f t="shared" si="114"/>
        <v>0</v>
      </c>
      <c r="S27" s="103" t="str">
        <f t="shared" si="115"/>
        <v>X</v>
      </c>
      <c r="T27" s="103">
        <f t="shared" si="116"/>
        <v>0</v>
      </c>
      <c r="U27" s="103">
        <f t="shared" si="117"/>
        <v>0</v>
      </c>
      <c r="V27" s="103">
        <f t="shared" si="118"/>
        <v>0</v>
      </c>
      <c r="W27" s="103"/>
      <c r="X27" s="103"/>
      <c r="Y27" s="103"/>
      <c r="Z27" s="112">
        <f t="shared" si="119"/>
        <v>2</v>
      </c>
      <c r="AA27" s="123"/>
      <c r="AB27" s="103" t="str">
        <f t="shared" si="120"/>
        <v>X</v>
      </c>
      <c r="AC27" s="103" t="str">
        <f t="shared" si="121"/>
        <v>X</v>
      </c>
      <c r="AD27" s="103" t="str">
        <f t="shared" si="122"/>
        <v>X</v>
      </c>
      <c r="AE27" s="103" t="str">
        <f t="shared" si="123"/>
        <v>X</v>
      </c>
      <c r="AF27" s="103" t="str">
        <f t="shared" si="124"/>
        <v>X</v>
      </c>
      <c r="AG27" s="103" t="str">
        <f t="shared" si="125"/>
        <v>X</v>
      </c>
      <c r="AH27" s="103" t="str">
        <f t="shared" si="126"/>
        <v>X</v>
      </c>
      <c r="AI27" s="103" t="str">
        <f t="shared" si="127"/>
        <v xml:space="preserve"> </v>
      </c>
      <c r="AJ27" s="103" t="str">
        <f t="shared" si="128"/>
        <v xml:space="preserve"> </v>
      </c>
      <c r="AK27" s="103" t="str">
        <f t="shared" si="129"/>
        <v xml:space="preserve"> </v>
      </c>
      <c r="AL27" s="103" t="str">
        <f t="shared" si="130"/>
        <v xml:space="preserve"> </v>
      </c>
      <c r="AM27" s="103" t="str">
        <f t="shared" si="131"/>
        <v xml:space="preserve"> </v>
      </c>
      <c r="AN27" s="103"/>
      <c r="AO27" s="103"/>
      <c r="AP27" s="103"/>
      <c r="AQ27" s="112">
        <f t="shared" si="132"/>
        <v>7</v>
      </c>
      <c r="AR27" s="123"/>
      <c r="AS27" s="101">
        <f t="shared" si="8"/>
        <v>1281</v>
      </c>
      <c r="AT27" s="133" t="str">
        <f t="shared" si="9"/>
        <v>NBAA</v>
      </c>
      <c r="AU27" s="103" t="str">
        <f t="shared" si="133"/>
        <v>X</v>
      </c>
      <c r="AV27" s="103" t="str">
        <f t="shared" si="134"/>
        <v xml:space="preserve"> </v>
      </c>
      <c r="AW27" s="103" t="str">
        <f t="shared" si="135"/>
        <v xml:space="preserve"> </v>
      </c>
      <c r="AX27" s="103" t="str">
        <f t="shared" si="136"/>
        <v>X</v>
      </c>
      <c r="AY27" s="103" t="str">
        <f t="shared" si="137"/>
        <v xml:space="preserve"> </v>
      </c>
      <c r="AZ27" s="103" t="str">
        <f t="shared" si="138"/>
        <v xml:space="preserve"> </v>
      </c>
      <c r="BA27" s="103" t="str">
        <f t="shared" si="139"/>
        <v xml:space="preserve"> </v>
      </c>
      <c r="BB27" s="103" t="str">
        <f t="shared" si="140"/>
        <v xml:space="preserve"> </v>
      </c>
      <c r="BC27" s="103" t="str">
        <f t="shared" si="141"/>
        <v xml:space="preserve"> </v>
      </c>
      <c r="BD27" s="103" t="str">
        <f t="shared" si="142"/>
        <v xml:space="preserve"> </v>
      </c>
      <c r="BE27" s="103" t="str">
        <f t="shared" si="143"/>
        <v xml:space="preserve"> </v>
      </c>
      <c r="BF27" s="103" t="str">
        <f t="shared" si="144"/>
        <v xml:space="preserve"> </v>
      </c>
      <c r="BG27" s="103"/>
      <c r="BH27" s="103"/>
      <c r="BI27" s="103"/>
      <c r="BJ27" s="112">
        <f t="shared" si="145"/>
        <v>2</v>
      </c>
      <c r="BK27" s="123"/>
      <c r="BL27" s="103" t="str">
        <f t="shared" si="146"/>
        <v>X</v>
      </c>
      <c r="BM27" s="103" t="str">
        <f t="shared" si="147"/>
        <v>X</v>
      </c>
      <c r="BN27" s="103" t="str">
        <f t="shared" si="148"/>
        <v>X</v>
      </c>
      <c r="BO27" s="103" t="str">
        <f t="shared" si="149"/>
        <v>X</v>
      </c>
      <c r="BP27" s="103" t="str">
        <f t="shared" si="150"/>
        <v>X</v>
      </c>
      <c r="BQ27" s="103" t="str">
        <f t="shared" si="151"/>
        <v>X</v>
      </c>
      <c r="BR27" s="103" t="str">
        <f t="shared" si="152"/>
        <v>X</v>
      </c>
      <c r="BS27" s="103" t="str">
        <f t="shared" si="153"/>
        <v xml:space="preserve"> </v>
      </c>
      <c r="BT27" s="103" t="str">
        <f t="shared" si="154"/>
        <v>X</v>
      </c>
      <c r="BU27" s="103" t="str">
        <f t="shared" si="155"/>
        <v xml:space="preserve"> </v>
      </c>
      <c r="BV27" s="103" t="str">
        <f t="shared" si="156"/>
        <v xml:space="preserve"> </v>
      </c>
      <c r="BW27" s="103" t="str">
        <f t="shared" si="157"/>
        <v xml:space="preserve"> </v>
      </c>
      <c r="BX27" s="103"/>
      <c r="BY27" s="103"/>
      <c r="BZ27" s="103"/>
      <c r="CA27" s="112">
        <f t="shared" si="158"/>
        <v>8</v>
      </c>
      <c r="CB27" s="123"/>
      <c r="CC27" s="101">
        <f t="shared" si="61"/>
        <v>1281</v>
      </c>
      <c r="CD27" s="133" t="str">
        <f t="shared" si="62"/>
        <v>NBAA</v>
      </c>
      <c r="CE27" s="103" t="str">
        <f t="shared" si="159"/>
        <v>X</v>
      </c>
      <c r="CF27" s="103" t="str">
        <f t="shared" si="160"/>
        <v>X</v>
      </c>
      <c r="CG27" s="103" t="str">
        <f t="shared" si="161"/>
        <v>X</v>
      </c>
      <c r="CH27" s="103" t="str">
        <f t="shared" si="162"/>
        <v>X</v>
      </c>
      <c r="CI27" s="103" t="str">
        <f t="shared" si="163"/>
        <v>X</v>
      </c>
      <c r="CJ27" s="103" t="str">
        <f t="shared" si="164"/>
        <v>X</v>
      </c>
      <c r="CK27" s="103" t="str">
        <f t="shared" si="165"/>
        <v>X</v>
      </c>
      <c r="CL27" s="103" t="str">
        <f t="shared" si="166"/>
        <v xml:space="preserve"> </v>
      </c>
      <c r="CM27" s="103" t="str">
        <f t="shared" si="167"/>
        <v xml:space="preserve"> </v>
      </c>
      <c r="CN27" s="103" t="str">
        <f t="shared" si="168"/>
        <v xml:space="preserve"> </v>
      </c>
      <c r="CO27" s="103" t="str">
        <f t="shared" si="169"/>
        <v xml:space="preserve"> </v>
      </c>
      <c r="CP27" s="103" t="str">
        <f t="shared" si="170"/>
        <v xml:space="preserve"> </v>
      </c>
      <c r="CQ27" s="103"/>
      <c r="CR27" s="103"/>
      <c r="CS27" s="103"/>
      <c r="CT27" s="112">
        <f t="shared" si="171"/>
        <v>7</v>
      </c>
      <c r="CU27" s="127"/>
      <c r="CV27" s="101">
        <f t="shared" si="76"/>
        <v>1281</v>
      </c>
      <c r="CW27" s="133" t="str">
        <f t="shared" si="77"/>
        <v>NBAA</v>
      </c>
      <c r="CX27" s="103">
        <f t="shared" si="172"/>
        <v>22160</v>
      </c>
      <c r="CY27" s="103">
        <f t="shared" si="173"/>
        <v>26878</v>
      </c>
      <c r="CZ27" s="103">
        <f t="shared" si="174"/>
        <v>33184</v>
      </c>
      <c r="DA27" s="103">
        <f t="shared" si="175"/>
        <v>29303</v>
      </c>
      <c r="DB27" s="103">
        <f t="shared" si="176"/>
        <v>67154</v>
      </c>
      <c r="DC27" s="103">
        <f t="shared" si="177"/>
        <v>74611</v>
      </c>
      <c r="DD27" s="103">
        <f t="shared" si="178"/>
        <v>72487</v>
      </c>
      <c r="DE27" s="103">
        <f t="shared" si="179"/>
        <v>70586</v>
      </c>
      <c r="DF27" s="103">
        <f t="shared" si="180"/>
        <v>56058</v>
      </c>
      <c r="DG27" s="103">
        <f t="shared" si="181"/>
        <v>67421</v>
      </c>
      <c r="DH27" s="103">
        <f t="shared" si="182"/>
        <v>58097</v>
      </c>
      <c r="DI27" s="103">
        <f t="shared" si="183"/>
        <v>64269</v>
      </c>
      <c r="DM27" s="224">
        <f t="shared" si="104"/>
        <v>53517.333333333336</v>
      </c>
    </row>
    <row r="28" spans="1:118" ht="15.75" x14ac:dyDescent="0.25">
      <c r="A28" s="136">
        <f t="shared" si="105"/>
        <v>1340</v>
      </c>
      <c r="B28" s="136" t="str">
        <f t="shared" si="106"/>
        <v>NBAA</v>
      </c>
      <c r="C28" s="42" t="str">
        <f t="shared" si="25"/>
        <v xml:space="preserve"> </v>
      </c>
      <c r="D28" s="39">
        <f t="shared" si="26"/>
        <v>1</v>
      </c>
      <c r="E28" s="25">
        <f t="shared" si="27"/>
        <v>1</v>
      </c>
      <c r="F28" s="25">
        <f t="shared" si="28"/>
        <v>3</v>
      </c>
      <c r="G28" s="145" t="str">
        <f t="shared" si="29"/>
        <v xml:space="preserve"> </v>
      </c>
      <c r="I28" s="101">
        <v>1340</v>
      </c>
      <c r="J28" s="133" t="s">
        <v>26</v>
      </c>
      <c r="K28" s="103" t="str">
        <f t="shared" si="107"/>
        <v xml:space="preserve"> </v>
      </c>
      <c r="L28" s="103" t="str">
        <f t="shared" si="108"/>
        <v xml:space="preserve"> </v>
      </c>
      <c r="M28" s="103">
        <f t="shared" si="109"/>
        <v>0</v>
      </c>
      <c r="N28" s="103">
        <f t="shared" si="110"/>
        <v>0</v>
      </c>
      <c r="O28" s="103">
        <f t="shared" si="111"/>
        <v>0</v>
      </c>
      <c r="P28" s="103">
        <f t="shared" si="112"/>
        <v>0</v>
      </c>
      <c r="Q28" s="103">
        <f t="shared" si="113"/>
        <v>0</v>
      </c>
      <c r="R28" s="103">
        <f t="shared" si="114"/>
        <v>0</v>
      </c>
      <c r="S28" s="103">
        <f t="shared" si="115"/>
        <v>0</v>
      </c>
      <c r="T28" s="103">
        <f t="shared" si="116"/>
        <v>0</v>
      </c>
      <c r="U28" s="103">
        <f t="shared" si="117"/>
        <v>0</v>
      </c>
      <c r="V28" s="103">
        <f t="shared" si="118"/>
        <v>0</v>
      </c>
      <c r="W28" s="103"/>
      <c r="X28" s="103"/>
      <c r="Y28" s="103"/>
      <c r="Z28" s="112" t="str">
        <f t="shared" si="119"/>
        <v xml:space="preserve"> </v>
      </c>
      <c r="AA28" s="123"/>
      <c r="AB28" s="103" t="str">
        <f t="shared" si="120"/>
        <v>X</v>
      </c>
      <c r="AC28" s="103" t="str">
        <f t="shared" si="121"/>
        <v xml:space="preserve"> </v>
      </c>
      <c r="AD28" s="103" t="str">
        <f t="shared" si="122"/>
        <v xml:space="preserve"> </v>
      </c>
      <c r="AE28" s="103" t="str">
        <f t="shared" si="123"/>
        <v xml:space="preserve"> </v>
      </c>
      <c r="AF28" s="103" t="str">
        <f t="shared" si="124"/>
        <v xml:space="preserve"> </v>
      </c>
      <c r="AG28" s="103" t="str">
        <f t="shared" si="125"/>
        <v xml:space="preserve"> </v>
      </c>
      <c r="AH28" s="103" t="str">
        <f t="shared" si="126"/>
        <v xml:space="preserve"> </v>
      </c>
      <c r="AI28" s="103" t="str">
        <f t="shared" si="127"/>
        <v xml:space="preserve"> </v>
      </c>
      <c r="AJ28" s="103" t="str">
        <f t="shared" si="128"/>
        <v xml:space="preserve"> </v>
      </c>
      <c r="AK28" s="103" t="str">
        <f t="shared" si="129"/>
        <v xml:space="preserve"> </v>
      </c>
      <c r="AL28" s="103" t="str">
        <f t="shared" si="130"/>
        <v xml:space="preserve"> </v>
      </c>
      <c r="AM28" s="103" t="str">
        <f t="shared" si="131"/>
        <v xml:space="preserve"> </v>
      </c>
      <c r="AN28" s="103"/>
      <c r="AO28" s="103"/>
      <c r="AP28" s="103"/>
      <c r="AQ28" s="112">
        <f t="shared" si="132"/>
        <v>1</v>
      </c>
      <c r="AR28" s="123"/>
      <c r="AS28" s="101">
        <f t="shared" si="8"/>
        <v>1340</v>
      </c>
      <c r="AT28" s="133" t="str">
        <f t="shared" si="9"/>
        <v>NBAA</v>
      </c>
      <c r="AU28" s="103" t="str">
        <f t="shared" si="133"/>
        <v xml:space="preserve"> </v>
      </c>
      <c r="AV28" s="103" t="str">
        <f t="shared" si="134"/>
        <v xml:space="preserve"> </v>
      </c>
      <c r="AW28" s="103" t="str">
        <f t="shared" si="135"/>
        <v xml:space="preserve"> </v>
      </c>
      <c r="AX28" s="103" t="str">
        <f t="shared" si="136"/>
        <v xml:space="preserve"> </v>
      </c>
      <c r="AY28" s="103" t="str">
        <f t="shared" si="137"/>
        <v xml:space="preserve"> </v>
      </c>
      <c r="AZ28" s="103" t="str">
        <f t="shared" si="138"/>
        <v xml:space="preserve"> </v>
      </c>
      <c r="BA28" s="103" t="str">
        <f t="shared" si="139"/>
        <v xml:space="preserve"> </v>
      </c>
      <c r="BB28" s="103" t="str">
        <f t="shared" si="140"/>
        <v xml:space="preserve"> </v>
      </c>
      <c r="BC28" s="103" t="str">
        <f t="shared" si="141"/>
        <v xml:space="preserve"> </v>
      </c>
      <c r="BD28" s="103" t="str">
        <f t="shared" si="142"/>
        <v xml:space="preserve"> </v>
      </c>
      <c r="BE28" s="103" t="str">
        <f t="shared" si="143"/>
        <v xml:space="preserve"> </v>
      </c>
      <c r="BF28" s="103" t="str">
        <f t="shared" si="144"/>
        <v xml:space="preserve"> </v>
      </c>
      <c r="BG28" s="103"/>
      <c r="BH28" s="103"/>
      <c r="BI28" s="103"/>
      <c r="BJ28" s="112" t="str">
        <f t="shared" si="145"/>
        <v xml:space="preserve"> </v>
      </c>
      <c r="BK28" s="123"/>
      <c r="BL28" s="103" t="str">
        <f t="shared" si="146"/>
        <v>X</v>
      </c>
      <c r="BM28" s="103" t="str">
        <f t="shared" si="147"/>
        <v xml:space="preserve"> </v>
      </c>
      <c r="BN28" s="103" t="str">
        <f t="shared" si="148"/>
        <v xml:space="preserve"> </v>
      </c>
      <c r="BO28" s="103" t="str">
        <f t="shared" si="149"/>
        <v xml:space="preserve"> </v>
      </c>
      <c r="BP28" s="103" t="str">
        <f t="shared" si="150"/>
        <v xml:space="preserve"> </v>
      </c>
      <c r="BQ28" s="103" t="str">
        <f t="shared" si="151"/>
        <v xml:space="preserve"> </v>
      </c>
      <c r="BR28" s="103" t="str">
        <f t="shared" si="152"/>
        <v xml:space="preserve"> </v>
      </c>
      <c r="BS28" s="103" t="str">
        <f t="shared" si="153"/>
        <v xml:space="preserve"> </v>
      </c>
      <c r="BT28" s="103" t="str">
        <f t="shared" si="154"/>
        <v xml:space="preserve"> </v>
      </c>
      <c r="BU28" s="103" t="str">
        <f t="shared" si="155"/>
        <v xml:space="preserve"> </v>
      </c>
      <c r="BV28" s="103" t="str">
        <f t="shared" si="156"/>
        <v xml:space="preserve"> </v>
      </c>
      <c r="BW28" s="103" t="str">
        <f t="shared" si="157"/>
        <v xml:space="preserve"> </v>
      </c>
      <c r="BX28" s="103"/>
      <c r="BY28" s="103"/>
      <c r="BZ28" s="103"/>
      <c r="CA28" s="112">
        <f t="shared" si="158"/>
        <v>1</v>
      </c>
      <c r="CB28" s="123"/>
      <c r="CC28" s="101">
        <f t="shared" si="61"/>
        <v>1340</v>
      </c>
      <c r="CD28" s="133" t="str">
        <f t="shared" si="62"/>
        <v>NBAA</v>
      </c>
      <c r="CE28" s="103" t="str">
        <f t="shared" si="159"/>
        <v>X</v>
      </c>
      <c r="CF28" s="103" t="str">
        <f t="shared" si="160"/>
        <v>X</v>
      </c>
      <c r="CG28" s="103" t="str">
        <f t="shared" si="161"/>
        <v>X</v>
      </c>
      <c r="CH28" s="103" t="str">
        <f t="shared" si="162"/>
        <v xml:space="preserve"> </v>
      </c>
      <c r="CI28" s="103" t="str">
        <f t="shared" si="163"/>
        <v xml:space="preserve"> </v>
      </c>
      <c r="CJ28" s="103" t="str">
        <f t="shared" si="164"/>
        <v xml:space="preserve"> </v>
      </c>
      <c r="CK28" s="103" t="str">
        <f t="shared" si="165"/>
        <v xml:space="preserve"> </v>
      </c>
      <c r="CL28" s="103" t="str">
        <f t="shared" si="166"/>
        <v xml:space="preserve"> </v>
      </c>
      <c r="CM28" s="103" t="str">
        <f t="shared" si="167"/>
        <v xml:space="preserve"> </v>
      </c>
      <c r="CN28" s="103" t="str">
        <f t="shared" si="168"/>
        <v xml:space="preserve"> </v>
      </c>
      <c r="CO28" s="103" t="str">
        <f t="shared" si="169"/>
        <v xml:space="preserve"> </v>
      </c>
      <c r="CP28" s="103" t="str">
        <f t="shared" si="170"/>
        <v xml:space="preserve"> </v>
      </c>
      <c r="CQ28" s="103"/>
      <c r="CR28" s="103"/>
      <c r="CS28" s="103"/>
      <c r="CT28" s="112">
        <f t="shared" si="171"/>
        <v>3</v>
      </c>
      <c r="CU28" s="127"/>
      <c r="CV28" s="101">
        <f t="shared" si="76"/>
        <v>1340</v>
      </c>
      <c r="CW28" s="133" t="str">
        <f t="shared" si="77"/>
        <v>NBAA</v>
      </c>
      <c r="CX28" s="103">
        <f t="shared" si="172"/>
        <v>6302</v>
      </c>
      <c r="CY28" s="103">
        <f t="shared" si="173"/>
        <v>7086</v>
      </c>
      <c r="CZ28" s="103">
        <f t="shared" si="174"/>
        <v>7203</v>
      </c>
      <c r="DA28" s="103">
        <f t="shared" si="175"/>
        <v>5719</v>
      </c>
      <c r="DB28" s="103">
        <f t="shared" si="176"/>
        <v>5332</v>
      </c>
      <c r="DC28" s="103">
        <f t="shared" si="177"/>
        <v>4874</v>
      </c>
      <c r="DD28" s="103">
        <f t="shared" si="178"/>
        <v>6413</v>
      </c>
      <c r="DE28" s="103">
        <f t="shared" si="179"/>
        <v>6225</v>
      </c>
      <c r="DF28" s="103">
        <f t="shared" si="180"/>
        <v>6419</v>
      </c>
      <c r="DG28" s="103">
        <f t="shared" si="181"/>
        <v>6461</v>
      </c>
      <c r="DH28" s="103">
        <f t="shared" si="182"/>
        <v>5650</v>
      </c>
      <c r="DI28" s="103">
        <f t="shared" si="183"/>
        <v>7579</v>
      </c>
      <c r="DM28" s="224">
        <f t="shared" si="104"/>
        <v>6271.916666666667</v>
      </c>
    </row>
    <row r="29" spans="1:118" ht="15.75" x14ac:dyDescent="0.25">
      <c r="A29" s="136">
        <f t="shared" si="105"/>
        <v>1377</v>
      </c>
      <c r="B29" s="136" t="str">
        <f t="shared" si="106"/>
        <v>NBAA</v>
      </c>
      <c r="C29" s="42" t="str">
        <f t="shared" si="25"/>
        <v xml:space="preserve"> </v>
      </c>
      <c r="D29" s="39">
        <f t="shared" si="26"/>
        <v>1</v>
      </c>
      <c r="E29" s="25">
        <f t="shared" si="27"/>
        <v>2</v>
      </c>
      <c r="F29" s="25">
        <f t="shared" si="28"/>
        <v>1</v>
      </c>
      <c r="G29" s="145">
        <f t="shared" si="29"/>
        <v>2</v>
      </c>
      <c r="I29" s="101">
        <v>1377</v>
      </c>
      <c r="J29" s="133" t="s">
        <v>26</v>
      </c>
      <c r="K29" s="103" t="str">
        <f t="shared" si="107"/>
        <v xml:space="preserve"> </v>
      </c>
      <c r="L29" s="103" t="str">
        <f t="shared" si="108"/>
        <v xml:space="preserve"> </v>
      </c>
      <c r="M29" s="103">
        <f t="shared" si="109"/>
        <v>0</v>
      </c>
      <c r="N29" s="103">
        <f t="shared" si="110"/>
        <v>0</v>
      </c>
      <c r="O29" s="103">
        <f t="shared" si="111"/>
        <v>0</v>
      </c>
      <c r="P29" s="103">
        <f t="shared" si="112"/>
        <v>0</v>
      </c>
      <c r="Q29" s="103">
        <f t="shared" si="113"/>
        <v>0</v>
      </c>
      <c r="R29" s="103">
        <f t="shared" si="114"/>
        <v>0</v>
      </c>
      <c r="S29" s="103">
        <f t="shared" si="115"/>
        <v>0</v>
      </c>
      <c r="T29" s="103">
        <f t="shared" si="116"/>
        <v>0</v>
      </c>
      <c r="U29" s="103">
        <f t="shared" si="117"/>
        <v>0</v>
      </c>
      <c r="V29" s="103">
        <f t="shared" si="118"/>
        <v>0</v>
      </c>
      <c r="W29" s="103"/>
      <c r="X29" s="103"/>
      <c r="Y29" s="103"/>
      <c r="Z29" s="112" t="str">
        <f t="shared" si="119"/>
        <v xml:space="preserve"> </v>
      </c>
      <c r="AA29" s="123"/>
      <c r="AB29" s="103" t="str">
        <f t="shared" si="120"/>
        <v xml:space="preserve"> </v>
      </c>
      <c r="AC29" s="103" t="str">
        <f t="shared" si="121"/>
        <v xml:space="preserve"> </v>
      </c>
      <c r="AD29" s="103" t="str">
        <f t="shared" si="122"/>
        <v xml:space="preserve"> </v>
      </c>
      <c r="AE29" s="103" t="str">
        <f t="shared" si="123"/>
        <v xml:space="preserve"> </v>
      </c>
      <c r="AF29" s="103" t="str">
        <f t="shared" si="124"/>
        <v xml:space="preserve"> </v>
      </c>
      <c r="AG29" s="103" t="str">
        <f t="shared" si="125"/>
        <v xml:space="preserve"> </v>
      </c>
      <c r="AH29" s="103" t="str">
        <f t="shared" si="126"/>
        <v xml:space="preserve"> </v>
      </c>
      <c r="AI29" s="103" t="str">
        <f t="shared" si="127"/>
        <v xml:space="preserve"> </v>
      </c>
      <c r="AJ29" s="103" t="str">
        <f t="shared" si="128"/>
        <v>X</v>
      </c>
      <c r="AK29" s="103" t="str">
        <f t="shared" si="129"/>
        <v xml:space="preserve"> </v>
      </c>
      <c r="AL29" s="103" t="str">
        <f t="shared" si="130"/>
        <v xml:space="preserve"> </v>
      </c>
      <c r="AM29" s="103" t="str">
        <f t="shared" si="131"/>
        <v xml:space="preserve"> </v>
      </c>
      <c r="AN29" s="103"/>
      <c r="AO29" s="103"/>
      <c r="AP29" s="103"/>
      <c r="AQ29" s="112">
        <f t="shared" si="132"/>
        <v>1</v>
      </c>
      <c r="AR29" s="123"/>
      <c r="AS29" s="101">
        <f t="shared" si="8"/>
        <v>1377</v>
      </c>
      <c r="AT29" s="133" t="str">
        <f t="shared" si="9"/>
        <v>NBAA</v>
      </c>
      <c r="AU29" s="103" t="str">
        <f t="shared" si="133"/>
        <v xml:space="preserve"> </v>
      </c>
      <c r="AV29" s="103" t="str">
        <f t="shared" si="134"/>
        <v xml:space="preserve"> </v>
      </c>
      <c r="AW29" s="103" t="str">
        <f t="shared" si="135"/>
        <v xml:space="preserve"> </v>
      </c>
      <c r="AX29" s="103" t="str">
        <f t="shared" si="136"/>
        <v xml:space="preserve"> </v>
      </c>
      <c r="AY29" s="103" t="str">
        <f t="shared" si="137"/>
        <v xml:space="preserve"> </v>
      </c>
      <c r="AZ29" s="103" t="str">
        <f t="shared" si="138"/>
        <v xml:space="preserve"> </v>
      </c>
      <c r="BA29" s="103" t="str">
        <f t="shared" si="139"/>
        <v>X</v>
      </c>
      <c r="BB29" s="103" t="str">
        <f t="shared" si="140"/>
        <v xml:space="preserve"> </v>
      </c>
      <c r="BC29" s="103" t="str">
        <f t="shared" si="141"/>
        <v xml:space="preserve"> </v>
      </c>
      <c r="BD29" s="103" t="str">
        <f t="shared" si="142"/>
        <v>X</v>
      </c>
      <c r="BE29" s="103" t="str">
        <f t="shared" si="143"/>
        <v xml:space="preserve"> </v>
      </c>
      <c r="BF29" s="103" t="str">
        <f t="shared" si="144"/>
        <v xml:space="preserve"> </v>
      </c>
      <c r="BG29" s="103"/>
      <c r="BH29" s="103"/>
      <c r="BI29" s="103"/>
      <c r="BJ29" s="112">
        <f t="shared" si="145"/>
        <v>2</v>
      </c>
      <c r="BK29" s="123"/>
      <c r="BL29" s="103" t="str">
        <f t="shared" si="146"/>
        <v xml:space="preserve"> </v>
      </c>
      <c r="BM29" s="103" t="str">
        <f t="shared" si="147"/>
        <v xml:space="preserve"> </v>
      </c>
      <c r="BN29" s="103" t="str">
        <f t="shared" si="148"/>
        <v xml:space="preserve"> </v>
      </c>
      <c r="BO29" s="103" t="str">
        <f t="shared" si="149"/>
        <v xml:space="preserve"> </v>
      </c>
      <c r="BP29" s="103" t="str">
        <f t="shared" si="150"/>
        <v xml:space="preserve"> </v>
      </c>
      <c r="BQ29" s="103" t="str">
        <f t="shared" si="151"/>
        <v xml:space="preserve"> </v>
      </c>
      <c r="BR29" s="103" t="str">
        <f t="shared" si="152"/>
        <v xml:space="preserve"> </v>
      </c>
      <c r="BS29" s="103" t="str">
        <f t="shared" si="153"/>
        <v xml:space="preserve"> </v>
      </c>
      <c r="BT29" s="103" t="str">
        <f t="shared" si="154"/>
        <v>X</v>
      </c>
      <c r="BU29" s="103" t="str">
        <f t="shared" si="155"/>
        <v>X</v>
      </c>
      <c r="BV29" s="103" t="str">
        <f t="shared" si="156"/>
        <v xml:space="preserve"> </v>
      </c>
      <c r="BW29" s="103" t="str">
        <f t="shared" si="157"/>
        <v xml:space="preserve"> </v>
      </c>
      <c r="BX29" s="103"/>
      <c r="BY29" s="103"/>
      <c r="BZ29" s="103"/>
      <c r="CA29" s="112">
        <f t="shared" si="158"/>
        <v>2</v>
      </c>
      <c r="CB29" s="123"/>
      <c r="CC29" s="101">
        <f t="shared" si="61"/>
        <v>1377</v>
      </c>
      <c r="CD29" s="133" t="str">
        <f t="shared" si="62"/>
        <v>NBAA</v>
      </c>
      <c r="CE29" s="103" t="str">
        <f t="shared" si="159"/>
        <v xml:space="preserve"> </v>
      </c>
      <c r="CF29" s="103" t="str">
        <f t="shared" si="160"/>
        <v xml:space="preserve"> </v>
      </c>
      <c r="CG29" s="103" t="str">
        <f t="shared" si="161"/>
        <v xml:space="preserve"> </v>
      </c>
      <c r="CH29" s="103" t="str">
        <f t="shared" si="162"/>
        <v xml:space="preserve"> </v>
      </c>
      <c r="CI29" s="103" t="str">
        <f t="shared" si="163"/>
        <v xml:space="preserve"> </v>
      </c>
      <c r="CJ29" s="103" t="str">
        <f t="shared" si="164"/>
        <v xml:space="preserve"> </v>
      </c>
      <c r="CK29" s="103" t="str">
        <f t="shared" si="165"/>
        <v xml:space="preserve"> </v>
      </c>
      <c r="CL29" s="103" t="str">
        <f t="shared" si="166"/>
        <v xml:space="preserve"> </v>
      </c>
      <c r="CM29" s="103" t="str">
        <f t="shared" si="167"/>
        <v>X</v>
      </c>
      <c r="CN29" s="103" t="str">
        <f t="shared" si="168"/>
        <v xml:space="preserve"> </v>
      </c>
      <c r="CO29" s="103" t="str">
        <f t="shared" si="169"/>
        <v xml:space="preserve"> </v>
      </c>
      <c r="CP29" s="103" t="str">
        <f t="shared" si="170"/>
        <v xml:space="preserve"> </v>
      </c>
      <c r="CQ29" s="103"/>
      <c r="CR29" s="103"/>
      <c r="CS29" s="103"/>
      <c r="CT29" s="112">
        <f t="shared" si="171"/>
        <v>1</v>
      </c>
      <c r="CU29" s="127"/>
      <c r="CV29" s="101">
        <f t="shared" si="76"/>
        <v>1377</v>
      </c>
      <c r="CW29" s="133" t="str">
        <f t="shared" si="77"/>
        <v>NBAA</v>
      </c>
      <c r="CX29" s="103">
        <f t="shared" si="172"/>
        <v>111288</v>
      </c>
      <c r="CY29" s="103">
        <f t="shared" si="173"/>
        <v>111837</v>
      </c>
      <c r="CZ29" s="103">
        <f t="shared" si="174"/>
        <v>112615</v>
      </c>
      <c r="DA29" s="103">
        <f t="shared" si="175"/>
        <v>113318</v>
      </c>
      <c r="DB29" s="103">
        <f t="shared" si="176"/>
        <v>134165</v>
      </c>
      <c r="DC29" s="103">
        <f t="shared" si="177"/>
        <v>144055</v>
      </c>
      <c r="DD29" s="103">
        <f t="shared" si="178"/>
        <v>153312</v>
      </c>
      <c r="DE29" s="103">
        <f t="shared" si="179"/>
        <v>153410</v>
      </c>
      <c r="DF29" s="103">
        <f t="shared" si="180"/>
        <v>132047</v>
      </c>
      <c r="DG29" s="103">
        <f t="shared" si="181"/>
        <v>123231</v>
      </c>
      <c r="DH29" s="103">
        <f t="shared" si="182"/>
        <v>123110</v>
      </c>
      <c r="DI29" s="103">
        <f t="shared" si="183"/>
        <v>121363</v>
      </c>
      <c r="DM29" s="224">
        <f t="shared" si="104"/>
        <v>127812.58333333333</v>
      </c>
    </row>
    <row r="30" spans="1:118" ht="15.75" x14ac:dyDescent="0.25">
      <c r="A30" s="136">
        <f t="shared" si="105"/>
        <v>1830</v>
      </c>
      <c r="B30" s="136" t="str">
        <f t="shared" si="106"/>
        <v>NBAA</v>
      </c>
      <c r="C30" s="42" t="str">
        <f t="shared" si="25"/>
        <v xml:space="preserve"> </v>
      </c>
      <c r="D30" s="39">
        <f t="shared" si="26"/>
        <v>1</v>
      </c>
      <c r="E30" s="25">
        <f t="shared" si="27"/>
        <v>1</v>
      </c>
      <c r="F30" s="25">
        <f t="shared" si="28"/>
        <v>2</v>
      </c>
      <c r="G30" s="145" t="str">
        <f t="shared" si="29"/>
        <v xml:space="preserve"> </v>
      </c>
      <c r="I30" s="101">
        <v>1830</v>
      </c>
      <c r="J30" s="133" t="s">
        <v>26</v>
      </c>
      <c r="K30" s="103" t="str">
        <f t="shared" si="107"/>
        <v xml:space="preserve"> </v>
      </c>
      <c r="L30" s="103" t="str">
        <f t="shared" si="108"/>
        <v xml:space="preserve"> </v>
      </c>
      <c r="M30" s="103">
        <f t="shared" si="109"/>
        <v>0</v>
      </c>
      <c r="N30" s="103">
        <f t="shared" si="110"/>
        <v>0</v>
      </c>
      <c r="O30" s="103">
        <f t="shared" si="111"/>
        <v>0</v>
      </c>
      <c r="P30" s="103">
        <f t="shared" si="112"/>
        <v>0</v>
      </c>
      <c r="Q30" s="103">
        <f t="shared" si="113"/>
        <v>0</v>
      </c>
      <c r="R30" s="103">
        <f t="shared" si="114"/>
        <v>0</v>
      </c>
      <c r="S30" s="103">
        <f t="shared" si="115"/>
        <v>0</v>
      </c>
      <c r="T30" s="103">
        <f t="shared" si="116"/>
        <v>0</v>
      </c>
      <c r="U30" s="103">
        <f t="shared" si="117"/>
        <v>0</v>
      </c>
      <c r="V30" s="103">
        <f t="shared" si="118"/>
        <v>0</v>
      </c>
      <c r="W30" s="103"/>
      <c r="X30" s="103"/>
      <c r="Y30" s="103"/>
      <c r="Z30" s="112" t="str">
        <f t="shared" si="119"/>
        <v xml:space="preserve"> </v>
      </c>
      <c r="AA30" s="123"/>
      <c r="AB30" s="103" t="str">
        <f t="shared" si="120"/>
        <v xml:space="preserve"> </v>
      </c>
      <c r="AC30" s="103" t="str">
        <f t="shared" si="121"/>
        <v xml:space="preserve"> </v>
      </c>
      <c r="AD30" s="103" t="str">
        <f t="shared" si="122"/>
        <v xml:space="preserve"> </v>
      </c>
      <c r="AE30" s="103" t="str">
        <f t="shared" si="123"/>
        <v xml:space="preserve"> </v>
      </c>
      <c r="AF30" s="103" t="str">
        <f t="shared" si="124"/>
        <v xml:space="preserve"> </v>
      </c>
      <c r="AG30" s="103" t="str">
        <f t="shared" si="125"/>
        <v xml:space="preserve"> </v>
      </c>
      <c r="AH30" s="103" t="str">
        <f t="shared" si="126"/>
        <v xml:space="preserve"> </v>
      </c>
      <c r="AI30" s="103" t="str">
        <f t="shared" si="127"/>
        <v xml:space="preserve"> </v>
      </c>
      <c r="AJ30" s="103" t="str">
        <f t="shared" si="128"/>
        <v xml:space="preserve"> </v>
      </c>
      <c r="AK30" s="103" t="str">
        <f t="shared" si="129"/>
        <v xml:space="preserve"> </v>
      </c>
      <c r="AL30" s="103" t="str">
        <f t="shared" si="130"/>
        <v xml:space="preserve"> </v>
      </c>
      <c r="AM30" s="103" t="str">
        <f t="shared" si="131"/>
        <v>X</v>
      </c>
      <c r="AN30" s="103"/>
      <c r="AO30" s="103"/>
      <c r="AP30" s="103"/>
      <c r="AQ30" s="112">
        <f t="shared" si="132"/>
        <v>1</v>
      </c>
      <c r="AR30" s="123"/>
      <c r="AS30" s="101">
        <f t="shared" si="8"/>
        <v>1830</v>
      </c>
      <c r="AT30" s="133" t="str">
        <f t="shared" si="9"/>
        <v>NBAA</v>
      </c>
      <c r="AU30" s="103" t="str">
        <f t="shared" si="133"/>
        <v xml:space="preserve"> </v>
      </c>
      <c r="AV30" s="103" t="str">
        <f t="shared" si="134"/>
        <v xml:space="preserve"> </v>
      </c>
      <c r="AW30" s="103" t="str">
        <f t="shared" si="135"/>
        <v xml:space="preserve"> </v>
      </c>
      <c r="AX30" s="103" t="str">
        <f t="shared" si="136"/>
        <v xml:space="preserve"> </v>
      </c>
      <c r="AY30" s="103" t="str">
        <f t="shared" si="137"/>
        <v xml:space="preserve"> </v>
      </c>
      <c r="AZ30" s="103" t="str">
        <f t="shared" si="138"/>
        <v xml:space="preserve"> </v>
      </c>
      <c r="BA30" s="103" t="str">
        <f t="shared" si="139"/>
        <v xml:space="preserve"> </v>
      </c>
      <c r="BB30" s="103" t="str">
        <f t="shared" si="140"/>
        <v xml:space="preserve"> </v>
      </c>
      <c r="BC30" s="103" t="str">
        <f t="shared" si="141"/>
        <v xml:space="preserve"> </v>
      </c>
      <c r="BD30" s="103" t="str">
        <f t="shared" si="142"/>
        <v xml:space="preserve"> </v>
      </c>
      <c r="BE30" s="103" t="str">
        <f t="shared" si="143"/>
        <v xml:space="preserve"> </v>
      </c>
      <c r="BF30" s="103" t="str">
        <f t="shared" si="144"/>
        <v xml:space="preserve"> </v>
      </c>
      <c r="BG30" s="103"/>
      <c r="BH30" s="103"/>
      <c r="BI30" s="103"/>
      <c r="BJ30" s="112" t="str">
        <f t="shared" si="145"/>
        <v xml:space="preserve"> </v>
      </c>
      <c r="BK30" s="123"/>
      <c r="BL30" s="103" t="str">
        <f t="shared" si="146"/>
        <v xml:space="preserve"> </v>
      </c>
      <c r="BM30" s="103" t="str">
        <f t="shared" si="147"/>
        <v xml:space="preserve"> </v>
      </c>
      <c r="BN30" s="103" t="str">
        <f t="shared" si="148"/>
        <v xml:space="preserve"> </v>
      </c>
      <c r="BO30" s="103" t="str">
        <f t="shared" si="149"/>
        <v xml:space="preserve"> </v>
      </c>
      <c r="BP30" s="103" t="str">
        <f t="shared" si="150"/>
        <v xml:space="preserve"> </v>
      </c>
      <c r="BQ30" s="103" t="str">
        <f t="shared" si="151"/>
        <v xml:space="preserve"> </v>
      </c>
      <c r="BR30" s="103" t="str">
        <f t="shared" si="152"/>
        <v xml:space="preserve"> </v>
      </c>
      <c r="BS30" s="103" t="str">
        <f t="shared" si="153"/>
        <v xml:space="preserve"> </v>
      </c>
      <c r="BT30" s="103" t="str">
        <f t="shared" si="154"/>
        <v xml:space="preserve"> </v>
      </c>
      <c r="BU30" s="103" t="str">
        <f t="shared" si="155"/>
        <v xml:space="preserve"> </v>
      </c>
      <c r="BV30" s="103" t="str">
        <f t="shared" si="156"/>
        <v xml:space="preserve"> </v>
      </c>
      <c r="BW30" s="103" t="str">
        <f t="shared" si="157"/>
        <v>X</v>
      </c>
      <c r="BX30" s="103"/>
      <c r="BY30" s="103"/>
      <c r="BZ30" s="103"/>
      <c r="CA30" s="112">
        <f t="shared" si="158"/>
        <v>1</v>
      </c>
      <c r="CB30" s="123"/>
      <c r="CC30" s="101">
        <f t="shared" si="61"/>
        <v>1830</v>
      </c>
      <c r="CD30" s="133" t="str">
        <f t="shared" si="62"/>
        <v>NBAA</v>
      </c>
      <c r="CE30" s="103" t="str">
        <f t="shared" si="159"/>
        <v xml:space="preserve"> </v>
      </c>
      <c r="CF30" s="103" t="str">
        <f t="shared" si="160"/>
        <v xml:space="preserve"> </v>
      </c>
      <c r="CG30" s="103" t="str">
        <f t="shared" si="161"/>
        <v xml:space="preserve"> </v>
      </c>
      <c r="CH30" s="103" t="str">
        <f t="shared" si="162"/>
        <v xml:space="preserve"> </v>
      </c>
      <c r="CI30" s="103" t="str">
        <f t="shared" si="163"/>
        <v>X</v>
      </c>
      <c r="CJ30" s="103" t="str">
        <f t="shared" si="164"/>
        <v xml:space="preserve"> </v>
      </c>
      <c r="CK30" s="103" t="str">
        <f t="shared" si="165"/>
        <v xml:space="preserve"> </v>
      </c>
      <c r="CL30" s="103" t="str">
        <f t="shared" si="166"/>
        <v xml:space="preserve"> </v>
      </c>
      <c r="CM30" s="103" t="str">
        <f t="shared" si="167"/>
        <v xml:space="preserve"> </v>
      </c>
      <c r="CN30" s="103" t="str">
        <f t="shared" si="168"/>
        <v xml:space="preserve"> </v>
      </c>
      <c r="CO30" s="103" t="str">
        <f t="shared" si="169"/>
        <v xml:space="preserve"> </v>
      </c>
      <c r="CP30" s="103" t="str">
        <f t="shared" si="170"/>
        <v>X</v>
      </c>
      <c r="CQ30" s="103"/>
      <c r="CR30" s="103"/>
      <c r="CS30" s="103"/>
      <c r="CT30" s="112">
        <f t="shared" si="171"/>
        <v>2</v>
      </c>
      <c r="CU30" s="127"/>
      <c r="CV30" s="101">
        <f t="shared" si="76"/>
        <v>1830</v>
      </c>
      <c r="CW30" s="133" t="str">
        <f t="shared" si="77"/>
        <v>NBAA</v>
      </c>
      <c r="CX30" s="103">
        <f t="shared" si="172"/>
        <v>1</v>
      </c>
      <c r="CY30" s="103">
        <f t="shared" si="173"/>
        <v>1</v>
      </c>
      <c r="CZ30" s="103">
        <f t="shared" si="174"/>
        <v>1</v>
      </c>
      <c r="DA30" s="103">
        <f t="shared" si="175"/>
        <v>1</v>
      </c>
      <c r="DB30" s="103">
        <f t="shared" si="176"/>
        <v>1</v>
      </c>
      <c r="DC30" s="103">
        <f t="shared" si="177"/>
        <v>3857</v>
      </c>
      <c r="DD30" s="103">
        <f t="shared" si="178"/>
        <v>1</v>
      </c>
      <c r="DE30" s="103">
        <f t="shared" si="179"/>
        <v>1</v>
      </c>
      <c r="DF30" s="103">
        <f t="shared" si="180"/>
        <v>1</v>
      </c>
      <c r="DG30" s="103">
        <f t="shared" si="181"/>
        <v>3722</v>
      </c>
      <c r="DH30" s="103">
        <f t="shared" si="182"/>
        <v>3642</v>
      </c>
      <c r="DI30" s="103">
        <f t="shared" si="183"/>
        <v>96</v>
      </c>
      <c r="DM30" s="224">
        <f t="shared" si="104"/>
        <v>943.75</v>
      </c>
    </row>
    <row r="31" spans="1:118" ht="15.75" x14ac:dyDescent="0.25">
      <c r="A31" s="136">
        <f t="shared" si="105"/>
        <v>1864</v>
      </c>
      <c r="B31" s="136" t="str">
        <f t="shared" si="106"/>
        <v>NBAA</v>
      </c>
      <c r="C31" s="42">
        <f t="shared" si="25"/>
        <v>4</v>
      </c>
      <c r="D31" s="39">
        <f t="shared" si="26"/>
        <v>8</v>
      </c>
      <c r="E31" s="25">
        <f t="shared" si="27"/>
        <v>10</v>
      </c>
      <c r="F31" s="25">
        <f t="shared" si="28"/>
        <v>8</v>
      </c>
      <c r="G31" s="145">
        <f t="shared" si="29"/>
        <v>1</v>
      </c>
      <c r="I31" s="101">
        <v>1864</v>
      </c>
      <c r="J31" s="133" t="s">
        <v>26</v>
      </c>
      <c r="K31" s="103" t="str">
        <f t="shared" si="107"/>
        <v xml:space="preserve"> </v>
      </c>
      <c r="L31" s="103" t="str">
        <f t="shared" si="108"/>
        <v xml:space="preserve"> </v>
      </c>
      <c r="M31" s="103">
        <f t="shared" si="109"/>
        <v>0</v>
      </c>
      <c r="N31" s="103">
        <f t="shared" si="110"/>
        <v>0</v>
      </c>
      <c r="O31" s="103">
        <f t="shared" si="111"/>
        <v>0</v>
      </c>
      <c r="P31" s="103">
        <f t="shared" si="112"/>
        <v>0</v>
      </c>
      <c r="Q31" s="103" t="str">
        <f t="shared" si="113"/>
        <v>X</v>
      </c>
      <c r="R31" s="103">
        <f t="shared" si="114"/>
        <v>0</v>
      </c>
      <c r="S31" s="103" t="str">
        <f t="shared" si="115"/>
        <v>X</v>
      </c>
      <c r="T31" s="103" t="str">
        <f t="shared" si="116"/>
        <v>X</v>
      </c>
      <c r="U31" s="103">
        <f t="shared" si="117"/>
        <v>0</v>
      </c>
      <c r="V31" s="103" t="str">
        <f t="shared" si="118"/>
        <v>X</v>
      </c>
      <c r="W31" s="103"/>
      <c r="X31" s="103"/>
      <c r="Y31" s="103"/>
      <c r="Z31" s="112">
        <f t="shared" si="119"/>
        <v>4</v>
      </c>
      <c r="AA31" s="123"/>
      <c r="AB31" s="103" t="str">
        <f t="shared" si="120"/>
        <v>X</v>
      </c>
      <c r="AC31" s="103" t="str">
        <f t="shared" si="121"/>
        <v>X</v>
      </c>
      <c r="AD31" s="103" t="str">
        <f t="shared" si="122"/>
        <v>X</v>
      </c>
      <c r="AE31" s="103" t="str">
        <f t="shared" si="123"/>
        <v xml:space="preserve"> </v>
      </c>
      <c r="AF31" s="103" t="str">
        <f t="shared" si="124"/>
        <v>X</v>
      </c>
      <c r="AG31" s="103" t="str">
        <f t="shared" si="125"/>
        <v xml:space="preserve"> </v>
      </c>
      <c r="AH31" s="103" t="str">
        <f t="shared" si="126"/>
        <v>X</v>
      </c>
      <c r="AI31" s="103" t="str">
        <f t="shared" si="127"/>
        <v xml:space="preserve"> </v>
      </c>
      <c r="AJ31" s="103" t="str">
        <f t="shared" si="128"/>
        <v xml:space="preserve"> </v>
      </c>
      <c r="AK31" s="103" t="str">
        <f t="shared" si="129"/>
        <v>X</v>
      </c>
      <c r="AL31" s="103" t="str">
        <f t="shared" si="130"/>
        <v>X</v>
      </c>
      <c r="AM31" s="103" t="str">
        <f t="shared" si="131"/>
        <v>X</v>
      </c>
      <c r="AN31" s="103"/>
      <c r="AO31" s="103"/>
      <c r="AP31" s="103"/>
      <c r="AQ31" s="112">
        <f t="shared" si="132"/>
        <v>8</v>
      </c>
      <c r="AR31" s="123"/>
      <c r="AS31" s="101">
        <f t="shared" si="8"/>
        <v>1864</v>
      </c>
      <c r="AT31" s="133" t="str">
        <f t="shared" si="9"/>
        <v>NBAA</v>
      </c>
      <c r="AU31" s="103" t="str">
        <f t="shared" si="133"/>
        <v xml:space="preserve"> </v>
      </c>
      <c r="AV31" s="103" t="str">
        <f t="shared" si="134"/>
        <v xml:space="preserve"> </v>
      </c>
      <c r="AW31" s="103" t="str">
        <f t="shared" si="135"/>
        <v xml:space="preserve"> </v>
      </c>
      <c r="AX31" s="103" t="str">
        <f t="shared" si="136"/>
        <v xml:space="preserve"> </v>
      </c>
      <c r="AY31" s="103" t="str">
        <f t="shared" si="137"/>
        <v xml:space="preserve"> </v>
      </c>
      <c r="AZ31" s="103" t="str">
        <f t="shared" si="138"/>
        <v xml:space="preserve"> </v>
      </c>
      <c r="BA31" s="103" t="str">
        <f t="shared" si="139"/>
        <v xml:space="preserve"> </v>
      </c>
      <c r="BB31" s="103" t="str">
        <f t="shared" si="140"/>
        <v xml:space="preserve"> </v>
      </c>
      <c r="BC31" s="103" t="str">
        <f t="shared" si="141"/>
        <v xml:space="preserve"> </v>
      </c>
      <c r="BD31" s="103" t="str">
        <f t="shared" si="142"/>
        <v xml:space="preserve"> </v>
      </c>
      <c r="BE31" s="103" t="str">
        <f t="shared" si="143"/>
        <v>X</v>
      </c>
      <c r="BF31" s="103" t="str">
        <f t="shared" si="144"/>
        <v xml:space="preserve"> </v>
      </c>
      <c r="BG31" s="103"/>
      <c r="BH31" s="103"/>
      <c r="BI31" s="103"/>
      <c r="BJ31" s="112">
        <f t="shared" si="145"/>
        <v>1</v>
      </c>
      <c r="BK31" s="123"/>
      <c r="BL31" s="103" t="str">
        <f t="shared" si="146"/>
        <v>X</v>
      </c>
      <c r="BM31" s="103" t="str">
        <f t="shared" si="147"/>
        <v>X</v>
      </c>
      <c r="BN31" s="103" t="str">
        <f t="shared" si="148"/>
        <v>X</v>
      </c>
      <c r="BO31" s="103" t="str">
        <f t="shared" si="149"/>
        <v xml:space="preserve"> </v>
      </c>
      <c r="BP31" s="103" t="str">
        <f t="shared" si="150"/>
        <v>X</v>
      </c>
      <c r="BQ31" s="103" t="str">
        <f t="shared" si="151"/>
        <v>X</v>
      </c>
      <c r="BR31" s="103" t="str">
        <f t="shared" si="152"/>
        <v>X</v>
      </c>
      <c r="BS31" s="103" t="str">
        <f t="shared" si="153"/>
        <v>X</v>
      </c>
      <c r="BT31" s="103" t="str">
        <f t="shared" si="154"/>
        <v xml:space="preserve"> </v>
      </c>
      <c r="BU31" s="103" t="str">
        <f t="shared" si="155"/>
        <v>X</v>
      </c>
      <c r="BV31" s="103" t="str">
        <f t="shared" si="156"/>
        <v>X</v>
      </c>
      <c r="BW31" s="103" t="str">
        <f t="shared" si="157"/>
        <v>X</v>
      </c>
      <c r="BX31" s="103"/>
      <c r="BY31" s="103"/>
      <c r="BZ31" s="103"/>
      <c r="CA31" s="112">
        <f t="shared" si="158"/>
        <v>10</v>
      </c>
      <c r="CB31" s="123"/>
      <c r="CC31" s="101">
        <f t="shared" si="61"/>
        <v>1864</v>
      </c>
      <c r="CD31" s="133" t="str">
        <f t="shared" si="62"/>
        <v>NBAA</v>
      </c>
      <c r="CE31" s="103" t="str">
        <f t="shared" si="159"/>
        <v>X</v>
      </c>
      <c r="CF31" s="103" t="str">
        <f t="shared" si="160"/>
        <v>X</v>
      </c>
      <c r="CG31" s="103" t="str">
        <f t="shared" si="161"/>
        <v>X</v>
      </c>
      <c r="CH31" s="103" t="str">
        <f t="shared" si="162"/>
        <v xml:space="preserve"> </v>
      </c>
      <c r="CI31" s="103" t="str">
        <f t="shared" si="163"/>
        <v>X</v>
      </c>
      <c r="CJ31" s="103" t="str">
        <f t="shared" si="164"/>
        <v xml:space="preserve"> </v>
      </c>
      <c r="CK31" s="103" t="str">
        <f t="shared" si="165"/>
        <v>X</v>
      </c>
      <c r="CL31" s="103" t="str">
        <f t="shared" si="166"/>
        <v xml:space="preserve"> </v>
      </c>
      <c r="CM31" s="103" t="str">
        <f t="shared" si="167"/>
        <v xml:space="preserve"> </v>
      </c>
      <c r="CN31" s="103" t="str">
        <f t="shared" si="168"/>
        <v>X</v>
      </c>
      <c r="CO31" s="103" t="str">
        <f t="shared" si="169"/>
        <v>X</v>
      </c>
      <c r="CP31" s="103" t="str">
        <f t="shared" si="170"/>
        <v>X</v>
      </c>
      <c r="CQ31" s="103"/>
      <c r="CR31" s="103"/>
      <c r="CS31" s="103"/>
      <c r="CT31" s="112">
        <f t="shared" si="171"/>
        <v>8</v>
      </c>
      <c r="CU31" s="127"/>
      <c r="CV31" s="101">
        <f t="shared" si="76"/>
        <v>1864</v>
      </c>
      <c r="CW31" s="133" t="str">
        <f t="shared" si="77"/>
        <v>NBAA</v>
      </c>
      <c r="CX31" s="103">
        <f t="shared" si="172"/>
        <v>339688</v>
      </c>
      <c r="CY31" s="103">
        <f t="shared" si="173"/>
        <v>259883</v>
      </c>
      <c r="CZ31" s="103">
        <f t="shared" si="174"/>
        <v>246813</v>
      </c>
      <c r="DA31" s="103">
        <f t="shared" si="175"/>
        <v>215535</v>
      </c>
      <c r="DB31" s="103">
        <f t="shared" si="176"/>
        <v>531148</v>
      </c>
      <c r="DC31" s="103">
        <f t="shared" si="177"/>
        <v>519733</v>
      </c>
      <c r="DD31" s="103">
        <f t="shared" si="178"/>
        <v>527793</v>
      </c>
      <c r="DE31" s="103">
        <f t="shared" si="179"/>
        <v>514891</v>
      </c>
      <c r="DF31" s="103">
        <f t="shared" si="180"/>
        <v>481387</v>
      </c>
      <c r="DG31" s="103">
        <f t="shared" si="181"/>
        <v>483508</v>
      </c>
      <c r="DH31" s="103">
        <f t="shared" si="182"/>
        <v>484315</v>
      </c>
      <c r="DI31" s="103">
        <f t="shared" si="183"/>
        <v>471213</v>
      </c>
      <c r="DM31" s="224">
        <f t="shared" si="104"/>
        <v>422992.25</v>
      </c>
    </row>
    <row r="32" spans="1:118" ht="15.75" x14ac:dyDescent="0.25">
      <c r="A32" s="136">
        <f t="shared" si="105"/>
        <v>1922</v>
      </c>
      <c r="B32" s="136" t="str">
        <f t="shared" si="106"/>
        <v>NBAA</v>
      </c>
      <c r="C32" s="42">
        <f t="shared" si="25"/>
        <v>1</v>
      </c>
      <c r="D32" s="39">
        <f t="shared" si="26"/>
        <v>6</v>
      </c>
      <c r="E32" s="25">
        <f t="shared" si="27"/>
        <v>7</v>
      </c>
      <c r="F32" s="25">
        <f t="shared" si="28"/>
        <v>6</v>
      </c>
      <c r="G32" s="145" t="str">
        <f t="shared" si="29"/>
        <v xml:space="preserve"> </v>
      </c>
      <c r="I32" s="101">
        <v>1922</v>
      </c>
      <c r="J32" s="133" t="s">
        <v>26</v>
      </c>
      <c r="K32" s="103" t="str">
        <f t="shared" si="107"/>
        <v xml:space="preserve"> </v>
      </c>
      <c r="L32" s="103" t="str">
        <f t="shared" si="108"/>
        <v xml:space="preserve"> </v>
      </c>
      <c r="M32" s="103">
        <f t="shared" si="109"/>
        <v>0</v>
      </c>
      <c r="N32" s="103">
        <f t="shared" si="110"/>
        <v>0</v>
      </c>
      <c r="O32" s="103">
        <f t="shared" si="111"/>
        <v>0</v>
      </c>
      <c r="P32" s="103">
        <f t="shared" si="112"/>
        <v>0</v>
      </c>
      <c r="Q32" s="103" t="str">
        <f t="shared" si="113"/>
        <v>X</v>
      </c>
      <c r="R32" s="103">
        <f t="shared" si="114"/>
        <v>0</v>
      </c>
      <c r="S32" s="103">
        <f t="shared" si="115"/>
        <v>0</v>
      </c>
      <c r="T32" s="103">
        <f t="shared" si="116"/>
        <v>0</v>
      </c>
      <c r="U32" s="103">
        <f t="shared" si="117"/>
        <v>0</v>
      </c>
      <c r="V32" s="103">
        <f t="shared" si="118"/>
        <v>0</v>
      </c>
      <c r="W32" s="103"/>
      <c r="X32" s="103"/>
      <c r="Y32" s="103"/>
      <c r="Z32" s="112">
        <f t="shared" si="119"/>
        <v>1</v>
      </c>
      <c r="AA32" s="123"/>
      <c r="AB32" s="103" t="str">
        <f t="shared" si="120"/>
        <v>X</v>
      </c>
      <c r="AC32" s="103" t="str">
        <f t="shared" si="121"/>
        <v>X</v>
      </c>
      <c r="AD32" s="103" t="str">
        <f t="shared" si="122"/>
        <v>X</v>
      </c>
      <c r="AE32" s="103" t="str">
        <f t="shared" si="123"/>
        <v xml:space="preserve"> </v>
      </c>
      <c r="AF32" s="103" t="str">
        <f t="shared" si="124"/>
        <v>X</v>
      </c>
      <c r="AG32" s="103" t="str">
        <f t="shared" si="125"/>
        <v xml:space="preserve"> </v>
      </c>
      <c r="AH32" s="103" t="str">
        <f t="shared" si="126"/>
        <v>X</v>
      </c>
      <c r="AI32" s="103" t="str">
        <f t="shared" si="127"/>
        <v>X</v>
      </c>
      <c r="AJ32" s="103" t="str">
        <f t="shared" si="128"/>
        <v xml:space="preserve"> </v>
      </c>
      <c r="AK32" s="103" t="str">
        <f t="shared" si="129"/>
        <v xml:space="preserve"> </v>
      </c>
      <c r="AL32" s="103" t="str">
        <f t="shared" si="130"/>
        <v xml:space="preserve"> </v>
      </c>
      <c r="AM32" s="103" t="str">
        <f t="shared" si="131"/>
        <v xml:space="preserve"> </v>
      </c>
      <c r="AN32" s="103"/>
      <c r="AO32" s="103"/>
      <c r="AP32" s="103"/>
      <c r="AQ32" s="112">
        <f t="shared" si="132"/>
        <v>6</v>
      </c>
      <c r="AR32" s="123"/>
      <c r="AS32" s="101">
        <f t="shared" si="8"/>
        <v>1922</v>
      </c>
      <c r="AT32" s="133" t="str">
        <f t="shared" si="9"/>
        <v>NBAA</v>
      </c>
      <c r="AU32" s="103" t="str">
        <f t="shared" si="133"/>
        <v xml:space="preserve"> </v>
      </c>
      <c r="AV32" s="103" t="str">
        <f t="shared" si="134"/>
        <v xml:space="preserve"> </v>
      </c>
      <c r="AW32" s="103" t="str">
        <f t="shared" si="135"/>
        <v xml:space="preserve"> </v>
      </c>
      <c r="AX32" s="103" t="str">
        <f t="shared" si="136"/>
        <v xml:space="preserve"> </v>
      </c>
      <c r="AY32" s="103" t="str">
        <f t="shared" si="137"/>
        <v xml:space="preserve"> </v>
      </c>
      <c r="AZ32" s="103" t="str">
        <f t="shared" si="138"/>
        <v xml:space="preserve"> </v>
      </c>
      <c r="BA32" s="103" t="str">
        <f t="shared" si="139"/>
        <v xml:space="preserve"> </v>
      </c>
      <c r="BB32" s="103" t="str">
        <f t="shared" si="140"/>
        <v xml:space="preserve"> </v>
      </c>
      <c r="BC32" s="103" t="str">
        <f t="shared" si="141"/>
        <v xml:space="preserve"> </v>
      </c>
      <c r="BD32" s="103" t="str">
        <f t="shared" si="142"/>
        <v xml:space="preserve"> </v>
      </c>
      <c r="BE32" s="103" t="str">
        <f t="shared" si="143"/>
        <v xml:space="preserve"> </v>
      </c>
      <c r="BF32" s="103" t="str">
        <f t="shared" si="144"/>
        <v xml:space="preserve"> </v>
      </c>
      <c r="BG32" s="103"/>
      <c r="BH32" s="103"/>
      <c r="BI32" s="103"/>
      <c r="BJ32" s="112" t="str">
        <f t="shared" si="145"/>
        <v xml:space="preserve"> </v>
      </c>
      <c r="BK32" s="123"/>
      <c r="BL32" s="103" t="str">
        <f t="shared" si="146"/>
        <v>X</v>
      </c>
      <c r="BM32" s="103" t="str">
        <f t="shared" si="147"/>
        <v>X</v>
      </c>
      <c r="BN32" s="103" t="str">
        <f t="shared" si="148"/>
        <v>X</v>
      </c>
      <c r="BO32" s="103" t="str">
        <f t="shared" si="149"/>
        <v>X</v>
      </c>
      <c r="BP32" s="103" t="str">
        <f t="shared" si="150"/>
        <v>X</v>
      </c>
      <c r="BQ32" s="103" t="str">
        <f t="shared" si="151"/>
        <v xml:space="preserve"> </v>
      </c>
      <c r="BR32" s="103" t="str">
        <f t="shared" si="152"/>
        <v>X</v>
      </c>
      <c r="BS32" s="103" t="str">
        <f t="shared" si="153"/>
        <v>X</v>
      </c>
      <c r="BT32" s="103" t="str">
        <f t="shared" si="154"/>
        <v xml:space="preserve"> </v>
      </c>
      <c r="BU32" s="103" t="str">
        <f t="shared" si="155"/>
        <v xml:space="preserve"> </v>
      </c>
      <c r="BV32" s="103" t="str">
        <f t="shared" si="156"/>
        <v xml:space="preserve"> </v>
      </c>
      <c r="BW32" s="103" t="str">
        <f t="shared" si="157"/>
        <v xml:space="preserve"> </v>
      </c>
      <c r="BX32" s="103"/>
      <c r="BY32" s="103"/>
      <c r="BZ32" s="103"/>
      <c r="CA32" s="112">
        <f t="shared" si="158"/>
        <v>7</v>
      </c>
      <c r="CB32" s="123"/>
      <c r="CC32" s="101">
        <f t="shared" si="61"/>
        <v>1922</v>
      </c>
      <c r="CD32" s="133" t="str">
        <f t="shared" si="62"/>
        <v>NBAA</v>
      </c>
      <c r="CE32" s="103" t="str">
        <f t="shared" si="159"/>
        <v>X</v>
      </c>
      <c r="CF32" s="103" t="str">
        <f t="shared" si="160"/>
        <v>X</v>
      </c>
      <c r="CG32" s="103" t="str">
        <f t="shared" si="161"/>
        <v>X</v>
      </c>
      <c r="CH32" s="103" t="str">
        <f t="shared" si="162"/>
        <v xml:space="preserve"> </v>
      </c>
      <c r="CI32" s="103" t="str">
        <f t="shared" si="163"/>
        <v>X</v>
      </c>
      <c r="CJ32" s="103" t="str">
        <f t="shared" si="164"/>
        <v xml:space="preserve"> </v>
      </c>
      <c r="CK32" s="103" t="str">
        <f t="shared" si="165"/>
        <v>X</v>
      </c>
      <c r="CL32" s="103" t="str">
        <f t="shared" si="166"/>
        <v>X</v>
      </c>
      <c r="CM32" s="103" t="str">
        <f t="shared" si="167"/>
        <v xml:space="preserve"> </v>
      </c>
      <c r="CN32" s="103" t="str">
        <f t="shared" si="168"/>
        <v xml:space="preserve"> </v>
      </c>
      <c r="CO32" s="103" t="str">
        <f t="shared" si="169"/>
        <v xml:space="preserve"> </v>
      </c>
      <c r="CP32" s="103" t="str">
        <f t="shared" si="170"/>
        <v xml:space="preserve"> </v>
      </c>
      <c r="CQ32" s="103"/>
      <c r="CR32" s="103"/>
      <c r="CS32" s="103"/>
      <c r="CT32" s="112">
        <f t="shared" si="171"/>
        <v>6</v>
      </c>
      <c r="CU32" s="127"/>
      <c r="CV32" s="101">
        <f t="shared" si="76"/>
        <v>1922</v>
      </c>
      <c r="CW32" s="133" t="str">
        <f t="shared" si="77"/>
        <v>NBAA</v>
      </c>
      <c r="CX32" s="103">
        <f t="shared" si="172"/>
        <v>48848</v>
      </c>
      <c r="CY32" s="103">
        <f t="shared" si="173"/>
        <v>52643</v>
      </c>
      <c r="CZ32" s="103">
        <f t="shared" si="174"/>
        <v>49312</v>
      </c>
      <c r="DA32" s="103">
        <f t="shared" si="175"/>
        <v>40316</v>
      </c>
      <c r="DB32" s="103">
        <f t="shared" si="176"/>
        <v>63069</v>
      </c>
      <c r="DC32" s="103">
        <f t="shared" si="177"/>
        <v>55125</v>
      </c>
      <c r="DD32" s="103">
        <f t="shared" si="178"/>
        <v>68492</v>
      </c>
      <c r="DE32" s="103">
        <f t="shared" si="179"/>
        <v>63695</v>
      </c>
      <c r="DF32" s="103">
        <f t="shared" si="180"/>
        <v>52025</v>
      </c>
      <c r="DG32" s="103">
        <f t="shared" si="181"/>
        <v>66480</v>
      </c>
      <c r="DH32" s="103">
        <f t="shared" si="182"/>
        <v>57181</v>
      </c>
      <c r="DI32" s="103">
        <f t="shared" si="183"/>
        <v>61480</v>
      </c>
      <c r="DM32" s="224">
        <f t="shared" si="104"/>
        <v>56555.5</v>
      </c>
    </row>
    <row r="33" spans="1:118" ht="15.75" x14ac:dyDescent="0.25">
      <c r="A33" s="136">
        <f t="shared" si="105"/>
        <v>1928</v>
      </c>
      <c r="B33" s="136" t="str">
        <f t="shared" si="106"/>
        <v>NBAA</v>
      </c>
      <c r="C33" s="42">
        <f t="shared" si="25"/>
        <v>1</v>
      </c>
      <c r="D33" s="39">
        <f t="shared" si="26"/>
        <v>2</v>
      </c>
      <c r="E33" s="25">
        <f t="shared" si="27"/>
        <v>2</v>
      </c>
      <c r="F33" s="25">
        <f t="shared" si="28"/>
        <v>3</v>
      </c>
      <c r="G33" s="145">
        <f t="shared" si="29"/>
        <v>1</v>
      </c>
      <c r="I33" s="101">
        <v>1928</v>
      </c>
      <c r="J33" s="133" t="s">
        <v>26</v>
      </c>
      <c r="K33" s="103" t="str">
        <f t="shared" si="107"/>
        <v xml:space="preserve"> </v>
      </c>
      <c r="L33" s="103" t="str">
        <f t="shared" si="108"/>
        <v>X</v>
      </c>
      <c r="M33" s="103">
        <f t="shared" si="109"/>
        <v>0</v>
      </c>
      <c r="N33" s="103">
        <f t="shared" si="110"/>
        <v>0</v>
      </c>
      <c r="O33" s="103">
        <f t="shared" si="111"/>
        <v>0</v>
      </c>
      <c r="P33" s="103">
        <f t="shared" si="112"/>
        <v>0</v>
      </c>
      <c r="Q33" s="103">
        <f t="shared" si="113"/>
        <v>0</v>
      </c>
      <c r="R33" s="103">
        <f t="shared" si="114"/>
        <v>0</v>
      </c>
      <c r="S33" s="103">
        <f t="shared" si="115"/>
        <v>0</v>
      </c>
      <c r="T33" s="103">
        <f t="shared" si="116"/>
        <v>0</v>
      </c>
      <c r="U33" s="103">
        <f t="shared" si="117"/>
        <v>0</v>
      </c>
      <c r="V33" s="103">
        <f t="shared" si="118"/>
        <v>0</v>
      </c>
      <c r="W33" s="103"/>
      <c r="X33" s="103"/>
      <c r="Y33" s="103"/>
      <c r="Z33" s="112">
        <f t="shared" si="119"/>
        <v>1</v>
      </c>
      <c r="AA33" s="123"/>
      <c r="AB33" s="103" t="str">
        <f t="shared" si="120"/>
        <v xml:space="preserve"> </v>
      </c>
      <c r="AC33" s="103" t="str">
        <f t="shared" si="121"/>
        <v xml:space="preserve"> </v>
      </c>
      <c r="AD33" s="103" t="str">
        <f t="shared" si="122"/>
        <v xml:space="preserve"> </v>
      </c>
      <c r="AE33" s="103" t="str">
        <f t="shared" si="123"/>
        <v xml:space="preserve"> </v>
      </c>
      <c r="AF33" s="103" t="str">
        <f t="shared" si="124"/>
        <v xml:space="preserve"> </v>
      </c>
      <c r="AG33" s="103" t="str">
        <f t="shared" si="125"/>
        <v xml:space="preserve"> </v>
      </c>
      <c r="AH33" s="103" t="str">
        <f t="shared" si="126"/>
        <v>X</v>
      </c>
      <c r="AI33" s="103" t="str">
        <f t="shared" si="127"/>
        <v>X</v>
      </c>
      <c r="AJ33" s="103" t="str">
        <f t="shared" si="128"/>
        <v xml:space="preserve"> </v>
      </c>
      <c r="AK33" s="103" t="str">
        <f t="shared" si="129"/>
        <v xml:space="preserve"> </v>
      </c>
      <c r="AL33" s="103" t="str">
        <f t="shared" si="130"/>
        <v xml:space="preserve"> </v>
      </c>
      <c r="AM33" s="103" t="str">
        <f t="shared" si="131"/>
        <v xml:space="preserve"> </v>
      </c>
      <c r="AN33" s="103"/>
      <c r="AO33" s="103"/>
      <c r="AP33" s="103"/>
      <c r="AQ33" s="112">
        <f t="shared" si="132"/>
        <v>2</v>
      </c>
      <c r="AR33" s="123"/>
      <c r="AS33" s="101">
        <f t="shared" si="8"/>
        <v>1928</v>
      </c>
      <c r="AT33" s="133" t="str">
        <f t="shared" si="9"/>
        <v>NBAA</v>
      </c>
      <c r="AU33" s="103" t="str">
        <f t="shared" si="133"/>
        <v xml:space="preserve"> </v>
      </c>
      <c r="AV33" s="103" t="str">
        <f t="shared" si="134"/>
        <v xml:space="preserve"> </v>
      </c>
      <c r="AW33" s="103" t="str">
        <f t="shared" si="135"/>
        <v xml:space="preserve"> </v>
      </c>
      <c r="AX33" s="103" t="str">
        <f t="shared" si="136"/>
        <v xml:space="preserve"> </v>
      </c>
      <c r="AY33" s="103" t="str">
        <f t="shared" si="137"/>
        <v xml:space="preserve"> </v>
      </c>
      <c r="AZ33" s="103" t="str">
        <f t="shared" si="138"/>
        <v xml:space="preserve"> </v>
      </c>
      <c r="BA33" s="103" t="str">
        <f t="shared" si="139"/>
        <v xml:space="preserve"> </v>
      </c>
      <c r="BB33" s="103" t="str">
        <f t="shared" si="140"/>
        <v xml:space="preserve"> </v>
      </c>
      <c r="BC33" s="103" t="str">
        <f t="shared" si="141"/>
        <v xml:space="preserve"> </v>
      </c>
      <c r="BD33" s="103" t="str">
        <f t="shared" si="142"/>
        <v xml:space="preserve"> </v>
      </c>
      <c r="BE33" s="103" t="str">
        <f t="shared" si="143"/>
        <v xml:space="preserve"> </v>
      </c>
      <c r="BF33" s="103" t="str">
        <f t="shared" si="144"/>
        <v>X</v>
      </c>
      <c r="BG33" s="103"/>
      <c r="BH33" s="103"/>
      <c r="BI33" s="103"/>
      <c r="BJ33" s="112">
        <f t="shared" si="145"/>
        <v>1</v>
      </c>
      <c r="BK33" s="123"/>
      <c r="BL33" s="103" t="str">
        <f t="shared" si="146"/>
        <v xml:space="preserve"> </v>
      </c>
      <c r="BM33" s="103" t="str">
        <f t="shared" si="147"/>
        <v xml:space="preserve"> </v>
      </c>
      <c r="BN33" s="103" t="str">
        <f t="shared" si="148"/>
        <v xml:space="preserve"> </v>
      </c>
      <c r="BO33" s="103" t="str">
        <f t="shared" si="149"/>
        <v xml:space="preserve"> </v>
      </c>
      <c r="BP33" s="103" t="str">
        <f t="shared" si="150"/>
        <v xml:space="preserve"> </v>
      </c>
      <c r="BQ33" s="103" t="str">
        <f t="shared" si="151"/>
        <v xml:space="preserve"> </v>
      </c>
      <c r="BR33" s="103" t="str">
        <f t="shared" si="152"/>
        <v>X</v>
      </c>
      <c r="BS33" s="103" t="str">
        <f t="shared" si="153"/>
        <v>X</v>
      </c>
      <c r="BT33" s="103" t="str">
        <f t="shared" si="154"/>
        <v xml:space="preserve"> </v>
      </c>
      <c r="BU33" s="103" t="str">
        <f t="shared" si="155"/>
        <v xml:space="preserve"> </v>
      </c>
      <c r="BV33" s="103" t="str">
        <f t="shared" si="156"/>
        <v xml:space="preserve"> </v>
      </c>
      <c r="BW33" s="103" t="str">
        <f t="shared" si="157"/>
        <v xml:space="preserve"> </v>
      </c>
      <c r="BX33" s="103"/>
      <c r="BY33" s="103"/>
      <c r="BZ33" s="103"/>
      <c r="CA33" s="112">
        <f t="shared" si="158"/>
        <v>2</v>
      </c>
      <c r="CB33" s="123"/>
      <c r="CC33" s="101">
        <f t="shared" si="61"/>
        <v>1928</v>
      </c>
      <c r="CD33" s="133" t="str">
        <f t="shared" si="62"/>
        <v>NBAA</v>
      </c>
      <c r="CE33" s="103" t="str">
        <f t="shared" si="159"/>
        <v xml:space="preserve"> </v>
      </c>
      <c r="CF33" s="103" t="str">
        <f t="shared" si="160"/>
        <v xml:space="preserve"> </v>
      </c>
      <c r="CG33" s="103" t="str">
        <f t="shared" si="161"/>
        <v xml:space="preserve"> </v>
      </c>
      <c r="CH33" s="103" t="str">
        <f t="shared" si="162"/>
        <v xml:space="preserve"> </v>
      </c>
      <c r="CI33" s="103" t="str">
        <f t="shared" si="163"/>
        <v xml:space="preserve"> </v>
      </c>
      <c r="CJ33" s="103" t="str">
        <f t="shared" si="164"/>
        <v xml:space="preserve"> </v>
      </c>
      <c r="CK33" s="103" t="str">
        <f t="shared" si="165"/>
        <v>X</v>
      </c>
      <c r="CL33" s="103" t="str">
        <f t="shared" si="166"/>
        <v>X</v>
      </c>
      <c r="CM33" s="103" t="str">
        <f t="shared" si="167"/>
        <v>X</v>
      </c>
      <c r="CN33" s="103" t="str">
        <f t="shared" si="168"/>
        <v xml:space="preserve"> </v>
      </c>
      <c r="CO33" s="103" t="str">
        <f t="shared" si="169"/>
        <v xml:space="preserve"> </v>
      </c>
      <c r="CP33" s="103" t="str">
        <f t="shared" si="170"/>
        <v xml:space="preserve"> </v>
      </c>
      <c r="CQ33" s="103"/>
      <c r="CR33" s="103"/>
      <c r="CS33" s="103"/>
      <c r="CT33" s="112">
        <f t="shared" si="171"/>
        <v>3</v>
      </c>
      <c r="CU33" s="127"/>
      <c r="CV33" s="101">
        <f t="shared" si="76"/>
        <v>1928</v>
      </c>
      <c r="CW33" s="133" t="str">
        <f t="shared" si="77"/>
        <v>NBAA</v>
      </c>
      <c r="CX33" s="103">
        <f t="shared" si="172"/>
        <v>16265</v>
      </c>
      <c r="CY33" s="103">
        <f t="shared" si="173"/>
        <v>17007</v>
      </c>
      <c r="CZ33" s="103">
        <f t="shared" si="174"/>
        <v>18554</v>
      </c>
      <c r="DA33" s="103">
        <f t="shared" si="175"/>
        <v>13907</v>
      </c>
      <c r="DB33" s="103">
        <f t="shared" si="176"/>
        <v>16946</v>
      </c>
      <c r="DC33" s="103">
        <f t="shared" si="177"/>
        <v>17330</v>
      </c>
      <c r="DD33" s="103">
        <f t="shared" si="178"/>
        <v>6743</v>
      </c>
      <c r="DE33" s="103">
        <f t="shared" si="179"/>
        <v>6397</v>
      </c>
      <c r="DF33" s="103">
        <f t="shared" si="180"/>
        <v>5837</v>
      </c>
      <c r="DG33" s="103">
        <f t="shared" si="181"/>
        <v>6339</v>
      </c>
      <c r="DH33" s="103">
        <f t="shared" si="182"/>
        <v>6966</v>
      </c>
      <c r="DI33" s="103">
        <f t="shared" si="183"/>
        <v>7915</v>
      </c>
      <c r="DM33" s="224">
        <f t="shared" si="104"/>
        <v>11683.833333333334</v>
      </c>
    </row>
    <row r="34" spans="1:118" ht="15.75" x14ac:dyDescent="0.25">
      <c r="A34" s="136">
        <f t="shared" si="105"/>
        <v>2056</v>
      </c>
      <c r="B34" s="136" t="str">
        <f t="shared" si="106"/>
        <v>NBAA</v>
      </c>
      <c r="C34" s="42" t="str">
        <f t="shared" si="25"/>
        <v xml:space="preserve"> </v>
      </c>
      <c r="D34" s="39">
        <f t="shared" si="26"/>
        <v>1</v>
      </c>
      <c r="E34" s="25">
        <f t="shared" si="27"/>
        <v>1</v>
      </c>
      <c r="F34" s="25">
        <f t="shared" si="28"/>
        <v>1</v>
      </c>
      <c r="G34" s="145">
        <f t="shared" si="29"/>
        <v>1</v>
      </c>
      <c r="I34" s="101">
        <v>2056</v>
      </c>
      <c r="J34" s="133" t="s">
        <v>26</v>
      </c>
      <c r="K34" s="103" t="str">
        <f t="shared" si="107"/>
        <v xml:space="preserve"> </v>
      </c>
      <c r="L34" s="103" t="str">
        <f t="shared" si="108"/>
        <v xml:space="preserve"> </v>
      </c>
      <c r="M34" s="103">
        <f t="shared" si="109"/>
        <v>0</v>
      </c>
      <c r="N34" s="103">
        <f t="shared" si="110"/>
        <v>0</v>
      </c>
      <c r="O34" s="103">
        <f t="shared" si="111"/>
        <v>0</v>
      </c>
      <c r="P34" s="103">
        <f t="shared" si="112"/>
        <v>0</v>
      </c>
      <c r="Q34" s="103">
        <f t="shared" si="113"/>
        <v>0</v>
      </c>
      <c r="R34" s="103">
        <f t="shared" si="114"/>
        <v>0</v>
      </c>
      <c r="S34" s="103">
        <f t="shared" si="115"/>
        <v>0</v>
      </c>
      <c r="T34" s="103">
        <f t="shared" si="116"/>
        <v>0</v>
      </c>
      <c r="U34" s="103">
        <f t="shared" si="117"/>
        <v>0</v>
      </c>
      <c r="V34" s="103">
        <f t="shared" si="118"/>
        <v>0</v>
      </c>
      <c r="W34" s="103"/>
      <c r="X34" s="103"/>
      <c r="Y34" s="103"/>
      <c r="Z34" s="112" t="str">
        <f t="shared" si="119"/>
        <v xml:space="preserve"> </v>
      </c>
      <c r="AA34" s="123"/>
      <c r="AB34" s="103" t="str">
        <f t="shared" si="120"/>
        <v xml:space="preserve"> </v>
      </c>
      <c r="AC34" s="103" t="str">
        <f t="shared" si="121"/>
        <v xml:space="preserve"> </v>
      </c>
      <c r="AD34" s="103" t="str">
        <f t="shared" si="122"/>
        <v xml:space="preserve"> </v>
      </c>
      <c r="AE34" s="103" t="str">
        <f t="shared" si="123"/>
        <v xml:space="preserve"> </v>
      </c>
      <c r="AF34" s="103" t="str">
        <f t="shared" si="124"/>
        <v xml:space="preserve"> </v>
      </c>
      <c r="AG34" s="103" t="str">
        <f t="shared" si="125"/>
        <v xml:space="preserve"> </v>
      </c>
      <c r="AH34" s="103" t="str">
        <f t="shared" si="126"/>
        <v xml:space="preserve"> </v>
      </c>
      <c r="AI34" s="103" t="str">
        <f t="shared" si="127"/>
        <v xml:space="preserve"> </v>
      </c>
      <c r="AJ34" s="103" t="str">
        <f t="shared" si="128"/>
        <v xml:space="preserve"> </v>
      </c>
      <c r="AK34" s="103" t="str">
        <f t="shared" si="129"/>
        <v>X</v>
      </c>
      <c r="AL34" s="103" t="str">
        <f t="shared" si="130"/>
        <v xml:space="preserve"> </v>
      </c>
      <c r="AM34" s="103" t="str">
        <f t="shared" si="131"/>
        <v xml:space="preserve"> </v>
      </c>
      <c r="AN34" s="103"/>
      <c r="AO34" s="103"/>
      <c r="AP34" s="103"/>
      <c r="AQ34" s="112">
        <f t="shared" si="132"/>
        <v>1</v>
      </c>
      <c r="AR34" s="123"/>
      <c r="AS34" s="101">
        <f t="shared" si="8"/>
        <v>2056</v>
      </c>
      <c r="AT34" s="133" t="str">
        <f t="shared" si="9"/>
        <v>NBAA</v>
      </c>
      <c r="AU34" s="103" t="str">
        <f t="shared" si="133"/>
        <v xml:space="preserve"> </v>
      </c>
      <c r="AV34" s="103" t="str">
        <f t="shared" si="134"/>
        <v xml:space="preserve"> </v>
      </c>
      <c r="AW34" s="103" t="str">
        <f t="shared" si="135"/>
        <v xml:space="preserve"> </v>
      </c>
      <c r="AX34" s="103" t="str">
        <f t="shared" si="136"/>
        <v xml:space="preserve"> </v>
      </c>
      <c r="AY34" s="103" t="str">
        <f t="shared" si="137"/>
        <v xml:space="preserve"> </v>
      </c>
      <c r="AZ34" s="103" t="str">
        <f t="shared" si="138"/>
        <v xml:space="preserve"> </v>
      </c>
      <c r="BA34" s="103" t="str">
        <f t="shared" si="139"/>
        <v>X</v>
      </c>
      <c r="BB34" s="103" t="str">
        <f t="shared" si="140"/>
        <v xml:space="preserve"> </v>
      </c>
      <c r="BC34" s="103" t="str">
        <f t="shared" si="141"/>
        <v xml:space="preserve"> </v>
      </c>
      <c r="BD34" s="103" t="str">
        <f t="shared" si="142"/>
        <v xml:space="preserve"> </v>
      </c>
      <c r="BE34" s="103" t="str">
        <f t="shared" si="143"/>
        <v xml:space="preserve"> </v>
      </c>
      <c r="BF34" s="103" t="str">
        <f t="shared" si="144"/>
        <v xml:space="preserve"> </v>
      </c>
      <c r="BG34" s="103"/>
      <c r="BH34" s="103"/>
      <c r="BI34" s="103"/>
      <c r="BJ34" s="112">
        <f t="shared" si="145"/>
        <v>1</v>
      </c>
      <c r="BK34" s="123"/>
      <c r="BL34" s="103" t="str">
        <f t="shared" si="146"/>
        <v xml:space="preserve"> </v>
      </c>
      <c r="BM34" s="103" t="str">
        <f t="shared" si="147"/>
        <v xml:space="preserve"> </v>
      </c>
      <c r="BN34" s="103" t="str">
        <f t="shared" si="148"/>
        <v xml:space="preserve"> </v>
      </c>
      <c r="BO34" s="103" t="str">
        <f t="shared" si="149"/>
        <v xml:space="preserve"> </v>
      </c>
      <c r="BP34" s="103" t="str">
        <f t="shared" si="150"/>
        <v xml:space="preserve"> </v>
      </c>
      <c r="BQ34" s="103" t="str">
        <f t="shared" si="151"/>
        <v xml:space="preserve"> </v>
      </c>
      <c r="BR34" s="103" t="str">
        <f t="shared" si="152"/>
        <v xml:space="preserve"> </v>
      </c>
      <c r="BS34" s="103" t="str">
        <f t="shared" si="153"/>
        <v xml:space="preserve"> </v>
      </c>
      <c r="BT34" s="103" t="str">
        <f t="shared" si="154"/>
        <v xml:space="preserve"> </v>
      </c>
      <c r="BU34" s="103" t="str">
        <f t="shared" si="155"/>
        <v>X</v>
      </c>
      <c r="BV34" s="103" t="str">
        <f t="shared" si="156"/>
        <v xml:space="preserve"> </v>
      </c>
      <c r="BW34" s="103" t="str">
        <f t="shared" si="157"/>
        <v xml:space="preserve"> </v>
      </c>
      <c r="BX34" s="103"/>
      <c r="BY34" s="103"/>
      <c r="BZ34" s="103"/>
      <c r="CA34" s="112">
        <f t="shared" si="158"/>
        <v>1</v>
      </c>
      <c r="CB34" s="123"/>
      <c r="CC34" s="101">
        <f t="shared" si="61"/>
        <v>2056</v>
      </c>
      <c r="CD34" s="133" t="str">
        <f t="shared" si="62"/>
        <v>NBAA</v>
      </c>
      <c r="CE34" s="103" t="str">
        <f t="shared" si="159"/>
        <v xml:space="preserve"> </v>
      </c>
      <c r="CF34" s="103" t="str">
        <f t="shared" si="160"/>
        <v xml:space="preserve"> </v>
      </c>
      <c r="CG34" s="103" t="str">
        <f t="shared" si="161"/>
        <v xml:space="preserve"> </v>
      </c>
      <c r="CH34" s="103" t="str">
        <f t="shared" si="162"/>
        <v xml:space="preserve"> </v>
      </c>
      <c r="CI34" s="103" t="str">
        <f t="shared" si="163"/>
        <v xml:space="preserve"> </v>
      </c>
      <c r="CJ34" s="103" t="str">
        <f t="shared" si="164"/>
        <v xml:space="preserve"> </v>
      </c>
      <c r="CK34" s="103" t="str">
        <f t="shared" si="165"/>
        <v xml:space="preserve"> </v>
      </c>
      <c r="CL34" s="103" t="str">
        <f t="shared" si="166"/>
        <v xml:space="preserve"> </v>
      </c>
      <c r="CM34" s="103" t="str">
        <f t="shared" si="167"/>
        <v xml:space="preserve"> </v>
      </c>
      <c r="CN34" s="103" t="str">
        <f t="shared" si="168"/>
        <v>X</v>
      </c>
      <c r="CO34" s="103" t="str">
        <f t="shared" si="169"/>
        <v xml:space="preserve"> </v>
      </c>
      <c r="CP34" s="103" t="str">
        <f t="shared" si="170"/>
        <v xml:space="preserve"> </v>
      </c>
      <c r="CQ34" s="103"/>
      <c r="CR34" s="103"/>
      <c r="CS34" s="103"/>
      <c r="CT34" s="112">
        <f t="shared" si="171"/>
        <v>1</v>
      </c>
      <c r="CU34" s="127"/>
      <c r="CV34" s="101">
        <f t="shared" si="76"/>
        <v>2056</v>
      </c>
      <c r="CW34" s="133" t="str">
        <f t="shared" si="77"/>
        <v>NBAA</v>
      </c>
      <c r="CX34" s="103">
        <f t="shared" si="172"/>
        <v>62347</v>
      </c>
      <c r="CY34" s="103">
        <f t="shared" si="173"/>
        <v>64570</v>
      </c>
      <c r="CZ34" s="103">
        <f t="shared" si="174"/>
        <v>64113</v>
      </c>
      <c r="DA34" s="103">
        <f t="shared" si="175"/>
        <v>65182</v>
      </c>
      <c r="DB34" s="103">
        <f t="shared" si="176"/>
        <v>72658</v>
      </c>
      <c r="DC34" s="103">
        <f t="shared" si="177"/>
        <v>71318</v>
      </c>
      <c r="DD34" s="103">
        <f t="shared" si="178"/>
        <v>55467</v>
      </c>
      <c r="DE34" s="103">
        <f t="shared" si="179"/>
        <v>56153</v>
      </c>
      <c r="DF34" s="103">
        <f t="shared" si="180"/>
        <v>26949</v>
      </c>
      <c r="DG34" s="103">
        <f t="shared" si="181"/>
        <v>24591</v>
      </c>
      <c r="DH34" s="103">
        <f t="shared" si="182"/>
        <v>24059</v>
      </c>
      <c r="DI34" s="103">
        <f t="shared" si="183"/>
        <v>22725</v>
      </c>
      <c r="DM34" s="224">
        <f t="shared" si="104"/>
        <v>50844.333333333336</v>
      </c>
    </row>
    <row r="35" spans="1:118" ht="15.75" x14ac:dyDescent="0.25">
      <c r="A35" s="136">
        <f t="shared" si="105"/>
        <v>2280</v>
      </c>
      <c r="B35" s="136" t="str">
        <f t="shared" si="106"/>
        <v>NBAA</v>
      </c>
      <c r="C35" s="42">
        <f t="shared" si="25"/>
        <v>1</v>
      </c>
      <c r="D35" s="39">
        <f t="shared" si="26"/>
        <v>4</v>
      </c>
      <c r="E35" s="25">
        <f t="shared" si="27"/>
        <v>5</v>
      </c>
      <c r="F35" s="25">
        <f t="shared" si="28"/>
        <v>6</v>
      </c>
      <c r="G35" s="145">
        <f t="shared" si="29"/>
        <v>1</v>
      </c>
      <c r="I35" s="101">
        <v>2280</v>
      </c>
      <c r="J35" s="133" t="s">
        <v>26</v>
      </c>
      <c r="K35" s="103" t="str">
        <f t="shared" si="107"/>
        <v xml:space="preserve"> </v>
      </c>
      <c r="L35" s="103" t="str">
        <f t="shared" si="108"/>
        <v xml:space="preserve"> </v>
      </c>
      <c r="M35" s="103">
        <f t="shared" si="109"/>
        <v>0</v>
      </c>
      <c r="N35" s="103">
        <f t="shared" si="110"/>
        <v>0</v>
      </c>
      <c r="O35" s="103">
        <f t="shared" si="111"/>
        <v>0</v>
      </c>
      <c r="P35" s="103">
        <f t="shared" si="112"/>
        <v>0</v>
      </c>
      <c r="Q35" s="103">
        <f t="shared" si="113"/>
        <v>0</v>
      </c>
      <c r="R35" s="103">
        <f t="shared" si="114"/>
        <v>0</v>
      </c>
      <c r="S35" s="103">
        <f t="shared" si="115"/>
        <v>0</v>
      </c>
      <c r="T35" s="103">
        <f t="shared" si="116"/>
        <v>0</v>
      </c>
      <c r="U35" s="103">
        <f t="shared" si="117"/>
        <v>0</v>
      </c>
      <c r="V35" s="103" t="str">
        <f t="shared" si="118"/>
        <v>X</v>
      </c>
      <c r="W35" s="103"/>
      <c r="X35" s="103"/>
      <c r="Y35" s="103"/>
      <c r="Z35" s="112">
        <f t="shared" si="119"/>
        <v>1</v>
      </c>
      <c r="AA35" s="123"/>
      <c r="AB35" s="103" t="str">
        <f t="shared" si="120"/>
        <v>X</v>
      </c>
      <c r="AC35" s="103" t="str">
        <f t="shared" si="121"/>
        <v xml:space="preserve"> </v>
      </c>
      <c r="AD35" s="103" t="str">
        <f t="shared" si="122"/>
        <v xml:space="preserve"> </v>
      </c>
      <c r="AE35" s="103" t="str">
        <f t="shared" si="123"/>
        <v xml:space="preserve"> </v>
      </c>
      <c r="AF35" s="103" t="str">
        <f t="shared" si="124"/>
        <v>X</v>
      </c>
      <c r="AG35" s="103" t="str">
        <f t="shared" si="125"/>
        <v xml:space="preserve"> </v>
      </c>
      <c r="AH35" s="103" t="str">
        <f t="shared" si="126"/>
        <v xml:space="preserve"> </v>
      </c>
      <c r="AI35" s="103" t="str">
        <f t="shared" si="127"/>
        <v xml:space="preserve"> </v>
      </c>
      <c r="AJ35" s="103" t="str">
        <f t="shared" si="128"/>
        <v xml:space="preserve"> </v>
      </c>
      <c r="AK35" s="103" t="str">
        <f t="shared" si="129"/>
        <v xml:space="preserve"> </v>
      </c>
      <c r="AL35" s="103" t="str">
        <f t="shared" si="130"/>
        <v>X</v>
      </c>
      <c r="AM35" s="103" t="str">
        <f t="shared" si="131"/>
        <v>X</v>
      </c>
      <c r="AN35" s="103"/>
      <c r="AO35" s="103"/>
      <c r="AP35" s="103"/>
      <c r="AQ35" s="112">
        <f t="shared" si="132"/>
        <v>4</v>
      </c>
      <c r="AR35" s="123"/>
      <c r="AS35" s="101">
        <f t="shared" si="8"/>
        <v>2280</v>
      </c>
      <c r="AT35" s="133" t="str">
        <f t="shared" si="9"/>
        <v>NBAA</v>
      </c>
      <c r="AU35" s="103" t="str">
        <f t="shared" si="133"/>
        <v xml:space="preserve"> </v>
      </c>
      <c r="AV35" s="103" t="str">
        <f t="shared" si="134"/>
        <v xml:space="preserve"> </v>
      </c>
      <c r="AW35" s="103" t="str">
        <f t="shared" si="135"/>
        <v xml:space="preserve"> </v>
      </c>
      <c r="AX35" s="103" t="str">
        <f t="shared" si="136"/>
        <v xml:space="preserve"> </v>
      </c>
      <c r="AY35" s="103" t="str">
        <f t="shared" si="137"/>
        <v xml:space="preserve"> </v>
      </c>
      <c r="AZ35" s="103" t="str">
        <f t="shared" si="138"/>
        <v xml:space="preserve"> </v>
      </c>
      <c r="BA35" s="103" t="str">
        <f t="shared" si="139"/>
        <v xml:space="preserve"> </v>
      </c>
      <c r="BB35" s="103" t="str">
        <f t="shared" si="140"/>
        <v xml:space="preserve"> </v>
      </c>
      <c r="BC35" s="103" t="str">
        <f t="shared" si="141"/>
        <v xml:space="preserve"> </v>
      </c>
      <c r="BD35" s="103" t="str">
        <f t="shared" si="142"/>
        <v>X</v>
      </c>
      <c r="BE35" s="103" t="str">
        <f t="shared" si="143"/>
        <v xml:space="preserve"> </v>
      </c>
      <c r="BF35" s="103" t="str">
        <f t="shared" si="144"/>
        <v xml:space="preserve"> </v>
      </c>
      <c r="BG35" s="103"/>
      <c r="BH35" s="103"/>
      <c r="BI35" s="103"/>
      <c r="BJ35" s="112">
        <f t="shared" si="145"/>
        <v>1</v>
      </c>
      <c r="BK35" s="123"/>
      <c r="BL35" s="103" t="str">
        <f t="shared" si="146"/>
        <v>X</v>
      </c>
      <c r="BM35" s="103" t="str">
        <f t="shared" si="147"/>
        <v xml:space="preserve"> </v>
      </c>
      <c r="BN35" s="103" t="str">
        <f t="shared" si="148"/>
        <v xml:space="preserve"> </v>
      </c>
      <c r="BO35" s="103" t="str">
        <f t="shared" si="149"/>
        <v xml:space="preserve"> </v>
      </c>
      <c r="BP35" s="103" t="str">
        <f t="shared" si="150"/>
        <v>X</v>
      </c>
      <c r="BQ35" s="103" t="str">
        <f t="shared" si="151"/>
        <v xml:space="preserve"> </v>
      </c>
      <c r="BR35" s="103" t="str">
        <f t="shared" si="152"/>
        <v xml:space="preserve"> </v>
      </c>
      <c r="BS35" s="103" t="str">
        <f t="shared" si="153"/>
        <v xml:space="preserve"> </v>
      </c>
      <c r="BT35" s="103" t="str">
        <f t="shared" si="154"/>
        <v xml:space="preserve"> </v>
      </c>
      <c r="BU35" s="103" t="str">
        <f t="shared" si="155"/>
        <v>X</v>
      </c>
      <c r="BV35" s="103" t="str">
        <f t="shared" si="156"/>
        <v>X</v>
      </c>
      <c r="BW35" s="103" t="str">
        <f t="shared" si="157"/>
        <v>X</v>
      </c>
      <c r="BX35" s="103"/>
      <c r="BY35" s="103"/>
      <c r="BZ35" s="103"/>
      <c r="CA35" s="112">
        <f t="shared" si="158"/>
        <v>5</v>
      </c>
      <c r="CB35" s="123"/>
      <c r="CC35" s="101">
        <f t="shared" si="61"/>
        <v>2280</v>
      </c>
      <c r="CD35" s="133" t="str">
        <f t="shared" si="62"/>
        <v>NBAA</v>
      </c>
      <c r="CE35" s="103" t="str">
        <f t="shared" si="159"/>
        <v>X</v>
      </c>
      <c r="CF35" s="103" t="str">
        <f t="shared" si="160"/>
        <v>X</v>
      </c>
      <c r="CG35" s="103" t="str">
        <f t="shared" si="161"/>
        <v>X</v>
      </c>
      <c r="CH35" s="103" t="str">
        <f t="shared" si="162"/>
        <v xml:space="preserve"> </v>
      </c>
      <c r="CI35" s="103" t="str">
        <f t="shared" si="163"/>
        <v>X</v>
      </c>
      <c r="CJ35" s="103" t="str">
        <f t="shared" si="164"/>
        <v xml:space="preserve"> </v>
      </c>
      <c r="CK35" s="103" t="str">
        <f t="shared" si="165"/>
        <v xml:space="preserve"> </v>
      </c>
      <c r="CL35" s="103" t="str">
        <f t="shared" si="166"/>
        <v xml:space="preserve"> </v>
      </c>
      <c r="CM35" s="103" t="str">
        <f t="shared" si="167"/>
        <v xml:space="preserve"> </v>
      </c>
      <c r="CN35" s="103" t="str">
        <f t="shared" si="168"/>
        <v xml:space="preserve"> </v>
      </c>
      <c r="CO35" s="103" t="str">
        <f t="shared" si="169"/>
        <v>X</v>
      </c>
      <c r="CP35" s="103" t="str">
        <f t="shared" si="170"/>
        <v>X</v>
      </c>
      <c r="CQ35" s="103"/>
      <c r="CR35" s="103"/>
      <c r="CS35" s="103"/>
      <c r="CT35" s="112">
        <f t="shared" si="171"/>
        <v>6</v>
      </c>
      <c r="CU35" s="127"/>
      <c r="CV35" s="101">
        <f t="shared" si="76"/>
        <v>2280</v>
      </c>
      <c r="CW35" s="133" t="str">
        <f t="shared" si="77"/>
        <v>NBAA</v>
      </c>
      <c r="CX35" s="103">
        <f t="shared" si="172"/>
        <v>9436</v>
      </c>
      <c r="CY35" s="103">
        <f t="shared" si="173"/>
        <v>10024</v>
      </c>
      <c r="CZ35" s="103">
        <f t="shared" si="174"/>
        <v>10839</v>
      </c>
      <c r="DA35" s="103">
        <f t="shared" si="175"/>
        <v>7486</v>
      </c>
      <c r="DB35" s="103">
        <f t="shared" si="176"/>
        <v>21315</v>
      </c>
      <c r="DC35" s="103">
        <f t="shared" si="177"/>
        <v>21703</v>
      </c>
      <c r="DD35" s="103">
        <f t="shared" si="178"/>
        <v>18051</v>
      </c>
      <c r="DE35" s="103">
        <f t="shared" si="179"/>
        <v>18279</v>
      </c>
      <c r="DF35" s="103">
        <f t="shared" si="180"/>
        <v>21937</v>
      </c>
      <c r="DG35" s="103">
        <f t="shared" si="181"/>
        <v>22187</v>
      </c>
      <c r="DH35" s="103">
        <f t="shared" si="182"/>
        <v>18445</v>
      </c>
      <c r="DI35" s="103">
        <f t="shared" si="183"/>
        <v>11747</v>
      </c>
      <c r="DM35" s="224">
        <f t="shared" si="104"/>
        <v>15954.083333333334</v>
      </c>
    </row>
    <row r="36" spans="1:118" ht="15.75" x14ac:dyDescent="0.25">
      <c r="A36" s="136">
        <f t="shared" si="105"/>
        <v>2584</v>
      </c>
      <c r="B36" s="136" t="str">
        <f t="shared" si="106"/>
        <v>NBAA</v>
      </c>
      <c r="C36" s="42">
        <f t="shared" si="25"/>
        <v>1</v>
      </c>
      <c r="D36" s="39">
        <f t="shared" si="26"/>
        <v>4</v>
      </c>
      <c r="E36" s="25">
        <f t="shared" si="27"/>
        <v>8</v>
      </c>
      <c r="F36" s="25">
        <f t="shared" si="28"/>
        <v>4</v>
      </c>
      <c r="G36" s="145" t="str">
        <f t="shared" si="29"/>
        <v xml:space="preserve"> </v>
      </c>
      <c r="I36" s="101">
        <v>2584</v>
      </c>
      <c r="J36" s="133" t="s">
        <v>26</v>
      </c>
      <c r="K36" s="103" t="str">
        <f t="shared" si="107"/>
        <v xml:space="preserve"> </v>
      </c>
      <c r="L36" s="103" t="str">
        <f t="shared" si="108"/>
        <v xml:space="preserve"> </v>
      </c>
      <c r="M36" s="103">
        <f t="shared" si="109"/>
        <v>0</v>
      </c>
      <c r="N36" s="103">
        <f t="shared" si="110"/>
        <v>0</v>
      </c>
      <c r="O36" s="103">
        <f t="shared" si="111"/>
        <v>0</v>
      </c>
      <c r="P36" s="103">
        <f t="shared" si="112"/>
        <v>0</v>
      </c>
      <c r="Q36" s="103">
        <f t="shared" si="113"/>
        <v>0</v>
      </c>
      <c r="R36" s="103">
        <f t="shared" si="114"/>
        <v>0</v>
      </c>
      <c r="S36" s="103">
        <f t="shared" si="115"/>
        <v>0</v>
      </c>
      <c r="T36" s="103" t="str">
        <f t="shared" si="116"/>
        <v>X</v>
      </c>
      <c r="U36" s="103">
        <f t="shared" si="117"/>
        <v>0</v>
      </c>
      <c r="V36" s="103">
        <f t="shared" si="118"/>
        <v>0</v>
      </c>
      <c r="W36" s="103"/>
      <c r="X36" s="103"/>
      <c r="Y36" s="103"/>
      <c r="Z36" s="112">
        <f t="shared" si="119"/>
        <v>1</v>
      </c>
      <c r="AA36" s="123"/>
      <c r="AB36" s="103" t="str">
        <f t="shared" si="120"/>
        <v>X</v>
      </c>
      <c r="AC36" s="103" t="str">
        <f t="shared" si="121"/>
        <v>X</v>
      </c>
      <c r="AD36" s="103" t="str">
        <f t="shared" si="122"/>
        <v xml:space="preserve"> </v>
      </c>
      <c r="AE36" s="103" t="str">
        <f t="shared" si="123"/>
        <v xml:space="preserve"> </v>
      </c>
      <c r="AF36" s="103" t="str">
        <f t="shared" si="124"/>
        <v xml:space="preserve"> </v>
      </c>
      <c r="AG36" s="103" t="str">
        <f t="shared" si="125"/>
        <v xml:space="preserve"> </v>
      </c>
      <c r="AH36" s="103" t="str">
        <f t="shared" si="126"/>
        <v xml:space="preserve"> </v>
      </c>
      <c r="AI36" s="103" t="str">
        <f t="shared" si="127"/>
        <v xml:space="preserve"> </v>
      </c>
      <c r="AJ36" s="103" t="str">
        <f t="shared" si="128"/>
        <v xml:space="preserve"> </v>
      </c>
      <c r="AK36" s="103" t="str">
        <f t="shared" si="129"/>
        <v>X</v>
      </c>
      <c r="AL36" s="103" t="str">
        <f t="shared" si="130"/>
        <v>X</v>
      </c>
      <c r="AM36" s="103" t="str">
        <f t="shared" si="131"/>
        <v xml:space="preserve"> </v>
      </c>
      <c r="AN36" s="103"/>
      <c r="AO36" s="103"/>
      <c r="AP36" s="103"/>
      <c r="AQ36" s="112">
        <f t="shared" si="132"/>
        <v>4</v>
      </c>
      <c r="AR36" s="123"/>
      <c r="AS36" s="101">
        <f t="shared" si="8"/>
        <v>2584</v>
      </c>
      <c r="AT36" s="133" t="str">
        <f t="shared" si="9"/>
        <v>NBAA</v>
      </c>
      <c r="AU36" s="103" t="str">
        <f t="shared" si="133"/>
        <v xml:space="preserve"> </v>
      </c>
      <c r="AV36" s="103" t="str">
        <f t="shared" si="134"/>
        <v xml:space="preserve"> </v>
      </c>
      <c r="AW36" s="103" t="str">
        <f t="shared" si="135"/>
        <v xml:space="preserve"> </v>
      </c>
      <c r="AX36" s="103" t="str">
        <f t="shared" si="136"/>
        <v xml:space="preserve"> </v>
      </c>
      <c r="AY36" s="103" t="str">
        <f t="shared" si="137"/>
        <v xml:space="preserve"> </v>
      </c>
      <c r="AZ36" s="103" t="str">
        <f t="shared" si="138"/>
        <v xml:space="preserve"> </v>
      </c>
      <c r="BA36" s="103" t="str">
        <f t="shared" si="139"/>
        <v xml:space="preserve"> </v>
      </c>
      <c r="BB36" s="103" t="str">
        <f t="shared" si="140"/>
        <v xml:space="preserve"> </v>
      </c>
      <c r="BC36" s="103" t="str">
        <f t="shared" si="141"/>
        <v xml:space="preserve"> </v>
      </c>
      <c r="BD36" s="103" t="str">
        <f t="shared" si="142"/>
        <v xml:space="preserve"> </v>
      </c>
      <c r="BE36" s="103" t="str">
        <f t="shared" si="143"/>
        <v xml:space="preserve"> </v>
      </c>
      <c r="BF36" s="103" t="str">
        <f t="shared" si="144"/>
        <v xml:space="preserve"> </v>
      </c>
      <c r="BG36" s="103"/>
      <c r="BH36" s="103"/>
      <c r="BI36" s="103"/>
      <c r="BJ36" s="112" t="str">
        <f t="shared" si="145"/>
        <v xml:space="preserve"> </v>
      </c>
      <c r="BK36" s="123"/>
      <c r="BL36" s="103" t="str">
        <f t="shared" si="146"/>
        <v>X</v>
      </c>
      <c r="BM36" s="103" t="str">
        <f t="shared" si="147"/>
        <v>X</v>
      </c>
      <c r="BN36" s="103" t="str">
        <f t="shared" si="148"/>
        <v>X</v>
      </c>
      <c r="BO36" s="103" t="str">
        <f t="shared" si="149"/>
        <v xml:space="preserve"> </v>
      </c>
      <c r="BP36" s="103" t="str">
        <f t="shared" si="150"/>
        <v>X</v>
      </c>
      <c r="BQ36" s="103" t="str">
        <f t="shared" si="151"/>
        <v xml:space="preserve"> </v>
      </c>
      <c r="BR36" s="103" t="str">
        <f t="shared" si="152"/>
        <v xml:space="preserve"> </v>
      </c>
      <c r="BS36" s="103" t="str">
        <f t="shared" si="153"/>
        <v>X</v>
      </c>
      <c r="BT36" s="103" t="str">
        <f t="shared" si="154"/>
        <v>X</v>
      </c>
      <c r="BU36" s="103" t="str">
        <f t="shared" si="155"/>
        <v>X</v>
      </c>
      <c r="BV36" s="103" t="str">
        <f t="shared" si="156"/>
        <v>X</v>
      </c>
      <c r="BW36" s="103" t="str">
        <f t="shared" si="157"/>
        <v xml:space="preserve"> </v>
      </c>
      <c r="BX36" s="103"/>
      <c r="BY36" s="103"/>
      <c r="BZ36" s="103"/>
      <c r="CA36" s="112">
        <f t="shared" si="158"/>
        <v>8</v>
      </c>
      <c r="CB36" s="123"/>
      <c r="CC36" s="101">
        <f t="shared" si="61"/>
        <v>2584</v>
      </c>
      <c r="CD36" s="133" t="str">
        <f t="shared" si="62"/>
        <v>NBAA</v>
      </c>
      <c r="CE36" s="103" t="str">
        <f t="shared" si="159"/>
        <v>X</v>
      </c>
      <c r="CF36" s="103" t="str">
        <f t="shared" si="160"/>
        <v>X</v>
      </c>
      <c r="CG36" s="103" t="str">
        <f t="shared" si="161"/>
        <v xml:space="preserve"> </v>
      </c>
      <c r="CH36" s="103" t="str">
        <f t="shared" si="162"/>
        <v xml:space="preserve"> </v>
      </c>
      <c r="CI36" s="103" t="str">
        <f t="shared" si="163"/>
        <v xml:space="preserve"> </v>
      </c>
      <c r="CJ36" s="103" t="str">
        <f t="shared" si="164"/>
        <v xml:space="preserve"> </v>
      </c>
      <c r="CK36" s="103" t="str">
        <f t="shared" si="165"/>
        <v xml:space="preserve"> </v>
      </c>
      <c r="CL36" s="103" t="str">
        <f t="shared" si="166"/>
        <v xml:space="preserve"> </v>
      </c>
      <c r="CM36" s="103" t="str">
        <f t="shared" si="167"/>
        <v xml:space="preserve"> </v>
      </c>
      <c r="CN36" s="103" t="str">
        <f t="shared" si="168"/>
        <v>X</v>
      </c>
      <c r="CO36" s="103" t="str">
        <f t="shared" si="169"/>
        <v>X</v>
      </c>
      <c r="CP36" s="103" t="str">
        <f t="shared" si="170"/>
        <v xml:space="preserve"> </v>
      </c>
      <c r="CQ36" s="103"/>
      <c r="CR36" s="103"/>
      <c r="CS36" s="103"/>
      <c r="CT36" s="112">
        <f t="shared" si="171"/>
        <v>4</v>
      </c>
      <c r="CU36" s="127"/>
      <c r="CV36" s="101">
        <f t="shared" si="76"/>
        <v>2584</v>
      </c>
      <c r="CW36" s="133" t="str">
        <f t="shared" si="77"/>
        <v>NBAA</v>
      </c>
      <c r="CX36" s="103">
        <f t="shared" si="172"/>
        <v>66073</v>
      </c>
      <c r="CY36" s="103">
        <f t="shared" si="173"/>
        <v>70573</v>
      </c>
      <c r="CZ36" s="103">
        <f t="shared" si="174"/>
        <v>70908</v>
      </c>
      <c r="DA36" s="103">
        <f t="shared" si="175"/>
        <v>57762</v>
      </c>
      <c r="DB36" s="103">
        <f t="shared" si="176"/>
        <v>92376</v>
      </c>
      <c r="DC36" s="103">
        <f t="shared" si="177"/>
        <v>92280</v>
      </c>
      <c r="DD36" s="103">
        <f t="shared" si="178"/>
        <v>100182</v>
      </c>
      <c r="DE36" s="103">
        <f t="shared" si="179"/>
        <v>97770</v>
      </c>
      <c r="DF36" s="103">
        <f t="shared" si="180"/>
        <v>75790</v>
      </c>
      <c r="DG36" s="103">
        <f t="shared" si="181"/>
        <v>79516</v>
      </c>
      <c r="DH36" s="103">
        <f t="shared" si="182"/>
        <v>66783</v>
      </c>
      <c r="DI36" s="103">
        <f t="shared" si="183"/>
        <v>76395</v>
      </c>
      <c r="DM36" s="224">
        <f t="shared" si="104"/>
        <v>78867.333333333328</v>
      </c>
    </row>
    <row r="37" spans="1:118" ht="15.75" x14ac:dyDescent="0.25">
      <c r="A37" s="136">
        <f t="shared" si="105"/>
        <v>2771</v>
      </c>
      <c r="B37" s="136" t="str">
        <f t="shared" si="106"/>
        <v>NBAA</v>
      </c>
      <c r="C37" s="42">
        <f t="shared" si="25"/>
        <v>3</v>
      </c>
      <c r="D37" s="39">
        <f t="shared" si="26"/>
        <v>6</v>
      </c>
      <c r="E37" s="25">
        <f t="shared" si="27"/>
        <v>8</v>
      </c>
      <c r="F37" s="25">
        <f t="shared" si="28"/>
        <v>6</v>
      </c>
      <c r="G37" s="145" t="str">
        <f t="shared" si="29"/>
        <v xml:space="preserve"> </v>
      </c>
      <c r="I37" s="101">
        <v>2771</v>
      </c>
      <c r="J37" s="133" t="s">
        <v>26</v>
      </c>
      <c r="K37" s="103" t="str">
        <f t="shared" si="107"/>
        <v xml:space="preserve"> </v>
      </c>
      <c r="L37" s="103" t="str">
        <f t="shared" si="108"/>
        <v xml:space="preserve"> </v>
      </c>
      <c r="M37" s="103">
        <f t="shared" si="109"/>
        <v>0</v>
      </c>
      <c r="N37" s="103">
        <f t="shared" si="110"/>
        <v>0</v>
      </c>
      <c r="O37" s="103">
        <f t="shared" si="111"/>
        <v>0</v>
      </c>
      <c r="P37" s="103">
        <f t="shared" si="112"/>
        <v>0</v>
      </c>
      <c r="Q37" s="103" t="str">
        <f t="shared" si="113"/>
        <v>X</v>
      </c>
      <c r="R37" s="103">
        <f t="shared" si="114"/>
        <v>0</v>
      </c>
      <c r="S37" s="103">
        <f t="shared" si="115"/>
        <v>0</v>
      </c>
      <c r="T37" s="103" t="str">
        <f t="shared" si="116"/>
        <v>X</v>
      </c>
      <c r="U37" s="103">
        <f t="shared" si="117"/>
        <v>0</v>
      </c>
      <c r="V37" s="103" t="str">
        <f t="shared" si="118"/>
        <v>X</v>
      </c>
      <c r="W37" s="103"/>
      <c r="X37" s="103"/>
      <c r="Y37" s="103"/>
      <c r="Z37" s="112">
        <f t="shared" si="119"/>
        <v>3</v>
      </c>
      <c r="AA37" s="123"/>
      <c r="AB37" s="103" t="str">
        <f t="shared" si="120"/>
        <v xml:space="preserve"> </v>
      </c>
      <c r="AC37" s="103" t="str">
        <f t="shared" si="121"/>
        <v xml:space="preserve"> </v>
      </c>
      <c r="AD37" s="103" t="str">
        <f t="shared" si="122"/>
        <v xml:space="preserve"> </v>
      </c>
      <c r="AE37" s="103" t="str">
        <f t="shared" si="123"/>
        <v xml:space="preserve"> </v>
      </c>
      <c r="AF37" s="103" t="str">
        <f t="shared" si="124"/>
        <v>X</v>
      </c>
      <c r="AG37" s="103" t="str">
        <f t="shared" si="125"/>
        <v xml:space="preserve"> </v>
      </c>
      <c r="AH37" s="103" t="str">
        <f t="shared" si="126"/>
        <v>X</v>
      </c>
      <c r="AI37" s="103" t="str">
        <f t="shared" si="127"/>
        <v>X</v>
      </c>
      <c r="AJ37" s="103" t="str">
        <f t="shared" si="128"/>
        <v>X</v>
      </c>
      <c r="AK37" s="103" t="str">
        <f t="shared" si="129"/>
        <v>X</v>
      </c>
      <c r="AL37" s="103" t="str">
        <f t="shared" si="130"/>
        <v xml:space="preserve"> </v>
      </c>
      <c r="AM37" s="103" t="str">
        <f t="shared" si="131"/>
        <v>X</v>
      </c>
      <c r="AN37" s="103"/>
      <c r="AO37" s="103"/>
      <c r="AP37" s="103"/>
      <c r="AQ37" s="112">
        <f t="shared" si="132"/>
        <v>6</v>
      </c>
      <c r="AR37" s="123"/>
      <c r="AS37" s="101">
        <f t="shared" si="8"/>
        <v>2771</v>
      </c>
      <c r="AT37" s="133" t="str">
        <f t="shared" si="9"/>
        <v>NBAA</v>
      </c>
      <c r="AU37" s="103" t="str">
        <f t="shared" si="133"/>
        <v xml:space="preserve"> </v>
      </c>
      <c r="AV37" s="103" t="str">
        <f t="shared" si="134"/>
        <v xml:space="preserve"> </v>
      </c>
      <c r="AW37" s="103" t="str">
        <f t="shared" si="135"/>
        <v xml:space="preserve"> </v>
      </c>
      <c r="AX37" s="103" t="str">
        <f t="shared" si="136"/>
        <v xml:space="preserve"> </v>
      </c>
      <c r="AY37" s="103" t="str">
        <f t="shared" si="137"/>
        <v xml:space="preserve"> </v>
      </c>
      <c r="AZ37" s="103" t="str">
        <f t="shared" si="138"/>
        <v xml:space="preserve"> </v>
      </c>
      <c r="BA37" s="103" t="str">
        <f t="shared" si="139"/>
        <v xml:space="preserve"> </v>
      </c>
      <c r="BB37" s="103" t="str">
        <f t="shared" si="140"/>
        <v xml:space="preserve"> </v>
      </c>
      <c r="BC37" s="103" t="str">
        <f t="shared" si="141"/>
        <v xml:space="preserve"> </v>
      </c>
      <c r="BD37" s="103" t="str">
        <f t="shared" si="142"/>
        <v xml:space="preserve"> </v>
      </c>
      <c r="BE37" s="103" t="str">
        <f t="shared" si="143"/>
        <v xml:space="preserve"> </v>
      </c>
      <c r="BF37" s="103" t="str">
        <f t="shared" si="144"/>
        <v xml:space="preserve"> </v>
      </c>
      <c r="BG37" s="103"/>
      <c r="BH37" s="103"/>
      <c r="BI37" s="103"/>
      <c r="BJ37" s="112" t="str">
        <f t="shared" si="145"/>
        <v xml:space="preserve"> </v>
      </c>
      <c r="BK37" s="123"/>
      <c r="BL37" s="103" t="str">
        <f t="shared" si="146"/>
        <v>X</v>
      </c>
      <c r="BM37" s="103" t="str">
        <f t="shared" si="147"/>
        <v xml:space="preserve"> </v>
      </c>
      <c r="BN37" s="103" t="str">
        <f t="shared" si="148"/>
        <v xml:space="preserve"> </v>
      </c>
      <c r="BO37" s="103" t="str">
        <f t="shared" si="149"/>
        <v xml:space="preserve"> </v>
      </c>
      <c r="BP37" s="103" t="str">
        <f t="shared" si="150"/>
        <v>X</v>
      </c>
      <c r="BQ37" s="103" t="str">
        <f t="shared" si="151"/>
        <v xml:space="preserve"> </v>
      </c>
      <c r="BR37" s="103" t="str">
        <f t="shared" si="152"/>
        <v>X</v>
      </c>
      <c r="BS37" s="103" t="str">
        <f t="shared" si="153"/>
        <v>X</v>
      </c>
      <c r="BT37" s="103" t="str">
        <f t="shared" si="154"/>
        <v>X</v>
      </c>
      <c r="BU37" s="103" t="str">
        <f t="shared" si="155"/>
        <v>X</v>
      </c>
      <c r="BV37" s="103" t="str">
        <f t="shared" si="156"/>
        <v>X</v>
      </c>
      <c r="BW37" s="103" t="str">
        <f t="shared" si="157"/>
        <v>X</v>
      </c>
      <c r="BX37" s="103"/>
      <c r="BY37" s="103"/>
      <c r="BZ37" s="103"/>
      <c r="CA37" s="112">
        <f t="shared" si="158"/>
        <v>8</v>
      </c>
      <c r="CB37" s="123"/>
      <c r="CC37" s="101">
        <f t="shared" si="61"/>
        <v>2771</v>
      </c>
      <c r="CD37" s="133" t="str">
        <f t="shared" si="62"/>
        <v>NBAA</v>
      </c>
      <c r="CE37" s="103" t="str">
        <f t="shared" si="159"/>
        <v xml:space="preserve"> </v>
      </c>
      <c r="CF37" s="103" t="str">
        <f t="shared" si="160"/>
        <v xml:space="preserve"> </v>
      </c>
      <c r="CG37" s="103" t="str">
        <f t="shared" si="161"/>
        <v xml:space="preserve"> </v>
      </c>
      <c r="CH37" s="103" t="str">
        <f t="shared" si="162"/>
        <v xml:space="preserve"> </v>
      </c>
      <c r="CI37" s="103" t="str">
        <f t="shared" si="163"/>
        <v>X</v>
      </c>
      <c r="CJ37" s="103" t="str">
        <f t="shared" si="164"/>
        <v xml:space="preserve"> </v>
      </c>
      <c r="CK37" s="103" t="str">
        <f t="shared" si="165"/>
        <v>X</v>
      </c>
      <c r="CL37" s="103" t="str">
        <f t="shared" si="166"/>
        <v>X</v>
      </c>
      <c r="CM37" s="103" t="str">
        <f t="shared" si="167"/>
        <v>X</v>
      </c>
      <c r="CN37" s="103" t="str">
        <f t="shared" si="168"/>
        <v>X</v>
      </c>
      <c r="CO37" s="103" t="str">
        <f t="shared" si="169"/>
        <v xml:space="preserve"> </v>
      </c>
      <c r="CP37" s="103" t="str">
        <f t="shared" si="170"/>
        <v>X</v>
      </c>
      <c r="CQ37" s="103"/>
      <c r="CR37" s="103"/>
      <c r="CS37" s="103"/>
      <c r="CT37" s="112">
        <f t="shared" si="171"/>
        <v>6</v>
      </c>
      <c r="CU37" s="127"/>
      <c r="CV37" s="101">
        <f t="shared" si="76"/>
        <v>2771</v>
      </c>
      <c r="CW37" s="133" t="str">
        <f t="shared" si="77"/>
        <v>NBAA</v>
      </c>
      <c r="CX37" s="103">
        <f t="shared" si="172"/>
        <v>44637</v>
      </c>
      <c r="CY37" s="103">
        <f t="shared" si="173"/>
        <v>49197</v>
      </c>
      <c r="CZ37" s="103">
        <f t="shared" si="174"/>
        <v>46717</v>
      </c>
      <c r="DA37" s="103">
        <f t="shared" si="175"/>
        <v>37574</v>
      </c>
      <c r="DB37" s="103">
        <f t="shared" si="176"/>
        <v>61994</v>
      </c>
      <c r="DC37" s="103">
        <f t="shared" si="177"/>
        <v>62735</v>
      </c>
      <c r="DD37" s="103">
        <f t="shared" si="178"/>
        <v>97504</v>
      </c>
      <c r="DE37" s="103">
        <f t="shared" si="179"/>
        <v>85798</v>
      </c>
      <c r="DF37" s="103">
        <f t="shared" si="180"/>
        <v>60573</v>
      </c>
      <c r="DG37" s="103">
        <f t="shared" si="181"/>
        <v>80063</v>
      </c>
      <c r="DH37" s="103">
        <f t="shared" si="182"/>
        <v>58551</v>
      </c>
      <c r="DI37" s="103">
        <f t="shared" si="183"/>
        <v>70813</v>
      </c>
      <c r="DM37" s="224">
        <f t="shared" si="104"/>
        <v>63013</v>
      </c>
    </row>
    <row r="38" spans="1:118" ht="15.75" x14ac:dyDescent="0.25">
      <c r="A38" s="136">
        <f t="shared" si="105"/>
        <v>2832</v>
      </c>
      <c r="B38" s="136" t="str">
        <f t="shared" si="106"/>
        <v>NBAA</v>
      </c>
      <c r="C38" s="42" t="str">
        <f t="shared" si="25"/>
        <v xml:space="preserve"> </v>
      </c>
      <c r="D38" s="39">
        <f t="shared" si="26"/>
        <v>3</v>
      </c>
      <c r="E38" s="25">
        <f t="shared" si="27"/>
        <v>3</v>
      </c>
      <c r="F38" s="25">
        <f t="shared" si="28"/>
        <v>9</v>
      </c>
      <c r="G38" s="145" t="str">
        <f t="shared" si="29"/>
        <v xml:space="preserve"> </v>
      </c>
      <c r="I38" s="101">
        <v>2832</v>
      </c>
      <c r="J38" s="133" t="s">
        <v>26</v>
      </c>
      <c r="K38" s="103" t="str">
        <f t="shared" si="107"/>
        <v xml:space="preserve"> </v>
      </c>
      <c r="L38" s="103" t="str">
        <f t="shared" si="108"/>
        <v xml:space="preserve"> </v>
      </c>
      <c r="M38" s="103">
        <f t="shared" si="109"/>
        <v>0</v>
      </c>
      <c r="N38" s="103">
        <f t="shared" si="110"/>
        <v>0</v>
      </c>
      <c r="O38" s="103">
        <f t="shared" si="111"/>
        <v>0</v>
      </c>
      <c r="P38" s="103">
        <f t="shared" si="112"/>
        <v>0</v>
      </c>
      <c r="Q38" s="103">
        <f t="shared" si="113"/>
        <v>0</v>
      </c>
      <c r="R38" s="103">
        <f t="shared" si="114"/>
        <v>0</v>
      </c>
      <c r="S38" s="103">
        <f t="shared" si="115"/>
        <v>0</v>
      </c>
      <c r="T38" s="103">
        <f t="shared" si="116"/>
        <v>0</v>
      </c>
      <c r="U38" s="103">
        <f t="shared" si="117"/>
        <v>0</v>
      </c>
      <c r="V38" s="103">
        <f t="shared" si="118"/>
        <v>0</v>
      </c>
      <c r="W38" s="103"/>
      <c r="X38" s="103"/>
      <c r="Y38" s="103"/>
      <c r="Z38" s="112" t="str">
        <f t="shared" si="119"/>
        <v xml:space="preserve"> </v>
      </c>
      <c r="AA38" s="123"/>
      <c r="AB38" s="103" t="str">
        <f t="shared" si="120"/>
        <v xml:space="preserve"> </v>
      </c>
      <c r="AC38" s="103" t="str">
        <f t="shared" si="121"/>
        <v xml:space="preserve"> </v>
      </c>
      <c r="AD38" s="103" t="str">
        <f t="shared" si="122"/>
        <v xml:space="preserve"> </v>
      </c>
      <c r="AE38" s="103" t="str">
        <f t="shared" si="123"/>
        <v xml:space="preserve"> </v>
      </c>
      <c r="AF38" s="103" t="str">
        <f t="shared" si="124"/>
        <v xml:space="preserve"> </v>
      </c>
      <c r="AG38" s="103" t="str">
        <f t="shared" si="125"/>
        <v>X</v>
      </c>
      <c r="AH38" s="103" t="str">
        <f t="shared" si="126"/>
        <v xml:space="preserve"> </v>
      </c>
      <c r="AI38" s="103" t="str">
        <f t="shared" si="127"/>
        <v xml:space="preserve"> </v>
      </c>
      <c r="AJ38" s="103" t="str">
        <f t="shared" si="128"/>
        <v>X</v>
      </c>
      <c r="AK38" s="103" t="str">
        <f t="shared" si="129"/>
        <v xml:space="preserve"> </v>
      </c>
      <c r="AL38" s="103" t="str">
        <f t="shared" si="130"/>
        <v>X</v>
      </c>
      <c r="AM38" s="103" t="str">
        <f t="shared" si="131"/>
        <v xml:space="preserve"> </v>
      </c>
      <c r="AN38" s="103"/>
      <c r="AO38" s="103"/>
      <c r="AP38" s="103"/>
      <c r="AQ38" s="112">
        <f t="shared" si="132"/>
        <v>3</v>
      </c>
      <c r="AR38" s="123"/>
      <c r="AS38" s="101">
        <f t="shared" si="8"/>
        <v>2832</v>
      </c>
      <c r="AT38" s="133" t="str">
        <f t="shared" si="9"/>
        <v>NBAA</v>
      </c>
      <c r="AU38" s="103" t="str">
        <f t="shared" si="133"/>
        <v xml:space="preserve"> </v>
      </c>
      <c r="AV38" s="103" t="str">
        <f t="shared" si="134"/>
        <v xml:space="preserve"> </v>
      </c>
      <c r="AW38" s="103" t="str">
        <f t="shared" si="135"/>
        <v xml:space="preserve"> </v>
      </c>
      <c r="AX38" s="103" t="str">
        <f t="shared" si="136"/>
        <v xml:space="preserve"> </v>
      </c>
      <c r="AY38" s="103" t="str">
        <f t="shared" si="137"/>
        <v xml:space="preserve"> </v>
      </c>
      <c r="AZ38" s="103" t="str">
        <f t="shared" si="138"/>
        <v xml:space="preserve"> </v>
      </c>
      <c r="BA38" s="103" t="str">
        <f t="shared" si="139"/>
        <v xml:space="preserve"> </v>
      </c>
      <c r="BB38" s="103" t="str">
        <f t="shared" si="140"/>
        <v xml:space="preserve"> </v>
      </c>
      <c r="BC38" s="103" t="str">
        <f t="shared" si="141"/>
        <v xml:space="preserve"> </v>
      </c>
      <c r="BD38" s="103" t="str">
        <f t="shared" si="142"/>
        <v xml:space="preserve"> </v>
      </c>
      <c r="BE38" s="103" t="str">
        <f t="shared" si="143"/>
        <v xml:space="preserve"> </v>
      </c>
      <c r="BF38" s="103" t="str">
        <f t="shared" si="144"/>
        <v xml:space="preserve"> </v>
      </c>
      <c r="BG38" s="103"/>
      <c r="BH38" s="103"/>
      <c r="BI38" s="103"/>
      <c r="BJ38" s="112" t="str">
        <f t="shared" si="145"/>
        <v xml:space="preserve"> </v>
      </c>
      <c r="BK38" s="123"/>
      <c r="BL38" s="103" t="str">
        <f t="shared" si="146"/>
        <v xml:space="preserve"> </v>
      </c>
      <c r="BM38" s="103" t="str">
        <f t="shared" si="147"/>
        <v xml:space="preserve"> </v>
      </c>
      <c r="BN38" s="103" t="str">
        <f t="shared" si="148"/>
        <v xml:space="preserve"> </v>
      </c>
      <c r="BO38" s="103" t="str">
        <f t="shared" si="149"/>
        <v xml:space="preserve"> </v>
      </c>
      <c r="BP38" s="103" t="str">
        <f t="shared" si="150"/>
        <v xml:space="preserve"> </v>
      </c>
      <c r="BQ38" s="103" t="str">
        <f t="shared" si="151"/>
        <v>X</v>
      </c>
      <c r="BR38" s="103" t="str">
        <f t="shared" si="152"/>
        <v xml:space="preserve"> </v>
      </c>
      <c r="BS38" s="103" t="str">
        <f t="shared" si="153"/>
        <v xml:space="preserve"> </v>
      </c>
      <c r="BT38" s="103" t="str">
        <f t="shared" si="154"/>
        <v>X</v>
      </c>
      <c r="BU38" s="103" t="str">
        <f t="shared" si="155"/>
        <v xml:space="preserve"> </v>
      </c>
      <c r="BV38" s="103" t="str">
        <f t="shared" si="156"/>
        <v>X</v>
      </c>
      <c r="BW38" s="103" t="str">
        <f t="shared" si="157"/>
        <v xml:space="preserve"> </v>
      </c>
      <c r="BX38" s="103"/>
      <c r="BY38" s="103"/>
      <c r="BZ38" s="103"/>
      <c r="CA38" s="112">
        <f t="shared" si="158"/>
        <v>3</v>
      </c>
      <c r="CB38" s="123"/>
      <c r="CC38" s="101">
        <f t="shared" si="61"/>
        <v>2832</v>
      </c>
      <c r="CD38" s="133" t="str">
        <f t="shared" si="62"/>
        <v>NBAA</v>
      </c>
      <c r="CE38" s="103" t="str">
        <f t="shared" si="159"/>
        <v>X</v>
      </c>
      <c r="CF38" s="103" t="str">
        <f t="shared" si="160"/>
        <v>X</v>
      </c>
      <c r="CG38" s="103" t="str">
        <f t="shared" si="161"/>
        <v>X</v>
      </c>
      <c r="CH38" s="103" t="str">
        <f t="shared" si="162"/>
        <v xml:space="preserve"> </v>
      </c>
      <c r="CI38" s="103" t="str">
        <f t="shared" si="163"/>
        <v>X</v>
      </c>
      <c r="CJ38" s="103" t="str">
        <f t="shared" si="164"/>
        <v>X</v>
      </c>
      <c r="CK38" s="103" t="str">
        <f t="shared" si="165"/>
        <v xml:space="preserve"> </v>
      </c>
      <c r="CL38" s="103" t="str">
        <f t="shared" si="166"/>
        <v xml:space="preserve"> </v>
      </c>
      <c r="CM38" s="103" t="str">
        <f t="shared" si="167"/>
        <v>X</v>
      </c>
      <c r="CN38" s="103" t="str">
        <f t="shared" si="168"/>
        <v>X</v>
      </c>
      <c r="CO38" s="103" t="str">
        <f t="shared" si="169"/>
        <v>X</v>
      </c>
      <c r="CP38" s="103" t="str">
        <f t="shared" si="170"/>
        <v>X</v>
      </c>
      <c r="CQ38" s="103"/>
      <c r="CR38" s="103"/>
      <c r="CS38" s="103"/>
      <c r="CT38" s="112">
        <f t="shared" si="171"/>
        <v>9</v>
      </c>
      <c r="CU38" s="127"/>
      <c r="CV38" s="101">
        <f t="shared" si="76"/>
        <v>2832</v>
      </c>
      <c r="CW38" s="133" t="str">
        <f t="shared" si="77"/>
        <v>NBAA</v>
      </c>
      <c r="CX38" s="103">
        <f t="shared" si="172"/>
        <v>2670</v>
      </c>
      <c r="CY38" s="103">
        <f t="shared" si="173"/>
        <v>4080</v>
      </c>
      <c r="CZ38" s="103">
        <f t="shared" si="174"/>
        <v>4781</v>
      </c>
      <c r="DA38" s="103">
        <f t="shared" si="175"/>
        <v>4372</v>
      </c>
      <c r="DB38" s="103">
        <f t="shared" si="176"/>
        <v>4379</v>
      </c>
      <c r="DC38" s="103">
        <f t="shared" si="177"/>
        <v>3789</v>
      </c>
      <c r="DD38" s="103">
        <f t="shared" si="178"/>
        <v>2544</v>
      </c>
      <c r="DE38" s="103">
        <f t="shared" si="179"/>
        <v>2685</v>
      </c>
      <c r="DF38" s="103">
        <f t="shared" si="180"/>
        <v>2022</v>
      </c>
      <c r="DG38" s="103">
        <f t="shared" si="181"/>
        <v>2968</v>
      </c>
      <c r="DH38" s="103">
        <f t="shared" si="182"/>
        <v>2011</v>
      </c>
      <c r="DI38" s="103">
        <f t="shared" si="183"/>
        <v>3286</v>
      </c>
      <c r="DM38" s="224">
        <f t="shared" si="104"/>
        <v>3298.9166666666665</v>
      </c>
    </row>
    <row r="39" spans="1:118" ht="15.75" x14ac:dyDescent="0.25">
      <c r="A39" s="136">
        <f t="shared" si="105"/>
        <v>2892</v>
      </c>
      <c r="B39" s="136" t="str">
        <f t="shared" si="106"/>
        <v>NBAA</v>
      </c>
      <c r="C39" s="42" t="str">
        <f t="shared" si="25"/>
        <v xml:space="preserve"> </v>
      </c>
      <c r="D39" s="39" t="str">
        <f t="shared" si="26"/>
        <v xml:space="preserve"> </v>
      </c>
      <c r="E39" s="25" t="str">
        <f t="shared" si="27"/>
        <v xml:space="preserve"> </v>
      </c>
      <c r="F39" s="25">
        <f t="shared" si="28"/>
        <v>5</v>
      </c>
      <c r="G39" s="145" t="str">
        <f t="shared" si="29"/>
        <v xml:space="preserve"> </v>
      </c>
      <c r="I39" s="101">
        <v>2892</v>
      </c>
      <c r="J39" s="133" t="s">
        <v>26</v>
      </c>
      <c r="K39" s="103" t="str">
        <f t="shared" si="107"/>
        <v xml:space="preserve"> </v>
      </c>
      <c r="L39" s="103" t="str">
        <f t="shared" si="108"/>
        <v xml:space="preserve"> </v>
      </c>
      <c r="M39" s="103">
        <f t="shared" si="109"/>
        <v>0</v>
      </c>
      <c r="N39" s="103">
        <f t="shared" si="110"/>
        <v>0</v>
      </c>
      <c r="O39" s="103">
        <f t="shared" si="111"/>
        <v>0</v>
      </c>
      <c r="P39" s="103">
        <f t="shared" si="112"/>
        <v>0</v>
      </c>
      <c r="Q39" s="103">
        <f t="shared" si="113"/>
        <v>0</v>
      </c>
      <c r="R39" s="103">
        <f t="shared" si="114"/>
        <v>0</v>
      </c>
      <c r="S39" s="103">
        <f t="shared" si="115"/>
        <v>0</v>
      </c>
      <c r="T39" s="103">
        <f t="shared" si="116"/>
        <v>0</v>
      </c>
      <c r="U39" s="103">
        <f t="shared" si="117"/>
        <v>0</v>
      </c>
      <c r="V39" s="103">
        <f t="shared" si="118"/>
        <v>0</v>
      </c>
      <c r="W39" s="103"/>
      <c r="X39" s="103"/>
      <c r="Y39" s="103"/>
      <c r="Z39" s="112" t="str">
        <f t="shared" si="119"/>
        <v xml:space="preserve"> </v>
      </c>
      <c r="AA39" s="123"/>
      <c r="AB39" s="103" t="str">
        <f t="shared" si="120"/>
        <v xml:space="preserve"> </v>
      </c>
      <c r="AC39" s="103" t="str">
        <f t="shared" si="121"/>
        <v xml:space="preserve"> </v>
      </c>
      <c r="AD39" s="103" t="str">
        <f t="shared" si="122"/>
        <v xml:space="preserve"> </v>
      </c>
      <c r="AE39" s="103" t="str">
        <f t="shared" si="123"/>
        <v xml:space="preserve"> </v>
      </c>
      <c r="AF39" s="103" t="str">
        <f t="shared" si="124"/>
        <v xml:space="preserve"> </v>
      </c>
      <c r="AG39" s="103" t="str">
        <f t="shared" si="125"/>
        <v xml:space="preserve"> </v>
      </c>
      <c r="AH39" s="103" t="str">
        <f t="shared" si="126"/>
        <v xml:space="preserve"> </v>
      </c>
      <c r="AI39" s="103" t="str">
        <f t="shared" si="127"/>
        <v xml:space="preserve"> </v>
      </c>
      <c r="AJ39" s="103" t="str">
        <f t="shared" si="128"/>
        <v xml:space="preserve"> </v>
      </c>
      <c r="AK39" s="103" t="str">
        <f t="shared" si="129"/>
        <v xml:space="preserve"> </v>
      </c>
      <c r="AL39" s="103" t="str">
        <f t="shared" si="130"/>
        <v xml:space="preserve"> </v>
      </c>
      <c r="AM39" s="103" t="str">
        <f t="shared" si="131"/>
        <v xml:space="preserve"> </v>
      </c>
      <c r="AN39" s="103"/>
      <c r="AO39" s="103"/>
      <c r="AP39" s="103"/>
      <c r="AQ39" s="112" t="str">
        <f t="shared" si="132"/>
        <v xml:space="preserve"> </v>
      </c>
      <c r="AR39" s="123"/>
      <c r="AS39" s="101">
        <f t="shared" si="8"/>
        <v>2892</v>
      </c>
      <c r="AT39" s="133" t="str">
        <f t="shared" si="9"/>
        <v>NBAA</v>
      </c>
      <c r="AU39" s="103" t="str">
        <f t="shared" si="133"/>
        <v xml:space="preserve"> </v>
      </c>
      <c r="AV39" s="103" t="str">
        <f t="shared" si="134"/>
        <v xml:space="preserve"> </v>
      </c>
      <c r="AW39" s="103" t="str">
        <f t="shared" si="135"/>
        <v xml:space="preserve"> </v>
      </c>
      <c r="AX39" s="103" t="str">
        <f t="shared" si="136"/>
        <v xml:space="preserve"> </v>
      </c>
      <c r="AY39" s="103" t="str">
        <f t="shared" si="137"/>
        <v xml:space="preserve"> </v>
      </c>
      <c r="AZ39" s="103" t="str">
        <f t="shared" si="138"/>
        <v xml:space="preserve"> </v>
      </c>
      <c r="BA39" s="103" t="str">
        <f t="shared" si="139"/>
        <v xml:space="preserve"> </v>
      </c>
      <c r="BB39" s="103" t="str">
        <f t="shared" si="140"/>
        <v xml:space="preserve"> </v>
      </c>
      <c r="BC39" s="103" t="str">
        <f t="shared" si="141"/>
        <v xml:space="preserve"> </v>
      </c>
      <c r="BD39" s="103" t="str">
        <f t="shared" si="142"/>
        <v xml:space="preserve"> </v>
      </c>
      <c r="BE39" s="103" t="str">
        <f t="shared" si="143"/>
        <v xml:space="preserve"> </v>
      </c>
      <c r="BF39" s="103" t="str">
        <f t="shared" si="144"/>
        <v xml:space="preserve"> </v>
      </c>
      <c r="BG39" s="103"/>
      <c r="BH39" s="103"/>
      <c r="BI39" s="103"/>
      <c r="BJ39" s="112" t="str">
        <f t="shared" si="145"/>
        <v xml:space="preserve"> </v>
      </c>
      <c r="BK39" s="123"/>
      <c r="BL39" s="103" t="str">
        <f t="shared" si="146"/>
        <v xml:space="preserve"> </v>
      </c>
      <c r="BM39" s="103" t="str">
        <f t="shared" si="147"/>
        <v xml:space="preserve"> </v>
      </c>
      <c r="BN39" s="103" t="str">
        <f t="shared" si="148"/>
        <v xml:space="preserve"> </v>
      </c>
      <c r="BO39" s="103" t="str">
        <f t="shared" si="149"/>
        <v xml:space="preserve"> </v>
      </c>
      <c r="BP39" s="103" t="str">
        <f t="shared" si="150"/>
        <v xml:space="preserve"> </v>
      </c>
      <c r="BQ39" s="103" t="str">
        <f t="shared" si="151"/>
        <v xml:space="preserve"> </v>
      </c>
      <c r="BR39" s="103" t="str">
        <f t="shared" si="152"/>
        <v xml:space="preserve"> </v>
      </c>
      <c r="BS39" s="103" t="str">
        <f t="shared" si="153"/>
        <v xml:space="preserve"> </v>
      </c>
      <c r="BT39" s="103" t="str">
        <f t="shared" si="154"/>
        <v xml:space="preserve"> </v>
      </c>
      <c r="BU39" s="103" t="str">
        <f t="shared" si="155"/>
        <v xml:space="preserve"> </v>
      </c>
      <c r="BV39" s="103" t="str">
        <f t="shared" si="156"/>
        <v xml:space="preserve"> </v>
      </c>
      <c r="BW39" s="103" t="str">
        <f t="shared" si="157"/>
        <v xml:space="preserve"> </v>
      </c>
      <c r="BX39" s="103"/>
      <c r="BY39" s="103"/>
      <c r="BZ39" s="103"/>
      <c r="CA39" s="112" t="str">
        <f t="shared" si="158"/>
        <v xml:space="preserve"> </v>
      </c>
      <c r="CB39" s="123"/>
      <c r="CC39" s="101">
        <f t="shared" si="61"/>
        <v>2892</v>
      </c>
      <c r="CD39" s="133" t="str">
        <f t="shared" si="62"/>
        <v>NBAA</v>
      </c>
      <c r="CE39" s="103" t="str">
        <f t="shared" si="159"/>
        <v xml:space="preserve"> </v>
      </c>
      <c r="CF39" s="103" t="str">
        <f t="shared" si="160"/>
        <v xml:space="preserve"> </v>
      </c>
      <c r="CG39" s="103" t="str">
        <f t="shared" si="161"/>
        <v xml:space="preserve"> </v>
      </c>
      <c r="CH39" s="103" t="str">
        <f t="shared" si="162"/>
        <v xml:space="preserve"> </v>
      </c>
      <c r="CI39" s="103" t="str">
        <f t="shared" si="163"/>
        <v xml:space="preserve"> </v>
      </c>
      <c r="CJ39" s="103" t="str">
        <f t="shared" si="164"/>
        <v xml:space="preserve"> </v>
      </c>
      <c r="CK39" s="103" t="str">
        <f t="shared" si="165"/>
        <v>X</v>
      </c>
      <c r="CL39" s="103" t="str">
        <f t="shared" si="166"/>
        <v>X</v>
      </c>
      <c r="CM39" s="103" t="str">
        <f t="shared" si="167"/>
        <v xml:space="preserve"> </v>
      </c>
      <c r="CN39" s="103" t="str">
        <f t="shared" si="168"/>
        <v>X</v>
      </c>
      <c r="CO39" s="103" t="str">
        <f t="shared" si="169"/>
        <v>X</v>
      </c>
      <c r="CP39" s="103" t="str">
        <f t="shared" si="170"/>
        <v>X</v>
      </c>
      <c r="CQ39" s="103"/>
      <c r="CR39" s="103"/>
      <c r="CS39" s="103"/>
      <c r="CT39" s="112">
        <f t="shared" si="171"/>
        <v>5</v>
      </c>
      <c r="CU39" s="127"/>
      <c r="CV39" s="101">
        <f t="shared" si="76"/>
        <v>2892</v>
      </c>
      <c r="CW39" s="133" t="str">
        <f t="shared" si="77"/>
        <v>NBAA</v>
      </c>
      <c r="CX39" s="103">
        <f t="shared" si="172"/>
        <v>188</v>
      </c>
      <c r="CY39" s="103">
        <f t="shared" si="173"/>
        <v>191</v>
      </c>
      <c r="CZ39" s="103">
        <f t="shared" si="174"/>
        <v>193</v>
      </c>
      <c r="DA39" s="103">
        <f t="shared" si="175"/>
        <v>202</v>
      </c>
      <c r="DB39" s="103">
        <f t="shared" si="176"/>
        <v>210</v>
      </c>
      <c r="DC39" s="103">
        <f t="shared" si="177"/>
        <v>194</v>
      </c>
      <c r="DD39" s="103">
        <f t="shared" si="178"/>
        <v>2003</v>
      </c>
      <c r="DE39" s="103">
        <f t="shared" si="179"/>
        <v>2103</v>
      </c>
      <c r="DF39" s="103">
        <f t="shared" si="180"/>
        <v>1801</v>
      </c>
      <c r="DG39" s="103">
        <f t="shared" si="181"/>
        <v>171</v>
      </c>
      <c r="DH39" s="103">
        <f t="shared" si="182"/>
        <v>162</v>
      </c>
      <c r="DI39" s="103">
        <f t="shared" si="183"/>
        <v>225</v>
      </c>
      <c r="DM39" s="224">
        <f t="shared" si="104"/>
        <v>636.91666666666663</v>
      </c>
    </row>
    <row r="40" spans="1:118" ht="15.75" x14ac:dyDescent="0.25">
      <c r="A40" s="136">
        <f t="shared" si="105"/>
        <v>3015</v>
      </c>
      <c r="B40" s="136" t="str">
        <f t="shared" si="106"/>
        <v>NBAA</v>
      </c>
      <c r="C40" s="42" t="str">
        <f t="shared" si="25"/>
        <v xml:space="preserve"> </v>
      </c>
      <c r="D40" s="39">
        <f t="shared" si="26"/>
        <v>4</v>
      </c>
      <c r="E40" s="25">
        <f t="shared" si="27"/>
        <v>4</v>
      </c>
      <c r="F40" s="25">
        <f t="shared" si="28"/>
        <v>6</v>
      </c>
      <c r="G40" s="145" t="str">
        <f t="shared" si="29"/>
        <v xml:space="preserve"> </v>
      </c>
      <c r="I40" s="101">
        <v>3015</v>
      </c>
      <c r="J40" s="133" t="s">
        <v>26</v>
      </c>
      <c r="K40" s="103" t="str">
        <f t="shared" si="107"/>
        <v xml:space="preserve"> </v>
      </c>
      <c r="L40" s="103" t="str">
        <f t="shared" si="108"/>
        <v xml:space="preserve"> </v>
      </c>
      <c r="M40" s="103">
        <f t="shared" si="109"/>
        <v>0</v>
      </c>
      <c r="N40" s="103">
        <f t="shared" si="110"/>
        <v>0</v>
      </c>
      <c r="O40" s="103">
        <f t="shared" si="111"/>
        <v>0</v>
      </c>
      <c r="P40" s="103">
        <f t="shared" si="112"/>
        <v>0</v>
      </c>
      <c r="Q40" s="103">
        <f t="shared" si="113"/>
        <v>0</v>
      </c>
      <c r="R40" s="103">
        <f t="shared" si="114"/>
        <v>0</v>
      </c>
      <c r="S40" s="103">
        <f t="shared" si="115"/>
        <v>0</v>
      </c>
      <c r="T40" s="103">
        <f t="shared" si="116"/>
        <v>0</v>
      </c>
      <c r="U40" s="103">
        <f t="shared" si="117"/>
        <v>0</v>
      </c>
      <c r="V40" s="103">
        <f t="shared" si="118"/>
        <v>0</v>
      </c>
      <c r="W40" s="103"/>
      <c r="X40" s="103"/>
      <c r="Y40" s="103"/>
      <c r="Z40" s="112" t="str">
        <f t="shared" si="119"/>
        <v xml:space="preserve"> </v>
      </c>
      <c r="AA40" s="123"/>
      <c r="AB40" s="103" t="str">
        <f t="shared" si="120"/>
        <v>X</v>
      </c>
      <c r="AC40" s="103" t="str">
        <f t="shared" si="121"/>
        <v>X</v>
      </c>
      <c r="AD40" s="103" t="str">
        <f t="shared" si="122"/>
        <v xml:space="preserve"> </v>
      </c>
      <c r="AE40" s="103" t="str">
        <f t="shared" si="123"/>
        <v xml:space="preserve"> </v>
      </c>
      <c r="AF40" s="103" t="str">
        <f t="shared" si="124"/>
        <v xml:space="preserve"> </v>
      </c>
      <c r="AG40" s="103" t="str">
        <f t="shared" si="125"/>
        <v xml:space="preserve"> </v>
      </c>
      <c r="AH40" s="103" t="str">
        <f t="shared" si="126"/>
        <v xml:space="preserve"> </v>
      </c>
      <c r="AI40" s="103" t="str">
        <f t="shared" si="127"/>
        <v>X</v>
      </c>
      <c r="AJ40" s="103" t="str">
        <f t="shared" si="128"/>
        <v>X</v>
      </c>
      <c r="AK40" s="103" t="str">
        <f t="shared" si="129"/>
        <v xml:space="preserve"> </v>
      </c>
      <c r="AL40" s="103" t="str">
        <f t="shared" si="130"/>
        <v xml:space="preserve"> </v>
      </c>
      <c r="AM40" s="103" t="str">
        <f t="shared" si="131"/>
        <v xml:space="preserve"> </v>
      </c>
      <c r="AN40" s="103"/>
      <c r="AO40" s="103"/>
      <c r="AP40" s="103"/>
      <c r="AQ40" s="112">
        <f t="shared" si="132"/>
        <v>4</v>
      </c>
      <c r="AR40" s="123"/>
      <c r="AS40" s="101">
        <f t="shared" si="8"/>
        <v>3015</v>
      </c>
      <c r="AT40" s="133" t="str">
        <f t="shared" si="9"/>
        <v>NBAA</v>
      </c>
      <c r="AU40" s="103" t="str">
        <f t="shared" si="133"/>
        <v xml:space="preserve"> </v>
      </c>
      <c r="AV40" s="103" t="str">
        <f t="shared" si="134"/>
        <v xml:space="preserve"> </v>
      </c>
      <c r="AW40" s="103" t="str">
        <f t="shared" si="135"/>
        <v xml:space="preserve"> </v>
      </c>
      <c r="AX40" s="103" t="str">
        <f t="shared" si="136"/>
        <v xml:space="preserve"> </v>
      </c>
      <c r="AY40" s="103" t="str">
        <f t="shared" si="137"/>
        <v xml:space="preserve"> </v>
      </c>
      <c r="AZ40" s="103" t="str">
        <f t="shared" si="138"/>
        <v xml:space="preserve"> </v>
      </c>
      <c r="BA40" s="103" t="str">
        <f t="shared" si="139"/>
        <v xml:space="preserve"> </v>
      </c>
      <c r="BB40" s="103" t="str">
        <f t="shared" si="140"/>
        <v xml:space="preserve"> </v>
      </c>
      <c r="BC40" s="103" t="str">
        <f t="shared" si="141"/>
        <v xml:space="preserve"> </v>
      </c>
      <c r="BD40" s="103" t="str">
        <f t="shared" si="142"/>
        <v xml:space="preserve"> </v>
      </c>
      <c r="BE40" s="103" t="str">
        <f t="shared" si="143"/>
        <v xml:space="preserve"> </v>
      </c>
      <c r="BF40" s="103" t="str">
        <f t="shared" si="144"/>
        <v xml:space="preserve"> </v>
      </c>
      <c r="BG40" s="103"/>
      <c r="BH40" s="103"/>
      <c r="BI40" s="103"/>
      <c r="BJ40" s="112" t="str">
        <f t="shared" si="145"/>
        <v xml:space="preserve"> </v>
      </c>
      <c r="BK40" s="123"/>
      <c r="BL40" s="103" t="str">
        <f t="shared" si="146"/>
        <v>X</v>
      </c>
      <c r="BM40" s="103" t="str">
        <f t="shared" si="147"/>
        <v>X</v>
      </c>
      <c r="BN40" s="103" t="str">
        <f t="shared" si="148"/>
        <v xml:space="preserve"> </v>
      </c>
      <c r="BO40" s="103" t="str">
        <f t="shared" si="149"/>
        <v xml:space="preserve"> </v>
      </c>
      <c r="BP40" s="103" t="str">
        <f t="shared" si="150"/>
        <v xml:space="preserve"> </v>
      </c>
      <c r="BQ40" s="103" t="str">
        <f t="shared" si="151"/>
        <v xml:space="preserve"> </v>
      </c>
      <c r="BR40" s="103" t="str">
        <f t="shared" si="152"/>
        <v xml:space="preserve"> </v>
      </c>
      <c r="BS40" s="103" t="str">
        <f t="shared" si="153"/>
        <v>X</v>
      </c>
      <c r="BT40" s="103" t="str">
        <f t="shared" si="154"/>
        <v>X</v>
      </c>
      <c r="BU40" s="103" t="str">
        <f t="shared" si="155"/>
        <v xml:space="preserve"> </v>
      </c>
      <c r="BV40" s="103" t="str">
        <f t="shared" si="156"/>
        <v xml:space="preserve"> </v>
      </c>
      <c r="BW40" s="103" t="str">
        <f t="shared" si="157"/>
        <v xml:space="preserve"> </v>
      </c>
      <c r="BX40" s="103"/>
      <c r="BY40" s="103"/>
      <c r="BZ40" s="103"/>
      <c r="CA40" s="112">
        <f t="shared" si="158"/>
        <v>4</v>
      </c>
      <c r="CB40" s="123"/>
      <c r="CC40" s="101">
        <f t="shared" si="61"/>
        <v>3015</v>
      </c>
      <c r="CD40" s="133" t="str">
        <f t="shared" si="62"/>
        <v>NBAA</v>
      </c>
      <c r="CE40" s="103" t="str">
        <f t="shared" si="159"/>
        <v>X</v>
      </c>
      <c r="CF40" s="103" t="str">
        <f t="shared" si="160"/>
        <v>X</v>
      </c>
      <c r="CG40" s="103" t="str">
        <f t="shared" si="161"/>
        <v>X</v>
      </c>
      <c r="CH40" s="103" t="str">
        <f t="shared" si="162"/>
        <v xml:space="preserve"> </v>
      </c>
      <c r="CI40" s="103" t="str">
        <f t="shared" si="163"/>
        <v xml:space="preserve"> </v>
      </c>
      <c r="CJ40" s="103" t="str">
        <f t="shared" si="164"/>
        <v xml:space="preserve"> </v>
      </c>
      <c r="CK40" s="103" t="str">
        <f t="shared" si="165"/>
        <v>X</v>
      </c>
      <c r="CL40" s="103" t="str">
        <f t="shared" si="166"/>
        <v>X</v>
      </c>
      <c r="CM40" s="103" t="str">
        <f t="shared" si="167"/>
        <v>X</v>
      </c>
      <c r="CN40" s="103" t="str">
        <f t="shared" si="168"/>
        <v xml:space="preserve"> </v>
      </c>
      <c r="CO40" s="103" t="str">
        <f t="shared" si="169"/>
        <v xml:space="preserve"> </v>
      </c>
      <c r="CP40" s="103" t="str">
        <f t="shared" si="170"/>
        <v xml:space="preserve"> </v>
      </c>
      <c r="CQ40" s="103"/>
      <c r="CR40" s="103"/>
      <c r="CS40" s="103"/>
      <c r="CT40" s="112">
        <f t="shared" si="171"/>
        <v>6</v>
      </c>
      <c r="CU40" s="127"/>
      <c r="CV40" s="101">
        <f t="shared" si="76"/>
        <v>3015</v>
      </c>
      <c r="CW40" s="133" t="str">
        <f t="shared" si="77"/>
        <v>NBAA</v>
      </c>
      <c r="CX40" s="103">
        <f t="shared" si="172"/>
        <v>8968</v>
      </c>
      <c r="CY40" s="103">
        <f t="shared" si="173"/>
        <v>9284</v>
      </c>
      <c r="CZ40" s="103">
        <f t="shared" si="174"/>
        <v>9176</v>
      </c>
      <c r="DA40" s="103">
        <f t="shared" si="175"/>
        <v>8469</v>
      </c>
      <c r="DB40" s="103">
        <f t="shared" si="176"/>
        <v>8363</v>
      </c>
      <c r="DC40" s="103">
        <f t="shared" si="177"/>
        <v>10221</v>
      </c>
      <c r="DD40" s="103">
        <f t="shared" si="178"/>
        <v>10042</v>
      </c>
      <c r="DE40" s="103">
        <f t="shared" si="179"/>
        <v>10153</v>
      </c>
      <c r="DF40" s="103">
        <f t="shared" si="180"/>
        <v>7862</v>
      </c>
      <c r="DG40" s="103">
        <f t="shared" si="181"/>
        <v>9654</v>
      </c>
      <c r="DH40" s="103">
        <f t="shared" si="182"/>
        <v>8996</v>
      </c>
      <c r="DI40" s="103">
        <f t="shared" si="183"/>
        <v>9693</v>
      </c>
      <c r="DM40" s="224">
        <f t="shared" si="104"/>
        <v>9240.0833333333339</v>
      </c>
    </row>
    <row r="41" spans="1:118" ht="15.75" x14ac:dyDescent="0.25">
      <c r="A41" s="136">
        <f>I41</f>
        <v>4303</v>
      </c>
      <c r="B41" s="136" t="str">
        <f>J41</f>
        <v>NBAA</v>
      </c>
      <c r="C41" s="42"/>
      <c r="D41" s="39"/>
      <c r="E41" s="25"/>
      <c r="F41" s="25"/>
      <c r="G41" s="145"/>
      <c r="I41" s="101">
        <v>4303</v>
      </c>
      <c r="J41" s="133" t="s">
        <v>26</v>
      </c>
      <c r="K41" s="103" t="str">
        <f t="shared" si="107"/>
        <v xml:space="preserve"> </v>
      </c>
      <c r="L41" s="103" t="str">
        <f t="shared" si="108"/>
        <v xml:space="preserve"> </v>
      </c>
      <c r="M41" s="103">
        <f t="shared" si="109"/>
        <v>0</v>
      </c>
      <c r="N41" s="103">
        <f t="shared" si="110"/>
        <v>0</v>
      </c>
      <c r="O41" s="103">
        <f t="shared" si="111"/>
        <v>0</v>
      </c>
      <c r="P41" s="103">
        <f t="shared" si="112"/>
        <v>0</v>
      </c>
      <c r="Q41" s="103">
        <f t="shared" si="113"/>
        <v>0</v>
      </c>
      <c r="R41" s="103">
        <f t="shared" si="114"/>
        <v>0</v>
      </c>
      <c r="S41" s="103">
        <f t="shared" si="115"/>
        <v>0</v>
      </c>
      <c r="T41" s="103" t="e">
        <f t="shared" si="116"/>
        <v>#N/A</v>
      </c>
      <c r="U41" s="103" t="e">
        <f t="shared" si="117"/>
        <v>#N/A</v>
      </c>
      <c r="V41" s="103" t="e">
        <f t="shared" si="118"/>
        <v>#N/A</v>
      </c>
      <c r="W41" s="103"/>
      <c r="X41" s="103"/>
      <c r="Y41" s="103"/>
      <c r="Z41" s="112" t="str">
        <f>IF(COUNTIF(K41:Y41,"x")=0," ",COUNTIF(K41:Y41,"x"))</f>
        <v xml:space="preserve"> </v>
      </c>
      <c r="AA41" s="123"/>
      <c r="AB41" s="103" t="str">
        <f t="shared" si="120"/>
        <v xml:space="preserve"> </v>
      </c>
      <c r="AC41" s="103" t="str">
        <f t="shared" si="121"/>
        <v xml:space="preserve"> </v>
      </c>
      <c r="AD41" s="103" t="str">
        <f t="shared" si="122"/>
        <v xml:space="preserve"> </v>
      </c>
      <c r="AE41" s="103" t="str">
        <f t="shared" si="123"/>
        <v xml:space="preserve"> </v>
      </c>
      <c r="AF41" s="103" t="str">
        <f t="shared" si="124"/>
        <v xml:space="preserve"> </v>
      </c>
      <c r="AG41" s="103" t="str">
        <f t="shared" si="125"/>
        <v xml:space="preserve"> </v>
      </c>
      <c r="AH41" s="103" t="str">
        <f t="shared" si="126"/>
        <v xml:space="preserve"> </v>
      </c>
      <c r="AI41" s="103" t="str">
        <f t="shared" si="127"/>
        <v xml:space="preserve"> </v>
      </c>
      <c r="AJ41" s="103" t="str">
        <f t="shared" si="128"/>
        <v xml:space="preserve"> </v>
      </c>
      <c r="AK41" s="103" t="e">
        <f t="shared" si="129"/>
        <v>#N/A</v>
      </c>
      <c r="AL41" s="103" t="e">
        <f t="shared" si="130"/>
        <v>#N/A</v>
      </c>
      <c r="AM41" s="103" t="e">
        <f t="shared" si="131"/>
        <v>#N/A</v>
      </c>
      <c r="AN41" s="103"/>
      <c r="AO41" s="103"/>
      <c r="AP41" s="103"/>
      <c r="AQ41" s="112" t="str">
        <f t="shared" si="132"/>
        <v xml:space="preserve"> </v>
      </c>
      <c r="AR41" s="123"/>
      <c r="AS41" s="101">
        <f t="shared" si="8"/>
        <v>4303</v>
      </c>
      <c r="AT41" s="133" t="str">
        <f t="shared" si="9"/>
        <v>NBAA</v>
      </c>
      <c r="AU41" s="103" t="str">
        <f t="shared" si="133"/>
        <v xml:space="preserve"> </v>
      </c>
      <c r="AV41" s="103" t="str">
        <f t="shared" si="134"/>
        <v xml:space="preserve"> </v>
      </c>
      <c r="AW41" s="103" t="str">
        <f t="shared" si="135"/>
        <v xml:space="preserve"> </v>
      </c>
      <c r="AX41" s="103" t="str">
        <f t="shared" si="136"/>
        <v xml:space="preserve"> </v>
      </c>
      <c r="AY41" s="103" t="str">
        <f t="shared" si="137"/>
        <v xml:space="preserve"> </v>
      </c>
      <c r="AZ41" s="103" t="str">
        <f t="shared" si="138"/>
        <v xml:space="preserve"> </v>
      </c>
      <c r="BA41" s="103" t="str">
        <f t="shared" si="139"/>
        <v xml:space="preserve"> </v>
      </c>
      <c r="BB41" s="103" t="str">
        <f t="shared" si="140"/>
        <v xml:space="preserve"> </v>
      </c>
      <c r="BC41" s="103" t="str">
        <f t="shared" si="141"/>
        <v xml:space="preserve"> </v>
      </c>
      <c r="BD41" s="103" t="e">
        <f t="shared" si="142"/>
        <v>#N/A</v>
      </c>
      <c r="BE41" s="103" t="e">
        <f t="shared" si="143"/>
        <v>#N/A</v>
      </c>
      <c r="BF41" s="103" t="e">
        <f t="shared" si="144"/>
        <v>#N/A</v>
      </c>
      <c r="BG41" s="103"/>
      <c r="BH41" s="103"/>
      <c r="BI41" s="103"/>
      <c r="BJ41" s="112" t="str">
        <f t="shared" si="145"/>
        <v xml:space="preserve"> </v>
      </c>
      <c r="BK41" s="123"/>
      <c r="BL41" s="103" t="str">
        <f t="shared" si="146"/>
        <v xml:space="preserve"> </v>
      </c>
      <c r="BM41" s="103" t="str">
        <f t="shared" si="147"/>
        <v xml:space="preserve"> </v>
      </c>
      <c r="BN41" s="103" t="str">
        <f t="shared" si="148"/>
        <v xml:space="preserve"> </v>
      </c>
      <c r="BO41" s="103" t="str">
        <f t="shared" si="149"/>
        <v xml:space="preserve"> </v>
      </c>
      <c r="BP41" s="103" t="str">
        <f t="shared" si="150"/>
        <v xml:space="preserve"> </v>
      </c>
      <c r="BQ41" s="103" t="str">
        <f t="shared" si="151"/>
        <v xml:space="preserve"> </v>
      </c>
      <c r="BR41" s="103" t="str">
        <f t="shared" si="152"/>
        <v xml:space="preserve"> </v>
      </c>
      <c r="BS41" s="103" t="str">
        <f t="shared" si="153"/>
        <v xml:space="preserve"> </v>
      </c>
      <c r="BT41" s="103" t="str">
        <f t="shared" si="154"/>
        <v xml:space="preserve"> </v>
      </c>
      <c r="BU41" s="103" t="e">
        <f t="shared" si="155"/>
        <v>#N/A</v>
      </c>
      <c r="BV41" s="103" t="e">
        <f t="shared" si="156"/>
        <v>#N/A</v>
      </c>
      <c r="BW41" s="103" t="e">
        <f t="shared" si="157"/>
        <v>#N/A</v>
      </c>
      <c r="BX41" s="103"/>
      <c r="BY41" s="103"/>
      <c r="BZ41" s="103"/>
      <c r="CA41" s="112" t="str">
        <f t="shared" si="158"/>
        <v xml:space="preserve"> </v>
      </c>
      <c r="CB41" s="123"/>
      <c r="CC41" s="101">
        <f t="shared" si="61"/>
        <v>4303</v>
      </c>
      <c r="CD41" s="133"/>
      <c r="CE41" s="103" t="str">
        <f t="shared" si="159"/>
        <v>X</v>
      </c>
      <c r="CF41" s="103" t="str">
        <f t="shared" si="160"/>
        <v xml:space="preserve"> </v>
      </c>
      <c r="CG41" s="103" t="str">
        <f t="shared" si="161"/>
        <v xml:space="preserve"> </v>
      </c>
      <c r="CH41" s="103" t="str">
        <f t="shared" si="162"/>
        <v xml:space="preserve"> </v>
      </c>
      <c r="CI41" s="103" t="str">
        <f t="shared" si="163"/>
        <v>X</v>
      </c>
      <c r="CJ41" s="103" t="str">
        <f t="shared" si="164"/>
        <v xml:space="preserve"> </v>
      </c>
      <c r="CK41" s="103" t="str">
        <f t="shared" si="165"/>
        <v xml:space="preserve"> </v>
      </c>
      <c r="CL41" s="103" t="str">
        <f t="shared" si="166"/>
        <v xml:space="preserve"> </v>
      </c>
      <c r="CM41" s="103" t="str">
        <f t="shared" si="167"/>
        <v xml:space="preserve"> </v>
      </c>
      <c r="CN41" s="103" t="e">
        <f t="shared" si="168"/>
        <v>#N/A</v>
      </c>
      <c r="CO41" s="103" t="e">
        <f t="shared" si="169"/>
        <v>#N/A</v>
      </c>
      <c r="CP41" s="103" t="e">
        <f t="shared" si="170"/>
        <v>#N/A</v>
      </c>
      <c r="CQ41" s="103"/>
      <c r="CR41" s="103"/>
      <c r="CS41" s="103"/>
      <c r="CT41" s="112">
        <f t="shared" si="171"/>
        <v>2</v>
      </c>
      <c r="CU41" s="127"/>
      <c r="CV41" s="101">
        <f t="shared" si="76"/>
        <v>4303</v>
      </c>
      <c r="CW41" s="133"/>
      <c r="CX41" s="103">
        <f t="shared" si="172"/>
        <v>3123</v>
      </c>
      <c r="CY41" s="103">
        <f t="shared" si="173"/>
        <v>3137</v>
      </c>
      <c r="CZ41" s="103">
        <f t="shared" si="174"/>
        <v>3159</v>
      </c>
      <c r="DA41" s="103">
        <f t="shared" si="175"/>
        <v>2168</v>
      </c>
      <c r="DB41" s="103">
        <f t="shared" si="176"/>
        <v>3237</v>
      </c>
      <c r="DC41" s="103">
        <f t="shared" si="177"/>
        <v>3135</v>
      </c>
      <c r="DD41" s="103">
        <f t="shared" si="178"/>
        <v>3290</v>
      </c>
      <c r="DE41" s="103">
        <f t="shared" si="179"/>
        <v>3336</v>
      </c>
      <c r="DF41" s="103">
        <f t="shared" si="180"/>
        <v>2083</v>
      </c>
      <c r="DG41" s="103"/>
      <c r="DH41" s="103"/>
      <c r="DI41" s="103"/>
      <c r="DM41" s="224">
        <f t="shared" si="104"/>
        <v>2963.1111111111113</v>
      </c>
    </row>
    <row r="42" spans="1:118" ht="15.75" x14ac:dyDescent="0.25">
      <c r="A42" s="136">
        <f t="shared" si="105"/>
        <v>4438</v>
      </c>
      <c r="B42" s="136" t="str">
        <f t="shared" si="106"/>
        <v>NBAA</v>
      </c>
      <c r="C42" s="42">
        <f t="shared" si="25"/>
        <v>1</v>
      </c>
      <c r="D42" s="39">
        <f t="shared" si="26"/>
        <v>2</v>
      </c>
      <c r="E42" s="25">
        <f t="shared" si="27"/>
        <v>2</v>
      </c>
      <c r="F42" s="25">
        <f t="shared" si="28"/>
        <v>2</v>
      </c>
      <c r="G42" s="145">
        <f t="shared" si="29"/>
        <v>1</v>
      </c>
      <c r="I42" s="101">
        <v>4438</v>
      </c>
      <c r="J42" s="133" t="s">
        <v>26</v>
      </c>
      <c r="K42" s="103" t="str">
        <f t="shared" si="107"/>
        <v xml:space="preserve"> </v>
      </c>
      <c r="L42" s="103" t="str">
        <f t="shared" si="108"/>
        <v>X</v>
      </c>
      <c r="M42" s="103">
        <f t="shared" si="109"/>
        <v>0</v>
      </c>
      <c r="N42" s="103">
        <f t="shared" si="110"/>
        <v>0</v>
      </c>
      <c r="O42" s="103">
        <f t="shared" si="111"/>
        <v>0</v>
      </c>
      <c r="P42" s="103">
        <f t="shared" si="112"/>
        <v>0</v>
      </c>
      <c r="Q42" s="103">
        <f t="shared" si="113"/>
        <v>0</v>
      </c>
      <c r="R42" s="103">
        <f t="shared" si="114"/>
        <v>0</v>
      </c>
      <c r="S42" s="103">
        <f t="shared" si="115"/>
        <v>0</v>
      </c>
      <c r="T42" s="103">
        <f t="shared" si="116"/>
        <v>0</v>
      </c>
      <c r="U42" s="103">
        <f t="shared" si="117"/>
        <v>0</v>
      </c>
      <c r="V42" s="103">
        <f t="shared" si="118"/>
        <v>0</v>
      </c>
      <c r="W42" s="103"/>
      <c r="X42" s="103"/>
      <c r="Y42" s="103"/>
      <c r="Z42" s="112">
        <f t="shared" si="119"/>
        <v>1</v>
      </c>
      <c r="AA42" s="123"/>
      <c r="AB42" s="103" t="str">
        <f t="shared" si="120"/>
        <v xml:space="preserve"> </v>
      </c>
      <c r="AC42" s="103" t="str">
        <f t="shared" si="121"/>
        <v xml:space="preserve"> </v>
      </c>
      <c r="AD42" s="103" t="str">
        <f t="shared" si="122"/>
        <v>X</v>
      </c>
      <c r="AE42" s="103" t="str">
        <f t="shared" si="123"/>
        <v>X</v>
      </c>
      <c r="AF42" s="103" t="str">
        <f t="shared" si="124"/>
        <v xml:space="preserve"> </v>
      </c>
      <c r="AG42" s="103" t="str">
        <f t="shared" si="125"/>
        <v xml:space="preserve"> </v>
      </c>
      <c r="AH42" s="103" t="str">
        <f t="shared" si="126"/>
        <v xml:space="preserve"> </v>
      </c>
      <c r="AI42" s="103" t="str">
        <f t="shared" si="127"/>
        <v xml:space="preserve"> </v>
      </c>
      <c r="AJ42" s="103" t="str">
        <f t="shared" si="128"/>
        <v xml:space="preserve"> </v>
      </c>
      <c r="AK42" s="103" t="str">
        <f t="shared" si="129"/>
        <v xml:space="preserve"> </v>
      </c>
      <c r="AL42" s="103" t="str">
        <f t="shared" si="130"/>
        <v xml:space="preserve"> </v>
      </c>
      <c r="AM42" s="103" t="str">
        <f t="shared" si="131"/>
        <v xml:space="preserve"> </v>
      </c>
      <c r="AN42" s="103"/>
      <c r="AO42" s="103"/>
      <c r="AP42" s="103"/>
      <c r="AQ42" s="112">
        <f t="shared" si="132"/>
        <v>2</v>
      </c>
      <c r="AR42" s="123"/>
      <c r="AS42" s="101">
        <f t="shared" si="8"/>
        <v>4438</v>
      </c>
      <c r="AT42" s="133" t="str">
        <f t="shared" si="9"/>
        <v>NBAA</v>
      </c>
      <c r="AU42" s="103" t="str">
        <f t="shared" si="133"/>
        <v xml:space="preserve"> </v>
      </c>
      <c r="AV42" s="103" t="str">
        <f t="shared" si="134"/>
        <v>X</v>
      </c>
      <c r="AW42" s="103" t="str">
        <f t="shared" si="135"/>
        <v xml:space="preserve"> </v>
      </c>
      <c r="AX42" s="103" t="str">
        <f t="shared" si="136"/>
        <v xml:space="preserve"> </v>
      </c>
      <c r="AY42" s="103" t="str">
        <f t="shared" si="137"/>
        <v xml:space="preserve"> </v>
      </c>
      <c r="AZ42" s="103" t="str">
        <f t="shared" si="138"/>
        <v xml:space="preserve"> </v>
      </c>
      <c r="BA42" s="103" t="str">
        <f t="shared" si="139"/>
        <v xml:space="preserve"> </v>
      </c>
      <c r="BB42" s="103" t="str">
        <f t="shared" si="140"/>
        <v xml:space="preserve"> </v>
      </c>
      <c r="BC42" s="103" t="str">
        <f t="shared" si="141"/>
        <v xml:space="preserve"> </v>
      </c>
      <c r="BD42" s="103" t="str">
        <f t="shared" si="142"/>
        <v xml:space="preserve"> </v>
      </c>
      <c r="BE42" s="103" t="str">
        <f t="shared" si="143"/>
        <v xml:space="preserve"> </v>
      </c>
      <c r="BF42" s="103" t="str">
        <f t="shared" si="144"/>
        <v xml:space="preserve"> </v>
      </c>
      <c r="BG42" s="103"/>
      <c r="BH42" s="103"/>
      <c r="BI42" s="103"/>
      <c r="BJ42" s="112">
        <f t="shared" si="145"/>
        <v>1</v>
      </c>
      <c r="BK42" s="123"/>
      <c r="BL42" s="103" t="str">
        <f t="shared" si="146"/>
        <v xml:space="preserve"> </v>
      </c>
      <c r="BM42" s="103" t="str">
        <f t="shared" si="147"/>
        <v xml:space="preserve"> </v>
      </c>
      <c r="BN42" s="103" t="str">
        <f t="shared" si="148"/>
        <v>X</v>
      </c>
      <c r="BO42" s="103" t="str">
        <f t="shared" si="149"/>
        <v>X</v>
      </c>
      <c r="BP42" s="103" t="str">
        <f t="shared" si="150"/>
        <v xml:space="preserve"> </v>
      </c>
      <c r="BQ42" s="103" t="str">
        <f t="shared" si="151"/>
        <v xml:space="preserve"> </v>
      </c>
      <c r="BR42" s="103" t="str">
        <f t="shared" si="152"/>
        <v xml:space="preserve"> </v>
      </c>
      <c r="BS42" s="103" t="str">
        <f t="shared" si="153"/>
        <v xml:space="preserve"> </v>
      </c>
      <c r="BT42" s="103" t="str">
        <f t="shared" si="154"/>
        <v xml:space="preserve"> </v>
      </c>
      <c r="BU42" s="103" t="str">
        <f t="shared" si="155"/>
        <v xml:space="preserve"> </v>
      </c>
      <c r="BV42" s="103" t="str">
        <f t="shared" si="156"/>
        <v xml:space="preserve"> </v>
      </c>
      <c r="BW42" s="103" t="str">
        <f t="shared" si="157"/>
        <v xml:space="preserve"> </v>
      </c>
      <c r="BX42" s="103"/>
      <c r="BY42" s="103"/>
      <c r="BZ42" s="103"/>
      <c r="CA42" s="112">
        <f t="shared" si="158"/>
        <v>2</v>
      </c>
      <c r="CB42" s="123"/>
      <c r="CC42" s="101">
        <f t="shared" si="61"/>
        <v>4438</v>
      </c>
      <c r="CD42" s="133" t="str">
        <f t="shared" si="62"/>
        <v>NBAA</v>
      </c>
      <c r="CE42" s="103" t="str">
        <f t="shared" si="159"/>
        <v xml:space="preserve"> </v>
      </c>
      <c r="CF42" s="103" t="str">
        <f t="shared" si="160"/>
        <v xml:space="preserve"> </v>
      </c>
      <c r="CG42" s="103" t="str">
        <f t="shared" si="161"/>
        <v>X</v>
      </c>
      <c r="CH42" s="103" t="str">
        <f t="shared" si="162"/>
        <v>X</v>
      </c>
      <c r="CI42" s="103" t="str">
        <f t="shared" si="163"/>
        <v xml:space="preserve"> </v>
      </c>
      <c r="CJ42" s="103" t="str">
        <f t="shared" si="164"/>
        <v xml:space="preserve"> </v>
      </c>
      <c r="CK42" s="103" t="str">
        <f t="shared" si="165"/>
        <v xml:space="preserve"> </v>
      </c>
      <c r="CL42" s="103" t="str">
        <f t="shared" si="166"/>
        <v xml:space="preserve"> </v>
      </c>
      <c r="CM42" s="103" t="str">
        <f t="shared" si="167"/>
        <v xml:space="preserve"> </v>
      </c>
      <c r="CN42" s="103" t="str">
        <f t="shared" si="168"/>
        <v xml:space="preserve"> </v>
      </c>
      <c r="CO42" s="103" t="str">
        <f t="shared" si="169"/>
        <v xml:space="preserve"> </v>
      </c>
      <c r="CP42" s="103" t="str">
        <f t="shared" si="170"/>
        <v xml:space="preserve"> </v>
      </c>
      <c r="CQ42" s="103"/>
      <c r="CR42" s="103"/>
      <c r="CS42" s="103"/>
      <c r="CT42" s="112">
        <f t="shared" si="171"/>
        <v>2</v>
      </c>
      <c r="CU42" s="127"/>
      <c r="CV42" s="101">
        <f t="shared" si="76"/>
        <v>4438</v>
      </c>
      <c r="CW42" s="133" t="str">
        <f t="shared" si="77"/>
        <v>NBAA</v>
      </c>
      <c r="CX42" s="103">
        <f t="shared" si="172"/>
        <v>0</v>
      </c>
      <c r="CY42" s="103">
        <f t="shared" si="173"/>
        <v>0</v>
      </c>
      <c r="CZ42" s="103">
        <f t="shared" si="174"/>
        <v>0</v>
      </c>
      <c r="DA42" s="103">
        <f t="shared" si="175"/>
        <v>0</v>
      </c>
      <c r="DB42" s="103">
        <f t="shared" si="176"/>
        <v>0</v>
      </c>
      <c r="DC42" s="103">
        <f t="shared" si="177"/>
        <v>0</v>
      </c>
      <c r="DD42" s="103">
        <f t="shared" si="178"/>
        <v>0</v>
      </c>
      <c r="DE42" s="103">
        <f t="shared" si="179"/>
        <v>0</v>
      </c>
      <c r="DF42" s="103">
        <f t="shared" si="180"/>
        <v>0</v>
      </c>
      <c r="DG42" s="103">
        <f t="shared" si="181"/>
        <v>0</v>
      </c>
      <c r="DH42" s="103">
        <f t="shared" si="182"/>
        <v>0</v>
      </c>
      <c r="DI42" s="103">
        <f t="shared" si="183"/>
        <v>0</v>
      </c>
      <c r="DM42" s="224">
        <f t="shared" si="104"/>
        <v>0</v>
      </c>
    </row>
    <row r="43" spans="1:118" ht="15.75" x14ac:dyDescent="0.25">
      <c r="A43" s="136">
        <f t="shared" si="105"/>
        <v>4760</v>
      </c>
      <c r="B43" s="136" t="str">
        <f t="shared" si="106"/>
        <v>NBAA</v>
      </c>
      <c r="C43" s="42">
        <f t="shared" si="25"/>
        <v>4</v>
      </c>
      <c r="D43" s="39">
        <f t="shared" si="26"/>
        <v>7</v>
      </c>
      <c r="E43" s="25">
        <f t="shared" si="27"/>
        <v>11</v>
      </c>
      <c r="F43" s="25">
        <f t="shared" si="28"/>
        <v>7</v>
      </c>
      <c r="G43" s="145" t="str">
        <f t="shared" si="29"/>
        <v xml:space="preserve"> </v>
      </c>
      <c r="I43" s="101">
        <v>4760</v>
      </c>
      <c r="J43" s="133" t="s">
        <v>26</v>
      </c>
      <c r="K43" s="103" t="str">
        <f t="shared" si="107"/>
        <v xml:space="preserve"> </v>
      </c>
      <c r="L43" s="103" t="str">
        <f t="shared" si="108"/>
        <v>X</v>
      </c>
      <c r="M43" s="103">
        <f t="shared" si="109"/>
        <v>0</v>
      </c>
      <c r="N43" s="103">
        <f t="shared" si="110"/>
        <v>0</v>
      </c>
      <c r="O43" s="103">
        <f t="shared" si="111"/>
        <v>0</v>
      </c>
      <c r="P43" s="103">
        <f t="shared" si="112"/>
        <v>0</v>
      </c>
      <c r="Q43" s="103" t="str">
        <f t="shared" si="113"/>
        <v>X</v>
      </c>
      <c r="R43" s="103">
        <f t="shared" si="114"/>
        <v>0</v>
      </c>
      <c r="S43" s="103" t="str">
        <f t="shared" si="115"/>
        <v>X</v>
      </c>
      <c r="T43" s="103">
        <f t="shared" si="116"/>
        <v>0</v>
      </c>
      <c r="U43" s="103">
        <f t="shared" si="117"/>
        <v>0</v>
      </c>
      <c r="V43" s="103" t="str">
        <f t="shared" si="118"/>
        <v>X</v>
      </c>
      <c r="W43" s="103"/>
      <c r="X43" s="103"/>
      <c r="Y43" s="103"/>
      <c r="Z43" s="112">
        <f t="shared" si="119"/>
        <v>4</v>
      </c>
      <c r="AA43" s="123"/>
      <c r="AB43" s="103" t="str">
        <f t="shared" si="120"/>
        <v>X</v>
      </c>
      <c r="AC43" s="103" t="str">
        <f t="shared" si="121"/>
        <v>X</v>
      </c>
      <c r="AD43" s="103" t="str">
        <f t="shared" si="122"/>
        <v>X</v>
      </c>
      <c r="AE43" s="103" t="str">
        <f t="shared" si="123"/>
        <v xml:space="preserve"> </v>
      </c>
      <c r="AF43" s="103" t="str">
        <f t="shared" si="124"/>
        <v xml:space="preserve"> </v>
      </c>
      <c r="AG43" s="103" t="str">
        <f t="shared" si="125"/>
        <v xml:space="preserve"> </v>
      </c>
      <c r="AH43" s="103" t="str">
        <f t="shared" si="126"/>
        <v>X</v>
      </c>
      <c r="AI43" s="103" t="str">
        <f t="shared" si="127"/>
        <v>X</v>
      </c>
      <c r="AJ43" s="103" t="str">
        <f t="shared" si="128"/>
        <v xml:space="preserve"> </v>
      </c>
      <c r="AK43" s="103" t="str">
        <f t="shared" si="129"/>
        <v>X</v>
      </c>
      <c r="AL43" s="103" t="str">
        <f t="shared" si="130"/>
        <v xml:space="preserve"> </v>
      </c>
      <c r="AM43" s="103" t="str">
        <f t="shared" si="131"/>
        <v>X</v>
      </c>
      <c r="AN43" s="103"/>
      <c r="AO43" s="103"/>
      <c r="AP43" s="103"/>
      <c r="AQ43" s="112">
        <f t="shared" si="132"/>
        <v>7</v>
      </c>
      <c r="AR43" s="123"/>
      <c r="AS43" s="101">
        <f t="shared" si="8"/>
        <v>4760</v>
      </c>
      <c r="AT43" s="133" t="str">
        <f t="shared" si="9"/>
        <v>NBAA</v>
      </c>
      <c r="AU43" s="103" t="str">
        <f t="shared" si="133"/>
        <v xml:space="preserve"> </v>
      </c>
      <c r="AV43" s="103" t="str">
        <f t="shared" si="134"/>
        <v xml:space="preserve"> </v>
      </c>
      <c r="AW43" s="103" t="str">
        <f t="shared" si="135"/>
        <v xml:space="preserve"> </v>
      </c>
      <c r="AX43" s="103" t="str">
        <f t="shared" si="136"/>
        <v xml:space="preserve"> </v>
      </c>
      <c r="AY43" s="103" t="str">
        <f t="shared" si="137"/>
        <v xml:space="preserve"> </v>
      </c>
      <c r="AZ43" s="103" t="str">
        <f t="shared" si="138"/>
        <v xml:space="preserve"> </v>
      </c>
      <c r="BA43" s="103" t="str">
        <f t="shared" si="139"/>
        <v xml:space="preserve"> </v>
      </c>
      <c r="BB43" s="103" t="str">
        <f t="shared" si="140"/>
        <v xml:space="preserve"> </v>
      </c>
      <c r="BC43" s="103" t="str">
        <f t="shared" si="141"/>
        <v xml:space="preserve"> </v>
      </c>
      <c r="BD43" s="103" t="str">
        <f t="shared" si="142"/>
        <v xml:space="preserve"> </v>
      </c>
      <c r="BE43" s="103" t="str">
        <f t="shared" si="143"/>
        <v xml:space="preserve"> </v>
      </c>
      <c r="BF43" s="103" t="str">
        <f t="shared" si="144"/>
        <v xml:space="preserve"> </v>
      </c>
      <c r="BG43" s="103"/>
      <c r="BH43" s="103"/>
      <c r="BI43" s="103"/>
      <c r="BJ43" s="112" t="str">
        <f t="shared" si="145"/>
        <v xml:space="preserve"> </v>
      </c>
      <c r="BK43" s="123"/>
      <c r="BL43" s="103" t="str">
        <f t="shared" si="146"/>
        <v>X</v>
      </c>
      <c r="BM43" s="103" t="str">
        <f t="shared" si="147"/>
        <v>X</v>
      </c>
      <c r="BN43" s="103" t="str">
        <f t="shared" si="148"/>
        <v>X</v>
      </c>
      <c r="BO43" s="103" t="str">
        <f t="shared" si="149"/>
        <v xml:space="preserve"> </v>
      </c>
      <c r="BP43" s="103" t="str">
        <f t="shared" si="150"/>
        <v>X</v>
      </c>
      <c r="BQ43" s="103" t="str">
        <f t="shared" si="151"/>
        <v>X</v>
      </c>
      <c r="BR43" s="103" t="str">
        <f t="shared" si="152"/>
        <v>X</v>
      </c>
      <c r="BS43" s="103" t="str">
        <f t="shared" si="153"/>
        <v>X</v>
      </c>
      <c r="BT43" s="103" t="str">
        <f t="shared" si="154"/>
        <v>X</v>
      </c>
      <c r="BU43" s="103" t="str">
        <f t="shared" si="155"/>
        <v>X</v>
      </c>
      <c r="BV43" s="103" t="str">
        <f t="shared" si="156"/>
        <v>X</v>
      </c>
      <c r="BW43" s="103" t="str">
        <f t="shared" si="157"/>
        <v>X</v>
      </c>
      <c r="BX43" s="103"/>
      <c r="BY43" s="103"/>
      <c r="BZ43" s="103"/>
      <c r="CA43" s="112">
        <f t="shared" si="158"/>
        <v>11</v>
      </c>
      <c r="CB43" s="123"/>
      <c r="CC43" s="101">
        <f t="shared" si="61"/>
        <v>4760</v>
      </c>
      <c r="CD43" s="133" t="str">
        <f t="shared" si="62"/>
        <v>NBAA</v>
      </c>
      <c r="CE43" s="103" t="str">
        <f t="shared" si="159"/>
        <v>X</v>
      </c>
      <c r="CF43" s="103" t="str">
        <f t="shared" si="160"/>
        <v>X</v>
      </c>
      <c r="CG43" s="103" t="str">
        <f t="shared" si="161"/>
        <v>X</v>
      </c>
      <c r="CH43" s="103" t="str">
        <f t="shared" si="162"/>
        <v xml:space="preserve"> </v>
      </c>
      <c r="CI43" s="103" t="str">
        <f t="shared" si="163"/>
        <v xml:space="preserve"> </v>
      </c>
      <c r="CJ43" s="103" t="str">
        <f t="shared" si="164"/>
        <v xml:space="preserve"> </v>
      </c>
      <c r="CK43" s="103" t="str">
        <f t="shared" si="165"/>
        <v>X</v>
      </c>
      <c r="CL43" s="103" t="str">
        <f t="shared" si="166"/>
        <v>X</v>
      </c>
      <c r="CM43" s="103" t="str">
        <f t="shared" si="167"/>
        <v xml:space="preserve"> </v>
      </c>
      <c r="CN43" s="103" t="str">
        <f t="shared" si="168"/>
        <v>X</v>
      </c>
      <c r="CO43" s="103" t="str">
        <f t="shared" si="169"/>
        <v xml:space="preserve"> </v>
      </c>
      <c r="CP43" s="103" t="str">
        <f t="shared" si="170"/>
        <v>X</v>
      </c>
      <c r="CQ43" s="103"/>
      <c r="CR43" s="103"/>
      <c r="CS43" s="103"/>
      <c r="CT43" s="112">
        <f t="shared" si="171"/>
        <v>7</v>
      </c>
      <c r="CU43" s="127"/>
      <c r="CV43" s="101">
        <f t="shared" si="76"/>
        <v>4760</v>
      </c>
      <c r="CW43" s="133" t="str">
        <f t="shared" si="77"/>
        <v>NBAA</v>
      </c>
      <c r="CX43" s="103">
        <f t="shared" si="172"/>
        <v>201036</v>
      </c>
      <c r="CY43" s="103">
        <f t="shared" si="173"/>
        <v>188026</v>
      </c>
      <c r="CZ43" s="103">
        <f t="shared" si="174"/>
        <v>186918</v>
      </c>
      <c r="DA43" s="103">
        <f t="shared" si="175"/>
        <v>157256</v>
      </c>
      <c r="DB43" s="103">
        <f t="shared" si="176"/>
        <v>377397</v>
      </c>
      <c r="DC43" s="103">
        <f t="shared" si="177"/>
        <v>417345</v>
      </c>
      <c r="DD43" s="103">
        <f t="shared" si="178"/>
        <v>459463</v>
      </c>
      <c r="DE43" s="103">
        <f t="shared" si="179"/>
        <v>380160</v>
      </c>
      <c r="DF43" s="103">
        <f t="shared" si="180"/>
        <v>419982</v>
      </c>
      <c r="DG43" s="103">
        <f t="shared" si="181"/>
        <v>456770</v>
      </c>
      <c r="DH43" s="103">
        <f t="shared" si="182"/>
        <v>383119</v>
      </c>
      <c r="DI43" s="103">
        <f t="shared" si="183"/>
        <v>515101</v>
      </c>
      <c r="DM43" s="224">
        <f t="shared" si="104"/>
        <v>345214.41666666669</v>
      </c>
    </row>
    <row r="44" spans="1:118" ht="15.75" x14ac:dyDescent="0.25">
      <c r="A44" s="136">
        <f t="shared" si="105"/>
        <v>6084</v>
      </c>
      <c r="B44" s="136" t="str">
        <f t="shared" si="106"/>
        <v>NBAA</v>
      </c>
      <c r="C44" s="42">
        <f t="shared" si="25"/>
        <v>1</v>
      </c>
      <c r="D44" s="39" t="str">
        <f t="shared" si="26"/>
        <v xml:space="preserve"> </v>
      </c>
      <c r="E44" s="25" t="str">
        <f t="shared" si="27"/>
        <v xml:space="preserve"> </v>
      </c>
      <c r="F44" s="25">
        <f t="shared" si="28"/>
        <v>2</v>
      </c>
      <c r="G44" s="145" t="str">
        <f t="shared" si="29"/>
        <v xml:space="preserve"> </v>
      </c>
      <c r="I44" s="101">
        <v>6084</v>
      </c>
      <c r="J44" s="133" t="s">
        <v>26</v>
      </c>
      <c r="K44" s="103" t="str">
        <f t="shared" si="107"/>
        <v xml:space="preserve"> </v>
      </c>
      <c r="L44" s="103" t="str">
        <f t="shared" si="108"/>
        <v>X</v>
      </c>
      <c r="M44" s="103">
        <f t="shared" si="109"/>
        <v>0</v>
      </c>
      <c r="N44" s="103">
        <f t="shared" si="110"/>
        <v>0</v>
      </c>
      <c r="O44" s="103">
        <f t="shared" si="111"/>
        <v>0</v>
      </c>
      <c r="P44" s="103">
        <f t="shared" si="112"/>
        <v>0</v>
      </c>
      <c r="Q44" s="103">
        <f t="shared" si="113"/>
        <v>0</v>
      </c>
      <c r="R44" s="103">
        <f t="shared" si="114"/>
        <v>0</v>
      </c>
      <c r="S44" s="103">
        <f t="shared" si="115"/>
        <v>0</v>
      </c>
      <c r="T44" s="103">
        <f t="shared" si="116"/>
        <v>0</v>
      </c>
      <c r="U44" s="103">
        <f t="shared" si="117"/>
        <v>0</v>
      </c>
      <c r="V44" s="103">
        <f t="shared" si="118"/>
        <v>0</v>
      </c>
      <c r="W44" s="103"/>
      <c r="X44" s="103"/>
      <c r="Y44" s="103"/>
      <c r="Z44" s="112">
        <f t="shared" si="119"/>
        <v>1</v>
      </c>
      <c r="AA44" s="123"/>
      <c r="AB44" s="103" t="str">
        <f t="shared" si="120"/>
        <v xml:space="preserve"> </v>
      </c>
      <c r="AC44" s="103" t="str">
        <f t="shared" si="121"/>
        <v xml:space="preserve"> </v>
      </c>
      <c r="AD44" s="103" t="str">
        <f t="shared" si="122"/>
        <v xml:space="preserve"> </v>
      </c>
      <c r="AE44" s="103" t="str">
        <f t="shared" si="123"/>
        <v xml:space="preserve"> </v>
      </c>
      <c r="AF44" s="103" t="str">
        <f t="shared" si="124"/>
        <v xml:space="preserve"> </v>
      </c>
      <c r="AG44" s="103" t="str">
        <f t="shared" si="125"/>
        <v xml:space="preserve"> </v>
      </c>
      <c r="AH44" s="103" t="str">
        <f t="shared" si="126"/>
        <v xml:space="preserve"> </v>
      </c>
      <c r="AI44" s="103" t="str">
        <f t="shared" si="127"/>
        <v xml:space="preserve"> </v>
      </c>
      <c r="AJ44" s="103" t="str">
        <f t="shared" si="128"/>
        <v xml:space="preserve"> </v>
      </c>
      <c r="AK44" s="103" t="str">
        <f t="shared" si="129"/>
        <v xml:space="preserve"> </v>
      </c>
      <c r="AL44" s="103" t="str">
        <f t="shared" si="130"/>
        <v xml:space="preserve"> </v>
      </c>
      <c r="AM44" s="103" t="str">
        <f t="shared" si="131"/>
        <v xml:space="preserve"> </v>
      </c>
      <c r="AN44" s="103"/>
      <c r="AO44" s="103"/>
      <c r="AP44" s="103"/>
      <c r="AQ44" s="112" t="str">
        <f t="shared" si="132"/>
        <v xml:space="preserve"> </v>
      </c>
      <c r="AR44" s="123"/>
      <c r="AS44" s="101">
        <f t="shared" si="8"/>
        <v>6084</v>
      </c>
      <c r="AT44" s="133" t="str">
        <f t="shared" si="9"/>
        <v>NBAA</v>
      </c>
      <c r="AU44" s="103" t="str">
        <f t="shared" si="133"/>
        <v xml:space="preserve"> </v>
      </c>
      <c r="AV44" s="103" t="str">
        <f t="shared" si="134"/>
        <v xml:space="preserve"> </v>
      </c>
      <c r="AW44" s="103" t="str">
        <f t="shared" si="135"/>
        <v xml:space="preserve"> </v>
      </c>
      <c r="AX44" s="103" t="str">
        <f t="shared" si="136"/>
        <v xml:space="preserve"> </v>
      </c>
      <c r="AY44" s="103" t="str">
        <f t="shared" si="137"/>
        <v xml:space="preserve"> </v>
      </c>
      <c r="AZ44" s="103" t="str">
        <f t="shared" si="138"/>
        <v xml:space="preserve"> </v>
      </c>
      <c r="BA44" s="103" t="str">
        <f t="shared" si="139"/>
        <v xml:space="preserve"> </v>
      </c>
      <c r="BB44" s="103" t="str">
        <f t="shared" si="140"/>
        <v xml:space="preserve"> </v>
      </c>
      <c r="BC44" s="103" t="str">
        <f t="shared" si="141"/>
        <v xml:space="preserve"> </v>
      </c>
      <c r="BD44" s="103" t="str">
        <f t="shared" si="142"/>
        <v xml:space="preserve"> </v>
      </c>
      <c r="BE44" s="103" t="str">
        <f t="shared" si="143"/>
        <v xml:space="preserve"> </v>
      </c>
      <c r="BF44" s="103" t="str">
        <f t="shared" si="144"/>
        <v xml:space="preserve"> </v>
      </c>
      <c r="BG44" s="103"/>
      <c r="BH44" s="103"/>
      <c r="BI44" s="103"/>
      <c r="BJ44" s="112" t="str">
        <f t="shared" si="145"/>
        <v xml:space="preserve"> </v>
      </c>
      <c r="BK44" s="123"/>
      <c r="BL44" s="103" t="str">
        <f t="shared" si="146"/>
        <v xml:space="preserve"> </v>
      </c>
      <c r="BM44" s="103" t="str">
        <f t="shared" si="147"/>
        <v xml:space="preserve"> </v>
      </c>
      <c r="BN44" s="103" t="str">
        <f t="shared" si="148"/>
        <v xml:space="preserve"> </v>
      </c>
      <c r="BO44" s="103" t="str">
        <f t="shared" si="149"/>
        <v xml:space="preserve"> </v>
      </c>
      <c r="BP44" s="103" t="str">
        <f t="shared" si="150"/>
        <v xml:space="preserve"> </v>
      </c>
      <c r="BQ44" s="103" t="str">
        <f t="shared" si="151"/>
        <v xml:space="preserve"> </v>
      </c>
      <c r="BR44" s="103" t="str">
        <f t="shared" si="152"/>
        <v xml:space="preserve"> </v>
      </c>
      <c r="BS44" s="103" t="str">
        <f t="shared" si="153"/>
        <v xml:space="preserve"> </v>
      </c>
      <c r="BT44" s="103" t="str">
        <f t="shared" si="154"/>
        <v xml:space="preserve"> </v>
      </c>
      <c r="BU44" s="103" t="str">
        <f t="shared" si="155"/>
        <v xml:space="preserve"> </v>
      </c>
      <c r="BV44" s="103" t="str">
        <f t="shared" si="156"/>
        <v xml:space="preserve"> </v>
      </c>
      <c r="BW44" s="103" t="str">
        <f t="shared" si="157"/>
        <v xml:space="preserve"> </v>
      </c>
      <c r="BX44" s="103"/>
      <c r="BY44" s="103"/>
      <c r="BZ44" s="103"/>
      <c r="CA44" s="112" t="str">
        <f t="shared" si="158"/>
        <v xml:space="preserve"> </v>
      </c>
      <c r="CB44" s="123"/>
      <c r="CC44" s="101">
        <f t="shared" si="61"/>
        <v>6084</v>
      </c>
      <c r="CD44" s="133" t="str">
        <f t="shared" si="62"/>
        <v>NBAA</v>
      </c>
      <c r="CE44" s="103" t="str">
        <f t="shared" si="159"/>
        <v xml:space="preserve"> </v>
      </c>
      <c r="CF44" s="103" t="str">
        <f t="shared" si="160"/>
        <v xml:space="preserve"> </v>
      </c>
      <c r="CG44" s="103" t="str">
        <f t="shared" si="161"/>
        <v xml:space="preserve"> </v>
      </c>
      <c r="CH44" s="103" t="str">
        <f t="shared" si="162"/>
        <v xml:space="preserve"> </v>
      </c>
      <c r="CI44" s="103" t="str">
        <f t="shared" si="163"/>
        <v>X</v>
      </c>
      <c r="CJ44" s="103" t="str">
        <f t="shared" si="164"/>
        <v>X</v>
      </c>
      <c r="CK44" s="103" t="str">
        <f t="shared" si="165"/>
        <v xml:space="preserve"> </v>
      </c>
      <c r="CL44" s="103" t="str">
        <f t="shared" si="166"/>
        <v xml:space="preserve"> </v>
      </c>
      <c r="CM44" s="103" t="str">
        <f t="shared" si="167"/>
        <v xml:space="preserve"> </v>
      </c>
      <c r="CN44" s="103" t="str">
        <f t="shared" si="168"/>
        <v xml:space="preserve"> </v>
      </c>
      <c r="CO44" s="103" t="str">
        <f t="shared" si="169"/>
        <v xml:space="preserve"> </v>
      </c>
      <c r="CP44" s="103" t="str">
        <f t="shared" si="170"/>
        <v xml:space="preserve"> </v>
      </c>
      <c r="CQ44" s="103"/>
      <c r="CR44" s="103"/>
      <c r="CS44" s="103"/>
      <c r="CT44" s="112">
        <f t="shared" si="171"/>
        <v>2</v>
      </c>
      <c r="CU44" s="127"/>
      <c r="CV44" s="101">
        <f t="shared" si="76"/>
        <v>6084</v>
      </c>
      <c r="CW44" s="133" t="str">
        <f t="shared" si="77"/>
        <v>NBAA</v>
      </c>
      <c r="CX44" s="103">
        <f t="shared" si="172"/>
        <v>14</v>
      </c>
      <c r="CY44" s="103">
        <f t="shared" si="173"/>
        <v>8</v>
      </c>
      <c r="CZ44" s="103">
        <f t="shared" si="174"/>
        <v>5</v>
      </c>
      <c r="DA44" s="103">
        <f t="shared" si="175"/>
        <v>0</v>
      </c>
      <c r="DB44" s="103">
        <f t="shared" si="176"/>
        <v>12</v>
      </c>
      <c r="DC44" s="103">
        <f t="shared" si="177"/>
        <v>29</v>
      </c>
      <c r="DD44" s="103">
        <f t="shared" si="178"/>
        <v>1191</v>
      </c>
      <c r="DE44" s="103">
        <f t="shared" si="179"/>
        <v>1377</v>
      </c>
      <c r="DF44" s="103">
        <f t="shared" si="180"/>
        <v>1759</v>
      </c>
      <c r="DG44" s="103">
        <f t="shared" si="181"/>
        <v>1736</v>
      </c>
      <c r="DH44" s="103">
        <f t="shared" si="182"/>
        <v>1843</v>
      </c>
      <c r="DI44" s="103">
        <f t="shared" si="183"/>
        <v>1696</v>
      </c>
      <c r="DM44" s="224">
        <f t="shared" si="104"/>
        <v>805.83333333333337</v>
      </c>
    </row>
    <row r="45" spans="1:118" ht="15.75" x14ac:dyDescent="0.25">
      <c r="A45" s="136">
        <f t="shared" si="105"/>
        <v>6728</v>
      </c>
      <c r="B45" s="136" t="str">
        <f t="shared" si="106"/>
        <v>NBAA</v>
      </c>
      <c r="C45" s="42" t="str">
        <f t="shared" si="25"/>
        <v xml:space="preserve"> </v>
      </c>
      <c r="D45" s="39" t="str">
        <f t="shared" si="26"/>
        <v xml:space="preserve"> </v>
      </c>
      <c r="E45" s="25" t="str">
        <f t="shared" si="27"/>
        <v xml:space="preserve"> </v>
      </c>
      <c r="F45" s="25" t="str">
        <f t="shared" si="28"/>
        <v xml:space="preserve"> </v>
      </c>
      <c r="G45" s="145" t="str">
        <f t="shared" si="29"/>
        <v xml:space="preserve"> </v>
      </c>
      <c r="I45" s="101">
        <v>6728</v>
      </c>
      <c r="J45" s="133" t="s">
        <v>26</v>
      </c>
      <c r="K45" s="103" t="str">
        <f t="shared" si="107"/>
        <v xml:space="preserve"> </v>
      </c>
      <c r="L45" s="103" t="str">
        <f t="shared" si="108"/>
        <v xml:space="preserve"> </v>
      </c>
      <c r="M45" s="103">
        <f t="shared" si="109"/>
        <v>0</v>
      </c>
      <c r="N45" s="103">
        <f t="shared" si="110"/>
        <v>0</v>
      </c>
      <c r="O45" s="103">
        <f t="shared" si="111"/>
        <v>0</v>
      </c>
      <c r="P45" s="103">
        <f t="shared" si="112"/>
        <v>0</v>
      </c>
      <c r="Q45" s="103">
        <f t="shared" si="113"/>
        <v>0</v>
      </c>
      <c r="R45" s="103">
        <f t="shared" si="114"/>
        <v>0</v>
      </c>
      <c r="S45" s="103">
        <f t="shared" si="115"/>
        <v>0</v>
      </c>
      <c r="T45" s="103">
        <f t="shared" si="116"/>
        <v>0</v>
      </c>
      <c r="U45" s="103">
        <f t="shared" si="117"/>
        <v>0</v>
      </c>
      <c r="V45" s="103">
        <f t="shared" si="118"/>
        <v>0</v>
      </c>
      <c r="W45" s="103"/>
      <c r="X45" s="103"/>
      <c r="Y45" s="103"/>
      <c r="Z45" s="112" t="str">
        <f t="shared" si="119"/>
        <v xml:space="preserve"> </v>
      </c>
      <c r="AA45" s="123"/>
      <c r="AB45" s="103" t="str">
        <f t="shared" si="120"/>
        <v xml:space="preserve"> </v>
      </c>
      <c r="AC45" s="103" t="str">
        <f t="shared" si="121"/>
        <v xml:space="preserve"> </v>
      </c>
      <c r="AD45" s="103" t="str">
        <f t="shared" si="122"/>
        <v xml:space="preserve"> </v>
      </c>
      <c r="AE45" s="103" t="str">
        <f t="shared" si="123"/>
        <v xml:space="preserve"> </v>
      </c>
      <c r="AF45" s="103" t="str">
        <f t="shared" si="124"/>
        <v xml:space="preserve"> </v>
      </c>
      <c r="AG45" s="103" t="str">
        <f t="shared" si="125"/>
        <v xml:space="preserve"> </v>
      </c>
      <c r="AH45" s="103" t="str">
        <f t="shared" si="126"/>
        <v xml:space="preserve"> </v>
      </c>
      <c r="AI45" s="103" t="str">
        <f t="shared" si="127"/>
        <v xml:space="preserve"> </v>
      </c>
      <c r="AJ45" s="103" t="str">
        <f t="shared" si="128"/>
        <v xml:space="preserve"> </v>
      </c>
      <c r="AK45" s="103" t="str">
        <f t="shared" si="129"/>
        <v xml:space="preserve"> </v>
      </c>
      <c r="AL45" s="103" t="str">
        <f t="shared" si="130"/>
        <v xml:space="preserve"> </v>
      </c>
      <c r="AM45" s="103" t="str">
        <f t="shared" si="131"/>
        <v xml:space="preserve"> </v>
      </c>
      <c r="AN45" s="103"/>
      <c r="AO45" s="103"/>
      <c r="AP45" s="103"/>
      <c r="AQ45" s="112" t="str">
        <f t="shared" si="132"/>
        <v xml:space="preserve"> </v>
      </c>
      <c r="AR45" s="123"/>
      <c r="AS45" s="101">
        <f t="shared" si="8"/>
        <v>6728</v>
      </c>
      <c r="AT45" s="133" t="str">
        <f t="shared" si="9"/>
        <v>NBAA</v>
      </c>
      <c r="AU45" s="103" t="str">
        <f t="shared" si="133"/>
        <v xml:space="preserve"> </v>
      </c>
      <c r="AV45" s="103" t="str">
        <f t="shared" si="134"/>
        <v xml:space="preserve"> </v>
      </c>
      <c r="AW45" s="103" t="str">
        <f t="shared" si="135"/>
        <v xml:space="preserve"> </v>
      </c>
      <c r="AX45" s="103" t="str">
        <f t="shared" si="136"/>
        <v xml:space="preserve"> </v>
      </c>
      <c r="AY45" s="103" t="str">
        <f t="shared" si="137"/>
        <v xml:space="preserve"> </v>
      </c>
      <c r="AZ45" s="103" t="str">
        <f t="shared" si="138"/>
        <v xml:space="preserve"> </v>
      </c>
      <c r="BA45" s="103" t="str">
        <f t="shared" si="139"/>
        <v xml:space="preserve"> </v>
      </c>
      <c r="BB45" s="103" t="str">
        <f t="shared" si="140"/>
        <v xml:space="preserve"> </v>
      </c>
      <c r="BC45" s="103" t="str">
        <f t="shared" si="141"/>
        <v xml:space="preserve"> </v>
      </c>
      <c r="BD45" s="103" t="str">
        <f t="shared" si="142"/>
        <v xml:space="preserve"> </v>
      </c>
      <c r="BE45" s="103" t="str">
        <f t="shared" si="143"/>
        <v xml:space="preserve"> </v>
      </c>
      <c r="BF45" s="103" t="str">
        <f t="shared" si="144"/>
        <v xml:space="preserve"> </v>
      </c>
      <c r="BG45" s="103"/>
      <c r="BH45" s="103"/>
      <c r="BI45" s="103"/>
      <c r="BJ45" s="112" t="str">
        <f t="shared" si="145"/>
        <v xml:space="preserve"> </v>
      </c>
      <c r="BK45" s="123"/>
      <c r="BL45" s="103" t="str">
        <f t="shared" si="146"/>
        <v xml:space="preserve"> </v>
      </c>
      <c r="BM45" s="103" t="str">
        <f t="shared" si="147"/>
        <v xml:space="preserve"> </v>
      </c>
      <c r="BN45" s="103" t="str">
        <f t="shared" si="148"/>
        <v xml:space="preserve"> </v>
      </c>
      <c r="BO45" s="103" t="str">
        <f t="shared" si="149"/>
        <v xml:space="preserve"> </v>
      </c>
      <c r="BP45" s="103" t="str">
        <f t="shared" si="150"/>
        <v xml:space="preserve"> </v>
      </c>
      <c r="BQ45" s="103" t="str">
        <f t="shared" si="151"/>
        <v xml:space="preserve"> </v>
      </c>
      <c r="BR45" s="103" t="str">
        <f t="shared" si="152"/>
        <v xml:space="preserve"> </v>
      </c>
      <c r="BS45" s="103" t="str">
        <f t="shared" si="153"/>
        <v xml:space="preserve"> </v>
      </c>
      <c r="BT45" s="103" t="str">
        <f t="shared" si="154"/>
        <v xml:space="preserve"> </v>
      </c>
      <c r="BU45" s="103" t="str">
        <f t="shared" si="155"/>
        <v xml:space="preserve"> </v>
      </c>
      <c r="BV45" s="103" t="str">
        <f t="shared" si="156"/>
        <v xml:space="preserve"> </v>
      </c>
      <c r="BW45" s="103" t="str">
        <f t="shared" si="157"/>
        <v xml:space="preserve"> </v>
      </c>
      <c r="BX45" s="103"/>
      <c r="BY45" s="103"/>
      <c r="BZ45" s="103"/>
      <c r="CA45" s="112" t="str">
        <f t="shared" si="158"/>
        <v xml:space="preserve"> </v>
      </c>
      <c r="CB45" s="123"/>
      <c r="CC45" s="101">
        <f t="shared" si="61"/>
        <v>6728</v>
      </c>
      <c r="CD45" s="133" t="str">
        <f t="shared" si="62"/>
        <v>NBAA</v>
      </c>
      <c r="CE45" s="103" t="str">
        <f t="shared" si="159"/>
        <v xml:space="preserve"> </v>
      </c>
      <c r="CF45" s="103" t="str">
        <f t="shared" si="160"/>
        <v xml:space="preserve"> </v>
      </c>
      <c r="CG45" s="103" t="str">
        <f t="shared" si="161"/>
        <v xml:space="preserve"> </v>
      </c>
      <c r="CH45" s="103" t="str">
        <f t="shared" si="162"/>
        <v xml:space="preserve"> </v>
      </c>
      <c r="CI45" s="103" t="str">
        <f t="shared" si="163"/>
        <v xml:space="preserve"> </v>
      </c>
      <c r="CJ45" s="103" t="str">
        <f t="shared" si="164"/>
        <v xml:space="preserve"> </v>
      </c>
      <c r="CK45" s="103" t="str">
        <f t="shared" si="165"/>
        <v xml:space="preserve"> </v>
      </c>
      <c r="CL45" s="103" t="str">
        <f t="shared" si="166"/>
        <v xml:space="preserve"> </v>
      </c>
      <c r="CM45" s="103" t="str">
        <f t="shared" si="167"/>
        <v xml:space="preserve"> </v>
      </c>
      <c r="CN45" s="103" t="str">
        <f t="shared" si="168"/>
        <v xml:space="preserve"> </v>
      </c>
      <c r="CO45" s="103" t="str">
        <f t="shared" si="169"/>
        <v xml:space="preserve"> </v>
      </c>
      <c r="CP45" s="103" t="str">
        <f t="shared" si="170"/>
        <v xml:space="preserve"> </v>
      </c>
      <c r="CQ45" s="103"/>
      <c r="CR45" s="103"/>
      <c r="CS45" s="103"/>
      <c r="CT45" s="112" t="str">
        <f t="shared" si="171"/>
        <v xml:space="preserve"> </v>
      </c>
      <c r="CU45" s="127"/>
      <c r="CV45" s="101">
        <f t="shared" si="76"/>
        <v>6728</v>
      </c>
      <c r="CW45" s="133" t="str">
        <f t="shared" si="77"/>
        <v>NBAA</v>
      </c>
      <c r="CX45" s="103">
        <f t="shared" si="172"/>
        <v>12277</v>
      </c>
      <c r="CY45" s="103">
        <f t="shared" si="173"/>
        <v>11793</v>
      </c>
      <c r="CZ45" s="103">
        <f t="shared" si="174"/>
        <v>11446</v>
      </c>
      <c r="DA45" s="103">
        <f t="shared" si="175"/>
        <v>10878</v>
      </c>
      <c r="DB45" s="103">
        <f t="shared" si="176"/>
        <v>11399</v>
      </c>
      <c r="DC45" s="103">
        <f t="shared" si="177"/>
        <v>10845</v>
      </c>
      <c r="DD45" s="103">
        <f t="shared" si="178"/>
        <v>12220</v>
      </c>
      <c r="DE45" s="103">
        <f t="shared" si="179"/>
        <v>10794</v>
      </c>
      <c r="DF45" s="103">
        <f t="shared" si="180"/>
        <v>11131</v>
      </c>
      <c r="DG45" s="103">
        <f t="shared" si="181"/>
        <v>9530</v>
      </c>
      <c r="DH45" s="103">
        <f t="shared" si="182"/>
        <v>9282</v>
      </c>
      <c r="DI45" s="103">
        <f t="shared" si="183"/>
        <v>10906</v>
      </c>
      <c r="DM45" s="224">
        <f t="shared" si="104"/>
        <v>11041.75</v>
      </c>
    </row>
    <row r="46" spans="1:118" ht="15.75" x14ac:dyDescent="0.25">
      <c r="A46" s="136">
        <f t="shared" si="105"/>
        <v>12296</v>
      </c>
      <c r="B46" s="136" t="str">
        <f t="shared" si="106"/>
        <v>NBAA</v>
      </c>
      <c r="C46" s="42">
        <f t="shared" si="25"/>
        <v>1</v>
      </c>
      <c r="D46" s="39">
        <f t="shared" si="26"/>
        <v>1</v>
      </c>
      <c r="E46" s="25">
        <f t="shared" si="27"/>
        <v>4</v>
      </c>
      <c r="F46" s="25">
        <f t="shared" si="28"/>
        <v>1</v>
      </c>
      <c r="G46" s="145" t="str">
        <f t="shared" si="29"/>
        <v xml:space="preserve"> </v>
      </c>
      <c r="I46" s="101">
        <v>12296</v>
      </c>
      <c r="J46" s="133" t="s">
        <v>26</v>
      </c>
      <c r="K46" s="103" t="str">
        <f t="shared" si="107"/>
        <v xml:space="preserve"> </v>
      </c>
      <c r="L46" s="103" t="str">
        <f t="shared" si="108"/>
        <v xml:space="preserve"> </v>
      </c>
      <c r="M46" s="103">
        <f t="shared" si="109"/>
        <v>0</v>
      </c>
      <c r="N46" s="103">
        <f t="shared" si="110"/>
        <v>0</v>
      </c>
      <c r="O46" s="103">
        <f t="shared" si="111"/>
        <v>0</v>
      </c>
      <c r="P46" s="103">
        <f t="shared" si="112"/>
        <v>0</v>
      </c>
      <c r="Q46" s="103" t="str">
        <f t="shared" si="113"/>
        <v>X</v>
      </c>
      <c r="R46" s="103">
        <f t="shared" si="114"/>
        <v>0</v>
      </c>
      <c r="S46" s="103">
        <f t="shared" si="115"/>
        <v>0</v>
      </c>
      <c r="T46" s="103">
        <f t="shared" si="116"/>
        <v>0</v>
      </c>
      <c r="U46" s="103">
        <f t="shared" si="117"/>
        <v>0</v>
      </c>
      <c r="V46" s="103">
        <f t="shared" si="118"/>
        <v>0</v>
      </c>
      <c r="W46" s="103"/>
      <c r="X46" s="103"/>
      <c r="Y46" s="103"/>
      <c r="Z46" s="112">
        <f t="shared" si="119"/>
        <v>1</v>
      </c>
      <c r="AA46" s="123"/>
      <c r="AB46" s="103" t="str">
        <f t="shared" si="120"/>
        <v>X</v>
      </c>
      <c r="AC46" s="103" t="str">
        <f t="shared" si="121"/>
        <v xml:space="preserve"> </v>
      </c>
      <c r="AD46" s="103" t="str">
        <f t="shared" si="122"/>
        <v xml:space="preserve"> </v>
      </c>
      <c r="AE46" s="103" t="str">
        <f t="shared" si="123"/>
        <v xml:space="preserve"> </v>
      </c>
      <c r="AF46" s="103" t="str">
        <f t="shared" si="124"/>
        <v xml:space="preserve"> </v>
      </c>
      <c r="AG46" s="103" t="str">
        <f t="shared" si="125"/>
        <v xml:space="preserve"> </v>
      </c>
      <c r="AH46" s="103" t="str">
        <f t="shared" si="126"/>
        <v xml:space="preserve"> </v>
      </c>
      <c r="AI46" s="103" t="str">
        <f t="shared" si="127"/>
        <v xml:space="preserve"> </v>
      </c>
      <c r="AJ46" s="103" t="str">
        <f t="shared" si="128"/>
        <v xml:space="preserve"> </v>
      </c>
      <c r="AK46" s="103" t="str">
        <f t="shared" si="129"/>
        <v xml:space="preserve"> </v>
      </c>
      <c r="AL46" s="103" t="str">
        <f t="shared" si="130"/>
        <v xml:space="preserve"> </v>
      </c>
      <c r="AM46" s="103" t="str">
        <f t="shared" si="131"/>
        <v xml:space="preserve"> </v>
      </c>
      <c r="AN46" s="103"/>
      <c r="AO46" s="103"/>
      <c r="AP46" s="103"/>
      <c r="AQ46" s="112">
        <f t="shared" si="132"/>
        <v>1</v>
      </c>
      <c r="AR46" s="123"/>
      <c r="AS46" s="101">
        <f t="shared" si="8"/>
        <v>12296</v>
      </c>
      <c r="AT46" s="133" t="str">
        <f t="shared" si="9"/>
        <v>NBAA</v>
      </c>
      <c r="AU46" s="103" t="str">
        <f t="shared" si="133"/>
        <v xml:space="preserve"> </v>
      </c>
      <c r="AV46" s="103" t="str">
        <f t="shared" si="134"/>
        <v xml:space="preserve"> </v>
      </c>
      <c r="AW46" s="103" t="str">
        <f t="shared" si="135"/>
        <v xml:space="preserve"> </v>
      </c>
      <c r="AX46" s="103" t="str">
        <f t="shared" si="136"/>
        <v xml:space="preserve"> </v>
      </c>
      <c r="AY46" s="103" t="str">
        <f t="shared" si="137"/>
        <v xml:space="preserve"> </v>
      </c>
      <c r="AZ46" s="103" t="str">
        <f t="shared" si="138"/>
        <v xml:space="preserve"> </v>
      </c>
      <c r="BA46" s="103" t="str">
        <f t="shared" si="139"/>
        <v xml:space="preserve"> </v>
      </c>
      <c r="BB46" s="103" t="str">
        <f t="shared" si="140"/>
        <v xml:space="preserve"> </v>
      </c>
      <c r="BC46" s="103" t="str">
        <f t="shared" si="141"/>
        <v xml:space="preserve"> </v>
      </c>
      <c r="BD46" s="103" t="str">
        <f t="shared" si="142"/>
        <v xml:space="preserve"> </v>
      </c>
      <c r="BE46" s="103" t="str">
        <f t="shared" si="143"/>
        <v xml:space="preserve"> </v>
      </c>
      <c r="BF46" s="103" t="str">
        <f t="shared" si="144"/>
        <v xml:space="preserve"> </v>
      </c>
      <c r="BG46" s="103"/>
      <c r="BH46" s="103"/>
      <c r="BI46" s="103"/>
      <c r="BJ46" s="112" t="str">
        <f t="shared" si="145"/>
        <v xml:space="preserve"> </v>
      </c>
      <c r="BK46" s="123"/>
      <c r="BL46" s="103" t="str">
        <f t="shared" si="146"/>
        <v>X</v>
      </c>
      <c r="BM46" s="103" t="str">
        <f t="shared" si="147"/>
        <v>X</v>
      </c>
      <c r="BN46" s="103" t="str">
        <f t="shared" si="148"/>
        <v xml:space="preserve"> </v>
      </c>
      <c r="BO46" s="103" t="str">
        <f t="shared" si="149"/>
        <v xml:space="preserve"> </v>
      </c>
      <c r="BP46" s="103" t="str">
        <f t="shared" si="150"/>
        <v xml:space="preserve"> </v>
      </c>
      <c r="BQ46" s="103" t="str">
        <f t="shared" si="151"/>
        <v xml:space="preserve"> </v>
      </c>
      <c r="BR46" s="103" t="str">
        <f t="shared" si="152"/>
        <v>X</v>
      </c>
      <c r="BS46" s="103" t="str">
        <f t="shared" si="153"/>
        <v xml:space="preserve"> </v>
      </c>
      <c r="BT46" s="103" t="str">
        <f t="shared" si="154"/>
        <v xml:space="preserve"> </v>
      </c>
      <c r="BU46" s="103" t="str">
        <f t="shared" si="155"/>
        <v>X</v>
      </c>
      <c r="BV46" s="103" t="str">
        <f t="shared" si="156"/>
        <v xml:space="preserve"> </v>
      </c>
      <c r="BW46" s="103" t="str">
        <f t="shared" si="157"/>
        <v xml:space="preserve"> </v>
      </c>
      <c r="BX46" s="103"/>
      <c r="BY46" s="103"/>
      <c r="BZ46" s="103"/>
      <c r="CA46" s="112">
        <f t="shared" si="158"/>
        <v>4</v>
      </c>
      <c r="CB46" s="123"/>
      <c r="CC46" s="101">
        <f t="shared" si="61"/>
        <v>12296</v>
      </c>
      <c r="CD46" s="133" t="str">
        <f t="shared" si="62"/>
        <v>NBAA</v>
      </c>
      <c r="CE46" s="103" t="str">
        <f t="shared" si="159"/>
        <v>X</v>
      </c>
      <c r="CF46" s="103" t="str">
        <f t="shared" si="160"/>
        <v xml:space="preserve"> </v>
      </c>
      <c r="CG46" s="103" t="str">
        <f t="shared" si="161"/>
        <v xml:space="preserve"> </v>
      </c>
      <c r="CH46" s="103" t="str">
        <f t="shared" si="162"/>
        <v xml:space="preserve"> </v>
      </c>
      <c r="CI46" s="103" t="str">
        <f t="shared" si="163"/>
        <v xml:space="preserve"> </v>
      </c>
      <c r="CJ46" s="103" t="str">
        <f t="shared" si="164"/>
        <v xml:space="preserve"> </v>
      </c>
      <c r="CK46" s="103" t="str">
        <f t="shared" si="165"/>
        <v xml:space="preserve"> </v>
      </c>
      <c r="CL46" s="103" t="str">
        <f t="shared" si="166"/>
        <v xml:space="preserve"> </v>
      </c>
      <c r="CM46" s="103" t="str">
        <f t="shared" si="167"/>
        <v xml:space="preserve"> </v>
      </c>
      <c r="CN46" s="103" t="str">
        <f t="shared" si="168"/>
        <v xml:space="preserve"> </v>
      </c>
      <c r="CO46" s="103" t="str">
        <f t="shared" si="169"/>
        <v xml:space="preserve"> </v>
      </c>
      <c r="CP46" s="103" t="str">
        <f t="shared" si="170"/>
        <v xml:space="preserve"> </v>
      </c>
      <c r="CQ46" s="103"/>
      <c r="CR46" s="103"/>
      <c r="CS46" s="103"/>
      <c r="CT46" s="112">
        <f t="shared" si="171"/>
        <v>1</v>
      </c>
      <c r="CU46" s="127"/>
      <c r="CV46" s="101">
        <f t="shared" si="76"/>
        <v>12296</v>
      </c>
      <c r="CW46" s="133" t="str">
        <f t="shared" si="77"/>
        <v>NBAA</v>
      </c>
      <c r="CX46" s="103">
        <f t="shared" si="172"/>
        <v>30802</v>
      </c>
      <c r="CY46" s="103">
        <f t="shared" si="173"/>
        <v>30746</v>
      </c>
      <c r="CZ46" s="103">
        <f t="shared" si="174"/>
        <v>29515</v>
      </c>
      <c r="DA46" s="103">
        <f t="shared" si="175"/>
        <v>25470</v>
      </c>
      <c r="DB46" s="103">
        <f t="shared" si="176"/>
        <v>32839</v>
      </c>
      <c r="DC46" s="103">
        <f t="shared" si="177"/>
        <v>37413</v>
      </c>
      <c r="DD46" s="103">
        <f t="shared" si="178"/>
        <v>45893</v>
      </c>
      <c r="DE46" s="103">
        <f t="shared" si="179"/>
        <v>45822</v>
      </c>
      <c r="DF46" s="103">
        <f t="shared" si="180"/>
        <v>36930</v>
      </c>
      <c r="DG46" s="103">
        <f t="shared" si="181"/>
        <v>39097</v>
      </c>
      <c r="DH46" s="103">
        <f t="shared" si="182"/>
        <v>36599</v>
      </c>
      <c r="DI46" s="103">
        <f t="shared" si="183"/>
        <v>36377</v>
      </c>
      <c r="DM46" s="224">
        <f t="shared" si="104"/>
        <v>35625.25</v>
      </c>
    </row>
    <row r="47" spans="1:118" ht="15.75" x14ac:dyDescent="0.25">
      <c r="A47" s="136">
        <f t="shared" si="105"/>
        <v>15966</v>
      </c>
      <c r="B47" s="136" t="str">
        <f t="shared" si="106"/>
        <v>NBAA</v>
      </c>
      <c r="C47" s="42">
        <f t="shared" si="25"/>
        <v>1</v>
      </c>
      <c r="D47" s="39">
        <f t="shared" si="26"/>
        <v>5</v>
      </c>
      <c r="E47" s="25">
        <f t="shared" si="27"/>
        <v>8</v>
      </c>
      <c r="F47" s="25">
        <f t="shared" si="28"/>
        <v>5</v>
      </c>
      <c r="G47" s="145">
        <f t="shared" si="29"/>
        <v>2</v>
      </c>
      <c r="I47" s="101">
        <v>15966</v>
      </c>
      <c r="J47" s="133" t="s">
        <v>26</v>
      </c>
      <c r="K47" s="103" t="str">
        <f t="shared" si="107"/>
        <v xml:space="preserve"> </v>
      </c>
      <c r="L47" s="103" t="str">
        <f t="shared" si="108"/>
        <v xml:space="preserve"> </v>
      </c>
      <c r="M47" s="103">
        <f t="shared" si="109"/>
        <v>0</v>
      </c>
      <c r="N47" s="103">
        <f t="shared" si="110"/>
        <v>0</v>
      </c>
      <c r="O47" s="103">
        <f t="shared" si="111"/>
        <v>0</v>
      </c>
      <c r="P47" s="103">
        <f t="shared" si="112"/>
        <v>0</v>
      </c>
      <c r="Q47" s="103" t="str">
        <f t="shared" si="113"/>
        <v>X</v>
      </c>
      <c r="R47" s="103">
        <f t="shared" si="114"/>
        <v>0</v>
      </c>
      <c r="S47" s="103">
        <f t="shared" si="115"/>
        <v>0</v>
      </c>
      <c r="T47" s="103">
        <f t="shared" si="116"/>
        <v>0</v>
      </c>
      <c r="U47" s="103">
        <f t="shared" si="117"/>
        <v>0</v>
      </c>
      <c r="V47" s="103">
        <f t="shared" si="118"/>
        <v>0</v>
      </c>
      <c r="W47" s="103"/>
      <c r="X47" s="103"/>
      <c r="Y47" s="103"/>
      <c r="Z47" s="112">
        <f t="shared" si="119"/>
        <v>1</v>
      </c>
      <c r="AA47" s="123"/>
      <c r="AB47" s="103" t="str">
        <f t="shared" si="120"/>
        <v>X</v>
      </c>
      <c r="AC47" s="103" t="str">
        <f t="shared" si="121"/>
        <v>X</v>
      </c>
      <c r="AD47" s="103" t="str">
        <f t="shared" si="122"/>
        <v>X</v>
      </c>
      <c r="AE47" s="103" t="str">
        <f t="shared" si="123"/>
        <v xml:space="preserve"> </v>
      </c>
      <c r="AF47" s="103" t="str">
        <f t="shared" si="124"/>
        <v xml:space="preserve"> </v>
      </c>
      <c r="AG47" s="103" t="str">
        <f t="shared" si="125"/>
        <v xml:space="preserve"> </v>
      </c>
      <c r="AH47" s="103" t="str">
        <f t="shared" si="126"/>
        <v>X</v>
      </c>
      <c r="AI47" s="103" t="str">
        <f t="shared" si="127"/>
        <v xml:space="preserve"> </v>
      </c>
      <c r="AJ47" s="103" t="str">
        <f t="shared" si="128"/>
        <v xml:space="preserve"> </v>
      </c>
      <c r="AK47" s="103" t="str">
        <f t="shared" si="129"/>
        <v xml:space="preserve"> </v>
      </c>
      <c r="AL47" s="103" t="str">
        <f t="shared" si="130"/>
        <v xml:space="preserve"> </v>
      </c>
      <c r="AM47" s="103" t="str">
        <f t="shared" si="131"/>
        <v>X</v>
      </c>
      <c r="AN47" s="103"/>
      <c r="AO47" s="103"/>
      <c r="AP47" s="103"/>
      <c r="AQ47" s="112">
        <f t="shared" si="132"/>
        <v>5</v>
      </c>
      <c r="AR47" s="123"/>
      <c r="AS47" s="101">
        <f t="shared" si="8"/>
        <v>15966</v>
      </c>
      <c r="AT47" s="133" t="str">
        <f t="shared" si="9"/>
        <v>NBAA</v>
      </c>
      <c r="AU47" s="103" t="str">
        <f t="shared" si="133"/>
        <v xml:space="preserve"> </v>
      </c>
      <c r="AV47" s="103" t="str">
        <f t="shared" si="134"/>
        <v xml:space="preserve"> </v>
      </c>
      <c r="AW47" s="103" t="str">
        <f t="shared" si="135"/>
        <v>X</v>
      </c>
      <c r="AX47" s="103" t="str">
        <f t="shared" si="136"/>
        <v xml:space="preserve"> </v>
      </c>
      <c r="AY47" s="103" t="str">
        <f t="shared" si="137"/>
        <v xml:space="preserve"> </v>
      </c>
      <c r="AZ47" s="103" t="str">
        <f t="shared" si="138"/>
        <v xml:space="preserve"> </v>
      </c>
      <c r="BA47" s="103" t="str">
        <f t="shared" si="139"/>
        <v xml:space="preserve"> </v>
      </c>
      <c r="BB47" s="103" t="str">
        <f t="shared" si="140"/>
        <v xml:space="preserve"> </v>
      </c>
      <c r="BC47" s="103" t="str">
        <f t="shared" si="141"/>
        <v xml:space="preserve"> </v>
      </c>
      <c r="BD47" s="103" t="str">
        <f t="shared" si="142"/>
        <v xml:space="preserve"> </v>
      </c>
      <c r="BE47" s="103" t="str">
        <f t="shared" si="143"/>
        <v xml:space="preserve"> </v>
      </c>
      <c r="BF47" s="103" t="str">
        <f t="shared" si="144"/>
        <v>X</v>
      </c>
      <c r="BG47" s="103"/>
      <c r="BH47" s="103"/>
      <c r="BI47" s="103"/>
      <c r="BJ47" s="112">
        <f t="shared" si="145"/>
        <v>2</v>
      </c>
      <c r="BK47" s="123"/>
      <c r="BL47" s="103" t="str">
        <f t="shared" si="146"/>
        <v>X</v>
      </c>
      <c r="BM47" s="103" t="str">
        <f t="shared" si="147"/>
        <v>X</v>
      </c>
      <c r="BN47" s="103" t="str">
        <f t="shared" si="148"/>
        <v>X</v>
      </c>
      <c r="BO47" s="103" t="str">
        <f t="shared" si="149"/>
        <v xml:space="preserve"> </v>
      </c>
      <c r="BP47" s="103" t="str">
        <f t="shared" si="150"/>
        <v xml:space="preserve"> </v>
      </c>
      <c r="BQ47" s="103" t="str">
        <f t="shared" si="151"/>
        <v xml:space="preserve"> </v>
      </c>
      <c r="BR47" s="103" t="str">
        <f t="shared" si="152"/>
        <v>X</v>
      </c>
      <c r="BS47" s="103" t="str">
        <f t="shared" si="153"/>
        <v>X</v>
      </c>
      <c r="BT47" s="103" t="str">
        <f t="shared" si="154"/>
        <v xml:space="preserve"> </v>
      </c>
      <c r="BU47" s="103" t="str">
        <f t="shared" si="155"/>
        <v>X</v>
      </c>
      <c r="BV47" s="103" t="str">
        <f t="shared" si="156"/>
        <v>X</v>
      </c>
      <c r="BW47" s="103" t="str">
        <f t="shared" si="157"/>
        <v>X</v>
      </c>
      <c r="BX47" s="103"/>
      <c r="BY47" s="103"/>
      <c r="BZ47" s="103"/>
      <c r="CA47" s="112">
        <f t="shared" si="158"/>
        <v>8</v>
      </c>
      <c r="CB47" s="123"/>
      <c r="CC47" s="101">
        <f t="shared" si="61"/>
        <v>15966</v>
      </c>
      <c r="CD47" s="133" t="str">
        <f t="shared" si="62"/>
        <v>NBAA</v>
      </c>
      <c r="CE47" s="103" t="str">
        <f t="shared" si="159"/>
        <v>X</v>
      </c>
      <c r="CF47" s="103" t="str">
        <f t="shared" si="160"/>
        <v>X</v>
      </c>
      <c r="CG47" s="103" t="str">
        <f t="shared" si="161"/>
        <v>X</v>
      </c>
      <c r="CH47" s="103" t="str">
        <f t="shared" si="162"/>
        <v xml:space="preserve"> </v>
      </c>
      <c r="CI47" s="103" t="str">
        <f t="shared" si="163"/>
        <v xml:space="preserve"> </v>
      </c>
      <c r="CJ47" s="103" t="str">
        <f t="shared" si="164"/>
        <v xml:space="preserve"> </v>
      </c>
      <c r="CK47" s="103" t="str">
        <f t="shared" si="165"/>
        <v>X</v>
      </c>
      <c r="CL47" s="103" t="str">
        <f t="shared" si="166"/>
        <v xml:space="preserve"> </v>
      </c>
      <c r="CM47" s="103" t="str">
        <f t="shared" si="167"/>
        <v xml:space="preserve"> </v>
      </c>
      <c r="CN47" s="103" t="str">
        <f t="shared" si="168"/>
        <v xml:space="preserve"> </v>
      </c>
      <c r="CO47" s="103" t="str">
        <f t="shared" si="169"/>
        <v xml:space="preserve"> </v>
      </c>
      <c r="CP47" s="103" t="str">
        <f t="shared" si="170"/>
        <v>X</v>
      </c>
      <c r="CQ47" s="103"/>
      <c r="CR47" s="103"/>
      <c r="CS47" s="103"/>
      <c r="CT47" s="112">
        <f t="shared" si="171"/>
        <v>5</v>
      </c>
      <c r="CU47" s="127"/>
      <c r="CV47" s="101">
        <f t="shared" si="76"/>
        <v>15966</v>
      </c>
      <c r="CW47" s="133" t="str">
        <f t="shared" si="77"/>
        <v>NBAA</v>
      </c>
      <c r="CX47" s="103">
        <f t="shared" si="172"/>
        <v>50001</v>
      </c>
      <c r="CY47" s="103">
        <f t="shared" si="173"/>
        <v>48462</v>
      </c>
      <c r="CZ47" s="103">
        <f t="shared" si="174"/>
        <v>57688</v>
      </c>
      <c r="DA47" s="103">
        <f t="shared" si="175"/>
        <v>54545</v>
      </c>
      <c r="DB47" s="103">
        <f t="shared" si="176"/>
        <v>59610</v>
      </c>
      <c r="DC47" s="103">
        <f t="shared" si="177"/>
        <v>59848</v>
      </c>
      <c r="DD47" s="103">
        <f t="shared" si="178"/>
        <v>64548</v>
      </c>
      <c r="DE47" s="103">
        <f t="shared" si="179"/>
        <v>60878</v>
      </c>
      <c r="DF47" s="103">
        <f t="shared" si="180"/>
        <v>57387</v>
      </c>
      <c r="DG47" s="103">
        <f t="shared" si="181"/>
        <v>57937</v>
      </c>
      <c r="DH47" s="103">
        <f t="shared" si="182"/>
        <v>51447</v>
      </c>
      <c r="DI47" s="103">
        <f t="shared" si="183"/>
        <v>51822</v>
      </c>
      <c r="DM47" s="224">
        <f t="shared" si="104"/>
        <v>56181.083333333336</v>
      </c>
    </row>
    <row r="48" spans="1:118" ht="15.75" x14ac:dyDescent="0.25">
      <c r="A48" s="136">
        <f t="shared" si="105"/>
        <v>30069</v>
      </c>
      <c r="B48" s="136" t="str">
        <f t="shared" si="106"/>
        <v>NBAA</v>
      </c>
      <c r="C48" s="42" t="str">
        <f t="shared" si="25"/>
        <v xml:space="preserve"> </v>
      </c>
      <c r="D48" s="39">
        <f t="shared" si="26"/>
        <v>1</v>
      </c>
      <c r="E48" s="25">
        <f t="shared" si="27"/>
        <v>1</v>
      </c>
      <c r="F48" s="25">
        <f t="shared" si="28"/>
        <v>3</v>
      </c>
      <c r="G48" s="145" t="str">
        <f t="shared" si="29"/>
        <v xml:space="preserve"> </v>
      </c>
      <c r="I48" s="101">
        <v>30069</v>
      </c>
      <c r="J48" s="133" t="s">
        <v>26</v>
      </c>
      <c r="K48" s="103" t="str">
        <f t="shared" si="107"/>
        <v xml:space="preserve"> </v>
      </c>
      <c r="L48" s="103" t="str">
        <f t="shared" si="108"/>
        <v xml:space="preserve"> </v>
      </c>
      <c r="M48" s="103">
        <f>VLOOKUP($I48,nbaa0707,17,FALSE)</f>
        <v>0</v>
      </c>
      <c r="N48" s="103">
        <f t="shared" si="110"/>
        <v>0</v>
      </c>
      <c r="O48" s="103">
        <f t="shared" si="111"/>
        <v>0</v>
      </c>
      <c r="P48" s="103">
        <f t="shared" si="112"/>
        <v>0</v>
      </c>
      <c r="Q48" s="103">
        <f t="shared" si="113"/>
        <v>0</v>
      </c>
      <c r="R48" s="103">
        <f t="shared" si="114"/>
        <v>0</v>
      </c>
      <c r="S48" s="103">
        <f t="shared" si="115"/>
        <v>0</v>
      </c>
      <c r="T48" s="103">
        <f t="shared" si="116"/>
        <v>0</v>
      </c>
      <c r="U48" s="103">
        <f t="shared" si="117"/>
        <v>0</v>
      </c>
      <c r="V48" s="103">
        <f t="shared" si="118"/>
        <v>0</v>
      </c>
      <c r="W48" s="103"/>
      <c r="X48" s="103"/>
      <c r="Y48" s="103"/>
      <c r="Z48" s="112" t="str">
        <f t="shared" si="119"/>
        <v xml:space="preserve"> </v>
      </c>
      <c r="AA48" s="123"/>
      <c r="AB48" s="103" t="str">
        <f t="shared" si="120"/>
        <v xml:space="preserve"> </v>
      </c>
      <c r="AC48" s="103" t="str">
        <f t="shared" si="121"/>
        <v xml:space="preserve"> </v>
      </c>
      <c r="AD48" s="103" t="str">
        <f t="shared" si="122"/>
        <v xml:space="preserve"> </v>
      </c>
      <c r="AE48" s="103" t="str">
        <f t="shared" si="123"/>
        <v xml:space="preserve"> </v>
      </c>
      <c r="AF48" s="103" t="str">
        <f t="shared" si="124"/>
        <v xml:space="preserve"> </v>
      </c>
      <c r="AG48" s="103" t="str">
        <f t="shared" si="125"/>
        <v xml:space="preserve"> </v>
      </c>
      <c r="AH48" s="103" t="str">
        <f t="shared" si="126"/>
        <v xml:space="preserve"> </v>
      </c>
      <c r="AI48" s="103" t="str">
        <f t="shared" si="127"/>
        <v>X</v>
      </c>
      <c r="AJ48" s="103" t="str">
        <f t="shared" si="128"/>
        <v xml:space="preserve"> </v>
      </c>
      <c r="AK48" s="103" t="str">
        <f t="shared" si="129"/>
        <v xml:space="preserve"> </v>
      </c>
      <c r="AL48" s="103" t="str">
        <f t="shared" si="130"/>
        <v xml:space="preserve"> </v>
      </c>
      <c r="AM48" s="103" t="str">
        <f t="shared" si="131"/>
        <v xml:space="preserve"> </v>
      </c>
      <c r="AN48" s="103"/>
      <c r="AO48" s="103"/>
      <c r="AP48" s="103"/>
      <c r="AQ48" s="112">
        <f t="shared" si="132"/>
        <v>1</v>
      </c>
      <c r="AR48" s="123"/>
      <c r="AS48" s="101">
        <f t="shared" si="8"/>
        <v>30069</v>
      </c>
      <c r="AT48" s="133" t="str">
        <f t="shared" si="9"/>
        <v>NBAA</v>
      </c>
      <c r="AU48" s="103" t="str">
        <f t="shared" si="133"/>
        <v xml:space="preserve"> </v>
      </c>
      <c r="AV48" s="103" t="str">
        <f t="shared" si="134"/>
        <v xml:space="preserve"> </v>
      </c>
      <c r="AW48" s="103" t="str">
        <f t="shared" si="135"/>
        <v xml:space="preserve"> </v>
      </c>
      <c r="AX48" s="103" t="str">
        <f t="shared" si="136"/>
        <v xml:space="preserve"> </v>
      </c>
      <c r="AY48" s="103" t="str">
        <f t="shared" si="137"/>
        <v xml:space="preserve"> </v>
      </c>
      <c r="AZ48" s="103" t="str">
        <f t="shared" si="138"/>
        <v xml:space="preserve"> </v>
      </c>
      <c r="BA48" s="103" t="str">
        <f t="shared" si="139"/>
        <v xml:space="preserve"> </v>
      </c>
      <c r="BB48" s="103" t="str">
        <f t="shared" si="140"/>
        <v xml:space="preserve"> </v>
      </c>
      <c r="BC48" s="103" t="str">
        <f t="shared" si="141"/>
        <v xml:space="preserve"> </v>
      </c>
      <c r="BD48" s="103" t="str">
        <f t="shared" si="142"/>
        <v xml:space="preserve"> </v>
      </c>
      <c r="BE48" s="103" t="str">
        <f t="shared" si="143"/>
        <v xml:space="preserve"> </v>
      </c>
      <c r="BF48" s="103" t="str">
        <f t="shared" si="144"/>
        <v xml:space="preserve"> </v>
      </c>
      <c r="BG48" s="103"/>
      <c r="BH48" s="103"/>
      <c r="BI48" s="103"/>
      <c r="BJ48" s="112" t="str">
        <f t="shared" si="145"/>
        <v xml:space="preserve"> </v>
      </c>
      <c r="BK48" s="123"/>
      <c r="BL48" s="103" t="str">
        <f t="shared" si="146"/>
        <v xml:space="preserve"> </v>
      </c>
      <c r="BM48" s="103" t="str">
        <f t="shared" si="147"/>
        <v xml:space="preserve"> </v>
      </c>
      <c r="BN48" s="103" t="str">
        <f t="shared" si="148"/>
        <v xml:space="preserve"> </v>
      </c>
      <c r="BO48" s="103" t="str">
        <f t="shared" si="149"/>
        <v xml:space="preserve"> </v>
      </c>
      <c r="BP48" s="103" t="str">
        <f t="shared" si="150"/>
        <v xml:space="preserve"> </v>
      </c>
      <c r="BQ48" s="103" t="str">
        <f t="shared" si="151"/>
        <v xml:space="preserve"> </v>
      </c>
      <c r="BR48" s="103" t="str">
        <f t="shared" si="152"/>
        <v xml:space="preserve"> </v>
      </c>
      <c r="BS48" s="103" t="str">
        <f t="shared" si="153"/>
        <v>X</v>
      </c>
      <c r="BT48" s="103" t="str">
        <f t="shared" si="154"/>
        <v xml:space="preserve"> </v>
      </c>
      <c r="BU48" s="103" t="str">
        <f t="shared" si="155"/>
        <v xml:space="preserve"> </v>
      </c>
      <c r="BV48" s="103" t="str">
        <f t="shared" si="156"/>
        <v xml:space="preserve"> </v>
      </c>
      <c r="BW48" s="103" t="str">
        <f t="shared" si="157"/>
        <v xml:space="preserve"> </v>
      </c>
      <c r="BX48" s="103"/>
      <c r="BY48" s="103"/>
      <c r="BZ48" s="103"/>
      <c r="CA48" s="112">
        <f t="shared" si="158"/>
        <v>1</v>
      </c>
      <c r="CB48" s="123"/>
      <c r="CC48" s="101">
        <f t="shared" si="61"/>
        <v>30069</v>
      </c>
      <c r="CD48" s="133" t="str">
        <f t="shared" si="62"/>
        <v>NBAA</v>
      </c>
      <c r="CE48" s="103" t="str">
        <f t="shared" si="159"/>
        <v xml:space="preserve"> </v>
      </c>
      <c r="CF48" s="103" t="str">
        <f t="shared" si="160"/>
        <v xml:space="preserve"> </v>
      </c>
      <c r="CG48" s="103" t="str">
        <f t="shared" si="161"/>
        <v xml:space="preserve"> </v>
      </c>
      <c r="CH48" s="103" t="str">
        <f t="shared" si="162"/>
        <v xml:space="preserve"> </v>
      </c>
      <c r="CI48" s="103" t="str">
        <f t="shared" si="163"/>
        <v xml:space="preserve"> </v>
      </c>
      <c r="CJ48" s="103" t="str">
        <f t="shared" si="164"/>
        <v>X</v>
      </c>
      <c r="CK48" s="103" t="str">
        <f t="shared" si="165"/>
        <v xml:space="preserve"> </v>
      </c>
      <c r="CL48" s="103" t="str">
        <f t="shared" si="166"/>
        <v>X</v>
      </c>
      <c r="CM48" s="103" t="str">
        <f t="shared" si="167"/>
        <v>X</v>
      </c>
      <c r="CN48" s="103" t="str">
        <f t="shared" si="168"/>
        <v xml:space="preserve"> </v>
      </c>
      <c r="CO48" s="103" t="str">
        <f t="shared" si="169"/>
        <v xml:space="preserve"> </v>
      </c>
      <c r="CP48" s="103" t="str">
        <f t="shared" si="170"/>
        <v xml:space="preserve"> </v>
      </c>
      <c r="CQ48" s="103"/>
      <c r="CR48" s="103"/>
      <c r="CS48" s="103"/>
      <c r="CT48" s="112">
        <f t="shared" si="171"/>
        <v>3</v>
      </c>
      <c r="CU48" s="127"/>
      <c r="CV48" s="101">
        <f t="shared" si="76"/>
        <v>30069</v>
      </c>
      <c r="CW48" s="133" t="str">
        <f t="shared" si="77"/>
        <v>NBAA</v>
      </c>
      <c r="CX48" s="103">
        <f t="shared" si="172"/>
        <v>10268</v>
      </c>
      <c r="CY48" s="103">
        <f t="shared" si="173"/>
        <v>10685</v>
      </c>
      <c r="CZ48" s="103">
        <f t="shared" si="174"/>
        <v>10276</v>
      </c>
      <c r="DA48" s="103">
        <f t="shared" si="175"/>
        <v>10118</v>
      </c>
      <c r="DB48" s="103">
        <f t="shared" si="176"/>
        <v>10528</v>
      </c>
      <c r="DC48" s="103">
        <f t="shared" si="177"/>
        <v>10149</v>
      </c>
      <c r="DD48" s="103">
        <f t="shared" si="178"/>
        <v>7495</v>
      </c>
      <c r="DE48" s="103">
        <f t="shared" si="179"/>
        <v>7661</v>
      </c>
      <c r="DF48" s="103">
        <f t="shared" si="180"/>
        <v>1388</v>
      </c>
      <c r="DG48" s="103">
        <f t="shared" si="181"/>
        <v>10081</v>
      </c>
      <c r="DH48" s="103">
        <f t="shared" si="182"/>
        <v>10076</v>
      </c>
      <c r="DI48" s="103">
        <f t="shared" si="183"/>
        <v>10118</v>
      </c>
      <c r="DM48" s="224">
        <f t="shared" si="104"/>
        <v>9070.25</v>
      </c>
      <c r="DN48" s="224">
        <f>SUM(DM24:DM48)</f>
        <v>1611077.1111111112</v>
      </c>
    </row>
    <row r="49" spans="1:117" ht="15.75" x14ac:dyDescent="0.25">
      <c r="A49" s="136">
        <f t="shared" si="105"/>
        <v>42</v>
      </c>
      <c r="B49" s="136" t="str">
        <f t="shared" si="106"/>
        <v>NGSA</v>
      </c>
      <c r="C49" s="42" t="str">
        <f t="shared" si="25"/>
        <v xml:space="preserve"> </v>
      </c>
      <c r="D49" s="39" t="str">
        <f t="shared" si="26"/>
        <v xml:space="preserve"> </v>
      </c>
      <c r="E49" s="25" t="str">
        <f t="shared" si="27"/>
        <v xml:space="preserve"> </v>
      </c>
      <c r="F49" s="25" t="str">
        <f t="shared" si="28"/>
        <v xml:space="preserve"> </v>
      </c>
      <c r="G49" s="145" t="str">
        <f t="shared" si="29"/>
        <v xml:space="preserve"> </v>
      </c>
      <c r="I49" s="101">
        <v>42</v>
      </c>
      <c r="J49" s="133" t="s">
        <v>27</v>
      </c>
      <c r="K49" s="103" t="str">
        <f>VLOOKUP($I49,ngsa0705,17,FALSE)</f>
        <v xml:space="preserve"> </v>
      </c>
      <c r="L49" s="103" t="str">
        <f>VLOOKUP($I49,ngsa0706,17,FALSE)</f>
        <v xml:space="preserve"> </v>
      </c>
      <c r="M49" s="103">
        <f>VLOOKUP($I49,ngsa0707,17,FALSE)</f>
        <v>0</v>
      </c>
      <c r="N49" s="103">
        <f>VLOOKUP($I49,ngsa0708,17,FALSE)</f>
        <v>0</v>
      </c>
      <c r="O49" s="103">
        <f>VLOOKUP($I49,ngsa0721,17,FALSE)</f>
        <v>0</v>
      </c>
      <c r="P49" s="103">
        <f>VLOOKUP($I49,ngsa0725,17,FALSE)</f>
        <v>0</v>
      </c>
      <c r="Q49" s="103">
        <f>VLOOKUP($I49,ngsa0829,17,FALSE)</f>
        <v>0</v>
      </c>
      <c r="R49" s="103">
        <f>VLOOKUP($I49,ngsa0830,17,FALSE)</f>
        <v>0</v>
      </c>
      <c r="S49" s="103">
        <f>VLOOKUP($I49,ngsa0910,17,FALSE)</f>
        <v>0</v>
      </c>
      <c r="T49" s="103">
        <f>VLOOKUP($I49,ngsa0922,17,FALSE)</f>
        <v>0</v>
      </c>
      <c r="U49" s="103">
        <f>VLOOKUP($I49,ngsa0923,17,FALSE)</f>
        <v>0</v>
      </c>
      <c r="V49" s="103">
        <f>VLOOKUP($I49,ngsa0929,17,FALSE)</f>
        <v>0</v>
      </c>
      <c r="W49" s="103"/>
      <c r="X49" s="103"/>
      <c r="Y49" s="103"/>
      <c r="Z49" s="112" t="str">
        <f t="shared" si="119"/>
        <v xml:space="preserve"> </v>
      </c>
      <c r="AA49" s="123"/>
      <c r="AB49" s="103">
        <f>VLOOKUP($I49,ngsa0705,18,FALSE)</f>
        <v>0</v>
      </c>
      <c r="AC49" s="103" t="str">
        <f>VLOOKUP($I49,ngsa0706,18,FALSE)</f>
        <v xml:space="preserve"> </v>
      </c>
      <c r="AD49" s="103" t="str">
        <f>VLOOKUP($I49,ngsa0707,18,FALSE)</f>
        <v xml:space="preserve"> </v>
      </c>
      <c r="AE49" s="103" t="str">
        <f>VLOOKUP($I49,ngsa0708,18,FALSE)</f>
        <v xml:space="preserve"> </v>
      </c>
      <c r="AF49" s="103" t="str">
        <f>VLOOKUP($I49,ngsa0721,18,FALSE)</f>
        <v xml:space="preserve"> </v>
      </c>
      <c r="AG49" s="103" t="str">
        <f>VLOOKUP($I49,ngsa0725,18,FALSE)</f>
        <v xml:space="preserve"> </v>
      </c>
      <c r="AH49" s="103" t="str">
        <f>VLOOKUP($I49,ngsa0829,18,FALSE)</f>
        <v xml:space="preserve"> </v>
      </c>
      <c r="AI49" s="103" t="str">
        <f>VLOOKUP($I49,ngsa0830,18,FALSE)</f>
        <v xml:space="preserve"> </v>
      </c>
      <c r="AJ49" s="103" t="str">
        <f>VLOOKUP($I49,ngsa0910,18,FALSE)</f>
        <v xml:space="preserve"> </v>
      </c>
      <c r="AK49" s="103">
        <f>VLOOKUP($I49,ngsa0922,18,FALSE)</f>
        <v>0</v>
      </c>
      <c r="AL49" s="103">
        <f>VLOOKUP($I49,ngsa0923,18,FALSE)</f>
        <v>0</v>
      </c>
      <c r="AM49" s="103">
        <f>VLOOKUP($I49,ngsa0929,18,FALSE)</f>
        <v>0</v>
      </c>
      <c r="AN49" s="103"/>
      <c r="AO49" s="103"/>
      <c r="AP49" s="103"/>
      <c r="AQ49" s="112" t="str">
        <f t="shared" si="132"/>
        <v xml:space="preserve"> </v>
      </c>
      <c r="AR49" s="123"/>
      <c r="AS49" s="101">
        <f t="shared" si="8"/>
        <v>42</v>
      </c>
      <c r="AT49" s="133" t="str">
        <f t="shared" si="9"/>
        <v>NGSA</v>
      </c>
      <c r="AU49" s="103" t="str">
        <f>VLOOKUP($I49,ngsa0705,19,FALSE)</f>
        <v xml:space="preserve"> </v>
      </c>
      <c r="AV49" s="103" t="str">
        <f>VLOOKUP($I49,ngsa0706,19,FALSE)</f>
        <v xml:space="preserve"> </v>
      </c>
      <c r="AW49" s="103" t="str">
        <f>VLOOKUP($I49,ngsa0707,19,FALSE)</f>
        <v xml:space="preserve"> </v>
      </c>
      <c r="AX49" s="103" t="str">
        <f>VLOOKUP($I49,ngsa0708,19,FALSE)</f>
        <v xml:space="preserve"> </v>
      </c>
      <c r="AY49" s="103" t="str">
        <f>VLOOKUP($I49,ngsa0721,19,FALSE)</f>
        <v xml:space="preserve"> </v>
      </c>
      <c r="AZ49" s="103" t="str">
        <f>VLOOKUP($I49,ngsa0725,19,FALSE)</f>
        <v xml:space="preserve"> </v>
      </c>
      <c r="BA49" s="103" t="str">
        <f>VLOOKUP($I49,ngsa0829,19,FALSE)</f>
        <v xml:space="preserve"> </v>
      </c>
      <c r="BB49" s="103" t="str">
        <f>VLOOKUP($I49,ngsa0830,19,FALSE)</f>
        <v xml:space="preserve"> </v>
      </c>
      <c r="BC49" s="103" t="str">
        <f>VLOOKUP($I49,ngsa0910,19,FALSE)</f>
        <v xml:space="preserve"> </v>
      </c>
      <c r="BD49" s="103">
        <f>VLOOKUP($I49,ngsa0922,19,FALSE)</f>
        <v>0</v>
      </c>
      <c r="BE49" s="103">
        <f>VLOOKUP($I49,ngsa0923,19,FALSE)</f>
        <v>0</v>
      </c>
      <c r="BF49" s="103">
        <f>VLOOKUP($I49,ngsa0929,19,FALSE)</f>
        <v>0</v>
      </c>
      <c r="BG49" s="103"/>
      <c r="BH49" s="103"/>
      <c r="BI49" s="103"/>
      <c r="BJ49" s="112" t="str">
        <f>IF(COUNTIF(AU49:BI49,"x")=0," ",COUNTIF(AU49:BI49,"x"))</f>
        <v xml:space="preserve"> </v>
      </c>
      <c r="BK49" s="123"/>
      <c r="BL49" s="103" t="str">
        <f>VLOOKUP($I49,ngsa0705,20,FALSE)</f>
        <v xml:space="preserve"> </v>
      </c>
      <c r="BM49" s="103" t="str">
        <f>VLOOKUP($I49,ngsa0706,20,FALSE)</f>
        <v xml:space="preserve"> </v>
      </c>
      <c r="BN49" s="103" t="str">
        <f>VLOOKUP($I49,ngsa0707,20,FALSE)</f>
        <v xml:space="preserve"> </v>
      </c>
      <c r="BO49" s="103" t="str">
        <f>VLOOKUP($I49,ngsa0708,20,FALSE)</f>
        <v xml:space="preserve"> </v>
      </c>
      <c r="BP49" s="103" t="str">
        <f>VLOOKUP($I49,ngsa0721,20,FALSE)</f>
        <v xml:space="preserve"> </v>
      </c>
      <c r="BQ49" s="103" t="str">
        <f>VLOOKUP($I49,ngsa0725,20,FALSE)</f>
        <v xml:space="preserve"> </v>
      </c>
      <c r="BR49" s="103" t="str">
        <f>VLOOKUP($I49,ngsa0829,20,FALSE)</f>
        <v xml:space="preserve"> </v>
      </c>
      <c r="BS49" s="103" t="str">
        <f>VLOOKUP($I49,ngsa0830,20,FALSE)</f>
        <v xml:space="preserve"> </v>
      </c>
      <c r="BT49" s="103" t="str">
        <f>VLOOKUP($I49,ngsa0910,20,FALSE)</f>
        <v xml:space="preserve"> </v>
      </c>
      <c r="BU49" s="103" t="str">
        <f>VLOOKUP($I49,ngsa0922,20,FALSE)</f>
        <v xml:space="preserve"> </v>
      </c>
      <c r="BV49" s="103" t="str">
        <f>VLOOKUP($I49,ngsa0923,20,FALSE)</f>
        <v xml:space="preserve"> </v>
      </c>
      <c r="BW49" s="103" t="str">
        <f>VLOOKUP($I49,ngsa0929,20,FALSE)</f>
        <v xml:space="preserve"> </v>
      </c>
      <c r="BX49" s="103"/>
      <c r="BY49" s="103"/>
      <c r="BZ49" s="103"/>
      <c r="CA49" s="112" t="str">
        <f t="shared" si="158"/>
        <v xml:space="preserve"> </v>
      </c>
      <c r="CB49" s="123"/>
      <c r="CC49" s="101">
        <f t="shared" si="61"/>
        <v>42</v>
      </c>
      <c r="CD49" s="133" t="str">
        <f t="shared" si="62"/>
        <v>NGSA</v>
      </c>
      <c r="CE49" s="103" t="str">
        <f>VLOOKUP($I49,ngsa0705,21,FALSE)</f>
        <v xml:space="preserve"> </v>
      </c>
      <c r="CF49" s="103" t="str">
        <f>VLOOKUP($I49,ngsa0706,21,FALSE)</f>
        <v xml:space="preserve"> </v>
      </c>
      <c r="CG49" s="103" t="str">
        <f>VLOOKUP($I49,ngsa0707,21,FALSE)</f>
        <v xml:space="preserve"> </v>
      </c>
      <c r="CH49" s="103" t="str">
        <f>VLOOKUP($I49,ngsa0708,21,FALSE)</f>
        <v xml:space="preserve"> </v>
      </c>
      <c r="CI49" s="103" t="str">
        <f>VLOOKUP($I49,ngsa0721,21,FALSE)</f>
        <v xml:space="preserve"> </v>
      </c>
      <c r="CJ49" s="103" t="str">
        <f>VLOOKUP($I49,ngsa0725,21,FALSE)</f>
        <v xml:space="preserve"> </v>
      </c>
      <c r="CK49" s="103" t="str">
        <f>VLOOKUP($I49,ngsa0829,21,FALSE)</f>
        <v xml:space="preserve"> </v>
      </c>
      <c r="CL49" s="103" t="str">
        <f>VLOOKUP($I49,ngsa0830,21,FALSE)</f>
        <v xml:space="preserve"> </v>
      </c>
      <c r="CM49" s="103" t="str">
        <f>VLOOKUP($I49,ngsa0910,21,FALSE)</f>
        <v xml:space="preserve"> </v>
      </c>
      <c r="CN49" s="103" t="str">
        <f>VLOOKUP($I49,ngsa0922,21,FALSE)</f>
        <v xml:space="preserve"> </v>
      </c>
      <c r="CO49" s="103" t="str">
        <f>VLOOKUP($I49,ngsa0923,21,FALSE)</f>
        <v xml:space="preserve"> </v>
      </c>
      <c r="CP49" s="103" t="str">
        <f>VLOOKUP($I49,ngsa0929,21,FALSE)</f>
        <v xml:space="preserve"> </v>
      </c>
      <c r="CQ49" s="103"/>
      <c r="CR49" s="103"/>
      <c r="CS49" s="103"/>
      <c r="CT49" s="112" t="str">
        <f t="shared" si="171"/>
        <v xml:space="preserve"> </v>
      </c>
      <c r="CU49" s="127"/>
      <c r="CV49" s="101">
        <f t="shared" si="76"/>
        <v>42</v>
      </c>
      <c r="CW49" s="133" t="str">
        <f t="shared" si="77"/>
        <v>NGSA</v>
      </c>
      <c r="CX49" s="103">
        <f>VLOOKUP($I49,ngsa0705,13,FALSE)</f>
        <v>0</v>
      </c>
      <c r="CY49" s="103">
        <f>VLOOKUP($I49,ngsa0706,13,FALSE)</f>
        <v>0</v>
      </c>
      <c r="CZ49" s="103">
        <f>VLOOKUP($I49,ngsa0707,13,FALSE)</f>
        <v>0</v>
      </c>
      <c r="DA49" s="103">
        <f>VLOOKUP($I49,ngsa0708,13,FALSE)</f>
        <v>0</v>
      </c>
      <c r="DB49" s="103">
        <f>VLOOKUP($I49,ngsa0721,13,FALSE)</f>
        <v>0</v>
      </c>
      <c r="DC49" s="103">
        <f>VLOOKUP($I49,ngsa0725,13,FALSE)</f>
        <v>0</v>
      </c>
      <c r="DD49" s="103">
        <f>VLOOKUP($I49,ngsa0829,13,FALSE)</f>
        <v>0</v>
      </c>
      <c r="DE49" s="103">
        <f>VLOOKUP($I49,ngsa0830,13,FALSE)</f>
        <v>0</v>
      </c>
      <c r="DF49" s="103">
        <f>VLOOKUP($I49,ngsa0910,13,FALSE)</f>
        <v>0</v>
      </c>
      <c r="DG49" s="103">
        <f>VLOOKUP($I49,ngsa0922,13,FALSE)</f>
        <v>0</v>
      </c>
      <c r="DH49" s="103">
        <f>VLOOKUP($I49,ngsa0923,13,FALSE)</f>
        <v>0</v>
      </c>
      <c r="DI49" s="103">
        <f>VLOOKUP($I49,ngsa0929,13,FALSE)</f>
        <v>0</v>
      </c>
      <c r="DJ49" s="103"/>
      <c r="DK49" s="103"/>
      <c r="DL49" s="103"/>
      <c r="DM49" s="224"/>
    </row>
    <row r="50" spans="1:117" ht="15.75" x14ac:dyDescent="0.25">
      <c r="A50" s="136">
        <f t="shared" si="105"/>
        <v>51</v>
      </c>
      <c r="B50" s="136" t="str">
        <f t="shared" si="106"/>
        <v>NGSA</v>
      </c>
      <c r="C50" s="42" t="str">
        <f t="shared" si="25"/>
        <v xml:space="preserve"> </v>
      </c>
      <c r="D50" s="39">
        <f t="shared" si="26"/>
        <v>8</v>
      </c>
      <c r="E50" s="25">
        <f t="shared" si="27"/>
        <v>8</v>
      </c>
      <c r="F50" s="25">
        <f t="shared" si="28"/>
        <v>8</v>
      </c>
      <c r="G50" s="145" t="str">
        <f t="shared" si="29"/>
        <v xml:space="preserve"> </v>
      </c>
      <c r="I50" s="101">
        <v>51</v>
      </c>
      <c r="J50" s="133" t="s">
        <v>27</v>
      </c>
      <c r="K50" s="103" t="str">
        <f t="shared" ref="K50:K113" si="184">VLOOKUP($I50,ngsa0705,17,FALSE)</f>
        <v xml:space="preserve"> </v>
      </c>
      <c r="L50" s="103" t="str">
        <f t="shared" ref="L50:L113" si="185">VLOOKUP($I50,ngsa0706,17,FALSE)</f>
        <v xml:space="preserve"> </v>
      </c>
      <c r="M50" s="103">
        <f t="shared" ref="M50:M113" si="186">VLOOKUP($I50,ngsa0707,17,FALSE)</f>
        <v>0</v>
      </c>
      <c r="N50" s="103">
        <f t="shared" ref="N50:N113" si="187">VLOOKUP($I50,ngsa0708,17,FALSE)</f>
        <v>0</v>
      </c>
      <c r="O50" s="103">
        <f t="shared" ref="O50:O113" si="188">VLOOKUP($I50,ngsa0721,17,FALSE)</f>
        <v>0</v>
      </c>
      <c r="P50" s="103">
        <f t="shared" ref="P50:P113" si="189">VLOOKUP($I50,ngsa0725,17,FALSE)</f>
        <v>0</v>
      </c>
      <c r="Q50" s="103">
        <f t="shared" ref="Q50:Q113" si="190">VLOOKUP($I50,ngsa0829,17,FALSE)</f>
        <v>0</v>
      </c>
      <c r="R50" s="103">
        <f t="shared" ref="R50:R113" si="191">VLOOKUP($I50,ngsa0830,17,FALSE)</f>
        <v>0</v>
      </c>
      <c r="S50" s="103">
        <f t="shared" ref="S50:S113" si="192">VLOOKUP($I50,ngsa0910,17,FALSE)</f>
        <v>0</v>
      </c>
      <c r="T50" s="103">
        <f t="shared" ref="T50:T113" si="193">VLOOKUP($I50,ngsa0922,17,FALSE)</f>
        <v>0</v>
      </c>
      <c r="U50" s="103">
        <f t="shared" ref="U50:U113" si="194">VLOOKUP($I50,ngsa0923,17,FALSE)</f>
        <v>0</v>
      </c>
      <c r="V50" s="103">
        <f t="shared" ref="V50:V113" si="195">VLOOKUP($I50,ngsa0929,17,FALSE)</f>
        <v>0</v>
      </c>
      <c r="W50" s="103"/>
      <c r="X50" s="103"/>
      <c r="Y50" s="103"/>
      <c r="Z50" s="112" t="str">
        <f t="shared" ref="Z50:Z70" si="196">IF(COUNTIF(K50:Y50,"x")=0," ",COUNTIF(K50:Y50,"x"))</f>
        <v xml:space="preserve"> </v>
      </c>
      <c r="AA50" s="123"/>
      <c r="AB50" s="103" t="str">
        <f t="shared" ref="AB50:AB113" si="197">VLOOKUP($I50,ngsa0705,18,FALSE)</f>
        <v>X</v>
      </c>
      <c r="AC50" s="103" t="str">
        <f t="shared" ref="AC50:AC113" si="198">VLOOKUP($I50,ngsa0706,18,FALSE)</f>
        <v>X</v>
      </c>
      <c r="AD50" s="103" t="str">
        <f t="shared" ref="AD50:AD113" si="199">VLOOKUP($I50,ngsa0707,18,FALSE)</f>
        <v>X</v>
      </c>
      <c r="AE50" s="103" t="str">
        <f t="shared" ref="AE50:AE113" si="200">VLOOKUP($I50,ngsa0708,18,FALSE)</f>
        <v>X</v>
      </c>
      <c r="AF50" s="103" t="str">
        <f t="shared" ref="AF50:AF113" si="201">VLOOKUP($I50,ngsa0721,18,FALSE)</f>
        <v xml:space="preserve"> </v>
      </c>
      <c r="AG50" s="103" t="str">
        <f t="shared" ref="AG50:AG113" si="202">VLOOKUP($I50,ngsa0725,18,FALSE)</f>
        <v xml:space="preserve"> </v>
      </c>
      <c r="AH50" s="103" t="str">
        <f t="shared" ref="AH50:AH113" si="203">VLOOKUP($I50,ngsa0829,18,FALSE)</f>
        <v xml:space="preserve"> </v>
      </c>
      <c r="AI50" s="103" t="str">
        <f t="shared" ref="AI50:AI113" si="204">VLOOKUP($I50,ngsa0830,18,FALSE)</f>
        <v xml:space="preserve"> </v>
      </c>
      <c r="AJ50" s="103" t="str">
        <f t="shared" ref="AJ50:AJ113" si="205">VLOOKUP($I50,ngsa0910,18,FALSE)</f>
        <v>X</v>
      </c>
      <c r="AK50" s="103" t="str">
        <f t="shared" ref="AK50:AK113" si="206">VLOOKUP($I50,ngsa0922,18,FALSE)</f>
        <v>X</v>
      </c>
      <c r="AL50" s="103" t="str">
        <f t="shared" ref="AL50:AL113" si="207">VLOOKUP($I50,ngsa0923,18,FALSE)</f>
        <v>X</v>
      </c>
      <c r="AM50" s="103" t="str">
        <f t="shared" ref="AM50:AM113" si="208">VLOOKUP($I50,ngsa0929,18,FALSE)</f>
        <v>X</v>
      </c>
      <c r="AN50" s="103"/>
      <c r="AO50" s="103"/>
      <c r="AP50" s="103"/>
      <c r="AQ50" s="112">
        <f t="shared" ref="AQ50:AQ70" si="209">IF(COUNTIF(AB50:AP50,"x")=0," ",COUNTIF(AB50:AP50,"x"))</f>
        <v>8</v>
      </c>
      <c r="AR50" s="123"/>
      <c r="AS50" s="101">
        <f t="shared" si="8"/>
        <v>51</v>
      </c>
      <c r="AT50" s="133" t="str">
        <f t="shared" si="9"/>
        <v>NGSA</v>
      </c>
      <c r="AU50" s="103" t="str">
        <f t="shared" ref="AU50:AU113" si="210">VLOOKUP($I50,ngsa0705,19,FALSE)</f>
        <v xml:space="preserve"> </v>
      </c>
      <c r="AV50" s="103" t="str">
        <f t="shared" ref="AV50:AV113" si="211">VLOOKUP($I50,ngsa0706,19,FALSE)</f>
        <v xml:space="preserve"> </v>
      </c>
      <c r="AW50" s="103" t="str">
        <f t="shared" ref="AW50:AW113" si="212">VLOOKUP($I50,ngsa0707,19,FALSE)</f>
        <v xml:space="preserve"> </v>
      </c>
      <c r="AX50" s="103" t="str">
        <f t="shared" ref="AX50:AX113" si="213">VLOOKUP($I50,ngsa0708,19,FALSE)</f>
        <v xml:space="preserve"> </v>
      </c>
      <c r="AY50" s="103" t="str">
        <f t="shared" ref="AY50:AY113" si="214">VLOOKUP($I50,ngsa0721,19,FALSE)</f>
        <v xml:space="preserve"> </v>
      </c>
      <c r="AZ50" s="103" t="str">
        <f t="shared" ref="AZ50:AZ113" si="215">VLOOKUP($I50,ngsa0725,19,FALSE)</f>
        <v xml:space="preserve"> </v>
      </c>
      <c r="BA50" s="103" t="str">
        <f t="shared" ref="BA50:BA113" si="216">VLOOKUP($I50,ngsa0829,19,FALSE)</f>
        <v xml:space="preserve"> </v>
      </c>
      <c r="BB50" s="103" t="str">
        <f t="shared" ref="BB50:BB113" si="217">VLOOKUP($I50,ngsa0830,19,FALSE)</f>
        <v xml:space="preserve"> </v>
      </c>
      <c r="BC50" s="103" t="str">
        <f t="shared" ref="BC50:BC113" si="218">VLOOKUP($I50,ngsa0910,19,FALSE)</f>
        <v xml:space="preserve"> </v>
      </c>
      <c r="BD50" s="103" t="str">
        <f t="shared" ref="BD50:BD113" si="219">VLOOKUP($I50,ngsa0922,19,FALSE)</f>
        <v xml:space="preserve"> </v>
      </c>
      <c r="BE50" s="103" t="str">
        <f t="shared" ref="BE50:BE113" si="220">VLOOKUP($I50,ngsa0923,19,FALSE)</f>
        <v xml:space="preserve"> </v>
      </c>
      <c r="BF50" s="103" t="str">
        <f t="shared" ref="BF50:BF113" si="221">VLOOKUP($I50,ngsa0929,19,FALSE)</f>
        <v xml:space="preserve"> </v>
      </c>
      <c r="BG50" s="103"/>
      <c r="BH50" s="103"/>
      <c r="BI50" s="103"/>
      <c r="BJ50" s="112" t="str">
        <f t="shared" ref="BJ50:BJ113" si="222">IF(COUNTIF(AU50:BI50,"x")=0," ",COUNTIF(AU50:BI50,"x"))</f>
        <v xml:space="preserve"> </v>
      </c>
      <c r="BK50" s="123"/>
      <c r="BL50" s="103" t="str">
        <f t="shared" ref="BL50:BL113" si="223">VLOOKUP($I50,ngsa0705,20,FALSE)</f>
        <v>X</v>
      </c>
      <c r="BM50" s="103" t="str">
        <f t="shared" ref="BM50:BM113" si="224">VLOOKUP($I50,ngsa0706,20,FALSE)</f>
        <v>X</v>
      </c>
      <c r="BN50" s="103" t="str">
        <f t="shared" ref="BN50:BN113" si="225">VLOOKUP($I50,ngsa0707,20,FALSE)</f>
        <v>X</v>
      </c>
      <c r="BO50" s="103" t="str">
        <f t="shared" ref="BO50:BO113" si="226">VLOOKUP($I50,ngsa0708,20,FALSE)</f>
        <v>X</v>
      </c>
      <c r="BP50" s="103" t="str">
        <f t="shared" ref="BP50:BP113" si="227">VLOOKUP($I50,ngsa0721,20,FALSE)</f>
        <v xml:space="preserve"> </v>
      </c>
      <c r="BQ50" s="103" t="str">
        <f t="shared" ref="BQ50:BQ113" si="228">VLOOKUP($I50,ngsa0725,20,FALSE)</f>
        <v xml:space="preserve"> </v>
      </c>
      <c r="BR50" s="103" t="str">
        <f t="shared" ref="BR50:BR113" si="229">VLOOKUP($I50,ngsa0829,20,FALSE)</f>
        <v xml:space="preserve"> </v>
      </c>
      <c r="BS50" s="103" t="str">
        <f t="shared" ref="BS50:BS113" si="230">VLOOKUP($I50,ngsa0830,20,FALSE)</f>
        <v xml:space="preserve"> </v>
      </c>
      <c r="BT50" s="103" t="str">
        <f t="shared" ref="BT50:BT113" si="231">VLOOKUP($I50,ngsa0910,20,FALSE)</f>
        <v>X</v>
      </c>
      <c r="BU50" s="103" t="str">
        <f t="shared" ref="BU50:BU113" si="232">VLOOKUP($I50,ngsa0922,20,FALSE)</f>
        <v>X</v>
      </c>
      <c r="BV50" s="103" t="str">
        <f t="shared" ref="BV50:BV113" si="233">VLOOKUP($I50,ngsa0923,20,FALSE)</f>
        <v>X</v>
      </c>
      <c r="BW50" s="103" t="str">
        <f t="shared" ref="BW50:BW113" si="234">VLOOKUP($I50,ngsa0929,20,FALSE)</f>
        <v>X</v>
      </c>
      <c r="BX50" s="103"/>
      <c r="BY50" s="103"/>
      <c r="BZ50" s="103"/>
      <c r="CA50" s="112">
        <f t="shared" ref="CA50:CA113" si="235">IF(COUNTIF(BL50:BZ50,"x")=0," ",COUNTIF(BL50:BZ50,"x"))</f>
        <v>8</v>
      </c>
      <c r="CB50" s="123"/>
      <c r="CC50" s="101">
        <f t="shared" si="61"/>
        <v>51</v>
      </c>
      <c r="CD50" s="133" t="str">
        <f t="shared" si="62"/>
        <v>NGSA</v>
      </c>
      <c r="CE50" s="103" t="str">
        <f t="shared" ref="CE50:CE113" si="236">VLOOKUP($I50,ngsa0705,21,FALSE)</f>
        <v>X</v>
      </c>
      <c r="CF50" s="103" t="str">
        <f t="shared" ref="CF50:CF113" si="237">VLOOKUP($I50,ngsa0706,21,FALSE)</f>
        <v>X</v>
      </c>
      <c r="CG50" s="103" t="str">
        <f t="shared" ref="CG50:CG113" si="238">VLOOKUP($I50,ngsa0707,21,FALSE)</f>
        <v>X</v>
      </c>
      <c r="CH50" s="103" t="str">
        <f t="shared" ref="CH50:CH113" si="239">VLOOKUP($I50,ngsa0708,21,FALSE)</f>
        <v>X</v>
      </c>
      <c r="CI50" s="103" t="str">
        <f t="shared" ref="CI50:CI113" si="240">VLOOKUP($I50,ngsa0721,21,FALSE)</f>
        <v xml:space="preserve"> </v>
      </c>
      <c r="CJ50" s="103" t="str">
        <f t="shared" ref="CJ50:CJ113" si="241">VLOOKUP($I50,ngsa0725,21,FALSE)</f>
        <v xml:space="preserve"> </v>
      </c>
      <c r="CK50" s="103" t="str">
        <f t="shared" ref="CK50:CK113" si="242">VLOOKUP($I50,ngsa0829,21,FALSE)</f>
        <v xml:space="preserve"> </v>
      </c>
      <c r="CL50" s="103" t="str">
        <f t="shared" ref="CL50:CL113" si="243">VLOOKUP($I50,ngsa0830,21,FALSE)</f>
        <v xml:space="preserve"> </v>
      </c>
      <c r="CM50" s="103" t="str">
        <f t="shared" ref="CM50:CM113" si="244">VLOOKUP($I50,ngsa0910,21,FALSE)</f>
        <v>X</v>
      </c>
      <c r="CN50" s="103" t="str">
        <f t="shared" ref="CN50:CN113" si="245">VLOOKUP($I50,ngsa0922,21,FALSE)</f>
        <v>X</v>
      </c>
      <c r="CO50" s="103" t="str">
        <f t="shared" ref="CO50:CO113" si="246">VLOOKUP($I50,ngsa0923,21,FALSE)</f>
        <v>X</v>
      </c>
      <c r="CP50" s="103" t="str">
        <f t="shared" ref="CP50:CP113" si="247">VLOOKUP($I50,ngsa0929,21,FALSE)</f>
        <v>X</v>
      </c>
      <c r="CQ50" s="103"/>
      <c r="CR50" s="103"/>
      <c r="CS50" s="103"/>
      <c r="CT50" s="112">
        <f t="shared" ref="CT50:CT113" si="248">IF(COUNTIF(CE50:CS50,"x")=0," ",COUNTIF(CE50:CS50,"x"))</f>
        <v>8</v>
      </c>
      <c r="CU50" s="127"/>
      <c r="CV50" s="101">
        <f t="shared" si="76"/>
        <v>51</v>
      </c>
      <c r="CW50" s="133" t="str">
        <f t="shared" si="77"/>
        <v>NGSA</v>
      </c>
      <c r="CX50" s="223">
        <f>VLOOKUP($I50,ngsa0705,13,FALSE)</f>
        <v>8382</v>
      </c>
      <c r="CY50" s="223">
        <f>VLOOKUP($I50,ngsa0706,13,FALSE)</f>
        <v>9044</v>
      </c>
      <c r="CZ50" s="223">
        <f>VLOOKUP($I50,ngsa0707,13,FALSE)</f>
        <v>8856</v>
      </c>
      <c r="DA50" s="223">
        <f>VLOOKUP($I50,ngsa0708,13,FALSE)</f>
        <v>6296</v>
      </c>
      <c r="DB50" s="223">
        <f>VLOOKUP($I50,ngsa0721,13,FALSE)</f>
        <v>8635</v>
      </c>
      <c r="DC50" s="223">
        <f>VLOOKUP($I50,ngsa0725,13,FALSE)</f>
        <v>9903</v>
      </c>
      <c r="DD50" s="223">
        <f>VLOOKUP($I50,ngsa0829,13,FALSE)</f>
        <v>12926</v>
      </c>
      <c r="DE50" s="223">
        <f>VLOOKUP($I50,ngsa0830,13,FALSE)</f>
        <v>13360</v>
      </c>
      <c r="DF50" s="223">
        <f>VLOOKUP($I50,ngsa0910,13,FALSE)</f>
        <v>6927</v>
      </c>
      <c r="DG50" s="223">
        <f t="shared" ref="DG50:DG113" si="249">VLOOKUP($I50,ngsa0922,13,FALSE)</f>
        <v>8654</v>
      </c>
      <c r="DH50" s="223">
        <f t="shared" ref="DH50:DH113" si="250">VLOOKUP($I50,ngsa0923,13,FALSE)</f>
        <v>8246</v>
      </c>
      <c r="DI50" s="223">
        <f t="shared" ref="DI50:DI113" si="251">VLOOKUP($I50,ngsa0929,13,FALSE)</f>
        <v>8828</v>
      </c>
      <c r="DM50" s="224">
        <f t="shared" si="104"/>
        <v>9171.4166666666661</v>
      </c>
    </row>
    <row r="51" spans="1:117" ht="15.75" x14ac:dyDescent="0.25">
      <c r="A51" s="136">
        <f t="shared" si="105"/>
        <v>59</v>
      </c>
      <c r="B51" s="136" t="str">
        <f t="shared" si="106"/>
        <v>NGSA</v>
      </c>
      <c r="C51" s="42" t="str">
        <f t="shared" si="25"/>
        <v xml:space="preserve"> </v>
      </c>
      <c r="D51" s="39" t="str">
        <f t="shared" si="26"/>
        <v xml:space="preserve"> </v>
      </c>
      <c r="E51" s="25" t="str">
        <f t="shared" si="27"/>
        <v xml:space="preserve"> </v>
      </c>
      <c r="F51" s="25" t="str">
        <f t="shared" si="28"/>
        <v xml:space="preserve"> </v>
      </c>
      <c r="G51" s="145" t="str">
        <f t="shared" si="29"/>
        <v xml:space="preserve"> </v>
      </c>
      <c r="I51" s="101">
        <v>59</v>
      </c>
      <c r="J51" s="133" t="s">
        <v>27</v>
      </c>
      <c r="K51" s="103" t="e">
        <f t="shared" si="184"/>
        <v>#N/A</v>
      </c>
      <c r="L51" s="103" t="e">
        <f t="shared" si="185"/>
        <v>#N/A</v>
      </c>
      <c r="M51" s="103" t="e">
        <f t="shared" si="186"/>
        <v>#N/A</v>
      </c>
      <c r="N51" s="103" t="e">
        <f t="shared" si="187"/>
        <v>#N/A</v>
      </c>
      <c r="O51" s="103" t="e">
        <f t="shared" si="188"/>
        <v>#N/A</v>
      </c>
      <c r="P51" s="103" t="e">
        <f t="shared" si="189"/>
        <v>#N/A</v>
      </c>
      <c r="Q51" s="103" t="e">
        <f t="shared" si="190"/>
        <v>#N/A</v>
      </c>
      <c r="R51" s="103" t="e">
        <f t="shared" si="191"/>
        <v>#N/A</v>
      </c>
      <c r="S51" s="103" t="e">
        <f t="shared" si="192"/>
        <v>#N/A</v>
      </c>
      <c r="T51" s="103">
        <f t="shared" si="193"/>
        <v>0</v>
      </c>
      <c r="U51" s="103">
        <f t="shared" si="194"/>
        <v>0</v>
      </c>
      <c r="V51" s="103">
        <f t="shared" si="195"/>
        <v>0</v>
      </c>
      <c r="W51" s="103"/>
      <c r="X51" s="103"/>
      <c r="Y51" s="103"/>
      <c r="Z51" s="112" t="str">
        <f t="shared" si="196"/>
        <v xml:space="preserve"> </v>
      </c>
      <c r="AA51" s="123"/>
      <c r="AB51" s="103" t="e">
        <f t="shared" si="197"/>
        <v>#N/A</v>
      </c>
      <c r="AC51" s="103" t="e">
        <f t="shared" si="198"/>
        <v>#N/A</v>
      </c>
      <c r="AD51" s="103" t="e">
        <f t="shared" si="199"/>
        <v>#N/A</v>
      </c>
      <c r="AE51" s="103" t="e">
        <f t="shared" si="200"/>
        <v>#N/A</v>
      </c>
      <c r="AF51" s="103" t="e">
        <f t="shared" si="201"/>
        <v>#N/A</v>
      </c>
      <c r="AG51" s="103" t="e">
        <f t="shared" si="202"/>
        <v>#N/A</v>
      </c>
      <c r="AH51" s="103" t="e">
        <f t="shared" si="203"/>
        <v>#N/A</v>
      </c>
      <c r="AI51" s="103" t="e">
        <f t="shared" si="204"/>
        <v>#N/A</v>
      </c>
      <c r="AJ51" s="103" t="e">
        <f t="shared" si="205"/>
        <v>#N/A</v>
      </c>
      <c r="AK51" s="103" t="str">
        <f t="shared" si="206"/>
        <v xml:space="preserve"> </v>
      </c>
      <c r="AL51" s="103" t="str">
        <f t="shared" si="207"/>
        <v xml:space="preserve"> </v>
      </c>
      <c r="AM51" s="103" t="str">
        <f t="shared" si="208"/>
        <v xml:space="preserve"> </v>
      </c>
      <c r="AN51" s="103"/>
      <c r="AO51" s="103"/>
      <c r="AP51" s="103"/>
      <c r="AQ51" s="112" t="str">
        <f t="shared" si="209"/>
        <v xml:space="preserve"> </v>
      </c>
      <c r="AR51" s="123"/>
      <c r="AS51" s="101">
        <f t="shared" si="8"/>
        <v>59</v>
      </c>
      <c r="AT51" s="133" t="str">
        <f t="shared" si="9"/>
        <v>NGSA</v>
      </c>
      <c r="AU51" s="103" t="e">
        <f t="shared" si="210"/>
        <v>#N/A</v>
      </c>
      <c r="AV51" s="103" t="e">
        <f t="shared" si="211"/>
        <v>#N/A</v>
      </c>
      <c r="AW51" s="103" t="e">
        <f t="shared" si="212"/>
        <v>#N/A</v>
      </c>
      <c r="AX51" s="103" t="e">
        <f t="shared" si="213"/>
        <v>#N/A</v>
      </c>
      <c r="AY51" s="103" t="e">
        <f t="shared" si="214"/>
        <v>#N/A</v>
      </c>
      <c r="AZ51" s="103" t="e">
        <f t="shared" si="215"/>
        <v>#N/A</v>
      </c>
      <c r="BA51" s="103" t="e">
        <f t="shared" si="216"/>
        <v>#N/A</v>
      </c>
      <c r="BB51" s="103" t="e">
        <f t="shared" si="217"/>
        <v>#N/A</v>
      </c>
      <c r="BC51" s="103" t="e">
        <f t="shared" si="218"/>
        <v>#N/A</v>
      </c>
      <c r="BD51" s="103" t="str">
        <f t="shared" si="219"/>
        <v xml:space="preserve"> </v>
      </c>
      <c r="BE51" s="103" t="str">
        <f t="shared" si="220"/>
        <v xml:space="preserve"> </v>
      </c>
      <c r="BF51" s="103" t="str">
        <f t="shared" si="221"/>
        <v xml:space="preserve"> </v>
      </c>
      <c r="BG51" s="103"/>
      <c r="BH51" s="103"/>
      <c r="BI51" s="103"/>
      <c r="BJ51" s="112" t="str">
        <f t="shared" si="222"/>
        <v xml:space="preserve"> </v>
      </c>
      <c r="BK51" s="123"/>
      <c r="BL51" s="103" t="e">
        <f t="shared" si="223"/>
        <v>#N/A</v>
      </c>
      <c r="BM51" s="103" t="e">
        <f t="shared" si="224"/>
        <v>#N/A</v>
      </c>
      <c r="BN51" s="103" t="e">
        <f t="shared" si="225"/>
        <v>#N/A</v>
      </c>
      <c r="BO51" s="103" t="e">
        <f t="shared" si="226"/>
        <v>#N/A</v>
      </c>
      <c r="BP51" s="103" t="e">
        <f t="shared" si="227"/>
        <v>#N/A</v>
      </c>
      <c r="BQ51" s="103" t="e">
        <f t="shared" si="228"/>
        <v>#N/A</v>
      </c>
      <c r="BR51" s="103" t="e">
        <f t="shared" si="229"/>
        <v>#N/A</v>
      </c>
      <c r="BS51" s="103" t="e">
        <f t="shared" si="230"/>
        <v>#N/A</v>
      </c>
      <c r="BT51" s="103" t="e">
        <f t="shared" si="231"/>
        <v>#N/A</v>
      </c>
      <c r="BU51" s="103" t="str">
        <f t="shared" si="232"/>
        <v xml:space="preserve"> </v>
      </c>
      <c r="BV51" s="103" t="str">
        <f t="shared" si="233"/>
        <v xml:space="preserve"> </v>
      </c>
      <c r="BW51" s="103" t="str">
        <f t="shared" si="234"/>
        <v xml:space="preserve"> </v>
      </c>
      <c r="BX51" s="103"/>
      <c r="BY51" s="103"/>
      <c r="BZ51" s="103"/>
      <c r="CA51" s="112" t="str">
        <f t="shared" si="235"/>
        <v xml:space="preserve"> </v>
      </c>
      <c r="CB51" s="123"/>
      <c r="CC51" s="101">
        <f t="shared" si="61"/>
        <v>59</v>
      </c>
      <c r="CD51" s="133" t="str">
        <f t="shared" si="62"/>
        <v>NGSA</v>
      </c>
      <c r="CE51" s="103" t="e">
        <f t="shared" si="236"/>
        <v>#N/A</v>
      </c>
      <c r="CF51" s="103" t="e">
        <f t="shared" si="237"/>
        <v>#N/A</v>
      </c>
      <c r="CG51" s="103" t="e">
        <f t="shared" si="238"/>
        <v>#N/A</v>
      </c>
      <c r="CH51" s="103" t="e">
        <f t="shared" si="239"/>
        <v>#N/A</v>
      </c>
      <c r="CI51" s="103" t="e">
        <f t="shared" si="240"/>
        <v>#N/A</v>
      </c>
      <c r="CJ51" s="103" t="e">
        <f t="shared" si="241"/>
        <v>#N/A</v>
      </c>
      <c r="CK51" s="103" t="e">
        <f t="shared" si="242"/>
        <v>#N/A</v>
      </c>
      <c r="CL51" s="103" t="e">
        <f t="shared" si="243"/>
        <v>#N/A</v>
      </c>
      <c r="CM51" s="103" t="e">
        <f t="shared" si="244"/>
        <v>#N/A</v>
      </c>
      <c r="CN51" s="103" t="str">
        <f t="shared" si="245"/>
        <v xml:space="preserve"> </v>
      </c>
      <c r="CO51" s="103" t="str">
        <f t="shared" si="246"/>
        <v xml:space="preserve"> </v>
      </c>
      <c r="CP51" s="103" t="str">
        <f t="shared" si="247"/>
        <v xml:space="preserve"> </v>
      </c>
      <c r="CQ51" s="103"/>
      <c r="CR51" s="103"/>
      <c r="CS51" s="103"/>
      <c r="CT51" s="112" t="str">
        <f t="shared" si="248"/>
        <v xml:space="preserve"> </v>
      </c>
      <c r="CU51" s="127"/>
      <c r="CV51" s="101">
        <f t="shared" si="76"/>
        <v>59</v>
      </c>
      <c r="CW51" s="133" t="str">
        <f t="shared" si="77"/>
        <v>NGSA</v>
      </c>
      <c r="CX51" s="223"/>
      <c r="CY51" s="223"/>
      <c r="CZ51" s="223"/>
      <c r="DA51" s="223"/>
      <c r="DB51" s="223"/>
      <c r="DC51" s="223"/>
      <c r="DD51" s="223"/>
      <c r="DE51" s="223"/>
      <c r="DF51" s="223"/>
      <c r="DG51" s="223">
        <f t="shared" si="249"/>
        <v>0</v>
      </c>
      <c r="DH51" s="223">
        <f t="shared" si="250"/>
        <v>0</v>
      </c>
      <c r="DI51" s="223">
        <f t="shared" si="251"/>
        <v>0</v>
      </c>
      <c r="DM51" s="224"/>
    </row>
    <row r="52" spans="1:117" ht="15.75" x14ac:dyDescent="0.25">
      <c r="A52" s="136">
        <f t="shared" si="105"/>
        <v>69</v>
      </c>
      <c r="B52" s="136" t="str">
        <f t="shared" si="106"/>
        <v>NGSA</v>
      </c>
      <c r="C52" s="42" t="str">
        <f t="shared" si="25"/>
        <v xml:space="preserve"> </v>
      </c>
      <c r="D52" s="39" t="str">
        <f t="shared" si="26"/>
        <v xml:space="preserve"> </v>
      </c>
      <c r="E52" s="25" t="str">
        <f t="shared" si="27"/>
        <v xml:space="preserve"> </v>
      </c>
      <c r="F52" s="25" t="str">
        <f t="shared" si="28"/>
        <v xml:space="preserve"> </v>
      </c>
      <c r="G52" s="145" t="str">
        <f t="shared" si="29"/>
        <v xml:space="preserve"> </v>
      </c>
      <c r="I52" s="101">
        <v>69</v>
      </c>
      <c r="J52" s="133" t="s">
        <v>27</v>
      </c>
      <c r="K52" s="103" t="e">
        <f t="shared" si="184"/>
        <v>#N/A</v>
      </c>
      <c r="L52" s="103" t="e">
        <f t="shared" si="185"/>
        <v>#N/A</v>
      </c>
      <c r="M52" s="103" t="e">
        <f t="shared" si="186"/>
        <v>#N/A</v>
      </c>
      <c r="N52" s="103" t="e">
        <f t="shared" si="187"/>
        <v>#N/A</v>
      </c>
      <c r="O52" s="103" t="e">
        <f t="shared" si="188"/>
        <v>#N/A</v>
      </c>
      <c r="P52" s="103" t="e">
        <f t="shared" si="189"/>
        <v>#N/A</v>
      </c>
      <c r="Q52" s="103" t="e">
        <f t="shared" si="190"/>
        <v>#N/A</v>
      </c>
      <c r="R52" s="103" t="e">
        <f t="shared" si="191"/>
        <v>#N/A</v>
      </c>
      <c r="S52" s="103" t="e">
        <f t="shared" si="192"/>
        <v>#N/A</v>
      </c>
      <c r="T52" s="103">
        <f t="shared" si="193"/>
        <v>0</v>
      </c>
      <c r="U52" s="103">
        <f t="shared" si="194"/>
        <v>0</v>
      </c>
      <c r="V52" s="103">
        <f t="shared" si="195"/>
        <v>0</v>
      </c>
      <c r="W52" s="103"/>
      <c r="X52" s="103"/>
      <c r="Y52" s="103"/>
      <c r="Z52" s="112" t="str">
        <f t="shared" si="196"/>
        <v xml:space="preserve"> </v>
      </c>
      <c r="AA52" s="123"/>
      <c r="AB52" s="103" t="e">
        <f t="shared" si="197"/>
        <v>#N/A</v>
      </c>
      <c r="AC52" s="103" t="e">
        <f t="shared" si="198"/>
        <v>#N/A</v>
      </c>
      <c r="AD52" s="103" t="e">
        <f t="shared" si="199"/>
        <v>#N/A</v>
      </c>
      <c r="AE52" s="103" t="e">
        <f t="shared" si="200"/>
        <v>#N/A</v>
      </c>
      <c r="AF52" s="103" t="e">
        <f t="shared" si="201"/>
        <v>#N/A</v>
      </c>
      <c r="AG52" s="103" t="e">
        <f t="shared" si="202"/>
        <v>#N/A</v>
      </c>
      <c r="AH52" s="103" t="e">
        <f t="shared" si="203"/>
        <v>#N/A</v>
      </c>
      <c r="AI52" s="103" t="e">
        <f t="shared" si="204"/>
        <v>#N/A</v>
      </c>
      <c r="AJ52" s="103" t="e">
        <f t="shared" si="205"/>
        <v>#N/A</v>
      </c>
      <c r="AK52" s="103" t="str">
        <f t="shared" si="206"/>
        <v xml:space="preserve"> </v>
      </c>
      <c r="AL52" s="103" t="str">
        <f t="shared" si="207"/>
        <v xml:space="preserve"> </v>
      </c>
      <c r="AM52" s="103" t="str">
        <f t="shared" si="208"/>
        <v xml:space="preserve"> </v>
      </c>
      <c r="AN52" s="103"/>
      <c r="AO52" s="103"/>
      <c r="AP52" s="103"/>
      <c r="AQ52" s="112" t="str">
        <f t="shared" si="209"/>
        <v xml:space="preserve"> </v>
      </c>
      <c r="AR52" s="123"/>
      <c r="AS52" s="101">
        <f t="shared" si="8"/>
        <v>69</v>
      </c>
      <c r="AT52" s="133" t="str">
        <f t="shared" si="9"/>
        <v>NGSA</v>
      </c>
      <c r="AU52" s="103" t="e">
        <f t="shared" si="210"/>
        <v>#N/A</v>
      </c>
      <c r="AV52" s="103" t="e">
        <f t="shared" si="211"/>
        <v>#N/A</v>
      </c>
      <c r="AW52" s="103" t="e">
        <f t="shared" si="212"/>
        <v>#N/A</v>
      </c>
      <c r="AX52" s="103" t="e">
        <f t="shared" si="213"/>
        <v>#N/A</v>
      </c>
      <c r="AY52" s="103" t="e">
        <f t="shared" si="214"/>
        <v>#N/A</v>
      </c>
      <c r="AZ52" s="103" t="e">
        <f t="shared" si="215"/>
        <v>#N/A</v>
      </c>
      <c r="BA52" s="103" t="e">
        <f t="shared" si="216"/>
        <v>#N/A</v>
      </c>
      <c r="BB52" s="103" t="e">
        <f t="shared" si="217"/>
        <v>#N/A</v>
      </c>
      <c r="BC52" s="103" t="e">
        <f t="shared" si="218"/>
        <v>#N/A</v>
      </c>
      <c r="BD52" s="103" t="str">
        <f t="shared" si="219"/>
        <v xml:space="preserve"> </v>
      </c>
      <c r="BE52" s="103" t="str">
        <f t="shared" si="220"/>
        <v xml:space="preserve"> </v>
      </c>
      <c r="BF52" s="103" t="str">
        <f t="shared" si="221"/>
        <v xml:space="preserve"> </v>
      </c>
      <c r="BG52" s="103"/>
      <c r="BH52" s="103"/>
      <c r="BI52" s="103"/>
      <c r="BJ52" s="112" t="str">
        <f t="shared" si="222"/>
        <v xml:space="preserve"> </v>
      </c>
      <c r="BK52" s="123"/>
      <c r="BL52" s="103" t="e">
        <f t="shared" si="223"/>
        <v>#N/A</v>
      </c>
      <c r="BM52" s="103" t="e">
        <f t="shared" si="224"/>
        <v>#N/A</v>
      </c>
      <c r="BN52" s="103" t="e">
        <f t="shared" si="225"/>
        <v>#N/A</v>
      </c>
      <c r="BO52" s="103" t="e">
        <f t="shared" si="226"/>
        <v>#N/A</v>
      </c>
      <c r="BP52" s="103" t="e">
        <f t="shared" si="227"/>
        <v>#N/A</v>
      </c>
      <c r="BQ52" s="103" t="e">
        <f t="shared" si="228"/>
        <v>#N/A</v>
      </c>
      <c r="BR52" s="103" t="e">
        <f t="shared" si="229"/>
        <v>#N/A</v>
      </c>
      <c r="BS52" s="103" t="e">
        <f t="shared" si="230"/>
        <v>#N/A</v>
      </c>
      <c r="BT52" s="103" t="e">
        <f t="shared" si="231"/>
        <v>#N/A</v>
      </c>
      <c r="BU52" s="103" t="str">
        <f t="shared" si="232"/>
        <v xml:space="preserve"> </v>
      </c>
      <c r="BV52" s="103" t="str">
        <f t="shared" si="233"/>
        <v xml:space="preserve"> </v>
      </c>
      <c r="BW52" s="103" t="str">
        <f t="shared" si="234"/>
        <v xml:space="preserve"> </v>
      </c>
      <c r="BX52" s="103"/>
      <c r="BY52" s="103"/>
      <c r="BZ52" s="103"/>
      <c r="CA52" s="112" t="str">
        <f t="shared" si="235"/>
        <v xml:space="preserve"> </v>
      </c>
      <c r="CB52" s="123"/>
      <c r="CC52" s="101">
        <f t="shared" si="61"/>
        <v>69</v>
      </c>
      <c r="CD52" s="133" t="str">
        <f t="shared" si="62"/>
        <v>NGSA</v>
      </c>
      <c r="CE52" s="103" t="e">
        <f t="shared" si="236"/>
        <v>#N/A</v>
      </c>
      <c r="CF52" s="103" t="e">
        <f t="shared" si="237"/>
        <v>#N/A</v>
      </c>
      <c r="CG52" s="103" t="e">
        <f t="shared" si="238"/>
        <v>#N/A</v>
      </c>
      <c r="CH52" s="103" t="e">
        <f t="shared" si="239"/>
        <v>#N/A</v>
      </c>
      <c r="CI52" s="103" t="e">
        <f t="shared" si="240"/>
        <v>#N/A</v>
      </c>
      <c r="CJ52" s="103" t="e">
        <f t="shared" si="241"/>
        <v>#N/A</v>
      </c>
      <c r="CK52" s="103" t="e">
        <f t="shared" si="242"/>
        <v>#N/A</v>
      </c>
      <c r="CL52" s="103" t="e">
        <f t="shared" si="243"/>
        <v>#N/A</v>
      </c>
      <c r="CM52" s="103" t="e">
        <f t="shared" si="244"/>
        <v>#N/A</v>
      </c>
      <c r="CN52" s="103" t="str">
        <f t="shared" si="245"/>
        <v xml:space="preserve"> </v>
      </c>
      <c r="CO52" s="103" t="str">
        <f t="shared" si="246"/>
        <v xml:space="preserve"> </v>
      </c>
      <c r="CP52" s="103" t="str">
        <f t="shared" si="247"/>
        <v xml:space="preserve"> </v>
      </c>
      <c r="CQ52" s="103"/>
      <c r="CR52" s="103"/>
      <c r="CS52" s="103"/>
      <c r="CT52" s="112" t="str">
        <f t="shared" si="248"/>
        <v xml:space="preserve"> </v>
      </c>
      <c r="CU52" s="127"/>
      <c r="CV52" s="101">
        <f t="shared" si="76"/>
        <v>69</v>
      </c>
      <c r="CW52" s="133" t="str">
        <f t="shared" si="77"/>
        <v>NGSA</v>
      </c>
      <c r="CX52" s="223"/>
      <c r="CY52" s="223"/>
      <c r="CZ52" s="223"/>
      <c r="DA52" s="223"/>
      <c r="DB52" s="223"/>
      <c r="DC52" s="223"/>
      <c r="DD52" s="223"/>
      <c r="DE52" s="223"/>
      <c r="DF52" s="223"/>
      <c r="DG52" s="223">
        <f t="shared" si="249"/>
        <v>44</v>
      </c>
      <c r="DH52" s="223">
        <f t="shared" si="250"/>
        <v>105</v>
      </c>
      <c r="DI52" s="223">
        <f t="shared" si="251"/>
        <v>90</v>
      </c>
      <c r="DM52" s="224">
        <f t="shared" si="104"/>
        <v>79.666666666666671</v>
      </c>
    </row>
    <row r="53" spans="1:117" ht="15.75" x14ac:dyDescent="0.25">
      <c r="A53" s="136">
        <f t="shared" si="105"/>
        <v>70</v>
      </c>
      <c r="B53" s="136" t="str">
        <f t="shared" si="106"/>
        <v>NGSA</v>
      </c>
      <c r="C53" s="42" t="str">
        <f t="shared" si="25"/>
        <v xml:space="preserve"> </v>
      </c>
      <c r="D53" s="39" t="str">
        <f t="shared" si="26"/>
        <v xml:space="preserve"> </v>
      </c>
      <c r="E53" s="25" t="str">
        <f t="shared" si="27"/>
        <v xml:space="preserve"> </v>
      </c>
      <c r="F53" s="25" t="str">
        <f t="shared" si="28"/>
        <v xml:space="preserve"> </v>
      </c>
      <c r="G53" s="145" t="str">
        <f t="shared" si="29"/>
        <v xml:space="preserve"> </v>
      </c>
      <c r="I53" s="101">
        <v>70</v>
      </c>
      <c r="J53" s="133" t="s">
        <v>27</v>
      </c>
      <c r="K53" s="103" t="e">
        <f t="shared" si="184"/>
        <v>#N/A</v>
      </c>
      <c r="L53" s="103" t="e">
        <f t="shared" si="185"/>
        <v>#N/A</v>
      </c>
      <c r="M53" s="103" t="e">
        <f t="shared" si="186"/>
        <v>#N/A</v>
      </c>
      <c r="N53" s="103" t="e">
        <f t="shared" si="187"/>
        <v>#N/A</v>
      </c>
      <c r="O53" s="103" t="e">
        <f t="shared" si="188"/>
        <v>#N/A</v>
      </c>
      <c r="P53" s="103" t="e">
        <f t="shared" si="189"/>
        <v>#N/A</v>
      </c>
      <c r="Q53" s="103" t="e">
        <f t="shared" si="190"/>
        <v>#N/A</v>
      </c>
      <c r="R53" s="103" t="e">
        <f t="shared" si="191"/>
        <v>#N/A</v>
      </c>
      <c r="S53" s="103" t="e">
        <f t="shared" si="192"/>
        <v>#N/A</v>
      </c>
      <c r="T53" s="103">
        <f t="shared" si="193"/>
        <v>0</v>
      </c>
      <c r="U53" s="103">
        <f t="shared" si="194"/>
        <v>0</v>
      </c>
      <c r="V53" s="103">
        <f t="shared" si="195"/>
        <v>0</v>
      </c>
      <c r="W53" s="103"/>
      <c r="X53" s="103"/>
      <c r="Y53" s="103"/>
      <c r="Z53" s="112" t="str">
        <f t="shared" si="196"/>
        <v xml:space="preserve"> </v>
      </c>
      <c r="AA53" s="123"/>
      <c r="AB53" s="103" t="e">
        <f t="shared" si="197"/>
        <v>#N/A</v>
      </c>
      <c r="AC53" s="103" t="e">
        <f t="shared" si="198"/>
        <v>#N/A</v>
      </c>
      <c r="AD53" s="103" t="e">
        <f t="shared" si="199"/>
        <v>#N/A</v>
      </c>
      <c r="AE53" s="103" t="e">
        <f t="shared" si="200"/>
        <v>#N/A</v>
      </c>
      <c r="AF53" s="103" t="e">
        <f t="shared" si="201"/>
        <v>#N/A</v>
      </c>
      <c r="AG53" s="103" t="e">
        <f t="shared" si="202"/>
        <v>#N/A</v>
      </c>
      <c r="AH53" s="103" t="e">
        <f t="shared" si="203"/>
        <v>#N/A</v>
      </c>
      <c r="AI53" s="103" t="e">
        <f t="shared" si="204"/>
        <v>#N/A</v>
      </c>
      <c r="AJ53" s="103" t="e">
        <f t="shared" si="205"/>
        <v>#N/A</v>
      </c>
      <c r="AK53" s="103" t="str">
        <f t="shared" si="206"/>
        <v xml:space="preserve"> </v>
      </c>
      <c r="AL53" s="103" t="str">
        <f t="shared" si="207"/>
        <v xml:space="preserve"> </v>
      </c>
      <c r="AM53" s="103" t="str">
        <f t="shared" si="208"/>
        <v xml:space="preserve"> </v>
      </c>
      <c r="AN53" s="103"/>
      <c r="AO53" s="103"/>
      <c r="AP53" s="103"/>
      <c r="AQ53" s="112" t="str">
        <f t="shared" si="209"/>
        <v xml:space="preserve"> </v>
      </c>
      <c r="AR53" s="123"/>
      <c r="AS53" s="101">
        <f t="shared" si="8"/>
        <v>70</v>
      </c>
      <c r="AT53" s="133" t="str">
        <f t="shared" si="9"/>
        <v>NGSA</v>
      </c>
      <c r="AU53" s="103" t="e">
        <f t="shared" si="210"/>
        <v>#N/A</v>
      </c>
      <c r="AV53" s="103" t="e">
        <f t="shared" si="211"/>
        <v>#N/A</v>
      </c>
      <c r="AW53" s="103" t="e">
        <f t="shared" si="212"/>
        <v>#N/A</v>
      </c>
      <c r="AX53" s="103" t="e">
        <f t="shared" si="213"/>
        <v>#N/A</v>
      </c>
      <c r="AY53" s="103" t="e">
        <f t="shared" si="214"/>
        <v>#N/A</v>
      </c>
      <c r="AZ53" s="103" t="e">
        <f t="shared" si="215"/>
        <v>#N/A</v>
      </c>
      <c r="BA53" s="103" t="e">
        <f t="shared" si="216"/>
        <v>#N/A</v>
      </c>
      <c r="BB53" s="103" t="e">
        <f t="shared" si="217"/>
        <v>#N/A</v>
      </c>
      <c r="BC53" s="103" t="e">
        <f t="shared" si="218"/>
        <v>#N/A</v>
      </c>
      <c r="BD53" s="103" t="str">
        <f t="shared" si="219"/>
        <v xml:space="preserve"> </v>
      </c>
      <c r="BE53" s="103" t="str">
        <f t="shared" si="220"/>
        <v xml:space="preserve"> </v>
      </c>
      <c r="BF53" s="103" t="str">
        <f t="shared" si="221"/>
        <v xml:space="preserve"> </v>
      </c>
      <c r="BG53" s="103"/>
      <c r="BH53" s="103"/>
      <c r="BI53" s="103"/>
      <c r="BJ53" s="112" t="str">
        <f t="shared" si="222"/>
        <v xml:space="preserve"> </v>
      </c>
      <c r="BK53" s="123"/>
      <c r="BL53" s="103" t="e">
        <f t="shared" si="223"/>
        <v>#N/A</v>
      </c>
      <c r="BM53" s="103" t="e">
        <f t="shared" si="224"/>
        <v>#N/A</v>
      </c>
      <c r="BN53" s="103" t="e">
        <f t="shared" si="225"/>
        <v>#N/A</v>
      </c>
      <c r="BO53" s="103" t="e">
        <f t="shared" si="226"/>
        <v>#N/A</v>
      </c>
      <c r="BP53" s="103" t="e">
        <f t="shared" si="227"/>
        <v>#N/A</v>
      </c>
      <c r="BQ53" s="103" t="e">
        <f t="shared" si="228"/>
        <v>#N/A</v>
      </c>
      <c r="BR53" s="103" t="e">
        <f t="shared" si="229"/>
        <v>#N/A</v>
      </c>
      <c r="BS53" s="103" t="e">
        <f t="shared" si="230"/>
        <v>#N/A</v>
      </c>
      <c r="BT53" s="103" t="e">
        <f t="shared" si="231"/>
        <v>#N/A</v>
      </c>
      <c r="BU53" s="103" t="str">
        <f t="shared" si="232"/>
        <v xml:space="preserve"> </v>
      </c>
      <c r="BV53" s="103" t="str">
        <f t="shared" si="233"/>
        <v xml:space="preserve"> </v>
      </c>
      <c r="BW53" s="103" t="str">
        <f t="shared" si="234"/>
        <v xml:space="preserve"> </v>
      </c>
      <c r="BX53" s="103"/>
      <c r="BY53" s="103"/>
      <c r="BZ53" s="103"/>
      <c r="CA53" s="112" t="str">
        <f t="shared" si="235"/>
        <v xml:space="preserve"> </v>
      </c>
      <c r="CB53" s="123"/>
      <c r="CC53" s="101">
        <f t="shared" si="61"/>
        <v>70</v>
      </c>
      <c r="CD53" s="133" t="str">
        <f t="shared" si="62"/>
        <v>NGSA</v>
      </c>
      <c r="CE53" s="103" t="e">
        <f t="shared" si="236"/>
        <v>#N/A</v>
      </c>
      <c r="CF53" s="103" t="e">
        <f t="shared" si="237"/>
        <v>#N/A</v>
      </c>
      <c r="CG53" s="103" t="e">
        <f t="shared" si="238"/>
        <v>#N/A</v>
      </c>
      <c r="CH53" s="103" t="e">
        <f t="shared" si="239"/>
        <v>#N/A</v>
      </c>
      <c r="CI53" s="103" t="e">
        <f t="shared" si="240"/>
        <v>#N/A</v>
      </c>
      <c r="CJ53" s="103" t="e">
        <f t="shared" si="241"/>
        <v>#N/A</v>
      </c>
      <c r="CK53" s="103" t="e">
        <f t="shared" si="242"/>
        <v>#N/A</v>
      </c>
      <c r="CL53" s="103" t="e">
        <f t="shared" si="243"/>
        <v>#N/A</v>
      </c>
      <c r="CM53" s="103" t="e">
        <f t="shared" si="244"/>
        <v>#N/A</v>
      </c>
      <c r="CN53" s="103" t="str">
        <f t="shared" si="245"/>
        <v xml:space="preserve"> </v>
      </c>
      <c r="CO53" s="103" t="str">
        <f t="shared" si="246"/>
        <v xml:space="preserve"> </v>
      </c>
      <c r="CP53" s="103" t="str">
        <f t="shared" si="247"/>
        <v xml:space="preserve"> </v>
      </c>
      <c r="CQ53" s="103"/>
      <c r="CR53" s="103"/>
      <c r="CS53" s="103"/>
      <c r="CT53" s="112" t="str">
        <f t="shared" si="248"/>
        <v xml:space="preserve"> </v>
      </c>
      <c r="CU53" s="127"/>
      <c r="CV53" s="101">
        <f t="shared" si="76"/>
        <v>70</v>
      </c>
      <c r="CW53" s="133" t="str">
        <f t="shared" si="77"/>
        <v>NGSA</v>
      </c>
      <c r="CX53" s="223"/>
      <c r="CY53" s="223"/>
      <c r="CZ53" s="223"/>
      <c r="DA53" s="223"/>
      <c r="DB53" s="223"/>
      <c r="DC53" s="223"/>
      <c r="DD53" s="223"/>
      <c r="DE53" s="223"/>
      <c r="DF53" s="223"/>
      <c r="DG53" s="223">
        <f t="shared" si="249"/>
        <v>25</v>
      </c>
      <c r="DH53" s="223">
        <f t="shared" si="250"/>
        <v>67</v>
      </c>
      <c r="DI53" s="223">
        <f t="shared" si="251"/>
        <v>65</v>
      </c>
      <c r="DM53" s="224">
        <f t="shared" si="104"/>
        <v>52.333333333333336</v>
      </c>
    </row>
    <row r="54" spans="1:117" ht="15.75" x14ac:dyDescent="0.25">
      <c r="A54" s="136">
        <f t="shared" si="105"/>
        <v>76</v>
      </c>
      <c r="B54" s="136" t="str">
        <f t="shared" si="106"/>
        <v>NGSA</v>
      </c>
      <c r="C54" s="42" t="str">
        <f t="shared" si="25"/>
        <v xml:space="preserve"> </v>
      </c>
      <c r="D54" s="39" t="str">
        <f t="shared" si="26"/>
        <v xml:space="preserve"> </v>
      </c>
      <c r="E54" s="25" t="str">
        <f t="shared" si="27"/>
        <v xml:space="preserve"> </v>
      </c>
      <c r="F54" s="25" t="str">
        <f t="shared" si="28"/>
        <v xml:space="preserve"> </v>
      </c>
      <c r="G54" s="145" t="str">
        <f t="shared" si="29"/>
        <v xml:space="preserve"> </v>
      </c>
      <c r="I54" s="101">
        <v>76</v>
      </c>
      <c r="J54" s="133" t="s">
        <v>27</v>
      </c>
      <c r="K54" s="103" t="str">
        <f t="shared" si="184"/>
        <v xml:space="preserve"> </v>
      </c>
      <c r="L54" s="103" t="str">
        <f t="shared" si="185"/>
        <v xml:space="preserve"> </v>
      </c>
      <c r="M54" s="103">
        <f t="shared" si="186"/>
        <v>0</v>
      </c>
      <c r="N54" s="103">
        <f t="shared" si="187"/>
        <v>0</v>
      </c>
      <c r="O54" s="103">
        <f t="shared" si="188"/>
        <v>0</v>
      </c>
      <c r="P54" s="103">
        <f t="shared" si="189"/>
        <v>0</v>
      </c>
      <c r="Q54" s="103">
        <f t="shared" si="190"/>
        <v>0</v>
      </c>
      <c r="R54" s="103">
        <f t="shared" si="191"/>
        <v>0</v>
      </c>
      <c r="S54" s="103">
        <f t="shared" si="192"/>
        <v>0</v>
      </c>
      <c r="T54" s="103">
        <f t="shared" si="193"/>
        <v>0</v>
      </c>
      <c r="U54" s="103">
        <f t="shared" si="194"/>
        <v>0</v>
      </c>
      <c r="V54" s="103">
        <f t="shared" si="195"/>
        <v>0</v>
      </c>
      <c r="W54" s="103"/>
      <c r="X54" s="103"/>
      <c r="Y54" s="103"/>
      <c r="Z54" s="112" t="str">
        <f t="shared" si="196"/>
        <v xml:space="preserve"> </v>
      </c>
      <c r="AA54" s="123"/>
      <c r="AB54" s="103" t="str">
        <f t="shared" si="197"/>
        <v xml:space="preserve"> </v>
      </c>
      <c r="AC54" s="103" t="str">
        <f t="shared" si="198"/>
        <v xml:space="preserve"> </v>
      </c>
      <c r="AD54" s="103" t="str">
        <f t="shared" si="199"/>
        <v xml:space="preserve"> </v>
      </c>
      <c r="AE54" s="103" t="str">
        <f t="shared" si="200"/>
        <v xml:space="preserve"> </v>
      </c>
      <c r="AF54" s="103" t="str">
        <f t="shared" si="201"/>
        <v xml:space="preserve"> </v>
      </c>
      <c r="AG54" s="103" t="str">
        <f t="shared" si="202"/>
        <v xml:space="preserve"> </v>
      </c>
      <c r="AH54" s="103" t="str">
        <f t="shared" si="203"/>
        <v xml:space="preserve"> </v>
      </c>
      <c r="AI54" s="103" t="str">
        <f t="shared" si="204"/>
        <v xml:space="preserve"> </v>
      </c>
      <c r="AJ54" s="103" t="str">
        <f t="shared" si="205"/>
        <v xml:space="preserve"> </v>
      </c>
      <c r="AK54" s="103" t="str">
        <f t="shared" si="206"/>
        <v xml:space="preserve"> </v>
      </c>
      <c r="AL54" s="103" t="str">
        <f t="shared" si="207"/>
        <v xml:space="preserve"> </v>
      </c>
      <c r="AM54" s="103" t="str">
        <f t="shared" si="208"/>
        <v xml:space="preserve"> </v>
      </c>
      <c r="AN54" s="103"/>
      <c r="AO54" s="103"/>
      <c r="AP54" s="103"/>
      <c r="AQ54" s="112" t="str">
        <f t="shared" si="209"/>
        <v xml:space="preserve"> </v>
      </c>
      <c r="AR54" s="123"/>
      <c r="AS54" s="101">
        <f t="shared" si="8"/>
        <v>76</v>
      </c>
      <c r="AT54" s="133" t="str">
        <f t="shared" si="9"/>
        <v>NGSA</v>
      </c>
      <c r="AU54" s="103" t="str">
        <f t="shared" si="210"/>
        <v xml:space="preserve"> </v>
      </c>
      <c r="AV54" s="103" t="str">
        <f t="shared" si="211"/>
        <v xml:space="preserve"> </v>
      </c>
      <c r="AW54" s="103" t="str">
        <f t="shared" si="212"/>
        <v xml:space="preserve"> </v>
      </c>
      <c r="AX54" s="103" t="str">
        <f t="shared" si="213"/>
        <v xml:space="preserve"> </v>
      </c>
      <c r="AY54" s="103" t="str">
        <f t="shared" si="214"/>
        <v xml:space="preserve"> </v>
      </c>
      <c r="AZ54" s="103" t="str">
        <f t="shared" si="215"/>
        <v xml:space="preserve"> </v>
      </c>
      <c r="BA54" s="103" t="str">
        <f t="shared" si="216"/>
        <v xml:space="preserve"> </v>
      </c>
      <c r="BB54" s="103" t="str">
        <f t="shared" si="217"/>
        <v xml:space="preserve"> </v>
      </c>
      <c r="BC54" s="103" t="str">
        <f t="shared" si="218"/>
        <v xml:space="preserve"> </v>
      </c>
      <c r="BD54" s="103" t="str">
        <f t="shared" si="219"/>
        <v xml:space="preserve"> </v>
      </c>
      <c r="BE54" s="103" t="str">
        <f t="shared" si="220"/>
        <v xml:space="preserve"> </v>
      </c>
      <c r="BF54" s="103" t="str">
        <f t="shared" si="221"/>
        <v xml:space="preserve"> </v>
      </c>
      <c r="BG54" s="103"/>
      <c r="BH54" s="103"/>
      <c r="BI54" s="103"/>
      <c r="BJ54" s="112" t="str">
        <f t="shared" si="222"/>
        <v xml:space="preserve"> </v>
      </c>
      <c r="BK54" s="123"/>
      <c r="BL54" s="103" t="str">
        <f t="shared" si="223"/>
        <v xml:space="preserve"> </v>
      </c>
      <c r="BM54" s="103" t="str">
        <f t="shared" si="224"/>
        <v xml:space="preserve"> </v>
      </c>
      <c r="BN54" s="103" t="str">
        <f t="shared" si="225"/>
        <v xml:space="preserve"> </v>
      </c>
      <c r="BO54" s="103" t="str">
        <f t="shared" si="226"/>
        <v xml:space="preserve"> </v>
      </c>
      <c r="BP54" s="103" t="str">
        <f t="shared" si="227"/>
        <v xml:space="preserve"> </v>
      </c>
      <c r="BQ54" s="103" t="str">
        <f t="shared" si="228"/>
        <v xml:space="preserve"> </v>
      </c>
      <c r="BR54" s="103" t="str">
        <f t="shared" si="229"/>
        <v xml:space="preserve"> </v>
      </c>
      <c r="BS54" s="103" t="str">
        <f t="shared" si="230"/>
        <v xml:space="preserve"> </v>
      </c>
      <c r="BT54" s="103" t="str">
        <f t="shared" si="231"/>
        <v xml:space="preserve"> </v>
      </c>
      <c r="BU54" s="103" t="str">
        <f t="shared" si="232"/>
        <v xml:space="preserve"> </v>
      </c>
      <c r="BV54" s="103" t="str">
        <f t="shared" si="233"/>
        <v xml:space="preserve"> </v>
      </c>
      <c r="BW54" s="103" t="str">
        <f t="shared" si="234"/>
        <v xml:space="preserve"> </v>
      </c>
      <c r="BX54" s="103"/>
      <c r="BY54" s="103"/>
      <c r="BZ54" s="103"/>
      <c r="CA54" s="112" t="str">
        <f t="shared" si="235"/>
        <v xml:space="preserve"> </v>
      </c>
      <c r="CB54" s="123"/>
      <c r="CC54" s="101">
        <f t="shared" si="61"/>
        <v>76</v>
      </c>
      <c r="CD54" s="133" t="str">
        <f t="shared" si="62"/>
        <v>NGSA</v>
      </c>
      <c r="CE54" s="103" t="str">
        <f t="shared" si="236"/>
        <v xml:space="preserve"> </v>
      </c>
      <c r="CF54" s="103" t="str">
        <f t="shared" si="237"/>
        <v xml:space="preserve"> </v>
      </c>
      <c r="CG54" s="103" t="str">
        <f t="shared" si="238"/>
        <v xml:space="preserve"> </v>
      </c>
      <c r="CH54" s="103" t="str">
        <f t="shared" si="239"/>
        <v xml:space="preserve"> </v>
      </c>
      <c r="CI54" s="103" t="str">
        <f t="shared" si="240"/>
        <v xml:space="preserve"> </v>
      </c>
      <c r="CJ54" s="103" t="str">
        <f t="shared" si="241"/>
        <v xml:space="preserve"> </v>
      </c>
      <c r="CK54" s="103" t="str">
        <f t="shared" si="242"/>
        <v xml:space="preserve"> </v>
      </c>
      <c r="CL54" s="103" t="str">
        <f t="shared" si="243"/>
        <v xml:space="preserve"> </v>
      </c>
      <c r="CM54" s="103" t="str">
        <f t="shared" si="244"/>
        <v xml:space="preserve"> </v>
      </c>
      <c r="CN54" s="103" t="str">
        <f t="shared" si="245"/>
        <v xml:space="preserve"> </v>
      </c>
      <c r="CO54" s="103" t="str">
        <f t="shared" si="246"/>
        <v xml:space="preserve"> </v>
      </c>
      <c r="CP54" s="103" t="str">
        <f t="shared" si="247"/>
        <v xml:space="preserve"> </v>
      </c>
      <c r="CQ54" s="103"/>
      <c r="CR54" s="103"/>
      <c r="CS54" s="103"/>
      <c r="CT54" s="112" t="str">
        <f t="shared" si="248"/>
        <v xml:space="preserve"> </v>
      </c>
      <c r="CU54" s="127"/>
      <c r="CV54" s="101">
        <f t="shared" si="76"/>
        <v>76</v>
      </c>
      <c r="CW54" s="133" t="str">
        <f t="shared" si="77"/>
        <v>NGSA</v>
      </c>
      <c r="CX54" s="223">
        <f>VLOOKUP($I54,ngsa0705,13,FALSE)</f>
        <v>0</v>
      </c>
      <c r="CY54" s="223">
        <f>VLOOKUP($I54,ngsa0706,13,FALSE)</f>
        <v>0</v>
      </c>
      <c r="CZ54" s="223">
        <f>VLOOKUP($I54,ngsa0707,13,FALSE)</f>
        <v>0</v>
      </c>
      <c r="DA54" s="223">
        <f>VLOOKUP($I54,ngsa0708,13,FALSE)</f>
        <v>1</v>
      </c>
      <c r="DB54" s="223">
        <f>VLOOKUP($I54,ngsa0721,13,FALSE)</f>
        <v>0</v>
      </c>
      <c r="DC54" s="223">
        <f>VLOOKUP($I54,ngsa0725,13,FALSE)</f>
        <v>1</v>
      </c>
      <c r="DD54" s="223">
        <f>VLOOKUP($I54,ngsa0829,13,FALSE)</f>
        <v>0</v>
      </c>
      <c r="DE54" s="223">
        <f>VLOOKUP($I54,ngsa0830,13,FALSE)</f>
        <v>0</v>
      </c>
      <c r="DF54" s="223">
        <f>VLOOKUP($I54,ngsa0910,13,FALSE)</f>
        <v>0</v>
      </c>
      <c r="DG54" s="223">
        <f t="shared" si="249"/>
        <v>0</v>
      </c>
      <c r="DH54" s="223">
        <f t="shared" si="250"/>
        <v>0</v>
      </c>
      <c r="DI54" s="223">
        <f t="shared" si="251"/>
        <v>0</v>
      </c>
      <c r="DM54" s="224">
        <f t="shared" si="104"/>
        <v>0.16666666666666666</v>
      </c>
    </row>
    <row r="55" spans="1:117" ht="15.75" x14ac:dyDescent="0.25">
      <c r="A55" s="136">
        <f t="shared" si="105"/>
        <v>82</v>
      </c>
      <c r="B55" s="136" t="str">
        <f t="shared" si="106"/>
        <v>NGSA</v>
      </c>
      <c r="C55" s="42" t="str">
        <f t="shared" si="25"/>
        <v xml:space="preserve"> </v>
      </c>
      <c r="D55" s="39" t="str">
        <f t="shared" si="26"/>
        <v xml:space="preserve"> </v>
      </c>
      <c r="E55" s="25" t="str">
        <f t="shared" si="27"/>
        <v xml:space="preserve"> </v>
      </c>
      <c r="F55" s="25" t="str">
        <f t="shared" si="28"/>
        <v xml:space="preserve"> </v>
      </c>
      <c r="G55" s="145" t="str">
        <f t="shared" si="29"/>
        <v xml:space="preserve"> </v>
      </c>
      <c r="I55" s="101">
        <v>82</v>
      </c>
      <c r="J55" s="133" t="s">
        <v>27</v>
      </c>
      <c r="K55" s="103" t="e">
        <f t="shared" si="184"/>
        <v>#N/A</v>
      </c>
      <c r="L55" s="103" t="e">
        <f t="shared" si="185"/>
        <v>#N/A</v>
      </c>
      <c r="M55" s="103" t="e">
        <f t="shared" si="186"/>
        <v>#N/A</v>
      </c>
      <c r="N55" s="103" t="e">
        <f t="shared" si="187"/>
        <v>#N/A</v>
      </c>
      <c r="O55" s="103" t="e">
        <f t="shared" si="188"/>
        <v>#N/A</v>
      </c>
      <c r="P55" s="103" t="e">
        <f t="shared" si="189"/>
        <v>#N/A</v>
      </c>
      <c r="Q55" s="103" t="e">
        <f t="shared" si="190"/>
        <v>#N/A</v>
      </c>
      <c r="R55" s="103" t="e">
        <f t="shared" si="191"/>
        <v>#N/A</v>
      </c>
      <c r="S55" s="103" t="e">
        <f t="shared" si="192"/>
        <v>#N/A</v>
      </c>
      <c r="T55" s="103">
        <f t="shared" si="193"/>
        <v>0</v>
      </c>
      <c r="U55" s="103">
        <f t="shared" si="194"/>
        <v>0</v>
      </c>
      <c r="V55" s="103">
        <f t="shared" si="195"/>
        <v>0</v>
      </c>
      <c r="W55" s="103"/>
      <c r="X55" s="103"/>
      <c r="Y55" s="103"/>
      <c r="Z55" s="112" t="str">
        <f t="shared" si="196"/>
        <v xml:space="preserve"> </v>
      </c>
      <c r="AA55" s="123"/>
      <c r="AB55" s="103" t="e">
        <f t="shared" si="197"/>
        <v>#N/A</v>
      </c>
      <c r="AC55" s="103" t="e">
        <f t="shared" si="198"/>
        <v>#N/A</v>
      </c>
      <c r="AD55" s="103" t="e">
        <f t="shared" si="199"/>
        <v>#N/A</v>
      </c>
      <c r="AE55" s="103" t="e">
        <f t="shared" si="200"/>
        <v>#N/A</v>
      </c>
      <c r="AF55" s="103" t="e">
        <f t="shared" si="201"/>
        <v>#N/A</v>
      </c>
      <c r="AG55" s="103" t="e">
        <f t="shared" si="202"/>
        <v>#N/A</v>
      </c>
      <c r="AH55" s="103" t="e">
        <f t="shared" si="203"/>
        <v>#N/A</v>
      </c>
      <c r="AI55" s="103" t="e">
        <f t="shared" si="204"/>
        <v>#N/A</v>
      </c>
      <c r="AJ55" s="103" t="e">
        <f t="shared" si="205"/>
        <v>#N/A</v>
      </c>
      <c r="AK55" s="103" t="str">
        <f t="shared" si="206"/>
        <v xml:space="preserve"> </v>
      </c>
      <c r="AL55" s="103" t="str">
        <f t="shared" si="207"/>
        <v xml:space="preserve"> </v>
      </c>
      <c r="AM55" s="103" t="str">
        <f t="shared" si="208"/>
        <v xml:space="preserve"> </v>
      </c>
      <c r="AN55" s="103"/>
      <c r="AO55" s="103"/>
      <c r="AP55" s="103"/>
      <c r="AQ55" s="112" t="str">
        <f t="shared" si="209"/>
        <v xml:space="preserve"> </v>
      </c>
      <c r="AR55" s="123"/>
      <c r="AS55" s="101">
        <f t="shared" si="8"/>
        <v>82</v>
      </c>
      <c r="AT55" s="133" t="str">
        <f t="shared" si="9"/>
        <v>NGSA</v>
      </c>
      <c r="AU55" s="103" t="e">
        <f t="shared" si="210"/>
        <v>#N/A</v>
      </c>
      <c r="AV55" s="103" t="e">
        <f t="shared" si="211"/>
        <v>#N/A</v>
      </c>
      <c r="AW55" s="103" t="e">
        <f t="shared" si="212"/>
        <v>#N/A</v>
      </c>
      <c r="AX55" s="103" t="e">
        <f t="shared" si="213"/>
        <v>#N/A</v>
      </c>
      <c r="AY55" s="103" t="e">
        <f t="shared" si="214"/>
        <v>#N/A</v>
      </c>
      <c r="AZ55" s="103" t="e">
        <f t="shared" si="215"/>
        <v>#N/A</v>
      </c>
      <c r="BA55" s="103" t="e">
        <f t="shared" si="216"/>
        <v>#N/A</v>
      </c>
      <c r="BB55" s="103" t="e">
        <f t="shared" si="217"/>
        <v>#N/A</v>
      </c>
      <c r="BC55" s="103" t="e">
        <f t="shared" si="218"/>
        <v>#N/A</v>
      </c>
      <c r="BD55" s="103" t="str">
        <f t="shared" si="219"/>
        <v xml:space="preserve"> </v>
      </c>
      <c r="BE55" s="103" t="str">
        <f t="shared" si="220"/>
        <v xml:space="preserve"> </v>
      </c>
      <c r="BF55" s="103" t="str">
        <f t="shared" si="221"/>
        <v xml:space="preserve"> </v>
      </c>
      <c r="BG55" s="103"/>
      <c r="BH55" s="103"/>
      <c r="BI55" s="103"/>
      <c r="BJ55" s="112" t="str">
        <f t="shared" si="222"/>
        <v xml:space="preserve"> </v>
      </c>
      <c r="BK55" s="123"/>
      <c r="BL55" s="103" t="e">
        <f t="shared" si="223"/>
        <v>#N/A</v>
      </c>
      <c r="BM55" s="103" t="e">
        <f t="shared" si="224"/>
        <v>#N/A</v>
      </c>
      <c r="BN55" s="103" t="e">
        <f t="shared" si="225"/>
        <v>#N/A</v>
      </c>
      <c r="BO55" s="103" t="e">
        <f t="shared" si="226"/>
        <v>#N/A</v>
      </c>
      <c r="BP55" s="103" t="e">
        <f t="shared" si="227"/>
        <v>#N/A</v>
      </c>
      <c r="BQ55" s="103" t="e">
        <f t="shared" si="228"/>
        <v>#N/A</v>
      </c>
      <c r="BR55" s="103" t="e">
        <f t="shared" si="229"/>
        <v>#N/A</v>
      </c>
      <c r="BS55" s="103" t="e">
        <f t="shared" si="230"/>
        <v>#N/A</v>
      </c>
      <c r="BT55" s="103" t="e">
        <f t="shared" si="231"/>
        <v>#N/A</v>
      </c>
      <c r="BU55" s="103" t="str">
        <f t="shared" si="232"/>
        <v xml:space="preserve"> </v>
      </c>
      <c r="BV55" s="103" t="str">
        <f t="shared" si="233"/>
        <v xml:space="preserve"> </v>
      </c>
      <c r="BW55" s="103" t="str">
        <f t="shared" si="234"/>
        <v xml:space="preserve"> </v>
      </c>
      <c r="BX55" s="103"/>
      <c r="BY55" s="103"/>
      <c r="BZ55" s="103"/>
      <c r="CA55" s="112" t="str">
        <f t="shared" si="235"/>
        <v xml:space="preserve"> </v>
      </c>
      <c r="CB55" s="123"/>
      <c r="CC55" s="101">
        <f t="shared" si="61"/>
        <v>82</v>
      </c>
      <c r="CD55" s="133" t="str">
        <f t="shared" si="62"/>
        <v>NGSA</v>
      </c>
      <c r="CE55" s="103" t="e">
        <f t="shared" si="236"/>
        <v>#N/A</v>
      </c>
      <c r="CF55" s="103" t="e">
        <f t="shared" si="237"/>
        <v>#N/A</v>
      </c>
      <c r="CG55" s="103" t="e">
        <f t="shared" si="238"/>
        <v>#N/A</v>
      </c>
      <c r="CH55" s="103" t="e">
        <f t="shared" si="239"/>
        <v>#N/A</v>
      </c>
      <c r="CI55" s="103" t="e">
        <f t="shared" si="240"/>
        <v>#N/A</v>
      </c>
      <c r="CJ55" s="103" t="e">
        <f t="shared" si="241"/>
        <v>#N/A</v>
      </c>
      <c r="CK55" s="103" t="e">
        <f t="shared" si="242"/>
        <v>#N/A</v>
      </c>
      <c r="CL55" s="103" t="e">
        <f t="shared" si="243"/>
        <v>#N/A</v>
      </c>
      <c r="CM55" s="103" t="e">
        <f t="shared" si="244"/>
        <v>#N/A</v>
      </c>
      <c r="CN55" s="103" t="str">
        <f t="shared" si="245"/>
        <v xml:space="preserve"> </v>
      </c>
      <c r="CO55" s="103" t="str">
        <f t="shared" si="246"/>
        <v xml:space="preserve"> </v>
      </c>
      <c r="CP55" s="103" t="str">
        <f t="shared" si="247"/>
        <v xml:space="preserve"> </v>
      </c>
      <c r="CQ55" s="103"/>
      <c r="CR55" s="103"/>
      <c r="CS55" s="103"/>
      <c r="CT55" s="112" t="str">
        <f t="shared" si="248"/>
        <v xml:space="preserve"> </v>
      </c>
      <c r="CU55" s="127"/>
      <c r="CV55" s="101">
        <f t="shared" si="76"/>
        <v>82</v>
      </c>
      <c r="CW55" s="133" t="str">
        <f t="shared" si="77"/>
        <v>NGSA</v>
      </c>
      <c r="CX55" s="223"/>
      <c r="CY55" s="223"/>
      <c r="CZ55" s="223"/>
      <c r="DA55" s="223"/>
      <c r="DB55" s="223"/>
      <c r="DC55" s="223"/>
      <c r="DD55" s="223"/>
      <c r="DE55" s="223"/>
      <c r="DF55" s="223"/>
      <c r="DG55" s="223">
        <f t="shared" si="249"/>
        <v>0</v>
      </c>
      <c r="DH55" s="223">
        <f t="shared" si="250"/>
        <v>0</v>
      </c>
      <c r="DI55" s="223">
        <f t="shared" si="251"/>
        <v>0</v>
      </c>
      <c r="DM55" s="224"/>
    </row>
    <row r="56" spans="1:117" ht="15.75" x14ac:dyDescent="0.25">
      <c r="A56" s="136">
        <f t="shared" si="105"/>
        <v>99</v>
      </c>
      <c r="B56" s="136" t="str">
        <f t="shared" si="106"/>
        <v>NGSA</v>
      </c>
      <c r="C56" s="42" t="str">
        <f t="shared" si="25"/>
        <v xml:space="preserve"> </v>
      </c>
      <c r="D56" s="39" t="str">
        <f t="shared" si="26"/>
        <v xml:space="preserve"> </v>
      </c>
      <c r="E56" s="25" t="str">
        <f t="shared" si="27"/>
        <v xml:space="preserve"> </v>
      </c>
      <c r="F56" s="25">
        <f t="shared" si="28"/>
        <v>2</v>
      </c>
      <c r="G56" s="145" t="str">
        <f t="shared" si="29"/>
        <v xml:space="preserve"> </v>
      </c>
      <c r="I56" s="101">
        <v>99</v>
      </c>
      <c r="J56" s="133" t="s">
        <v>27</v>
      </c>
      <c r="K56" s="103" t="e">
        <f t="shared" si="184"/>
        <v>#N/A</v>
      </c>
      <c r="L56" s="103" t="e">
        <f t="shared" si="185"/>
        <v>#N/A</v>
      </c>
      <c r="M56" s="103" t="e">
        <f t="shared" si="186"/>
        <v>#N/A</v>
      </c>
      <c r="N56" s="103" t="e">
        <f t="shared" si="187"/>
        <v>#N/A</v>
      </c>
      <c r="O56" s="103" t="e">
        <f t="shared" si="188"/>
        <v>#N/A</v>
      </c>
      <c r="P56" s="103" t="e">
        <f t="shared" si="189"/>
        <v>#N/A</v>
      </c>
      <c r="Q56" s="103" t="e">
        <f t="shared" si="190"/>
        <v>#N/A</v>
      </c>
      <c r="R56" s="103" t="e">
        <f t="shared" si="191"/>
        <v>#N/A</v>
      </c>
      <c r="S56" s="103" t="e">
        <f t="shared" si="192"/>
        <v>#N/A</v>
      </c>
      <c r="T56" s="103">
        <f t="shared" si="193"/>
        <v>0</v>
      </c>
      <c r="U56" s="103">
        <f t="shared" si="194"/>
        <v>0</v>
      </c>
      <c r="V56" s="103">
        <f t="shared" si="195"/>
        <v>0</v>
      </c>
      <c r="W56" s="103"/>
      <c r="X56" s="103"/>
      <c r="Y56" s="103"/>
      <c r="Z56" s="112" t="str">
        <f t="shared" si="196"/>
        <v xml:space="preserve"> </v>
      </c>
      <c r="AA56" s="123"/>
      <c r="AB56" s="103" t="e">
        <f t="shared" si="197"/>
        <v>#N/A</v>
      </c>
      <c r="AC56" s="103" t="e">
        <f t="shared" si="198"/>
        <v>#N/A</v>
      </c>
      <c r="AD56" s="103" t="e">
        <f t="shared" si="199"/>
        <v>#N/A</v>
      </c>
      <c r="AE56" s="103" t="e">
        <f t="shared" si="200"/>
        <v>#N/A</v>
      </c>
      <c r="AF56" s="103" t="e">
        <f t="shared" si="201"/>
        <v>#N/A</v>
      </c>
      <c r="AG56" s="103" t="e">
        <f t="shared" si="202"/>
        <v>#N/A</v>
      </c>
      <c r="AH56" s="103" t="e">
        <f t="shared" si="203"/>
        <v>#N/A</v>
      </c>
      <c r="AI56" s="103" t="e">
        <f t="shared" si="204"/>
        <v>#N/A</v>
      </c>
      <c r="AJ56" s="103" t="e">
        <f t="shared" si="205"/>
        <v>#N/A</v>
      </c>
      <c r="AK56" s="103">
        <f t="shared" si="206"/>
        <v>0</v>
      </c>
      <c r="AL56" s="103">
        <f t="shared" si="207"/>
        <v>0</v>
      </c>
      <c r="AM56" s="103">
        <f t="shared" si="208"/>
        <v>0</v>
      </c>
      <c r="AN56" s="103"/>
      <c r="AO56" s="103"/>
      <c r="AP56" s="103"/>
      <c r="AQ56" s="112" t="str">
        <f t="shared" si="209"/>
        <v xml:space="preserve"> </v>
      </c>
      <c r="AR56" s="123"/>
      <c r="AS56" s="101">
        <f t="shared" si="8"/>
        <v>99</v>
      </c>
      <c r="AT56" s="133" t="str">
        <f t="shared" si="9"/>
        <v>NGSA</v>
      </c>
      <c r="AU56" s="103" t="e">
        <f t="shared" si="210"/>
        <v>#N/A</v>
      </c>
      <c r="AV56" s="103" t="e">
        <f t="shared" si="211"/>
        <v>#N/A</v>
      </c>
      <c r="AW56" s="103" t="e">
        <f t="shared" si="212"/>
        <v>#N/A</v>
      </c>
      <c r="AX56" s="103" t="e">
        <f t="shared" si="213"/>
        <v>#N/A</v>
      </c>
      <c r="AY56" s="103" t="e">
        <f t="shared" si="214"/>
        <v>#N/A</v>
      </c>
      <c r="AZ56" s="103" t="e">
        <f t="shared" si="215"/>
        <v>#N/A</v>
      </c>
      <c r="BA56" s="103" t="e">
        <f t="shared" si="216"/>
        <v>#N/A</v>
      </c>
      <c r="BB56" s="103" t="e">
        <f t="shared" si="217"/>
        <v>#N/A</v>
      </c>
      <c r="BC56" s="103" t="e">
        <f t="shared" si="218"/>
        <v>#N/A</v>
      </c>
      <c r="BD56" s="103">
        <f t="shared" si="219"/>
        <v>0</v>
      </c>
      <c r="BE56" s="103">
        <f t="shared" si="220"/>
        <v>0</v>
      </c>
      <c r="BF56" s="103">
        <f t="shared" si="221"/>
        <v>0</v>
      </c>
      <c r="BG56" s="103"/>
      <c r="BH56" s="103"/>
      <c r="BI56" s="103"/>
      <c r="BJ56" s="112" t="str">
        <f t="shared" si="222"/>
        <v xml:space="preserve"> </v>
      </c>
      <c r="BK56" s="123"/>
      <c r="BL56" s="103" t="e">
        <f t="shared" si="223"/>
        <v>#N/A</v>
      </c>
      <c r="BM56" s="103" t="e">
        <f t="shared" si="224"/>
        <v>#N/A</v>
      </c>
      <c r="BN56" s="103" t="e">
        <f t="shared" si="225"/>
        <v>#N/A</v>
      </c>
      <c r="BO56" s="103" t="e">
        <f t="shared" si="226"/>
        <v>#N/A</v>
      </c>
      <c r="BP56" s="103" t="e">
        <f t="shared" si="227"/>
        <v>#N/A</v>
      </c>
      <c r="BQ56" s="103" t="e">
        <f t="shared" si="228"/>
        <v>#N/A</v>
      </c>
      <c r="BR56" s="103" t="e">
        <f t="shared" si="229"/>
        <v>#N/A</v>
      </c>
      <c r="BS56" s="103" t="e">
        <f t="shared" si="230"/>
        <v>#N/A</v>
      </c>
      <c r="BT56" s="103" t="e">
        <f t="shared" si="231"/>
        <v>#N/A</v>
      </c>
      <c r="BU56" s="103" t="str">
        <f t="shared" si="232"/>
        <v xml:space="preserve"> </v>
      </c>
      <c r="BV56" s="103" t="str">
        <f t="shared" si="233"/>
        <v xml:space="preserve"> </v>
      </c>
      <c r="BW56" s="103" t="str">
        <f t="shared" si="234"/>
        <v xml:space="preserve"> </v>
      </c>
      <c r="BX56" s="103"/>
      <c r="BY56" s="103"/>
      <c r="BZ56" s="103"/>
      <c r="CA56" s="112" t="str">
        <f t="shared" si="235"/>
        <v xml:space="preserve"> </v>
      </c>
      <c r="CB56" s="123"/>
      <c r="CC56" s="101">
        <f t="shared" si="61"/>
        <v>99</v>
      </c>
      <c r="CD56" s="133" t="str">
        <f t="shared" si="62"/>
        <v>NGSA</v>
      </c>
      <c r="CE56" s="103" t="e">
        <f t="shared" si="236"/>
        <v>#N/A</v>
      </c>
      <c r="CF56" s="103" t="e">
        <f t="shared" si="237"/>
        <v>#N/A</v>
      </c>
      <c r="CG56" s="103" t="e">
        <f t="shared" si="238"/>
        <v>#N/A</v>
      </c>
      <c r="CH56" s="103" t="e">
        <f t="shared" si="239"/>
        <v>#N/A</v>
      </c>
      <c r="CI56" s="103" t="e">
        <f t="shared" si="240"/>
        <v>#N/A</v>
      </c>
      <c r="CJ56" s="103" t="e">
        <f t="shared" si="241"/>
        <v>#N/A</v>
      </c>
      <c r="CK56" s="103" t="e">
        <f t="shared" si="242"/>
        <v>#N/A</v>
      </c>
      <c r="CL56" s="103" t="e">
        <f t="shared" si="243"/>
        <v>#N/A</v>
      </c>
      <c r="CM56" s="103" t="e">
        <f t="shared" si="244"/>
        <v>#N/A</v>
      </c>
      <c r="CN56" s="103" t="str">
        <f t="shared" si="245"/>
        <v>X</v>
      </c>
      <c r="CO56" s="103" t="str">
        <f t="shared" si="246"/>
        <v>X</v>
      </c>
      <c r="CP56" s="103" t="str">
        <f t="shared" si="247"/>
        <v xml:space="preserve"> </v>
      </c>
      <c r="CQ56" s="103"/>
      <c r="CR56" s="103"/>
      <c r="CS56" s="103"/>
      <c r="CT56" s="112">
        <f t="shared" si="248"/>
        <v>2</v>
      </c>
      <c r="CU56" s="127"/>
      <c r="CV56" s="101">
        <f t="shared" si="76"/>
        <v>99</v>
      </c>
      <c r="CW56" s="133" t="str">
        <f t="shared" si="77"/>
        <v>NGSA</v>
      </c>
      <c r="CX56" s="223"/>
      <c r="CY56" s="223"/>
      <c r="CZ56" s="223"/>
      <c r="DA56" s="223"/>
      <c r="DB56" s="223"/>
      <c r="DC56" s="223"/>
      <c r="DD56" s="223"/>
      <c r="DE56" s="223"/>
      <c r="DF56" s="223"/>
      <c r="DG56" s="223">
        <f t="shared" si="249"/>
        <v>77</v>
      </c>
      <c r="DH56" s="223">
        <f t="shared" si="250"/>
        <v>86</v>
      </c>
      <c r="DI56" s="223">
        <f t="shared" si="251"/>
        <v>98</v>
      </c>
      <c r="DM56" s="224">
        <f t="shared" si="104"/>
        <v>87</v>
      </c>
    </row>
    <row r="57" spans="1:117" ht="15.75" x14ac:dyDescent="0.25">
      <c r="A57" s="136">
        <f t="shared" si="105"/>
        <v>103</v>
      </c>
      <c r="B57" s="136" t="str">
        <f t="shared" si="106"/>
        <v>NGSA</v>
      </c>
      <c r="C57" s="42" t="str">
        <f t="shared" si="25"/>
        <v xml:space="preserve"> </v>
      </c>
      <c r="D57" s="39" t="str">
        <f t="shared" si="26"/>
        <v xml:space="preserve"> </v>
      </c>
      <c r="E57" s="25" t="str">
        <f t="shared" si="27"/>
        <v xml:space="preserve"> </v>
      </c>
      <c r="F57" s="25" t="str">
        <f t="shared" si="28"/>
        <v xml:space="preserve"> </v>
      </c>
      <c r="G57" s="145" t="str">
        <f t="shared" si="29"/>
        <v xml:space="preserve"> </v>
      </c>
      <c r="I57" s="101">
        <v>103</v>
      </c>
      <c r="J57" s="133" t="s">
        <v>27</v>
      </c>
      <c r="K57" s="103" t="e">
        <f t="shared" si="184"/>
        <v>#N/A</v>
      </c>
      <c r="L57" s="103" t="e">
        <f t="shared" si="185"/>
        <v>#N/A</v>
      </c>
      <c r="M57" s="103" t="e">
        <f t="shared" si="186"/>
        <v>#N/A</v>
      </c>
      <c r="N57" s="103" t="e">
        <f t="shared" si="187"/>
        <v>#N/A</v>
      </c>
      <c r="O57" s="103" t="e">
        <f t="shared" si="188"/>
        <v>#N/A</v>
      </c>
      <c r="P57" s="103" t="e">
        <f t="shared" si="189"/>
        <v>#N/A</v>
      </c>
      <c r="Q57" s="103" t="e">
        <f t="shared" si="190"/>
        <v>#N/A</v>
      </c>
      <c r="R57" s="103" t="e">
        <f t="shared" si="191"/>
        <v>#N/A</v>
      </c>
      <c r="S57" s="103" t="e">
        <f t="shared" si="192"/>
        <v>#N/A</v>
      </c>
      <c r="T57" s="103">
        <f t="shared" si="193"/>
        <v>0</v>
      </c>
      <c r="U57" s="103">
        <f t="shared" si="194"/>
        <v>0</v>
      </c>
      <c r="V57" s="103">
        <f t="shared" si="195"/>
        <v>0</v>
      </c>
      <c r="W57" s="103"/>
      <c r="X57" s="103"/>
      <c r="Y57" s="103"/>
      <c r="Z57" s="112" t="str">
        <f t="shared" si="196"/>
        <v xml:space="preserve"> </v>
      </c>
      <c r="AA57" s="123"/>
      <c r="AB57" s="103" t="e">
        <f t="shared" si="197"/>
        <v>#N/A</v>
      </c>
      <c r="AC57" s="103" t="e">
        <f t="shared" si="198"/>
        <v>#N/A</v>
      </c>
      <c r="AD57" s="103" t="e">
        <f t="shared" si="199"/>
        <v>#N/A</v>
      </c>
      <c r="AE57" s="103" t="e">
        <f t="shared" si="200"/>
        <v>#N/A</v>
      </c>
      <c r="AF57" s="103" t="e">
        <f t="shared" si="201"/>
        <v>#N/A</v>
      </c>
      <c r="AG57" s="103" t="e">
        <f t="shared" si="202"/>
        <v>#N/A</v>
      </c>
      <c r="AH57" s="103" t="e">
        <f t="shared" si="203"/>
        <v>#N/A</v>
      </c>
      <c r="AI57" s="103" t="e">
        <f t="shared" si="204"/>
        <v>#N/A</v>
      </c>
      <c r="AJ57" s="103" t="e">
        <f t="shared" si="205"/>
        <v>#N/A</v>
      </c>
      <c r="AK57" s="103" t="str">
        <f t="shared" si="206"/>
        <v xml:space="preserve"> </v>
      </c>
      <c r="AL57" s="103" t="str">
        <f t="shared" si="207"/>
        <v xml:space="preserve"> </v>
      </c>
      <c r="AM57" s="103" t="str">
        <f t="shared" si="208"/>
        <v xml:space="preserve"> </v>
      </c>
      <c r="AN57" s="103"/>
      <c r="AO57" s="103"/>
      <c r="AP57" s="103"/>
      <c r="AQ57" s="112" t="str">
        <f t="shared" si="209"/>
        <v xml:space="preserve"> </v>
      </c>
      <c r="AR57" s="123"/>
      <c r="AS57" s="101">
        <f t="shared" si="8"/>
        <v>103</v>
      </c>
      <c r="AT57" s="133" t="str">
        <f t="shared" si="9"/>
        <v>NGSA</v>
      </c>
      <c r="AU57" s="103" t="e">
        <f t="shared" si="210"/>
        <v>#N/A</v>
      </c>
      <c r="AV57" s="103" t="e">
        <f t="shared" si="211"/>
        <v>#N/A</v>
      </c>
      <c r="AW57" s="103" t="e">
        <f t="shared" si="212"/>
        <v>#N/A</v>
      </c>
      <c r="AX57" s="103" t="e">
        <f t="shared" si="213"/>
        <v>#N/A</v>
      </c>
      <c r="AY57" s="103" t="e">
        <f t="shared" si="214"/>
        <v>#N/A</v>
      </c>
      <c r="AZ57" s="103" t="e">
        <f t="shared" si="215"/>
        <v>#N/A</v>
      </c>
      <c r="BA57" s="103" t="e">
        <f t="shared" si="216"/>
        <v>#N/A</v>
      </c>
      <c r="BB57" s="103" t="e">
        <f t="shared" si="217"/>
        <v>#N/A</v>
      </c>
      <c r="BC57" s="103" t="e">
        <f t="shared" si="218"/>
        <v>#N/A</v>
      </c>
      <c r="BD57" s="103" t="str">
        <f t="shared" si="219"/>
        <v xml:space="preserve"> </v>
      </c>
      <c r="BE57" s="103" t="str">
        <f t="shared" si="220"/>
        <v xml:space="preserve"> </v>
      </c>
      <c r="BF57" s="103" t="str">
        <f t="shared" si="221"/>
        <v xml:space="preserve"> </v>
      </c>
      <c r="BG57" s="103"/>
      <c r="BH57" s="103"/>
      <c r="BI57" s="103"/>
      <c r="BJ57" s="112" t="str">
        <f t="shared" si="222"/>
        <v xml:space="preserve"> </v>
      </c>
      <c r="BK57" s="123"/>
      <c r="BL57" s="103" t="e">
        <f t="shared" si="223"/>
        <v>#N/A</v>
      </c>
      <c r="BM57" s="103" t="e">
        <f t="shared" si="224"/>
        <v>#N/A</v>
      </c>
      <c r="BN57" s="103" t="e">
        <f t="shared" si="225"/>
        <v>#N/A</v>
      </c>
      <c r="BO57" s="103" t="e">
        <f t="shared" si="226"/>
        <v>#N/A</v>
      </c>
      <c r="BP57" s="103" t="e">
        <f t="shared" si="227"/>
        <v>#N/A</v>
      </c>
      <c r="BQ57" s="103" t="e">
        <f t="shared" si="228"/>
        <v>#N/A</v>
      </c>
      <c r="BR57" s="103" t="e">
        <f t="shared" si="229"/>
        <v>#N/A</v>
      </c>
      <c r="BS57" s="103" t="e">
        <f t="shared" si="230"/>
        <v>#N/A</v>
      </c>
      <c r="BT57" s="103" t="e">
        <f t="shared" si="231"/>
        <v>#N/A</v>
      </c>
      <c r="BU57" s="103" t="str">
        <f t="shared" si="232"/>
        <v xml:space="preserve"> </v>
      </c>
      <c r="BV57" s="103" t="str">
        <f t="shared" si="233"/>
        <v xml:space="preserve"> </v>
      </c>
      <c r="BW57" s="103" t="str">
        <f t="shared" si="234"/>
        <v xml:space="preserve"> </v>
      </c>
      <c r="BX57" s="103"/>
      <c r="BY57" s="103"/>
      <c r="BZ57" s="103"/>
      <c r="CA57" s="112" t="str">
        <f t="shared" si="235"/>
        <v xml:space="preserve"> </v>
      </c>
      <c r="CB57" s="123"/>
      <c r="CC57" s="101">
        <f t="shared" si="61"/>
        <v>103</v>
      </c>
      <c r="CD57" s="133" t="str">
        <f t="shared" si="62"/>
        <v>NGSA</v>
      </c>
      <c r="CE57" s="103" t="e">
        <f t="shared" si="236"/>
        <v>#N/A</v>
      </c>
      <c r="CF57" s="103" t="e">
        <f t="shared" si="237"/>
        <v>#N/A</v>
      </c>
      <c r="CG57" s="103" t="e">
        <f t="shared" si="238"/>
        <v>#N/A</v>
      </c>
      <c r="CH57" s="103" t="e">
        <f t="shared" si="239"/>
        <v>#N/A</v>
      </c>
      <c r="CI57" s="103" t="e">
        <f t="shared" si="240"/>
        <v>#N/A</v>
      </c>
      <c r="CJ57" s="103" t="e">
        <f t="shared" si="241"/>
        <v>#N/A</v>
      </c>
      <c r="CK57" s="103" t="e">
        <f t="shared" si="242"/>
        <v>#N/A</v>
      </c>
      <c r="CL57" s="103" t="e">
        <f t="shared" si="243"/>
        <v>#N/A</v>
      </c>
      <c r="CM57" s="103" t="e">
        <f t="shared" si="244"/>
        <v>#N/A</v>
      </c>
      <c r="CN57" s="103" t="str">
        <f t="shared" si="245"/>
        <v xml:space="preserve"> </v>
      </c>
      <c r="CO57" s="103" t="str">
        <f t="shared" si="246"/>
        <v xml:space="preserve"> </v>
      </c>
      <c r="CP57" s="103" t="str">
        <f t="shared" si="247"/>
        <v xml:space="preserve"> </v>
      </c>
      <c r="CQ57" s="103"/>
      <c r="CR57" s="103"/>
      <c r="CS57" s="103"/>
      <c r="CT57" s="112" t="str">
        <f t="shared" si="248"/>
        <v xml:space="preserve"> </v>
      </c>
      <c r="CU57" s="127"/>
      <c r="CV57" s="101">
        <f t="shared" si="76"/>
        <v>103</v>
      </c>
      <c r="CW57" s="133" t="str">
        <f t="shared" si="77"/>
        <v>NGSA</v>
      </c>
      <c r="CX57" s="223"/>
      <c r="CY57" s="223"/>
      <c r="CZ57" s="223"/>
      <c r="DA57" s="223"/>
      <c r="DB57" s="223"/>
      <c r="DC57" s="223"/>
      <c r="DD57" s="223"/>
      <c r="DE57" s="223"/>
      <c r="DF57" s="223"/>
      <c r="DG57" s="223">
        <f t="shared" si="249"/>
        <v>217</v>
      </c>
      <c r="DH57" s="223">
        <f t="shared" si="250"/>
        <v>215</v>
      </c>
      <c r="DI57" s="223">
        <f t="shared" si="251"/>
        <v>222</v>
      </c>
      <c r="DM57" s="224">
        <f t="shared" si="104"/>
        <v>218</v>
      </c>
    </row>
    <row r="58" spans="1:117" ht="15.75" x14ac:dyDescent="0.25">
      <c r="A58" s="136">
        <f t="shared" si="105"/>
        <v>109</v>
      </c>
      <c r="B58" s="136" t="str">
        <f t="shared" si="106"/>
        <v>NGSA</v>
      </c>
      <c r="C58" s="42" t="str">
        <f t="shared" si="25"/>
        <v xml:space="preserve"> </v>
      </c>
      <c r="D58" s="39" t="str">
        <f t="shared" si="26"/>
        <v xml:space="preserve"> </v>
      </c>
      <c r="E58" s="25" t="str">
        <f t="shared" si="27"/>
        <v xml:space="preserve"> </v>
      </c>
      <c r="F58" s="25" t="str">
        <f t="shared" si="28"/>
        <v xml:space="preserve"> </v>
      </c>
      <c r="G58" s="145" t="str">
        <f t="shared" si="29"/>
        <v xml:space="preserve"> </v>
      </c>
      <c r="I58" s="101">
        <v>109</v>
      </c>
      <c r="J58" s="133" t="s">
        <v>27</v>
      </c>
      <c r="K58" s="103" t="e">
        <f t="shared" si="184"/>
        <v>#N/A</v>
      </c>
      <c r="L58" s="103" t="e">
        <f t="shared" si="185"/>
        <v>#N/A</v>
      </c>
      <c r="M58" s="103" t="e">
        <f t="shared" si="186"/>
        <v>#N/A</v>
      </c>
      <c r="N58" s="103" t="e">
        <f t="shared" si="187"/>
        <v>#N/A</v>
      </c>
      <c r="O58" s="103" t="e">
        <f t="shared" si="188"/>
        <v>#N/A</v>
      </c>
      <c r="P58" s="103" t="e">
        <f t="shared" si="189"/>
        <v>#N/A</v>
      </c>
      <c r="Q58" s="103" t="e">
        <f t="shared" si="190"/>
        <v>#N/A</v>
      </c>
      <c r="R58" s="103" t="e">
        <f t="shared" si="191"/>
        <v>#N/A</v>
      </c>
      <c r="S58" s="103" t="e">
        <f t="shared" si="192"/>
        <v>#N/A</v>
      </c>
      <c r="T58" s="103">
        <f t="shared" si="193"/>
        <v>0</v>
      </c>
      <c r="U58" s="103">
        <f t="shared" si="194"/>
        <v>0</v>
      </c>
      <c r="V58" s="103">
        <f t="shared" si="195"/>
        <v>0</v>
      </c>
      <c r="W58" s="103"/>
      <c r="X58" s="103"/>
      <c r="Y58" s="103"/>
      <c r="Z58" s="112" t="str">
        <f t="shared" si="196"/>
        <v xml:space="preserve"> </v>
      </c>
      <c r="AA58" s="123"/>
      <c r="AB58" s="103" t="e">
        <f t="shared" si="197"/>
        <v>#N/A</v>
      </c>
      <c r="AC58" s="103" t="e">
        <f t="shared" si="198"/>
        <v>#N/A</v>
      </c>
      <c r="AD58" s="103" t="e">
        <f t="shared" si="199"/>
        <v>#N/A</v>
      </c>
      <c r="AE58" s="103" t="e">
        <f t="shared" si="200"/>
        <v>#N/A</v>
      </c>
      <c r="AF58" s="103" t="e">
        <f t="shared" si="201"/>
        <v>#N/A</v>
      </c>
      <c r="AG58" s="103" t="e">
        <f t="shared" si="202"/>
        <v>#N/A</v>
      </c>
      <c r="AH58" s="103" t="e">
        <f t="shared" si="203"/>
        <v>#N/A</v>
      </c>
      <c r="AI58" s="103" t="e">
        <f t="shared" si="204"/>
        <v>#N/A</v>
      </c>
      <c r="AJ58" s="103" t="e">
        <f t="shared" si="205"/>
        <v>#N/A</v>
      </c>
      <c r="AK58" s="103" t="str">
        <f t="shared" si="206"/>
        <v xml:space="preserve"> </v>
      </c>
      <c r="AL58" s="103" t="str">
        <f t="shared" si="207"/>
        <v xml:space="preserve"> </v>
      </c>
      <c r="AM58" s="103" t="str">
        <f t="shared" si="208"/>
        <v xml:space="preserve"> </v>
      </c>
      <c r="AN58" s="103"/>
      <c r="AO58" s="103"/>
      <c r="AP58" s="103"/>
      <c r="AQ58" s="112" t="str">
        <f t="shared" si="209"/>
        <v xml:space="preserve"> </v>
      </c>
      <c r="AR58" s="123"/>
      <c r="AS58" s="101">
        <f t="shared" si="8"/>
        <v>109</v>
      </c>
      <c r="AT58" s="133" t="str">
        <f t="shared" si="9"/>
        <v>NGSA</v>
      </c>
      <c r="AU58" s="103" t="e">
        <f t="shared" si="210"/>
        <v>#N/A</v>
      </c>
      <c r="AV58" s="103" t="e">
        <f t="shared" si="211"/>
        <v>#N/A</v>
      </c>
      <c r="AW58" s="103" t="e">
        <f t="shared" si="212"/>
        <v>#N/A</v>
      </c>
      <c r="AX58" s="103" t="e">
        <f t="shared" si="213"/>
        <v>#N/A</v>
      </c>
      <c r="AY58" s="103" t="e">
        <f t="shared" si="214"/>
        <v>#N/A</v>
      </c>
      <c r="AZ58" s="103" t="e">
        <f t="shared" si="215"/>
        <v>#N/A</v>
      </c>
      <c r="BA58" s="103" t="e">
        <f t="shared" si="216"/>
        <v>#N/A</v>
      </c>
      <c r="BB58" s="103" t="e">
        <f t="shared" si="217"/>
        <v>#N/A</v>
      </c>
      <c r="BC58" s="103" t="e">
        <f t="shared" si="218"/>
        <v>#N/A</v>
      </c>
      <c r="BD58" s="103" t="str">
        <f t="shared" si="219"/>
        <v xml:space="preserve"> </v>
      </c>
      <c r="BE58" s="103" t="str">
        <f t="shared" si="220"/>
        <v xml:space="preserve"> </v>
      </c>
      <c r="BF58" s="103" t="str">
        <f t="shared" si="221"/>
        <v xml:space="preserve"> </v>
      </c>
      <c r="BG58" s="103"/>
      <c r="BH58" s="103"/>
      <c r="BI58" s="103"/>
      <c r="BJ58" s="112" t="str">
        <f t="shared" si="222"/>
        <v xml:space="preserve"> </v>
      </c>
      <c r="BK58" s="123"/>
      <c r="BL58" s="103" t="e">
        <f t="shared" si="223"/>
        <v>#N/A</v>
      </c>
      <c r="BM58" s="103" t="e">
        <f t="shared" si="224"/>
        <v>#N/A</v>
      </c>
      <c r="BN58" s="103" t="e">
        <f t="shared" si="225"/>
        <v>#N/A</v>
      </c>
      <c r="BO58" s="103" t="e">
        <f t="shared" si="226"/>
        <v>#N/A</v>
      </c>
      <c r="BP58" s="103" t="e">
        <f t="shared" si="227"/>
        <v>#N/A</v>
      </c>
      <c r="BQ58" s="103" t="e">
        <f t="shared" si="228"/>
        <v>#N/A</v>
      </c>
      <c r="BR58" s="103" t="e">
        <f t="shared" si="229"/>
        <v>#N/A</v>
      </c>
      <c r="BS58" s="103" t="e">
        <f t="shared" si="230"/>
        <v>#N/A</v>
      </c>
      <c r="BT58" s="103" t="e">
        <f t="shared" si="231"/>
        <v>#N/A</v>
      </c>
      <c r="BU58" s="103" t="str">
        <f t="shared" si="232"/>
        <v xml:space="preserve"> </v>
      </c>
      <c r="BV58" s="103" t="str">
        <f t="shared" si="233"/>
        <v xml:space="preserve"> </v>
      </c>
      <c r="BW58" s="103" t="str">
        <f t="shared" si="234"/>
        <v xml:space="preserve"> </v>
      </c>
      <c r="BX58" s="103"/>
      <c r="BY58" s="103"/>
      <c r="BZ58" s="103"/>
      <c r="CA58" s="112" t="str">
        <f t="shared" si="235"/>
        <v xml:space="preserve"> </v>
      </c>
      <c r="CB58" s="123"/>
      <c r="CC58" s="101">
        <f t="shared" si="61"/>
        <v>109</v>
      </c>
      <c r="CD58" s="133" t="str">
        <f t="shared" si="62"/>
        <v>NGSA</v>
      </c>
      <c r="CE58" s="103" t="e">
        <f t="shared" si="236"/>
        <v>#N/A</v>
      </c>
      <c r="CF58" s="103" t="e">
        <f t="shared" si="237"/>
        <v>#N/A</v>
      </c>
      <c r="CG58" s="103" t="e">
        <f t="shared" si="238"/>
        <v>#N/A</v>
      </c>
      <c r="CH58" s="103" t="e">
        <f t="shared" si="239"/>
        <v>#N/A</v>
      </c>
      <c r="CI58" s="103" t="e">
        <f t="shared" si="240"/>
        <v>#N/A</v>
      </c>
      <c r="CJ58" s="103" t="e">
        <f t="shared" si="241"/>
        <v>#N/A</v>
      </c>
      <c r="CK58" s="103" t="e">
        <f t="shared" si="242"/>
        <v>#N/A</v>
      </c>
      <c r="CL58" s="103" t="e">
        <f t="shared" si="243"/>
        <v>#N/A</v>
      </c>
      <c r="CM58" s="103" t="e">
        <f t="shared" si="244"/>
        <v>#N/A</v>
      </c>
      <c r="CN58" s="103" t="str">
        <f t="shared" si="245"/>
        <v xml:space="preserve"> </v>
      </c>
      <c r="CO58" s="103" t="str">
        <f t="shared" si="246"/>
        <v xml:space="preserve"> </v>
      </c>
      <c r="CP58" s="103" t="str">
        <f t="shared" si="247"/>
        <v xml:space="preserve"> </v>
      </c>
      <c r="CQ58" s="103"/>
      <c r="CR58" s="103"/>
      <c r="CS58" s="103"/>
      <c r="CT58" s="112" t="str">
        <f t="shared" si="248"/>
        <v xml:space="preserve"> </v>
      </c>
      <c r="CU58" s="127"/>
      <c r="CV58" s="101">
        <f t="shared" si="76"/>
        <v>109</v>
      </c>
      <c r="CW58" s="133" t="str">
        <f t="shared" si="77"/>
        <v>NGSA</v>
      </c>
      <c r="CX58" s="223"/>
      <c r="CY58" s="223"/>
      <c r="CZ58" s="223"/>
      <c r="DA58" s="223"/>
      <c r="DB58" s="223"/>
      <c r="DC58" s="223"/>
      <c r="DD58" s="223"/>
      <c r="DE58" s="223"/>
      <c r="DF58" s="223"/>
      <c r="DG58" s="223">
        <f t="shared" si="249"/>
        <v>85</v>
      </c>
      <c r="DH58" s="223">
        <f t="shared" si="250"/>
        <v>0</v>
      </c>
      <c r="DI58" s="223">
        <f t="shared" si="251"/>
        <v>94</v>
      </c>
      <c r="DM58" s="224">
        <f t="shared" si="104"/>
        <v>59.666666666666664</v>
      </c>
    </row>
    <row r="59" spans="1:117" ht="15.75" x14ac:dyDescent="0.25">
      <c r="A59" s="136">
        <f t="shared" si="105"/>
        <v>111</v>
      </c>
      <c r="B59" s="136" t="str">
        <f t="shared" si="106"/>
        <v>NGSA</v>
      </c>
      <c r="C59" s="42" t="str">
        <f t="shared" si="25"/>
        <v xml:space="preserve"> </v>
      </c>
      <c r="D59" s="39" t="str">
        <f t="shared" si="26"/>
        <v xml:space="preserve"> </v>
      </c>
      <c r="E59" s="25" t="str">
        <f t="shared" si="27"/>
        <v xml:space="preserve"> </v>
      </c>
      <c r="F59" s="25">
        <f t="shared" si="28"/>
        <v>1</v>
      </c>
      <c r="G59" s="145" t="str">
        <f t="shared" si="29"/>
        <v xml:space="preserve"> </v>
      </c>
      <c r="I59" s="101">
        <v>111</v>
      </c>
      <c r="J59" s="133" t="s">
        <v>27</v>
      </c>
      <c r="K59" s="103" t="e">
        <f t="shared" si="184"/>
        <v>#N/A</v>
      </c>
      <c r="L59" s="103" t="e">
        <f t="shared" si="185"/>
        <v>#N/A</v>
      </c>
      <c r="M59" s="103" t="e">
        <f t="shared" si="186"/>
        <v>#N/A</v>
      </c>
      <c r="N59" s="103" t="e">
        <f t="shared" si="187"/>
        <v>#N/A</v>
      </c>
      <c r="O59" s="103" t="e">
        <f t="shared" si="188"/>
        <v>#N/A</v>
      </c>
      <c r="P59" s="103" t="e">
        <f t="shared" si="189"/>
        <v>#N/A</v>
      </c>
      <c r="Q59" s="103">
        <f t="shared" si="190"/>
        <v>0</v>
      </c>
      <c r="R59" s="103">
        <f t="shared" si="191"/>
        <v>0</v>
      </c>
      <c r="S59" s="103">
        <f t="shared" si="192"/>
        <v>0</v>
      </c>
      <c r="T59" s="103">
        <f t="shared" si="193"/>
        <v>0</v>
      </c>
      <c r="U59" s="103">
        <f t="shared" si="194"/>
        <v>0</v>
      </c>
      <c r="V59" s="103">
        <f t="shared" si="195"/>
        <v>0</v>
      </c>
      <c r="W59" s="103"/>
      <c r="X59" s="103"/>
      <c r="Y59" s="103"/>
      <c r="Z59" s="112" t="str">
        <f t="shared" si="196"/>
        <v xml:space="preserve"> </v>
      </c>
      <c r="AA59" s="123"/>
      <c r="AB59" s="103" t="e">
        <f t="shared" si="197"/>
        <v>#N/A</v>
      </c>
      <c r="AC59" s="103" t="e">
        <f t="shared" si="198"/>
        <v>#N/A</v>
      </c>
      <c r="AD59" s="103" t="e">
        <f t="shared" si="199"/>
        <v>#N/A</v>
      </c>
      <c r="AE59" s="103" t="e">
        <f t="shared" si="200"/>
        <v>#N/A</v>
      </c>
      <c r="AF59" s="103" t="e">
        <f t="shared" si="201"/>
        <v>#N/A</v>
      </c>
      <c r="AG59" s="103" t="e">
        <f t="shared" si="202"/>
        <v>#N/A</v>
      </c>
      <c r="AH59" s="103" t="str">
        <f t="shared" si="203"/>
        <v xml:space="preserve"> </v>
      </c>
      <c r="AI59" s="103" t="str">
        <f t="shared" si="204"/>
        <v xml:space="preserve"> </v>
      </c>
      <c r="AJ59" s="103" t="str">
        <f t="shared" si="205"/>
        <v xml:space="preserve"> </v>
      </c>
      <c r="AK59" s="103">
        <f t="shared" si="206"/>
        <v>0</v>
      </c>
      <c r="AL59" s="103">
        <f t="shared" si="207"/>
        <v>0</v>
      </c>
      <c r="AM59" s="103">
        <f t="shared" si="208"/>
        <v>0</v>
      </c>
      <c r="AN59" s="103"/>
      <c r="AO59" s="103"/>
      <c r="AP59" s="103"/>
      <c r="AQ59" s="112" t="str">
        <f t="shared" si="209"/>
        <v xml:space="preserve"> </v>
      </c>
      <c r="AR59" s="123"/>
      <c r="AS59" s="101">
        <f t="shared" si="8"/>
        <v>111</v>
      </c>
      <c r="AT59" s="133" t="str">
        <f t="shared" si="9"/>
        <v>NGSA</v>
      </c>
      <c r="AU59" s="103" t="e">
        <f t="shared" si="210"/>
        <v>#N/A</v>
      </c>
      <c r="AV59" s="103" t="e">
        <f t="shared" si="211"/>
        <v>#N/A</v>
      </c>
      <c r="AW59" s="103" t="e">
        <f t="shared" si="212"/>
        <v>#N/A</v>
      </c>
      <c r="AX59" s="103" t="e">
        <f t="shared" si="213"/>
        <v>#N/A</v>
      </c>
      <c r="AY59" s="103" t="e">
        <f t="shared" si="214"/>
        <v>#N/A</v>
      </c>
      <c r="AZ59" s="103" t="e">
        <f t="shared" si="215"/>
        <v>#N/A</v>
      </c>
      <c r="BA59" s="103" t="str">
        <f t="shared" si="216"/>
        <v xml:space="preserve"> </v>
      </c>
      <c r="BB59" s="103" t="str">
        <f t="shared" si="217"/>
        <v xml:space="preserve"> </v>
      </c>
      <c r="BC59" s="103" t="str">
        <f t="shared" si="218"/>
        <v xml:space="preserve"> </v>
      </c>
      <c r="BD59" s="103">
        <f t="shared" si="219"/>
        <v>0</v>
      </c>
      <c r="BE59" s="103">
        <f t="shared" si="220"/>
        <v>0</v>
      </c>
      <c r="BF59" s="103">
        <f t="shared" si="221"/>
        <v>0</v>
      </c>
      <c r="BG59" s="103"/>
      <c r="BH59" s="103"/>
      <c r="BI59" s="103"/>
      <c r="BJ59" s="112" t="str">
        <f t="shared" si="222"/>
        <v xml:space="preserve"> </v>
      </c>
      <c r="BK59" s="123"/>
      <c r="BL59" s="103" t="e">
        <f t="shared" si="223"/>
        <v>#N/A</v>
      </c>
      <c r="BM59" s="103" t="e">
        <f t="shared" si="224"/>
        <v>#N/A</v>
      </c>
      <c r="BN59" s="103" t="e">
        <f t="shared" si="225"/>
        <v>#N/A</v>
      </c>
      <c r="BO59" s="103" t="e">
        <f t="shared" si="226"/>
        <v>#N/A</v>
      </c>
      <c r="BP59" s="103" t="e">
        <f t="shared" si="227"/>
        <v>#N/A</v>
      </c>
      <c r="BQ59" s="103" t="e">
        <f t="shared" si="228"/>
        <v>#N/A</v>
      </c>
      <c r="BR59" s="103" t="str">
        <f t="shared" si="229"/>
        <v xml:space="preserve"> </v>
      </c>
      <c r="BS59" s="103" t="str">
        <f t="shared" si="230"/>
        <v xml:space="preserve"> </v>
      </c>
      <c r="BT59" s="103" t="str">
        <f t="shared" si="231"/>
        <v xml:space="preserve"> </v>
      </c>
      <c r="BU59" s="103" t="str">
        <f t="shared" si="232"/>
        <v xml:space="preserve"> </v>
      </c>
      <c r="BV59" s="103" t="str">
        <f t="shared" si="233"/>
        <v xml:space="preserve"> </v>
      </c>
      <c r="BW59" s="103" t="str">
        <f t="shared" si="234"/>
        <v xml:space="preserve"> </v>
      </c>
      <c r="BX59" s="103"/>
      <c r="BY59" s="103"/>
      <c r="BZ59" s="103"/>
      <c r="CA59" s="112" t="str">
        <f t="shared" si="235"/>
        <v xml:space="preserve"> </v>
      </c>
      <c r="CB59" s="123"/>
      <c r="CC59" s="101">
        <f t="shared" si="61"/>
        <v>111</v>
      </c>
      <c r="CD59" s="133" t="str">
        <f t="shared" si="62"/>
        <v>NGSA</v>
      </c>
      <c r="CE59" s="103" t="e">
        <f t="shared" si="236"/>
        <v>#N/A</v>
      </c>
      <c r="CF59" s="103" t="e">
        <f t="shared" si="237"/>
        <v>#N/A</v>
      </c>
      <c r="CG59" s="103" t="e">
        <f t="shared" si="238"/>
        <v>#N/A</v>
      </c>
      <c r="CH59" s="103" t="e">
        <f t="shared" si="239"/>
        <v>#N/A</v>
      </c>
      <c r="CI59" s="103" t="e">
        <f t="shared" si="240"/>
        <v>#N/A</v>
      </c>
      <c r="CJ59" s="103" t="e">
        <f t="shared" si="241"/>
        <v>#N/A</v>
      </c>
      <c r="CK59" s="103" t="str">
        <f t="shared" si="242"/>
        <v xml:space="preserve"> </v>
      </c>
      <c r="CL59" s="103" t="str">
        <f t="shared" si="243"/>
        <v>X</v>
      </c>
      <c r="CM59" s="103" t="str">
        <f t="shared" si="244"/>
        <v xml:space="preserve"> </v>
      </c>
      <c r="CN59" s="103" t="str">
        <f t="shared" si="245"/>
        <v xml:space="preserve"> </v>
      </c>
      <c r="CO59" s="103" t="str">
        <f t="shared" si="246"/>
        <v xml:space="preserve"> </v>
      </c>
      <c r="CP59" s="103" t="str">
        <f t="shared" si="247"/>
        <v xml:space="preserve"> </v>
      </c>
      <c r="CQ59" s="103"/>
      <c r="CR59" s="103"/>
      <c r="CS59" s="103"/>
      <c r="CT59" s="112">
        <f t="shared" si="248"/>
        <v>1</v>
      </c>
      <c r="CU59" s="127"/>
      <c r="CV59" s="101">
        <f t="shared" si="76"/>
        <v>111</v>
      </c>
      <c r="CW59" s="133" t="str">
        <f t="shared" si="77"/>
        <v>NGSA</v>
      </c>
      <c r="CX59" s="223"/>
      <c r="CY59" s="223"/>
      <c r="CZ59" s="223"/>
      <c r="DA59" s="223"/>
      <c r="DB59" s="223"/>
      <c r="DC59" s="223"/>
      <c r="DD59" s="223">
        <f>VLOOKUP($I59,ngsa0829,13,FALSE)</f>
        <v>88</v>
      </c>
      <c r="DE59" s="223">
        <f>VLOOKUP($I59,ngsa0830,13,FALSE)</f>
        <v>94</v>
      </c>
      <c r="DF59" s="223">
        <f>VLOOKUP($I59,ngsa0910,13,FALSE)</f>
        <v>84</v>
      </c>
      <c r="DG59" s="223">
        <f t="shared" si="249"/>
        <v>98</v>
      </c>
      <c r="DH59" s="223">
        <f t="shared" si="250"/>
        <v>88</v>
      </c>
      <c r="DI59" s="223">
        <f t="shared" si="251"/>
        <v>107</v>
      </c>
      <c r="DM59" s="224">
        <f t="shared" si="104"/>
        <v>93.166666666666671</v>
      </c>
    </row>
    <row r="60" spans="1:117" ht="15.75" x14ac:dyDescent="0.25">
      <c r="A60" s="136">
        <f t="shared" si="105"/>
        <v>118</v>
      </c>
      <c r="B60" s="136" t="str">
        <f t="shared" si="106"/>
        <v>NGSA</v>
      </c>
      <c r="C60" s="42" t="str">
        <f t="shared" si="25"/>
        <v xml:space="preserve"> </v>
      </c>
      <c r="D60" s="39" t="str">
        <f t="shared" si="26"/>
        <v xml:space="preserve"> </v>
      </c>
      <c r="E60" s="25" t="str">
        <f t="shared" si="27"/>
        <v xml:space="preserve"> </v>
      </c>
      <c r="F60" s="25" t="str">
        <f t="shared" si="28"/>
        <v xml:space="preserve"> </v>
      </c>
      <c r="G60" s="145" t="str">
        <f t="shared" si="29"/>
        <v xml:space="preserve"> </v>
      </c>
      <c r="I60" s="101">
        <v>118</v>
      </c>
      <c r="J60" s="133" t="s">
        <v>27</v>
      </c>
      <c r="K60" s="103" t="e">
        <f t="shared" si="184"/>
        <v>#N/A</v>
      </c>
      <c r="L60" s="103" t="e">
        <f t="shared" si="185"/>
        <v>#N/A</v>
      </c>
      <c r="M60" s="103" t="e">
        <f t="shared" si="186"/>
        <v>#N/A</v>
      </c>
      <c r="N60" s="103" t="e">
        <f t="shared" si="187"/>
        <v>#N/A</v>
      </c>
      <c r="O60" s="103" t="e">
        <f t="shared" si="188"/>
        <v>#N/A</v>
      </c>
      <c r="P60" s="103" t="e">
        <f t="shared" si="189"/>
        <v>#N/A</v>
      </c>
      <c r="Q60" s="103" t="e">
        <f t="shared" si="190"/>
        <v>#N/A</v>
      </c>
      <c r="R60" s="103" t="e">
        <f t="shared" si="191"/>
        <v>#N/A</v>
      </c>
      <c r="S60" s="103" t="e">
        <f t="shared" si="192"/>
        <v>#N/A</v>
      </c>
      <c r="T60" s="103">
        <f t="shared" si="193"/>
        <v>0</v>
      </c>
      <c r="U60" s="103">
        <f t="shared" si="194"/>
        <v>0</v>
      </c>
      <c r="V60" s="103">
        <f t="shared" si="195"/>
        <v>0</v>
      </c>
      <c r="W60" s="103"/>
      <c r="X60" s="103"/>
      <c r="Y60" s="103"/>
      <c r="Z60" s="112" t="str">
        <f t="shared" si="196"/>
        <v xml:space="preserve"> </v>
      </c>
      <c r="AA60" s="123"/>
      <c r="AB60" s="103" t="e">
        <f t="shared" si="197"/>
        <v>#N/A</v>
      </c>
      <c r="AC60" s="103" t="e">
        <f t="shared" si="198"/>
        <v>#N/A</v>
      </c>
      <c r="AD60" s="103" t="e">
        <f t="shared" si="199"/>
        <v>#N/A</v>
      </c>
      <c r="AE60" s="103" t="e">
        <f t="shared" si="200"/>
        <v>#N/A</v>
      </c>
      <c r="AF60" s="103" t="e">
        <f t="shared" si="201"/>
        <v>#N/A</v>
      </c>
      <c r="AG60" s="103" t="e">
        <f t="shared" si="202"/>
        <v>#N/A</v>
      </c>
      <c r="AH60" s="103" t="e">
        <f t="shared" si="203"/>
        <v>#N/A</v>
      </c>
      <c r="AI60" s="103" t="e">
        <f t="shared" si="204"/>
        <v>#N/A</v>
      </c>
      <c r="AJ60" s="103" t="e">
        <f t="shared" si="205"/>
        <v>#N/A</v>
      </c>
      <c r="AK60" s="103" t="str">
        <f t="shared" si="206"/>
        <v xml:space="preserve"> </v>
      </c>
      <c r="AL60" s="103" t="str">
        <f t="shared" si="207"/>
        <v xml:space="preserve"> </v>
      </c>
      <c r="AM60" s="103" t="str">
        <f t="shared" si="208"/>
        <v xml:space="preserve"> </v>
      </c>
      <c r="AN60" s="103"/>
      <c r="AO60" s="103"/>
      <c r="AP60" s="103"/>
      <c r="AQ60" s="112" t="str">
        <f t="shared" si="209"/>
        <v xml:space="preserve"> </v>
      </c>
      <c r="AR60" s="123"/>
      <c r="AS60" s="101">
        <f t="shared" si="8"/>
        <v>118</v>
      </c>
      <c r="AT60" s="133" t="str">
        <f t="shared" si="9"/>
        <v>NGSA</v>
      </c>
      <c r="AU60" s="103" t="e">
        <f t="shared" si="210"/>
        <v>#N/A</v>
      </c>
      <c r="AV60" s="103" t="e">
        <f t="shared" si="211"/>
        <v>#N/A</v>
      </c>
      <c r="AW60" s="103" t="e">
        <f t="shared" si="212"/>
        <v>#N/A</v>
      </c>
      <c r="AX60" s="103" t="e">
        <f t="shared" si="213"/>
        <v>#N/A</v>
      </c>
      <c r="AY60" s="103" t="e">
        <f t="shared" si="214"/>
        <v>#N/A</v>
      </c>
      <c r="AZ60" s="103" t="e">
        <f t="shared" si="215"/>
        <v>#N/A</v>
      </c>
      <c r="BA60" s="103" t="e">
        <f t="shared" si="216"/>
        <v>#N/A</v>
      </c>
      <c r="BB60" s="103" t="e">
        <f t="shared" si="217"/>
        <v>#N/A</v>
      </c>
      <c r="BC60" s="103" t="e">
        <f t="shared" si="218"/>
        <v>#N/A</v>
      </c>
      <c r="BD60" s="103" t="str">
        <f t="shared" si="219"/>
        <v xml:space="preserve"> </v>
      </c>
      <c r="BE60" s="103" t="str">
        <f t="shared" si="220"/>
        <v xml:space="preserve"> </v>
      </c>
      <c r="BF60" s="103" t="str">
        <f t="shared" si="221"/>
        <v xml:space="preserve"> </v>
      </c>
      <c r="BG60" s="103"/>
      <c r="BH60" s="103"/>
      <c r="BI60" s="103"/>
      <c r="BJ60" s="112" t="str">
        <f t="shared" si="222"/>
        <v xml:space="preserve"> </v>
      </c>
      <c r="BK60" s="123"/>
      <c r="BL60" s="103" t="e">
        <f t="shared" si="223"/>
        <v>#N/A</v>
      </c>
      <c r="BM60" s="103" t="e">
        <f t="shared" si="224"/>
        <v>#N/A</v>
      </c>
      <c r="BN60" s="103" t="e">
        <f t="shared" si="225"/>
        <v>#N/A</v>
      </c>
      <c r="BO60" s="103" t="e">
        <f t="shared" si="226"/>
        <v>#N/A</v>
      </c>
      <c r="BP60" s="103" t="e">
        <f t="shared" si="227"/>
        <v>#N/A</v>
      </c>
      <c r="BQ60" s="103" t="e">
        <f t="shared" si="228"/>
        <v>#N/A</v>
      </c>
      <c r="BR60" s="103" t="e">
        <f t="shared" si="229"/>
        <v>#N/A</v>
      </c>
      <c r="BS60" s="103" t="e">
        <f t="shared" si="230"/>
        <v>#N/A</v>
      </c>
      <c r="BT60" s="103" t="e">
        <f t="shared" si="231"/>
        <v>#N/A</v>
      </c>
      <c r="BU60" s="103" t="str">
        <f t="shared" si="232"/>
        <v xml:space="preserve"> </v>
      </c>
      <c r="BV60" s="103" t="str">
        <f t="shared" si="233"/>
        <v xml:space="preserve"> </v>
      </c>
      <c r="BW60" s="103" t="str">
        <f t="shared" si="234"/>
        <v xml:space="preserve"> </v>
      </c>
      <c r="BX60" s="103"/>
      <c r="BY60" s="103"/>
      <c r="BZ60" s="103"/>
      <c r="CA60" s="112" t="str">
        <f t="shared" si="235"/>
        <v xml:space="preserve"> </v>
      </c>
      <c r="CB60" s="123"/>
      <c r="CC60" s="101">
        <f t="shared" si="61"/>
        <v>118</v>
      </c>
      <c r="CD60" s="133" t="str">
        <f t="shared" si="62"/>
        <v>NGSA</v>
      </c>
      <c r="CE60" s="103" t="e">
        <f t="shared" si="236"/>
        <v>#N/A</v>
      </c>
      <c r="CF60" s="103" t="e">
        <f t="shared" si="237"/>
        <v>#N/A</v>
      </c>
      <c r="CG60" s="103" t="e">
        <f t="shared" si="238"/>
        <v>#N/A</v>
      </c>
      <c r="CH60" s="103" t="e">
        <f t="shared" si="239"/>
        <v>#N/A</v>
      </c>
      <c r="CI60" s="103" t="e">
        <f t="shared" si="240"/>
        <v>#N/A</v>
      </c>
      <c r="CJ60" s="103" t="e">
        <f t="shared" si="241"/>
        <v>#N/A</v>
      </c>
      <c r="CK60" s="103" t="e">
        <f t="shared" si="242"/>
        <v>#N/A</v>
      </c>
      <c r="CL60" s="103" t="e">
        <f t="shared" si="243"/>
        <v>#N/A</v>
      </c>
      <c r="CM60" s="103" t="e">
        <f t="shared" si="244"/>
        <v>#N/A</v>
      </c>
      <c r="CN60" s="103" t="str">
        <f t="shared" si="245"/>
        <v xml:space="preserve"> </v>
      </c>
      <c r="CO60" s="103" t="str">
        <f t="shared" si="246"/>
        <v xml:space="preserve"> </v>
      </c>
      <c r="CP60" s="103" t="str">
        <f t="shared" si="247"/>
        <v xml:space="preserve"> </v>
      </c>
      <c r="CQ60" s="103"/>
      <c r="CR60" s="103"/>
      <c r="CS60" s="103"/>
      <c r="CT60" s="112" t="str">
        <f t="shared" si="248"/>
        <v xml:space="preserve"> </v>
      </c>
      <c r="CU60" s="127"/>
      <c r="CV60" s="101">
        <f t="shared" si="76"/>
        <v>118</v>
      </c>
      <c r="CW60" s="133" t="str">
        <f t="shared" si="77"/>
        <v>NGSA</v>
      </c>
      <c r="CX60" s="223"/>
      <c r="CY60" s="223"/>
      <c r="CZ60" s="223"/>
      <c r="DA60" s="223"/>
      <c r="DB60" s="223"/>
      <c r="DC60" s="223"/>
      <c r="DD60" s="223"/>
      <c r="DE60" s="223"/>
      <c r="DF60" s="223"/>
      <c r="DG60" s="223">
        <f t="shared" si="249"/>
        <v>293</v>
      </c>
      <c r="DH60" s="223">
        <f t="shared" si="250"/>
        <v>314</v>
      </c>
      <c r="DI60" s="223">
        <f t="shared" si="251"/>
        <v>291</v>
      </c>
      <c r="DM60" s="224">
        <f t="shared" si="104"/>
        <v>299.33333333333331</v>
      </c>
    </row>
    <row r="61" spans="1:117" ht="15.75" x14ac:dyDescent="0.25">
      <c r="A61" s="136">
        <f t="shared" si="105"/>
        <v>152</v>
      </c>
      <c r="B61" s="136" t="str">
        <f t="shared" si="106"/>
        <v>NGSA</v>
      </c>
      <c r="C61" s="42" t="str">
        <f t="shared" si="25"/>
        <v xml:space="preserve"> </v>
      </c>
      <c r="D61" s="39" t="str">
        <f t="shared" si="26"/>
        <v xml:space="preserve"> </v>
      </c>
      <c r="E61" s="25" t="str">
        <f t="shared" si="27"/>
        <v xml:space="preserve"> </v>
      </c>
      <c r="F61" s="25" t="str">
        <f t="shared" si="28"/>
        <v xml:space="preserve"> </v>
      </c>
      <c r="G61" s="145" t="str">
        <f t="shared" si="29"/>
        <v xml:space="preserve"> </v>
      </c>
      <c r="I61" s="101">
        <v>152</v>
      </c>
      <c r="J61" s="133" t="s">
        <v>27</v>
      </c>
      <c r="K61" s="103" t="e">
        <f t="shared" si="184"/>
        <v>#N/A</v>
      </c>
      <c r="L61" s="103" t="e">
        <f t="shared" si="185"/>
        <v>#N/A</v>
      </c>
      <c r="M61" s="103" t="e">
        <f t="shared" si="186"/>
        <v>#N/A</v>
      </c>
      <c r="N61" s="103" t="e">
        <f t="shared" si="187"/>
        <v>#N/A</v>
      </c>
      <c r="O61" s="103" t="e">
        <f t="shared" si="188"/>
        <v>#N/A</v>
      </c>
      <c r="P61" s="103" t="e">
        <f t="shared" si="189"/>
        <v>#N/A</v>
      </c>
      <c r="Q61" s="103" t="e">
        <f t="shared" si="190"/>
        <v>#N/A</v>
      </c>
      <c r="R61" s="103" t="e">
        <f t="shared" si="191"/>
        <v>#N/A</v>
      </c>
      <c r="S61" s="103" t="e">
        <f t="shared" si="192"/>
        <v>#N/A</v>
      </c>
      <c r="T61" s="103">
        <f t="shared" si="193"/>
        <v>0</v>
      </c>
      <c r="U61" s="103">
        <f t="shared" si="194"/>
        <v>0</v>
      </c>
      <c r="V61" s="103">
        <f t="shared" si="195"/>
        <v>0</v>
      </c>
      <c r="W61" s="103"/>
      <c r="X61" s="103"/>
      <c r="Y61" s="103"/>
      <c r="Z61" s="112" t="str">
        <f t="shared" si="196"/>
        <v xml:space="preserve"> </v>
      </c>
      <c r="AA61" s="123"/>
      <c r="AB61" s="103" t="e">
        <f t="shared" si="197"/>
        <v>#N/A</v>
      </c>
      <c r="AC61" s="103" t="e">
        <f t="shared" si="198"/>
        <v>#N/A</v>
      </c>
      <c r="AD61" s="103" t="e">
        <f t="shared" si="199"/>
        <v>#N/A</v>
      </c>
      <c r="AE61" s="103" t="e">
        <f t="shared" si="200"/>
        <v>#N/A</v>
      </c>
      <c r="AF61" s="103" t="e">
        <f t="shared" si="201"/>
        <v>#N/A</v>
      </c>
      <c r="AG61" s="103" t="e">
        <f t="shared" si="202"/>
        <v>#N/A</v>
      </c>
      <c r="AH61" s="103" t="e">
        <f t="shared" si="203"/>
        <v>#N/A</v>
      </c>
      <c r="AI61" s="103" t="e">
        <f t="shared" si="204"/>
        <v>#N/A</v>
      </c>
      <c r="AJ61" s="103" t="e">
        <f t="shared" si="205"/>
        <v>#N/A</v>
      </c>
      <c r="AK61" s="103">
        <f t="shared" si="206"/>
        <v>0</v>
      </c>
      <c r="AL61" s="103">
        <f t="shared" si="207"/>
        <v>0</v>
      </c>
      <c r="AM61" s="103">
        <f t="shared" si="208"/>
        <v>0</v>
      </c>
      <c r="AN61" s="103"/>
      <c r="AO61" s="103"/>
      <c r="AP61" s="103"/>
      <c r="AQ61" s="112" t="str">
        <f t="shared" si="209"/>
        <v xml:space="preserve"> </v>
      </c>
      <c r="AR61" s="123"/>
      <c r="AS61" s="101">
        <f t="shared" si="8"/>
        <v>152</v>
      </c>
      <c r="AT61" s="133" t="str">
        <f t="shared" si="9"/>
        <v>NGSA</v>
      </c>
      <c r="AU61" s="103" t="e">
        <f t="shared" si="210"/>
        <v>#N/A</v>
      </c>
      <c r="AV61" s="103" t="e">
        <f t="shared" si="211"/>
        <v>#N/A</v>
      </c>
      <c r="AW61" s="103" t="e">
        <f t="shared" si="212"/>
        <v>#N/A</v>
      </c>
      <c r="AX61" s="103" t="e">
        <f t="shared" si="213"/>
        <v>#N/A</v>
      </c>
      <c r="AY61" s="103" t="e">
        <f t="shared" si="214"/>
        <v>#N/A</v>
      </c>
      <c r="AZ61" s="103" t="e">
        <f t="shared" si="215"/>
        <v>#N/A</v>
      </c>
      <c r="BA61" s="103" t="e">
        <f t="shared" si="216"/>
        <v>#N/A</v>
      </c>
      <c r="BB61" s="103" t="e">
        <f t="shared" si="217"/>
        <v>#N/A</v>
      </c>
      <c r="BC61" s="103" t="e">
        <f t="shared" si="218"/>
        <v>#N/A</v>
      </c>
      <c r="BD61" s="103">
        <f t="shared" si="219"/>
        <v>0</v>
      </c>
      <c r="BE61" s="103">
        <f t="shared" si="220"/>
        <v>0</v>
      </c>
      <c r="BF61" s="103">
        <f t="shared" si="221"/>
        <v>0</v>
      </c>
      <c r="BG61" s="103"/>
      <c r="BH61" s="103"/>
      <c r="BI61" s="103"/>
      <c r="BJ61" s="112" t="str">
        <f t="shared" si="222"/>
        <v xml:space="preserve"> </v>
      </c>
      <c r="BK61" s="123"/>
      <c r="BL61" s="103" t="e">
        <f t="shared" si="223"/>
        <v>#N/A</v>
      </c>
      <c r="BM61" s="103" t="e">
        <f t="shared" si="224"/>
        <v>#N/A</v>
      </c>
      <c r="BN61" s="103" t="e">
        <f t="shared" si="225"/>
        <v>#N/A</v>
      </c>
      <c r="BO61" s="103" t="e">
        <f t="shared" si="226"/>
        <v>#N/A</v>
      </c>
      <c r="BP61" s="103" t="e">
        <f t="shared" si="227"/>
        <v>#N/A</v>
      </c>
      <c r="BQ61" s="103" t="e">
        <f t="shared" si="228"/>
        <v>#N/A</v>
      </c>
      <c r="BR61" s="103" t="e">
        <f t="shared" si="229"/>
        <v>#N/A</v>
      </c>
      <c r="BS61" s="103" t="e">
        <f t="shared" si="230"/>
        <v>#N/A</v>
      </c>
      <c r="BT61" s="103" t="e">
        <f t="shared" si="231"/>
        <v>#N/A</v>
      </c>
      <c r="BU61" s="103" t="str">
        <f t="shared" si="232"/>
        <v xml:space="preserve"> </v>
      </c>
      <c r="BV61" s="103" t="str">
        <f t="shared" si="233"/>
        <v xml:space="preserve"> </v>
      </c>
      <c r="BW61" s="103" t="str">
        <f t="shared" si="234"/>
        <v xml:space="preserve"> </v>
      </c>
      <c r="BX61" s="103"/>
      <c r="BY61" s="103"/>
      <c r="BZ61" s="103"/>
      <c r="CA61" s="112" t="str">
        <f t="shared" si="235"/>
        <v xml:space="preserve"> </v>
      </c>
      <c r="CB61" s="123"/>
      <c r="CC61" s="101">
        <f t="shared" si="61"/>
        <v>152</v>
      </c>
      <c r="CD61" s="133" t="str">
        <f t="shared" si="62"/>
        <v>NGSA</v>
      </c>
      <c r="CE61" s="103" t="e">
        <f t="shared" si="236"/>
        <v>#N/A</v>
      </c>
      <c r="CF61" s="103" t="e">
        <f t="shared" si="237"/>
        <v>#N/A</v>
      </c>
      <c r="CG61" s="103" t="e">
        <f t="shared" si="238"/>
        <v>#N/A</v>
      </c>
      <c r="CH61" s="103" t="e">
        <f t="shared" si="239"/>
        <v>#N/A</v>
      </c>
      <c r="CI61" s="103" t="e">
        <f t="shared" si="240"/>
        <v>#N/A</v>
      </c>
      <c r="CJ61" s="103" t="e">
        <f t="shared" si="241"/>
        <v>#N/A</v>
      </c>
      <c r="CK61" s="103" t="e">
        <f t="shared" si="242"/>
        <v>#N/A</v>
      </c>
      <c r="CL61" s="103" t="e">
        <f t="shared" si="243"/>
        <v>#N/A</v>
      </c>
      <c r="CM61" s="103" t="e">
        <f t="shared" si="244"/>
        <v>#N/A</v>
      </c>
      <c r="CN61" s="103" t="str">
        <f t="shared" si="245"/>
        <v xml:space="preserve"> </v>
      </c>
      <c r="CO61" s="103" t="str">
        <f t="shared" si="246"/>
        <v xml:space="preserve"> </v>
      </c>
      <c r="CP61" s="103" t="str">
        <f t="shared" si="247"/>
        <v xml:space="preserve"> </v>
      </c>
      <c r="CQ61" s="103"/>
      <c r="CR61" s="103"/>
      <c r="CS61" s="103"/>
      <c r="CT61" s="112" t="str">
        <f t="shared" si="248"/>
        <v xml:space="preserve"> </v>
      </c>
      <c r="CU61" s="127"/>
      <c r="CV61" s="101">
        <f t="shared" si="76"/>
        <v>152</v>
      </c>
      <c r="CW61" s="133" t="str">
        <f t="shared" si="77"/>
        <v>NGSA</v>
      </c>
      <c r="CX61" s="223"/>
      <c r="CY61" s="223"/>
      <c r="CZ61" s="223"/>
      <c r="DA61" s="223"/>
      <c r="DB61" s="223"/>
      <c r="DC61" s="223"/>
      <c r="DD61" s="223"/>
      <c r="DE61" s="223"/>
      <c r="DF61" s="223"/>
      <c r="DG61" s="223">
        <f t="shared" si="249"/>
        <v>431</v>
      </c>
      <c r="DH61" s="223">
        <f t="shared" si="250"/>
        <v>218</v>
      </c>
      <c r="DI61" s="223">
        <f t="shared" si="251"/>
        <v>259</v>
      </c>
      <c r="DM61" s="224">
        <f t="shared" si="104"/>
        <v>302.66666666666669</v>
      </c>
    </row>
    <row r="62" spans="1:117" ht="15.75" x14ac:dyDescent="0.25">
      <c r="A62" s="136">
        <f t="shared" si="105"/>
        <v>175</v>
      </c>
      <c r="B62" s="136" t="str">
        <f t="shared" si="106"/>
        <v>NGSA</v>
      </c>
      <c r="C62" s="42" t="str">
        <f t="shared" si="25"/>
        <v xml:space="preserve"> </v>
      </c>
      <c r="D62" s="39" t="str">
        <f t="shared" si="26"/>
        <v xml:space="preserve"> </v>
      </c>
      <c r="E62" s="25" t="str">
        <f t="shared" si="27"/>
        <v xml:space="preserve"> </v>
      </c>
      <c r="F62" s="25" t="str">
        <f t="shared" si="28"/>
        <v xml:space="preserve"> </v>
      </c>
      <c r="G62" s="145" t="str">
        <f t="shared" si="29"/>
        <v xml:space="preserve"> </v>
      </c>
      <c r="I62" s="101">
        <v>175</v>
      </c>
      <c r="J62" s="133" t="s">
        <v>27</v>
      </c>
      <c r="K62" s="103" t="e">
        <f t="shared" si="184"/>
        <v>#N/A</v>
      </c>
      <c r="L62" s="103" t="e">
        <f t="shared" si="185"/>
        <v>#N/A</v>
      </c>
      <c r="M62" s="103" t="e">
        <f t="shared" si="186"/>
        <v>#N/A</v>
      </c>
      <c r="N62" s="103" t="e">
        <f t="shared" si="187"/>
        <v>#N/A</v>
      </c>
      <c r="O62" s="103" t="e">
        <f t="shared" si="188"/>
        <v>#N/A</v>
      </c>
      <c r="P62" s="103" t="e">
        <f t="shared" si="189"/>
        <v>#N/A</v>
      </c>
      <c r="Q62" s="103" t="e">
        <f t="shared" si="190"/>
        <v>#N/A</v>
      </c>
      <c r="R62" s="103" t="e">
        <f t="shared" si="191"/>
        <v>#N/A</v>
      </c>
      <c r="S62" s="103" t="e">
        <f t="shared" si="192"/>
        <v>#N/A</v>
      </c>
      <c r="T62" s="103">
        <f t="shared" si="193"/>
        <v>0</v>
      </c>
      <c r="U62" s="103">
        <f t="shared" si="194"/>
        <v>0</v>
      </c>
      <c r="V62" s="103">
        <f t="shared" si="195"/>
        <v>0</v>
      </c>
      <c r="W62" s="103"/>
      <c r="X62" s="103"/>
      <c r="Y62" s="103"/>
      <c r="Z62" s="112" t="str">
        <f t="shared" si="196"/>
        <v xml:space="preserve"> </v>
      </c>
      <c r="AA62" s="123"/>
      <c r="AB62" s="103" t="e">
        <f t="shared" si="197"/>
        <v>#N/A</v>
      </c>
      <c r="AC62" s="103" t="e">
        <f t="shared" si="198"/>
        <v>#N/A</v>
      </c>
      <c r="AD62" s="103" t="e">
        <f t="shared" si="199"/>
        <v>#N/A</v>
      </c>
      <c r="AE62" s="103" t="e">
        <f t="shared" si="200"/>
        <v>#N/A</v>
      </c>
      <c r="AF62" s="103" t="e">
        <f t="shared" si="201"/>
        <v>#N/A</v>
      </c>
      <c r="AG62" s="103" t="e">
        <f t="shared" si="202"/>
        <v>#N/A</v>
      </c>
      <c r="AH62" s="103" t="e">
        <f t="shared" si="203"/>
        <v>#N/A</v>
      </c>
      <c r="AI62" s="103" t="e">
        <f t="shared" si="204"/>
        <v>#N/A</v>
      </c>
      <c r="AJ62" s="103" t="e">
        <f t="shared" si="205"/>
        <v>#N/A</v>
      </c>
      <c r="AK62" s="103">
        <f t="shared" si="206"/>
        <v>0</v>
      </c>
      <c r="AL62" s="103">
        <f t="shared" si="207"/>
        <v>0</v>
      </c>
      <c r="AM62" s="103">
        <f t="shared" si="208"/>
        <v>0</v>
      </c>
      <c r="AN62" s="103"/>
      <c r="AO62" s="103"/>
      <c r="AP62" s="103"/>
      <c r="AQ62" s="112" t="str">
        <f t="shared" si="209"/>
        <v xml:space="preserve"> </v>
      </c>
      <c r="AR62" s="123"/>
      <c r="AS62" s="101">
        <f t="shared" si="8"/>
        <v>175</v>
      </c>
      <c r="AT62" s="133" t="str">
        <f t="shared" si="9"/>
        <v>NGSA</v>
      </c>
      <c r="AU62" s="103" t="e">
        <f t="shared" si="210"/>
        <v>#N/A</v>
      </c>
      <c r="AV62" s="103" t="e">
        <f t="shared" si="211"/>
        <v>#N/A</v>
      </c>
      <c r="AW62" s="103" t="e">
        <f t="shared" si="212"/>
        <v>#N/A</v>
      </c>
      <c r="AX62" s="103" t="e">
        <f t="shared" si="213"/>
        <v>#N/A</v>
      </c>
      <c r="AY62" s="103" t="e">
        <f t="shared" si="214"/>
        <v>#N/A</v>
      </c>
      <c r="AZ62" s="103" t="e">
        <f t="shared" si="215"/>
        <v>#N/A</v>
      </c>
      <c r="BA62" s="103" t="e">
        <f t="shared" si="216"/>
        <v>#N/A</v>
      </c>
      <c r="BB62" s="103" t="e">
        <f t="shared" si="217"/>
        <v>#N/A</v>
      </c>
      <c r="BC62" s="103" t="e">
        <f t="shared" si="218"/>
        <v>#N/A</v>
      </c>
      <c r="BD62" s="103">
        <f t="shared" si="219"/>
        <v>0</v>
      </c>
      <c r="BE62" s="103">
        <f t="shared" si="220"/>
        <v>0</v>
      </c>
      <c r="BF62" s="103">
        <f t="shared" si="221"/>
        <v>0</v>
      </c>
      <c r="BG62" s="103"/>
      <c r="BH62" s="103"/>
      <c r="BI62" s="103"/>
      <c r="BJ62" s="112" t="str">
        <f t="shared" si="222"/>
        <v xml:space="preserve"> </v>
      </c>
      <c r="BK62" s="123"/>
      <c r="BL62" s="103" t="e">
        <f t="shared" si="223"/>
        <v>#N/A</v>
      </c>
      <c r="BM62" s="103" t="e">
        <f t="shared" si="224"/>
        <v>#N/A</v>
      </c>
      <c r="BN62" s="103" t="e">
        <f t="shared" si="225"/>
        <v>#N/A</v>
      </c>
      <c r="BO62" s="103" t="e">
        <f t="shared" si="226"/>
        <v>#N/A</v>
      </c>
      <c r="BP62" s="103" t="e">
        <f t="shared" si="227"/>
        <v>#N/A</v>
      </c>
      <c r="BQ62" s="103" t="e">
        <f t="shared" si="228"/>
        <v>#N/A</v>
      </c>
      <c r="BR62" s="103" t="e">
        <f t="shared" si="229"/>
        <v>#N/A</v>
      </c>
      <c r="BS62" s="103" t="e">
        <f t="shared" si="230"/>
        <v>#N/A</v>
      </c>
      <c r="BT62" s="103" t="e">
        <f t="shared" si="231"/>
        <v>#N/A</v>
      </c>
      <c r="BU62" s="103" t="str">
        <f t="shared" si="232"/>
        <v xml:space="preserve"> </v>
      </c>
      <c r="BV62" s="103" t="str">
        <f t="shared" si="233"/>
        <v xml:space="preserve"> </v>
      </c>
      <c r="BW62" s="103" t="str">
        <f t="shared" si="234"/>
        <v xml:space="preserve"> </v>
      </c>
      <c r="BX62" s="103"/>
      <c r="BY62" s="103"/>
      <c r="BZ62" s="103"/>
      <c r="CA62" s="112" t="str">
        <f t="shared" si="235"/>
        <v xml:space="preserve"> </v>
      </c>
      <c r="CB62" s="123"/>
      <c r="CC62" s="101">
        <f t="shared" si="61"/>
        <v>175</v>
      </c>
      <c r="CD62" s="133" t="str">
        <f t="shared" si="62"/>
        <v>NGSA</v>
      </c>
      <c r="CE62" s="103" t="e">
        <f t="shared" si="236"/>
        <v>#N/A</v>
      </c>
      <c r="CF62" s="103" t="e">
        <f t="shared" si="237"/>
        <v>#N/A</v>
      </c>
      <c r="CG62" s="103" t="e">
        <f t="shared" si="238"/>
        <v>#N/A</v>
      </c>
      <c r="CH62" s="103" t="e">
        <f t="shared" si="239"/>
        <v>#N/A</v>
      </c>
      <c r="CI62" s="103" t="e">
        <f t="shared" si="240"/>
        <v>#N/A</v>
      </c>
      <c r="CJ62" s="103" t="e">
        <f t="shared" si="241"/>
        <v>#N/A</v>
      </c>
      <c r="CK62" s="103" t="e">
        <f t="shared" si="242"/>
        <v>#N/A</v>
      </c>
      <c r="CL62" s="103" t="e">
        <f t="shared" si="243"/>
        <v>#N/A</v>
      </c>
      <c r="CM62" s="103" t="e">
        <f t="shared" si="244"/>
        <v>#N/A</v>
      </c>
      <c r="CN62" s="103" t="str">
        <f t="shared" si="245"/>
        <v xml:space="preserve"> </v>
      </c>
      <c r="CO62" s="103" t="str">
        <f t="shared" si="246"/>
        <v xml:space="preserve"> </v>
      </c>
      <c r="CP62" s="103" t="str">
        <f t="shared" si="247"/>
        <v xml:space="preserve"> </v>
      </c>
      <c r="CQ62" s="103"/>
      <c r="CR62" s="103"/>
      <c r="CS62" s="103"/>
      <c r="CT62" s="112" t="str">
        <f t="shared" si="248"/>
        <v xml:space="preserve"> </v>
      </c>
      <c r="CU62" s="127"/>
      <c r="CV62" s="101">
        <f t="shared" si="76"/>
        <v>175</v>
      </c>
      <c r="CW62" s="133" t="str">
        <f t="shared" si="77"/>
        <v>NGSA</v>
      </c>
      <c r="CX62" s="223"/>
      <c r="CY62" s="223"/>
      <c r="CZ62" s="223"/>
      <c r="DA62" s="223"/>
      <c r="DB62" s="223"/>
      <c r="DC62" s="223"/>
      <c r="DD62" s="223"/>
      <c r="DE62" s="223"/>
      <c r="DF62" s="223"/>
      <c r="DG62" s="223">
        <f t="shared" si="249"/>
        <v>0</v>
      </c>
      <c r="DH62" s="223">
        <f t="shared" si="250"/>
        <v>0</v>
      </c>
      <c r="DI62" s="223">
        <f t="shared" si="251"/>
        <v>0</v>
      </c>
      <c r="DM62" s="224"/>
    </row>
    <row r="63" spans="1:117" ht="15.75" x14ac:dyDescent="0.25">
      <c r="A63" s="136">
        <f t="shared" si="105"/>
        <v>176</v>
      </c>
      <c r="B63" s="136" t="str">
        <f t="shared" si="106"/>
        <v>NGSA</v>
      </c>
      <c r="C63" s="42" t="str">
        <f t="shared" si="25"/>
        <v xml:space="preserve"> </v>
      </c>
      <c r="D63" s="39" t="str">
        <f t="shared" si="26"/>
        <v xml:space="preserve"> </v>
      </c>
      <c r="E63" s="25" t="str">
        <f t="shared" si="27"/>
        <v xml:space="preserve"> </v>
      </c>
      <c r="F63" s="25">
        <f t="shared" si="28"/>
        <v>2</v>
      </c>
      <c r="G63" s="145" t="str">
        <f t="shared" si="29"/>
        <v xml:space="preserve"> </v>
      </c>
      <c r="I63" s="101">
        <v>176</v>
      </c>
      <c r="J63" s="133" t="s">
        <v>27</v>
      </c>
      <c r="K63" s="103" t="e">
        <f t="shared" si="184"/>
        <v>#N/A</v>
      </c>
      <c r="L63" s="103" t="e">
        <f t="shared" si="185"/>
        <v>#N/A</v>
      </c>
      <c r="M63" s="103" t="e">
        <f t="shared" si="186"/>
        <v>#N/A</v>
      </c>
      <c r="N63" s="103" t="e">
        <f t="shared" si="187"/>
        <v>#N/A</v>
      </c>
      <c r="O63" s="103" t="e">
        <f t="shared" si="188"/>
        <v>#N/A</v>
      </c>
      <c r="P63" s="103" t="e">
        <f t="shared" si="189"/>
        <v>#N/A</v>
      </c>
      <c r="Q63" s="103" t="e">
        <f t="shared" si="190"/>
        <v>#N/A</v>
      </c>
      <c r="R63" s="103" t="e">
        <f t="shared" si="191"/>
        <v>#N/A</v>
      </c>
      <c r="S63" s="103" t="e">
        <f t="shared" si="192"/>
        <v>#N/A</v>
      </c>
      <c r="T63" s="103">
        <f t="shared" si="193"/>
        <v>0</v>
      </c>
      <c r="U63" s="103">
        <f t="shared" si="194"/>
        <v>0</v>
      </c>
      <c r="V63" s="103">
        <f t="shared" si="195"/>
        <v>0</v>
      </c>
      <c r="W63" s="103"/>
      <c r="X63" s="103"/>
      <c r="Y63" s="103"/>
      <c r="Z63" s="112" t="str">
        <f t="shared" si="196"/>
        <v xml:space="preserve"> </v>
      </c>
      <c r="AA63" s="123"/>
      <c r="AB63" s="103" t="e">
        <f t="shared" si="197"/>
        <v>#N/A</v>
      </c>
      <c r="AC63" s="103" t="e">
        <f t="shared" si="198"/>
        <v>#N/A</v>
      </c>
      <c r="AD63" s="103" t="e">
        <f t="shared" si="199"/>
        <v>#N/A</v>
      </c>
      <c r="AE63" s="103" t="e">
        <f t="shared" si="200"/>
        <v>#N/A</v>
      </c>
      <c r="AF63" s="103" t="e">
        <f t="shared" si="201"/>
        <v>#N/A</v>
      </c>
      <c r="AG63" s="103" t="e">
        <f t="shared" si="202"/>
        <v>#N/A</v>
      </c>
      <c r="AH63" s="103" t="e">
        <f t="shared" si="203"/>
        <v>#N/A</v>
      </c>
      <c r="AI63" s="103" t="e">
        <f t="shared" si="204"/>
        <v>#N/A</v>
      </c>
      <c r="AJ63" s="103" t="e">
        <f t="shared" si="205"/>
        <v>#N/A</v>
      </c>
      <c r="AK63" s="103">
        <f t="shared" si="206"/>
        <v>0</v>
      </c>
      <c r="AL63" s="103">
        <f t="shared" si="207"/>
        <v>0</v>
      </c>
      <c r="AM63" s="103">
        <f t="shared" si="208"/>
        <v>0</v>
      </c>
      <c r="AN63" s="103"/>
      <c r="AO63" s="103"/>
      <c r="AP63" s="103"/>
      <c r="AQ63" s="112" t="str">
        <f t="shared" si="209"/>
        <v xml:space="preserve"> </v>
      </c>
      <c r="AR63" s="123"/>
      <c r="AS63" s="101">
        <f t="shared" si="8"/>
        <v>176</v>
      </c>
      <c r="AT63" s="133" t="str">
        <f t="shared" si="9"/>
        <v>NGSA</v>
      </c>
      <c r="AU63" s="103" t="e">
        <f t="shared" si="210"/>
        <v>#N/A</v>
      </c>
      <c r="AV63" s="103" t="e">
        <f t="shared" si="211"/>
        <v>#N/A</v>
      </c>
      <c r="AW63" s="103" t="e">
        <f t="shared" si="212"/>
        <v>#N/A</v>
      </c>
      <c r="AX63" s="103" t="e">
        <f t="shared" si="213"/>
        <v>#N/A</v>
      </c>
      <c r="AY63" s="103" t="e">
        <f t="shared" si="214"/>
        <v>#N/A</v>
      </c>
      <c r="AZ63" s="103" t="e">
        <f t="shared" si="215"/>
        <v>#N/A</v>
      </c>
      <c r="BA63" s="103" t="e">
        <f t="shared" si="216"/>
        <v>#N/A</v>
      </c>
      <c r="BB63" s="103" t="e">
        <f t="shared" si="217"/>
        <v>#N/A</v>
      </c>
      <c r="BC63" s="103" t="e">
        <f t="shared" si="218"/>
        <v>#N/A</v>
      </c>
      <c r="BD63" s="103">
        <f t="shared" si="219"/>
        <v>0</v>
      </c>
      <c r="BE63" s="103">
        <f t="shared" si="220"/>
        <v>0</v>
      </c>
      <c r="BF63" s="103">
        <f t="shared" si="221"/>
        <v>0</v>
      </c>
      <c r="BG63" s="103"/>
      <c r="BH63" s="103"/>
      <c r="BI63" s="103"/>
      <c r="BJ63" s="112" t="str">
        <f t="shared" si="222"/>
        <v xml:space="preserve"> </v>
      </c>
      <c r="BK63" s="123"/>
      <c r="BL63" s="103" t="e">
        <f t="shared" si="223"/>
        <v>#N/A</v>
      </c>
      <c r="BM63" s="103" t="e">
        <f t="shared" si="224"/>
        <v>#N/A</v>
      </c>
      <c r="BN63" s="103" t="e">
        <f t="shared" si="225"/>
        <v>#N/A</v>
      </c>
      <c r="BO63" s="103" t="e">
        <f t="shared" si="226"/>
        <v>#N/A</v>
      </c>
      <c r="BP63" s="103" t="e">
        <f t="shared" si="227"/>
        <v>#N/A</v>
      </c>
      <c r="BQ63" s="103" t="e">
        <f t="shared" si="228"/>
        <v>#N/A</v>
      </c>
      <c r="BR63" s="103" t="e">
        <f t="shared" si="229"/>
        <v>#N/A</v>
      </c>
      <c r="BS63" s="103" t="e">
        <f t="shared" si="230"/>
        <v>#N/A</v>
      </c>
      <c r="BT63" s="103" t="e">
        <f t="shared" si="231"/>
        <v>#N/A</v>
      </c>
      <c r="BU63" s="103" t="str">
        <f t="shared" si="232"/>
        <v xml:space="preserve"> </v>
      </c>
      <c r="BV63" s="103" t="str">
        <f t="shared" si="233"/>
        <v xml:space="preserve"> </v>
      </c>
      <c r="BW63" s="103" t="str">
        <f t="shared" si="234"/>
        <v xml:space="preserve"> </v>
      </c>
      <c r="BX63" s="103"/>
      <c r="BY63" s="103"/>
      <c r="BZ63" s="103"/>
      <c r="CA63" s="112" t="str">
        <f t="shared" si="235"/>
        <v xml:space="preserve"> </v>
      </c>
      <c r="CB63" s="123"/>
      <c r="CC63" s="101">
        <f t="shared" si="61"/>
        <v>176</v>
      </c>
      <c r="CD63" s="133" t="str">
        <f t="shared" si="62"/>
        <v>NGSA</v>
      </c>
      <c r="CE63" s="103" t="e">
        <f t="shared" si="236"/>
        <v>#N/A</v>
      </c>
      <c r="CF63" s="103" t="e">
        <f t="shared" si="237"/>
        <v>#N/A</v>
      </c>
      <c r="CG63" s="103" t="e">
        <f t="shared" si="238"/>
        <v>#N/A</v>
      </c>
      <c r="CH63" s="103" t="e">
        <f t="shared" si="239"/>
        <v>#N/A</v>
      </c>
      <c r="CI63" s="103" t="e">
        <f t="shared" si="240"/>
        <v>#N/A</v>
      </c>
      <c r="CJ63" s="103" t="e">
        <f t="shared" si="241"/>
        <v>#N/A</v>
      </c>
      <c r="CK63" s="103" t="e">
        <f t="shared" si="242"/>
        <v>#N/A</v>
      </c>
      <c r="CL63" s="103" t="e">
        <f t="shared" si="243"/>
        <v>#N/A</v>
      </c>
      <c r="CM63" s="103" t="e">
        <f t="shared" si="244"/>
        <v>#N/A</v>
      </c>
      <c r="CN63" s="103" t="str">
        <f t="shared" si="245"/>
        <v>X</v>
      </c>
      <c r="CO63" s="103" t="str">
        <f t="shared" si="246"/>
        <v>X</v>
      </c>
      <c r="CP63" s="103" t="str">
        <f t="shared" si="247"/>
        <v xml:space="preserve"> </v>
      </c>
      <c r="CQ63" s="103"/>
      <c r="CR63" s="103"/>
      <c r="CS63" s="103"/>
      <c r="CT63" s="112">
        <f t="shared" si="248"/>
        <v>2</v>
      </c>
      <c r="CU63" s="127"/>
      <c r="CV63" s="101">
        <f t="shared" si="76"/>
        <v>176</v>
      </c>
      <c r="CW63" s="133" t="str">
        <f t="shared" si="77"/>
        <v>NGSA</v>
      </c>
      <c r="CX63" s="223"/>
      <c r="CY63" s="223"/>
      <c r="CZ63" s="223"/>
      <c r="DA63" s="223"/>
      <c r="DB63" s="223"/>
      <c r="DC63" s="223"/>
      <c r="DD63" s="223"/>
      <c r="DE63" s="223"/>
      <c r="DF63" s="223"/>
      <c r="DG63" s="223">
        <f t="shared" si="249"/>
        <v>164</v>
      </c>
      <c r="DH63" s="223">
        <f t="shared" si="250"/>
        <v>172</v>
      </c>
      <c r="DI63" s="223">
        <f t="shared" si="251"/>
        <v>180</v>
      </c>
      <c r="DM63" s="224">
        <f t="shared" si="104"/>
        <v>172</v>
      </c>
    </row>
    <row r="64" spans="1:117" ht="15.75" x14ac:dyDescent="0.25">
      <c r="A64" s="136">
        <f t="shared" si="105"/>
        <v>180</v>
      </c>
      <c r="B64" s="136" t="str">
        <f t="shared" si="106"/>
        <v>NGSA</v>
      </c>
      <c r="C64" s="42" t="str">
        <f t="shared" si="25"/>
        <v xml:space="preserve"> </v>
      </c>
      <c r="D64" s="39" t="str">
        <f t="shared" si="26"/>
        <v xml:space="preserve"> </v>
      </c>
      <c r="E64" s="25" t="str">
        <f t="shared" si="27"/>
        <v xml:space="preserve"> </v>
      </c>
      <c r="F64" s="25" t="str">
        <f t="shared" si="28"/>
        <v xml:space="preserve"> </v>
      </c>
      <c r="G64" s="145" t="str">
        <f t="shared" si="29"/>
        <v xml:space="preserve"> </v>
      </c>
      <c r="I64" s="101">
        <v>180</v>
      </c>
      <c r="J64" s="133" t="s">
        <v>27</v>
      </c>
      <c r="K64" s="103" t="e">
        <f t="shared" si="184"/>
        <v>#N/A</v>
      </c>
      <c r="L64" s="103" t="e">
        <f t="shared" si="185"/>
        <v>#N/A</v>
      </c>
      <c r="M64" s="103" t="e">
        <f t="shared" si="186"/>
        <v>#N/A</v>
      </c>
      <c r="N64" s="103" t="e">
        <f t="shared" si="187"/>
        <v>#N/A</v>
      </c>
      <c r="O64" s="103" t="e">
        <f t="shared" si="188"/>
        <v>#N/A</v>
      </c>
      <c r="P64" s="103" t="e">
        <f t="shared" si="189"/>
        <v>#N/A</v>
      </c>
      <c r="Q64" s="103" t="e">
        <f t="shared" si="190"/>
        <v>#N/A</v>
      </c>
      <c r="R64" s="103" t="e">
        <f t="shared" si="191"/>
        <v>#N/A</v>
      </c>
      <c r="S64" s="103" t="e">
        <f t="shared" si="192"/>
        <v>#N/A</v>
      </c>
      <c r="T64" s="103">
        <f t="shared" si="193"/>
        <v>0</v>
      </c>
      <c r="U64" s="103">
        <f t="shared" si="194"/>
        <v>0</v>
      </c>
      <c r="V64" s="103">
        <f t="shared" si="195"/>
        <v>0</v>
      </c>
      <c r="W64" s="103"/>
      <c r="X64" s="103"/>
      <c r="Y64" s="103"/>
      <c r="Z64" s="112" t="str">
        <f t="shared" si="196"/>
        <v xml:space="preserve"> </v>
      </c>
      <c r="AA64" s="123"/>
      <c r="AB64" s="103" t="e">
        <f t="shared" si="197"/>
        <v>#N/A</v>
      </c>
      <c r="AC64" s="103" t="e">
        <f t="shared" si="198"/>
        <v>#N/A</v>
      </c>
      <c r="AD64" s="103" t="e">
        <f t="shared" si="199"/>
        <v>#N/A</v>
      </c>
      <c r="AE64" s="103" t="e">
        <f t="shared" si="200"/>
        <v>#N/A</v>
      </c>
      <c r="AF64" s="103" t="e">
        <f t="shared" si="201"/>
        <v>#N/A</v>
      </c>
      <c r="AG64" s="103" t="e">
        <f t="shared" si="202"/>
        <v>#N/A</v>
      </c>
      <c r="AH64" s="103" t="e">
        <f t="shared" si="203"/>
        <v>#N/A</v>
      </c>
      <c r="AI64" s="103" t="e">
        <f t="shared" si="204"/>
        <v>#N/A</v>
      </c>
      <c r="AJ64" s="103" t="e">
        <f t="shared" si="205"/>
        <v>#N/A</v>
      </c>
      <c r="AK64" s="103">
        <f t="shared" si="206"/>
        <v>0</v>
      </c>
      <c r="AL64" s="103">
        <f t="shared" si="207"/>
        <v>0</v>
      </c>
      <c r="AM64" s="103">
        <f t="shared" si="208"/>
        <v>0</v>
      </c>
      <c r="AN64" s="103"/>
      <c r="AO64" s="103"/>
      <c r="AP64" s="103"/>
      <c r="AQ64" s="112" t="str">
        <f t="shared" si="209"/>
        <v xml:space="preserve"> </v>
      </c>
      <c r="AR64" s="123"/>
      <c r="AS64" s="101">
        <f t="shared" si="8"/>
        <v>180</v>
      </c>
      <c r="AT64" s="133" t="str">
        <f t="shared" si="9"/>
        <v>NGSA</v>
      </c>
      <c r="AU64" s="103" t="e">
        <f t="shared" si="210"/>
        <v>#N/A</v>
      </c>
      <c r="AV64" s="103" t="e">
        <f t="shared" si="211"/>
        <v>#N/A</v>
      </c>
      <c r="AW64" s="103" t="e">
        <f t="shared" si="212"/>
        <v>#N/A</v>
      </c>
      <c r="AX64" s="103" t="e">
        <f t="shared" si="213"/>
        <v>#N/A</v>
      </c>
      <c r="AY64" s="103" t="e">
        <f t="shared" si="214"/>
        <v>#N/A</v>
      </c>
      <c r="AZ64" s="103" t="e">
        <f t="shared" si="215"/>
        <v>#N/A</v>
      </c>
      <c r="BA64" s="103" t="e">
        <f t="shared" si="216"/>
        <v>#N/A</v>
      </c>
      <c r="BB64" s="103" t="e">
        <f t="shared" si="217"/>
        <v>#N/A</v>
      </c>
      <c r="BC64" s="103" t="e">
        <f t="shared" si="218"/>
        <v>#N/A</v>
      </c>
      <c r="BD64" s="103">
        <f t="shared" si="219"/>
        <v>0</v>
      </c>
      <c r="BE64" s="103">
        <f t="shared" si="220"/>
        <v>0</v>
      </c>
      <c r="BF64" s="103">
        <f t="shared" si="221"/>
        <v>0</v>
      </c>
      <c r="BG64" s="103"/>
      <c r="BH64" s="103"/>
      <c r="BI64" s="103"/>
      <c r="BJ64" s="112" t="str">
        <f t="shared" si="222"/>
        <v xml:space="preserve"> </v>
      </c>
      <c r="BK64" s="123"/>
      <c r="BL64" s="103" t="e">
        <f t="shared" si="223"/>
        <v>#N/A</v>
      </c>
      <c r="BM64" s="103" t="e">
        <f t="shared" si="224"/>
        <v>#N/A</v>
      </c>
      <c r="BN64" s="103" t="e">
        <f t="shared" si="225"/>
        <v>#N/A</v>
      </c>
      <c r="BO64" s="103" t="e">
        <f t="shared" si="226"/>
        <v>#N/A</v>
      </c>
      <c r="BP64" s="103" t="e">
        <f t="shared" si="227"/>
        <v>#N/A</v>
      </c>
      <c r="BQ64" s="103" t="e">
        <f t="shared" si="228"/>
        <v>#N/A</v>
      </c>
      <c r="BR64" s="103" t="e">
        <f t="shared" si="229"/>
        <v>#N/A</v>
      </c>
      <c r="BS64" s="103" t="e">
        <f t="shared" si="230"/>
        <v>#N/A</v>
      </c>
      <c r="BT64" s="103" t="e">
        <f t="shared" si="231"/>
        <v>#N/A</v>
      </c>
      <c r="BU64" s="103" t="str">
        <f t="shared" si="232"/>
        <v xml:space="preserve"> </v>
      </c>
      <c r="BV64" s="103" t="str">
        <f t="shared" si="233"/>
        <v xml:space="preserve"> </v>
      </c>
      <c r="BW64" s="103" t="str">
        <f t="shared" si="234"/>
        <v xml:space="preserve"> </v>
      </c>
      <c r="BX64" s="103"/>
      <c r="BY64" s="103"/>
      <c r="BZ64" s="103"/>
      <c r="CA64" s="112" t="str">
        <f t="shared" si="235"/>
        <v xml:space="preserve"> </v>
      </c>
      <c r="CB64" s="123"/>
      <c r="CC64" s="101">
        <f t="shared" si="61"/>
        <v>180</v>
      </c>
      <c r="CD64" s="133" t="str">
        <f t="shared" si="62"/>
        <v>NGSA</v>
      </c>
      <c r="CE64" s="103" t="e">
        <f t="shared" si="236"/>
        <v>#N/A</v>
      </c>
      <c r="CF64" s="103" t="e">
        <f t="shared" si="237"/>
        <v>#N/A</v>
      </c>
      <c r="CG64" s="103" t="e">
        <f t="shared" si="238"/>
        <v>#N/A</v>
      </c>
      <c r="CH64" s="103" t="e">
        <f t="shared" si="239"/>
        <v>#N/A</v>
      </c>
      <c r="CI64" s="103" t="e">
        <f t="shared" si="240"/>
        <v>#N/A</v>
      </c>
      <c r="CJ64" s="103" t="e">
        <f t="shared" si="241"/>
        <v>#N/A</v>
      </c>
      <c r="CK64" s="103" t="e">
        <f t="shared" si="242"/>
        <v>#N/A</v>
      </c>
      <c r="CL64" s="103" t="e">
        <f t="shared" si="243"/>
        <v>#N/A</v>
      </c>
      <c r="CM64" s="103" t="e">
        <f t="shared" si="244"/>
        <v>#N/A</v>
      </c>
      <c r="CN64" s="103" t="str">
        <f t="shared" si="245"/>
        <v xml:space="preserve"> </v>
      </c>
      <c r="CO64" s="103" t="str">
        <f t="shared" si="246"/>
        <v xml:space="preserve"> </v>
      </c>
      <c r="CP64" s="103" t="str">
        <f t="shared" si="247"/>
        <v xml:space="preserve"> </v>
      </c>
      <c r="CQ64" s="103"/>
      <c r="CR64" s="103"/>
      <c r="CS64" s="103"/>
      <c r="CT64" s="112" t="str">
        <f t="shared" si="248"/>
        <v xml:space="preserve"> </v>
      </c>
      <c r="CU64" s="127"/>
      <c r="CV64" s="101">
        <f t="shared" si="76"/>
        <v>180</v>
      </c>
      <c r="CW64" s="133" t="str">
        <f t="shared" si="77"/>
        <v>NGSA</v>
      </c>
      <c r="CX64" s="223"/>
      <c r="CY64" s="223"/>
      <c r="CZ64" s="223"/>
      <c r="DA64" s="223"/>
      <c r="DB64" s="223"/>
      <c r="DC64" s="223"/>
      <c r="DD64" s="223"/>
      <c r="DE64" s="223"/>
      <c r="DF64" s="223"/>
      <c r="DG64" s="223">
        <f t="shared" si="249"/>
        <v>79</v>
      </c>
      <c r="DH64" s="223">
        <f t="shared" si="250"/>
        <v>58</v>
      </c>
      <c r="DI64" s="223">
        <f t="shared" si="251"/>
        <v>106</v>
      </c>
      <c r="DM64" s="224">
        <f t="shared" si="104"/>
        <v>81</v>
      </c>
    </row>
    <row r="65" spans="1:117" ht="15.75" x14ac:dyDescent="0.25">
      <c r="A65" s="136">
        <f t="shared" si="105"/>
        <v>219</v>
      </c>
      <c r="B65" s="136" t="str">
        <f t="shared" si="106"/>
        <v>NGSA</v>
      </c>
      <c r="C65" s="42" t="str">
        <f t="shared" si="25"/>
        <v xml:space="preserve"> </v>
      </c>
      <c r="D65" s="39" t="str">
        <f t="shared" si="26"/>
        <v xml:space="preserve"> </v>
      </c>
      <c r="E65" s="25" t="str">
        <f t="shared" si="27"/>
        <v xml:space="preserve"> </v>
      </c>
      <c r="F65" s="25" t="str">
        <f t="shared" si="28"/>
        <v xml:space="preserve"> </v>
      </c>
      <c r="G65" s="145" t="str">
        <f t="shared" si="29"/>
        <v xml:space="preserve"> </v>
      </c>
      <c r="I65" s="101">
        <v>219</v>
      </c>
      <c r="J65" s="133" t="s">
        <v>27</v>
      </c>
      <c r="K65" s="103" t="e">
        <f t="shared" si="184"/>
        <v>#N/A</v>
      </c>
      <c r="L65" s="103" t="e">
        <f t="shared" si="185"/>
        <v>#N/A</v>
      </c>
      <c r="M65" s="103" t="e">
        <f t="shared" si="186"/>
        <v>#N/A</v>
      </c>
      <c r="N65" s="103" t="e">
        <f t="shared" si="187"/>
        <v>#N/A</v>
      </c>
      <c r="O65" s="103" t="e">
        <f t="shared" si="188"/>
        <v>#N/A</v>
      </c>
      <c r="P65" s="103" t="e">
        <f t="shared" si="189"/>
        <v>#N/A</v>
      </c>
      <c r="Q65" s="103" t="e">
        <f t="shared" si="190"/>
        <v>#N/A</v>
      </c>
      <c r="R65" s="103" t="e">
        <f t="shared" si="191"/>
        <v>#N/A</v>
      </c>
      <c r="S65" s="103" t="e">
        <f t="shared" si="192"/>
        <v>#N/A</v>
      </c>
      <c r="T65" s="103">
        <f t="shared" si="193"/>
        <v>0</v>
      </c>
      <c r="U65" s="103">
        <f t="shared" si="194"/>
        <v>0</v>
      </c>
      <c r="V65" s="103">
        <f t="shared" si="195"/>
        <v>0</v>
      </c>
      <c r="W65" s="103"/>
      <c r="X65" s="103"/>
      <c r="Y65" s="103"/>
      <c r="Z65" s="112" t="str">
        <f t="shared" si="196"/>
        <v xml:space="preserve"> </v>
      </c>
      <c r="AA65" s="123"/>
      <c r="AB65" s="103" t="e">
        <f t="shared" si="197"/>
        <v>#N/A</v>
      </c>
      <c r="AC65" s="103" t="e">
        <f t="shared" si="198"/>
        <v>#N/A</v>
      </c>
      <c r="AD65" s="103" t="e">
        <f t="shared" si="199"/>
        <v>#N/A</v>
      </c>
      <c r="AE65" s="103" t="e">
        <f t="shared" si="200"/>
        <v>#N/A</v>
      </c>
      <c r="AF65" s="103" t="e">
        <f t="shared" si="201"/>
        <v>#N/A</v>
      </c>
      <c r="AG65" s="103" t="e">
        <f t="shared" si="202"/>
        <v>#N/A</v>
      </c>
      <c r="AH65" s="103" t="e">
        <f t="shared" si="203"/>
        <v>#N/A</v>
      </c>
      <c r="AI65" s="103" t="e">
        <f t="shared" si="204"/>
        <v>#N/A</v>
      </c>
      <c r="AJ65" s="103" t="e">
        <f t="shared" si="205"/>
        <v>#N/A</v>
      </c>
      <c r="AK65" s="103" t="str">
        <f t="shared" si="206"/>
        <v xml:space="preserve"> </v>
      </c>
      <c r="AL65" s="103" t="str">
        <f t="shared" si="207"/>
        <v xml:space="preserve"> </v>
      </c>
      <c r="AM65" s="103" t="str">
        <f t="shared" si="208"/>
        <v xml:space="preserve"> </v>
      </c>
      <c r="AN65" s="103"/>
      <c r="AO65" s="103"/>
      <c r="AP65" s="103"/>
      <c r="AQ65" s="112" t="str">
        <f t="shared" si="209"/>
        <v xml:space="preserve"> </v>
      </c>
      <c r="AR65" s="123"/>
      <c r="AS65" s="101">
        <f t="shared" si="8"/>
        <v>219</v>
      </c>
      <c r="AT65" s="133" t="str">
        <f t="shared" si="9"/>
        <v>NGSA</v>
      </c>
      <c r="AU65" s="103" t="e">
        <f t="shared" si="210"/>
        <v>#N/A</v>
      </c>
      <c r="AV65" s="103" t="e">
        <f t="shared" si="211"/>
        <v>#N/A</v>
      </c>
      <c r="AW65" s="103" t="e">
        <f t="shared" si="212"/>
        <v>#N/A</v>
      </c>
      <c r="AX65" s="103" t="e">
        <f t="shared" si="213"/>
        <v>#N/A</v>
      </c>
      <c r="AY65" s="103" t="e">
        <f t="shared" si="214"/>
        <v>#N/A</v>
      </c>
      <c r="AZ65" s="103" t="e">
        <f t="shared" si="215"/>
        <v>#N/A</v>
      </c>
      <c r="BA65" s="103" t="e">
        <f t="shared" si="216"/>
        <v>#N/A</v>
      </c>
      <c r="BB65" s="103" t="e">
        <f t="shared" si="217"/>
        <v>#N/A</v>
      </c>
      <c r="BC65" s="103" t="e">
        <f t="shared" si="218"/>
        <v>#N/A</v>
      </c>
      <c r="BD65" s="103" t="str">
        <f t="shared" si="219"/>
        <v xml:space="preserve"> </v>
      </c>
      <c r="BE65" s="103" t="str">
        <f t="shared" si="220"/>
        <v xml:space="preserve"> </v>
      </c>
      <c r="BF65" s="103" t="str">
        <f t="shared" si="221"/>
        <v xml:space="preserve"> </v>
      </c>
      <c r="BG65" s="103"/>
      <c r="BH65" s="103"/>
      <c r="BI65" s="103"/>
      <c r="BJ65" s="112" t="str">
        <f t="shared" si="222"/>
        <v xml:space="preserve"> </v>
      </c>
      <c r="BK65" s="123"/>
      <c r="BL65" s="103" t="e">
        <f t="shared" si="223"/>
        <v>#N/A</v>
      </c>
      <c r="BM65" s="103" t="e">
        <f t="shared" si="224"/>
        <v>#N/A</v>
      </c>
      <c r="BN65" s="103" t="e">
        <f t="shared" si="225"/>
        <v>#N/A</v>
      </c>
      <c r="BO65" s="103" t="e">
        <f t="shared" si="226"/>
        <v>#N/A</v>
      </c>
      <c r="BP65" s="103" t="e">
        <f t="shared" si="227"/>
        <v>#N/A</v>
      </c>
      <c r="BQ65" s="103" t="e">
        <f t="shared" si="228"/>
        <v>#N/A</v>
      </c>
      <c r="BR65" s="103" t="e">
        <f t="shared" si="229"/>
        <v>#N/A</v>
      </c>
      <c r="BS65" s="103" t="e">
        <f t="shared" si="230"/>
        <v>#N/A</v>
      </c>
      <c r="BT65" s="103" t="e">
        <f t="shared" si="231"/>
        <v>#N/A</v>
      </c>
      <c r="BU65" s="103" t="str">
        <f t="shared" si="232"/>
        <v xml:space="preserve"> </v>
      </c>
      <c r="BV65" s="103" t="str">
        <f t="shared" si="233"/>
        <v xml:space="preserve"> </v>
      </c>
      <c r="BW65" s="103" t="str">
        <f t="shared" si="234"/>
        <v xml:space="preserve"> </v>
      </c>
      <c r="BX65" s="103"/>
      <c r="BY65" s="103"/>
      <c r="BZ65" s="103"/>
      <c r="CA65" s="112" t="str">
        <f t="shared" si="235"/>
        <v xml:space="preserve"> </v>
      </c>
      <c r="CB65" s="123"/>
      <c r="CC65" s="101">
        <f t="shared" si="61"/>
        <v>219</v>
      </c>
      <c r="CD65" s="133" t="str">
        <f t="shared" si="62"/>
        <v>NGSA</v>
      </c>
      <c r="CE65" s="103" t="e">
        <f t="shared" si="236"/>
        <v>#N/A</v>
      </c>
      <c r="CF65" s="103" t="e">
        <f t="shared" si="237"/>
        <v>#N/A</v>
      </c>
      <c r="CG65" s="103" t="e">
        <f t="shared" si="238"/>
        <v>#N/A</v>
      </c>
      <c r="CH65" s="103" t="e">
        <f t="shared" si="239"/>
        <v>#N/A</v>
      </c>
      <c r="CI65" s="103" t="e">
        <f t="shared" si="240"/>
        <v>#N/A</v>
      </c>
      <c r="CJ65" s="103" t="e">
        <f t="shared" si="241"/>
        <v>#N/A</v>
      </c>
      <c r="CK65" s="103" t="e">
        <f t="shared" si="242"/>
        <v>#N/A</v>
      </c>
      <c r="CL65" s="103" t="e">
        <f t="shared" si="243"/>
        <v>#N/A</v>
      </c>
      <c r="CM65" s="103" t="e">
        <f t="shared" si="244"/>
        <v>#N/A</v>
      </c>
      <c r="CN65" s="103" t="str">
        <f t="shared" si="245"/>
        <v xml:space="preserve"> </v>
      </c>
      <c r="CO65" s="103" t="str">
        <f t="shared" si="246"/>
        <v xml:space="preserve"> </v>
      </c>
      <c r="CP65" s="103" t="str">
        <f t="shared" si="247"/>
        <v xml:space="preserve"> </v>
      </c>
      <c r="CQ65" s="103"/>
      <c r="CR65" s="103"/>
      <c r="CS65" s="103"/>
      <c r="CT65" s="112" t="str">
        <f t="shared" si="248"/>
        <v xml:space="preserve"> </v>
      </c>
      <c r="CU65" s="127"/>
      <c r="CV65" s="101">
        <f t="shared" si="76"/>
        <v>219</v>
      </c>
      <c r="CW65" s="133" t="str">
        <f t="shared" si="77"/>
        <v>NGSA</v>
      </c>
      <c r="CX65" s="223"/>
      <c r="CY65" s="223"/>
      <c r="CZ65" s="223"/>
      <c r="DA65" s="223"/>
      <c r="DB65" s="223"/>
      <c r="DC65" s="223"/>
      <c r="DD65" s="223"/>
      <c r="DE65" s="223"/>
      <c r="DF65" s="223"/>
      <c r="DG65" s="223">
        <f t="shared" si="249"/>
        <v>52</v>
      </c>
      <c r="DH65" s="223">
        <f t="shared" si="250"/>
        <v>63</v>
      </c>
      <c r="DI65" s="223">
        <f t="shared" si="251"/>
        <v>43</v>
      </c>
      <c r="DM65" s="224">
        <f t="shared" si="104"/>
        <v>52.666666666666664</v>
      </c>
    </row>
    <row r="66" spans="1:117" ht="15.75" x14ac:dyDescent="0.25">
      <c r="A66" s="136">
        <f t="shared" si="105"/>
        <v>220</v>
      </c>
      <c r="B66" s="136" t="str">
        <f t="shared" si="106"/>
        <v>NGSA</v>
      </c>
      <c r="C66" s="42" t="str">
        <f t="shared" si="25"/>
        <v xml:space="preserve"> </v>
      </c>
      <c r="D66" s="39" t="str">
        <f t="shared" si="26"/>
        <v xml:space="preserve"> </v>
      </c>
      <c r="E66" s="25" t="str">
        <f t="shared" si="27"/>
        <v xml:space="preserve"> </v>
      </c>
      <c r="F66" s="25" t="str">
        <f t="shared" si="28"/>
        <v xml:space="preserve"> </v>
      </c>
      <c r="G66" s="145" t="str">
        <f t="shared" si="29"/>
        <v xml:space="preserve"> </v>
      </c>
      <c r="I66" s="101">
        <v>220</v>
      </c>
      <c r="J66" s="133" t="s">
        <v>27</v>
      </c>
      <c r="K66" s="103" t="e">
        <f t="shared" si="184"/>
        <v>#N/A</v>
      </c>
      <c r="L66" s="103" t="e">
        <f t="shared" si="185"/>
        <v>#N/A</v>
      </c>
      <c r="M66" s="103" t="e">
        <f t="shared" si="186"/>
        <v>#N/A</v>
      </c>
      <c r="N66" s="103" t="e">
        <f t="shared" si="187"/>
        <v>#N/A</v>
      </c>
      <c r="O66" s="103" t="e">
        <f t="shared" si="188"/>
        <v>#N/A</v>
      </c>
      <c r="P66" s="103" t="e">
        <f t="shared" si="189"/>
        <v>#N/A</v>
      </c>
      <c r="Q66" s="103" t="e">
        <f t="shared" si="190"/>
        <v>#N/A</v>
      </c>
      <c r="R66" s="103" t="e">
        <f t="shared" si="191"/>
        <v>#N/A</v>
      </c>
      <c r="S66" s="103" t="e">
        <f t="shared" si="192"/>
        <v>#N/A</v>
      </c>
      <c r="T66" s="103">
        <f t="shared" si="193"/>
        <v>0</v>
      </c>
      <c r="U66" s="103">
        <f t="shared" si="194"/>
        <v>0</v>
      </c>
      <c r="V66" s="103">
        <f t="shared" si="195"/>
        <v>0</v>
      </c>
      <c r="W66" s="103"/>
      <c r="X66" s="103"/>
      <c r="Y66" s="103"/>
      <c r="Z66" s="112" t="str">
        <f t="shared" si="196"/>
        <v xml:space="preserve"> </v>
      </c>
      <c r="AA66" s="123"/>
      <c r="AB66" s="103" t="e">
        <f t="shared" si="197"/>
        <v>#N/A</v>
      </c>
      <c r="AC66" s="103" t="e">
        <f t="shared" si="198"/>
        <v>#N/A</v>
      </c>
      <c r="AD66" s="103" t="e">
        <f t="shared" si="199"/>
        <v>#N/A</v>
      </c>
      <c r="AE66" s="103" t="e">
        <f t="shared" si="200"/>
        <v>#N/A</v>
      </c>
      <c r="AF66" s="103" t="e">
        <f t="shared" si="201"/>
        <v>#N/A</v>
      </c>
      <c r="AG66" s="103" t="e">
        <f t="shared" si="202"/>
        <v>#N/A</v>
      </c>
      <c r="AH66" s="103" t="e">
        <f t="shared" si="203"/>
        <v>#N/A</v>
      </c>
      <c r="AI66" s="103" t="e">
        <f t="shared" si="204"/>
        <v>#N/A</v>
      </c>
      <c r="AJ66" s="103" t="e">
        <f t="shared" si="205"/>
        <v>#N/A</v>
      </c>
      <c r="AK66" s="103" t="str">
        <f t="shared" si="206"/>
        <v xml:space="preserve"> </v>
      </c>
      <c r="AL66" s="103" t="str">
        <f t="shared" si="207"/>
        <v xml:space="preserve"> </v>
      </c>
      <c r="AM66" s="103" t="str">
        <f t="shared" si="208"/>
        <v xml:space="preserve"> </v>
      </c>
      <c r="AN66" s="103"/>
      <c r="AO66" s="103"/>
      <c r="AP66" s="103"/>
      <c r="AQ66" s="112" t="str">
        <f t="shared" si="209"/>
        <v xml:space="preserve"> </v>
      </c>
      <c r="AR66" s="123"/>
      <c r="AS66" s="101">
        <f t="shared" si="8"/>
        <v>220</v>
      </c>
      <c r="AT66" s="133" t="str">
        <f t="shared" si="9"/>
        <v>NGSA</v>
      </c>
      <c r="AU66" s="103" t="e">
        <f t="shared" si="210"/>
        <v>#N/A</v>
      </c>
      <c r="AV66" s="103" t="e">
        <f t="shared" si="211"/>
        <v>#N/A</v>
      </c>
      <c r="AW66" s="103" t="e">
        <f t="shared" si="212"/>
        <v>#N/A</v>
      </c>
      <c r="AX66" s="103" t="e">
        <f t="shared" si="213"/>
        <v>#N/A</v>
      </c>
      <c r="AY66" s="103" t="e">
        <f t="shared" si="214"/>
        <v>#N/A</v>
      </c>
      <c r="AZ66" s="103" t="e">
        <f t="shared" si="215"/>
        <v>#N/A</v>
      </c>
      <c r="BA66" s="103" t="e">
        <f t="shared" si="216"/>
        <v>#N/A</v>
      </c>
      <c r="BB66" s="103" t="e">
        <f t="shared" si="217"/>
        <v>#N/A</v>
      </c>
      <c r="BC66" s="103" t="e">
        <f t="shared" si="218"/>
        <v>#N/A</v>
      </c>
      <c r="BD66" s="103" t="str">
        <f t="shared" si="219"/>
        <v xml:space="preserve"> </v>
      </c>
      <c r="BE66" s="103" t="str">
        <f t="shared" si="220"/>
        <v xml:space="preserve"> </v>
      </c>
      <c r="BF66" s="103" t="str">
        <f t="shared" si="221"/>
        <v xml:space="preserve"> </v>
      </c>
      <c r="BG66" s="103"/>
      <c r="BH66" s="103"/>
      <c r="BI66" s="103"/>
      <c r="BJ66" s="112" t="str">
        <f t="shared" si="222"/>
        <v xml:space="preserve"> </v>
      </c>
      <c r="BK66" s="123"/>
      <c r="BL66" s="103" t="e">
        <f t="shared" si="223"/>
        <v>#N/A</v>
      </c>
      <c r="BM66" s="103" t="e">
        <f t="shared" si="224"/>
        <v>#N/A</v>
      </c>
      <c r="BN66" s="103" t="e">
        <f t="shared" si="225"/>
        <v>#N/A</v>
      </c>
      <c r="BO66" s="103" t="e">
        <f t="shared" si="226"/>
        <v>#N/A</v>
      </c>
      <c r="BP66" s="103" t="e">
        <f t="shared" si="227"/>
        <v>#N/A</v>
      </c>
      <c r="BQ66" s="103" t="e">
        <f t="shared" si="228"/>
        <v>#N/A</v>
      </c>
      <c r="BR66" s="103" t="e">
        <f t="shared" si="229"/>
        <v>#N/A</v>
      </c>
      <c r="BS66" s="103" t="e">
        <f t="shared" si="230"/>
        <v>#N/A</v>
      </c>
      <c r="BT66" s="103" t="e">
        <f t="shared" si="231"/>
        <v>#N/A</v>
      </c>
      <c r="BU66" s="103" t="str">
        <f t="shared" si="232"/>
        <v xml:space="preserve"> </v>
      </c>
      <c r="BV66" s="103" t="str">
        <f t="shared" si="233"/>
        <v xml:space="preserve"> </v>
      </c>
      <c r="BW66" s="103" t="str">
        <f t="shared" si="234"/>
        <v xml:space="preserve"> </v>
      </c>
      <c r="BX66" s="103"/>
      <c r="BY66" s="103"/>
      <c r="BZ66" s="103"/>
      <c r="CA66" s="112" t="str">
        <f t="shared" si="235"/>
        <v xml:space="preserve"> </v>
      </c>
      <c r="CB66" s="123"/>
      <c r="CC66" s="101">
        <f t="shared" si="61"/>
        <v>220</v>
      </c>
      <c r="CD66" s="133" t="str">
        <f t="shared" si="62"/>
        <v>NGSA</v>
      </c>
      <c r="CE66" s="103" t="e">
        <f t="shared" si="236"/>
        <v>#N/A</v>
      </c>
      <c r="CF66" s="103" t="e">
        <f t="shared" si="237"/>
        <v>#N/A</v>
      </c>
      <c r="CG66" s="103" t="e">
        <f t="shared" si="238"/>
        <v>#N/A</v>
      </c>
      <c r="CH66" s="103" t="e">
        <f t="shared" si="239"/>
        <v>#N/A</v>
      </c>
      <c r="CI66" s="103" t="e">
        <f t="shared" si="240"/>
        <v>#N/A</v>
      </c>
      <c r="CJ66" s="103" t="e">
        <f t="shared" si="241"/>
        <v>#N/A</v>
      </c>
      <c r="CK66" s="103" t="e">
        <f t="shared" si="242"/>
        <v>#N/A</v>
      </c>
      <c r="CL66" s="103" t="e">
        <f t="shared" si="243"/>
        <v>#N/A</v>
      </c>
      <c r="CM66" s="103" t="e">
        <f t="shared" si="244"/>
        <v>#N/A</v>
      </c>
      <c r="CN66" s="103" t="str">
        <f t="shared" si="245"/>
        <v xml:space="preserve"> </v>
      </c>
      <c r="CO66" s="103" t="str">
        <f t="shared" si="246"/>
        <v xml:space="preserve"> </v>
      </c>
      <c r="CP66" s="103" t="str">
        <f t="shared" si="247"/>
        <v xml:space="preserve"> </v>
      </c>
      <c r="CQ66" s="103"/>
      <c r="CR66" s="103"/>
      <c r="CS66" s="103"/>
      <c r="CT66" s="112" t="str">
        <f t="shared" si="248"/>
        <v xml:space="preserve"> </v>
      </c>
      <c r="CU66" s="127"/>
      <c r="CV66" s="101">
        <f t="shared" si="76"/>
        <v>220</v>
      </c>
      <c r="CW66" s="133" t="str">
        <f t="shared" si="77"/>
        <v>NGSA</v>
      </c>
      <c r="CX66" s="223"/>
      <c r="CY66" s="223"/>
      <c r="CZ66" s="223"/>
      <c r="DA66" s="223"/>
      <c r="DB66" s="223"/>
      <c r="DC66" s="223"/>
      <c r="DD66" s="223"/>
      <c r="DE66" s="223"/>
      <c r="DF66" s="223"/>
      <c r="DG66" s="223">
        <f t="shared" si="249"/>
        <v>23</v>
      </c>
      <c r="DH66" s="223">
        <f t="shared" si="250"/>
        <v>21</v>
      </c>
      <c r="DI66" s="223">
        <f t="shared" si="251"/>
        <v>21</v>
      </c>
      <c r="DM66" s="224">
        <f t="shared" si="104"/>
        <v>21.666666666666668</v>
      </c>
    </row>
    <row r="67" spans="1:117" ht="15.75" x14ac:dyDescent="0.25">
      <c r="A67" s="136">
        <f t="shared" si="105"/>
        <v>263</v>
      </c>
      <c r="B67" s="136" t="str">
        <f t="shared" si="106"/>
        <v>NGSA</v>
      </c>
      <c r="C67" s="42" t="str">
        <f t="shared" si="25"/>
        <v xml:space="preserve"> </v>
      </c>
      <c r="D67" s="39" t="str">
        <f t="shared" si="26"/>
        <v xml:space="preserve"> </v>
      </c>
      <c r="E67" s="25" t="str">
        <f t="shared" si="27"/>
        <v xml:space="preserve"> </v>
      </c>
      <c r="F67" s="25" t="str">
        <f t="shared" si="28"/>
        <v xml:space="preserve"> </v>
      </c>
      <c r="G67" s="145" t="str">
        <f t="shared" si="29"/>
        <v xml:space="preserve"> </v>
      </c>
      <c r="I67" s="101">
        <v>263</v>
      </c>
      <c r="J67" s="133" t="s">
        <v>27</v>
      </c>
      <c r="K67" s="103" t="e">
        <f t="shared" si="184"/>
        <v>#N/A</v>
      </c>
      <c r="L67" s="103" t="e">
        <f t="shared" si="185"/>
        <v>#N/A</v>
      </c>
      <c r="M67" s="103" t="e">
        <f t="shared" si="186"/>
        <v>#N/A</v>
      </c>
      <c r="N67" s="103" t="e">
        <f t="shared" si="187"/>
        <v>#N/A</v>
      </c>
      <c r="O67" s="103" t="e">
        <f t="shared" si="188"/>
        <v>#N/A</v>
      </c>
      <c r="P67" s="103" t="e">
        <f t="shared" si="189"/>
        <v>#N/A</v>
      </c>
      <c r="Q67" s="103" t="e">
        <f t="shared" si="190"/>
        <v>#N/A</v>
      </c>
      <c r="R67" s="103" t="e">
        <f t="shared" si="191"/>
        <v>#N/A</v>
      </c>
      <c r="S67" s="103" t="e">
        <f t="shared" si="192"/>
        <v>#N/A</v>
      </c>
      <c r="T67" s="103">
        <f t="shared" si="193"/>
        <v>0</v>
      </c>
      <c r="U67" s="103">
        <f t="shared" si="194"/>
        <v>0</v>
      </c>
      <c r="V67" s="103">
        <f t="shared" si="195"/>
        <v>0</v>
      </c>
      <c r="W67" s="103"/>
      <c r="X67" s="103"/>
      <c r="Y67" s="103"/>
      <c r="Z67" s="112" t="str">
        <f t="shared" si="196"/>
        <v xml:space="preserve"> </v>
      </c>
      <c r="AA67" s="123"/>
      <c r="AB67" s="103" t="e">
        <f t="shared" si="197"/>
        <v>#N/A</v>
      </c>
      <c r="AC67" s="103" t="e">
        <f t="shared" si="198"/>
        <v>#N/A</v>
      </c>
      <c r="AD67" s="103" t="e">
        <f t="shared" si="199"/>
        <v>#N/A</v>
      </c>
      <c r="AE67" s="103" t="e">
        <f t="shared" si="200"/>
        <v>#N/A</v>
      </c>
      <c r="AF67" s="103" t="e">
        <f t="shared" si="201"/>
        <v>#N/A</v>
      </c>
      <c r="AG67" s="103" t="e">
        <f t="shared" si="202"/>
        <v>#N/A</v>
      </c>
      <c r="AH67" s="103" t="e">
        <f t="shared" si="203"/>
        <v>#N/A</v>
      </c>
      <c r="AI67" s="103" t="e">
        <f t="shared" si="204"/>
        <v>#N/A</v>
      </c>
      <c r="AJ67" s="103" t="e">
        <f t="shared" si="205"/>
        <v>#N/A</v>
      </c>
      <c r="AK67" s="103">
        <f t="shared" si="206"/>
        <v>0</v>
      </c>
      <c r="AL67" s="103">
        <f t="shared" si="207"/>
        <v>0</v>
      </c>
      <c r="AM67" s="103">
        <f t="shared" si="208"/>
        <v>0</v>
      </c>
      <c r="AN67" s="103"/>
      <c r="AO67" s="103"/>
      <c r="AP67" s="103"/>
      <c r="AQ67" s="112" t="str">
        <f t="shared" si="209"/>
        <v xml:space="preserve"> </v>
      </c>
      <c r="AR67" s="123"/>
      <c r="AS67" s="101">
        <f t="shared" si="8"/>
        <v>263</v>
      </c>
      <c r="AT67" s="133" t="str">
        <f t="shared" si="9"/>
        <v>NGSA</v>
      </c>
      <c r="AU67" s="103" t="e">
        <f t="shared" si="210"/>
        <v>#N/A</v>
      </c>
      <c r="AV67" s="103" t="e">
        <f t="shared" si="211"/>
        <v>#N/A</v>
      </c>
      <c r="AW67" s="103" t="e">
        <f t="shared" si="212"/>
        <v>#N/A</v>
      </c>
      <c r="AX67" s="103" t="e">
        <f t="shared" si="213"/>
        <v>#N/A</v>
      </c>
      <c r="AY67" s="103" t="e">
        <f t="shared" si="214"/>
        <v>#N/A</v>
      </c>
      <c r="AZ67" s="103" t="e">
        <f t="shared" si="215"/>
        <v>#N/A</v>
      </c>
      <c r="BA67" s="103" t="e">
        <f t="shared" si="216"/>
        <v>#N/A</v>
      </c>
      <c r="BB67" s="103" t="e">
        <f t="shared" si="217"/>
        <v>#N/A</v>
      </c>
      <c r="BC67" s="103" t="e">
        <f t="shared" si="218"/>
        <v>#N/A</v>
      </c>
      <c r="BD67" s="103">
        <f t="shared" si="219"/>
        <v>0</v>
      </c>
      <c r="BE67" s="103">
        <f t="shared" si="220"/>
        <v>0</v>
      </c>
      <c r="BF67" s="103">
        <f t="shared" si="221"/>
        <v>0</v>
      </c>
      <c r="BG67" s="103"/>
      <c r="BH67" s="103"/>
      <c r="BI67" s="103"/>
      <c r="BJ67" s="112" t="str">
        <f t="shared" si="222"/>
        <v xml:space="preserve"> </v>
      </c>
      <c r="BK67" s="123"/>
      <c r="BL67" s="103" t="e">
        <f t="shared" si="223"/>
        <v>#N/A</v>
      </c>
      <c r="BM67" s="103" t="e">
        <f t="shared" si="224"/>
        <v>#N/A</v>
      </c>
      <c r="BN67" s="103" t="e">
        <f t="shared" si="225"/>
        <v>#N/A</v>
      </c>
      <c r="BO67" s="103" t="e">
        <f t="shared" si="226"/>
        <v>#N/A</v>
      </c>
      <c r="BP67" s="103" t="e">
        <f t="shared" si="227"/>
        <v>#N/A</v>
      </c>
      <c r="BQ67" s="103" t="e">
        <f t="shared" si="228"/>
        <v>#N/A</v>
      </c>
      <c r="BR67" s="103" t="e">
        <f t="shared" si="229"/>
        <v>#N/A</v>
      </c>
      <c r="BS67" s="103" t="e">
        <f t="shared" si="230"/>
        <v>#N/A</v>
      </c>
      <c r="BT67" s="103" t="e">
        <f t="shared" si="231"/>
        <v>#N/A</v>
      </c>
      <c r="BU67" s="103" t="str">
        <f t="shared" si="232"/>
        <v xml:space="preserve"> </v>
      </c>
      <c r="BV67" s="103" t="str">
        <f t="shared" si="233"/>
        <v xml:space="preserve"> </v>
      </c>
      <c r="BW67" s="103" t="str">
        <f t="shared" si="234"/>
        <v xml:space="preserve"> </v>
      </c>
      <c r="BX67" s="103"/>
      <c r="BY67" s="103"/>
      <c r="BZ67" s="103"/>
      <c r="CA67" s="112" t="str">
        <f t="shared" si="235"/>
        <v xml:space="preserve"> </v>
      </c>
      <c r="CB67" s="123"/>
      <c r="CC67" s="101">
        <f t="shared" si="61"/>
        <v>263</v>
      </c>
      <c r="CD67" s="133" t="str">
        <f t="shared" si="62"/>
        <v>NGSA</v>
      </c>
      <c r="CE67" s="103" t="e">
        <f t="shared" si="236"/>
        <v>#N/A</v>
      </c>
      <c r="CF67" s="103" t="e">
        <f t="shared" si="237"/>
        <v>#N/A</v>
      </c>
      <c r="CG67" s="103" t="e">
        <f t="shared" si="238"/>
        <v>#N/A</v>
      </c>
      <c r="CH67" s="103" t="e">
        <f t="shared" si="239"/>
        <v>#N/A</v>
      </c>
      <c r="CI67" s="103" t="e">
        <f t="shared" si="240"/>
        <v>#N/A</v>
      </c>
      <c r="CJ67" s="103" t="e">
        <f t="shared" si="241"/>
        <v>#N/A</v>
      </c>
      <c r="CK67" s="103" t="e">
        <f t="shared" si="242"/>
        <v>#N/A</v>
      </c>
      <c r="CL67" s="103" t="e">
        <f t="shared" si="243"/>
        <v>#N/A</v>
      </c>
      <c r="CM67" s="103" t="e">
        <f t="shared" si="244"/>
        <v>#N/A</v>
      </c>
      <c r="CN67" s="103" t="str">
        <f t="shared" si="245"/>
        <v xml:space="preserve"> </v>
      </c>
      <c r="CO67" s="103" t="str">
        <f t="shared" si="246"/>
        <v xml:space="preserve"> </v>
      </c>
      <c r="CP67" s="103" t="str">
        <f t="shared" si="247"/>
        <v xml:space="preserve"> </v>
      </c>
      <c r="CQ67" s="103"/>
      <c r="CR67" s="103"/>
      <c r="CS67" s="103"/>
      <c r="CT67" s="112" t="str">
        <f t="shared" si="248"/>
        <v xml:space="preserve"> </v>
      </c>
      <c r="CU67" s="127"/>
      <c r="CV67" s="101">
        <f t="shared" si="76"/>
        <v>263</v>
      </c>
      <c r="CW67" s="133" t="str">
        <f t="shared" si="77"/>
        <v>NGSA</v>
      </c>
      <c r="CX67" s="223"/>
      <c r="CY67" s="223"/>
      <c r="CZ67" s="223"/>
      <c r="DA67" s="223"/>
      <c r="DB67" s="223"/>
      <c r="DC67" s="223"/>
      <c r="DD67" s="223"/>
      <c r="DE67" s="223"/>
      <c r="DF67" s="223"/>
      <c r="DG67" s="223">
        <f t="shared" si="249"/>
        <v>0</v>
      </c>
      <c r="DH67" s="223">
        <f t="shared" si="250"/>
        <v>0</v>
      </c>
      <c r="DI67" s="223">
        <f t="shared" si="251"/>
        <v>54</v>
      </c>
      <c r="DM67" s="224">
        <f t="shared" si="104"/>
        <v>18</v>
      </c>
    </row>
    <row r="68" spans="1:117" ht="15.75" x14ac:dyDescent="0.25">
      <c r="A68" s="136">
        <f t="shared" si="105"/>
        <v>265</v>
      </c>
      <c r="B68" s="136" t="str">
        <f t="shared" si="106"/>
        <v>NGSA</v>
      </c>
      <c r="C68" s="42" t="str">
        <f t="shared" si="25"/>
        <v xml:space="preserve"> </v>
      </c>
      <c r="D68" s="39" t="str">
        <f t="shared" si="26"/>
        <v xml:space="preserve"> </v>
      </c>
      <c r="E68" s="25" t="str">
        <f t="shared" si="27"/>
        <v xml:space="preserve"> </v>
      </c>
      <c r="F68" s="25" t="str">
        <f t="shared" si="28"/>
        <v xml:space="preserve"> </v>
      </c>
      <c r="G68" s="145" t="str">
        <f t="shared" si="29"/>
        <v xml:space="preserve"> </v>
      </c>
      <c r="I68" s="101">
        <v>265</v>
      </c>
      <c r="J68" s="133" t="s">
        <v>27</v>
      </c>
      <c r="K68" s="103" t="e">
        <f t="shared" si="184"/>
        <v>#N/A</v>
      </c>
      <c r="L68" s="103" t="e">
        <f t="shared" si="185"/>
        <v>#N/A</v>
      </c>
      <c r="M68" s="103" t="e">
        <f t="shared" si="186"/>
        <v>#N/A</v>
      </c>
      <c r="N68" s="103" t="e">
        <f t="shared" si="187"/>
        <v>#N/A</v>
      </c>
      <c r="O68" s="103" t="e">
        <f t="shared" si="188"/>
        <v>#N/A</v>
      </c>
      <c r="P68" s="103" t="e">
        <f t="shared" si="189"/>
        <v>#N/A</v>
      </c>
      <c r="Q68" s="103" t="e">
        <f t="shared" si="190"/>
        <v>#N/A</v>
      </c>
      <c r="R68" s="103" t="e">
        <f t="shared" si="191"/>
        <v>#N/A</v>
      </c>
      <c r="S68" s="103" t="e">
        <f t="shared" si="192"/>
        <v>#N/A</v>
      </c>
      <c r="T68" s="103">
        <f t="shared" si="193"/>
        <v>0</v>
      </c>
      <c r="U68" s="103">
        <f t="shared" si="194"/>
        <v>0</v>
      </c>
      <c r="V68" s="103">
        <f t="shared" si="195"/>
        <v>0</v>
      </c>
      <c r="W68" s="103"/>
      <c r="X68" s="103"/>
      <c r="Y68" s="103"/>
      <c r="Z68" s="112" t="str">
        <f t="shared" si="196"/>
        <v xml:space="preserve"> </v>
      </c>
      <c r="AA68" s="123"/>
      <c r="AB68" s="103" t="e">
        <f t="shared" si="197"/>
        <v>#N/A</v>
      </c>
      <c r="AC68" s="103" t="e">
        <f t="shared" si="198"/>
        <v>#N/A</v>
      </c>
      <c r="AD68" s="103" t="e">
        <f t="shared" si="199"/>
        <v>#N/A</v>
      </c>
      <c r="AE68" s="103" t="e">
        <f t="shared" si="200"/>
        <v>#N/A</v>
      </c>
      <c r="AF68" s="103" t="e">
        <f t="shared" si="201"/>
        <v>#N/A</v>
      </c>
      <c r="AG68" s="103" t="e">
        <f t="shared" si="202"/>
        <v>#N/A</v>
      </c>
      <c r="AH68" s="103" t="e">
        <f t="shared" si="203"/>
        <v>#N/A</v>
      </c>
      <c r="AI68" s="103" t="e">
        <f t="shared" si="204"/>
        <v>#N/A</v>
      </c>
      <c r="AJ68" s="103" t="e">
        <f t="shared" si="205"/>
        <v>#N/A</v>
      </c>
      <c r="AK68" s="103" t="str">
        <f t="shared" si="206"/>
        <v xml:space="preserve"> </v>
      </c>
      <c r="AL68" s="103" t="str">
        <f t="shared" si="207"/>
        <v xml:space="preserve"> </v>
      </c>
      <c r="AM68" s="103" t="str">
        <f t="shared" si="208"/>
        <v xml:space="preserve"> </v>
      </c>
      <c r="AN68" s="103"/>
      <c r="AO68" s="103"/>
      <c r="AP68" s="103"/>
      <c r="AQ68" s="112" t="str">
        <f t="shared" si="209"/>
        <v xml:space="preserve"> </v>
      </c>
      <c r="AR68" s="123"/>
      <c r="AS68" s="101">
        <f t="shared" si="8"/>
        <v>265</v>
      </c>
      <c r="AT68" s="133" t="str">
        <f t="shared" si="9"/>
        <v>NGSA</v>
      </c>
      <c r="AU68" s="103" t="e">
        <f t="shared" si="210"/>
        <v>#N/A</v>
      </c>
      <c r="AV68" s="103" t="e">
        <f t="shared" si="211"/>
        <v>#N/A</v>
      </c>
      <c r="AW68" s="103" t="e">
        <f t="shared" si="212"/>
        <v>#N/A</v>
      </c>
      <c r="AX68" s="103" t="e">
        <f t="shared" si="213"/>
        <v>#N/A</v>
      </c>
      <c r="AY68" s="103" t="e">
        <f t="shared" si="214"/>
        <v>#N/A</v>
      </c>
      <c r="AZ68" s="103" t="e">
        <f t="shared" si="215"/>
        <v>#N/A</v>
      </c>
      <c r="BA68" s="103" t="e">
        <f t="shared" si="216"/>
        <v>#N/A</v>
      </c>
      <c r="BB68" s="103" t="e">
        <f t="shared" si="217"/>
        <v>#N/A</v>
      </c>
      <c r="BC68" s="103" t="e">
        <f t="shared" si="218"/>
        <v>#N/A</v>
      </c>
      <c r="BD68" s="103" t="str">
        <f t="shared" si="219"/>
        <v xml:space="preserve"> </v>
      </c>
      <c r="BE68" s="103" t="str">
        <f t="shared" si="220"/>
        <v xml:space="preserve"> </v>
      </c>
      <c r="BF68" s="103" t="str">
        <f t="shared" si="221"/>
        <v xml:space="preserve"> </v>
      </c>
      <c r="BG68" s="103"/>
      <c r="BH68" s="103"/>
      <c r="BI68" s="103"/>
      <c r="BJ68" s="112" t="str">
        <f t="shared" si="222"/>
        <v xml:space="preserve"> </v>
      </c>
      <c r="BK68" s="123"/>
      <c r="BL68" s="103" t="e">
        <f t="shared" si="223"/>
        <v>#N/A</v>
      </c>
      <c r="BM68" s="103" t="e">
        <f t="shared" si="224"/>
        <v>#N/A</v>
      </c>
      <c r="BN68" s="103" t="e">
        <f t="shared" si="225"/>
        <v>#N/A</v>
      </c>
      <c r="BO68" s="103" t="e">
        <f t="shared" si="226"/>
        <v>#N/A</v>
      </c>
      <c r="BP68" s="103" t="e">
        <f t="shared" si="227"/>
        <v>#N/A</v>
      </c>
      <c r="BQ68" s="103" t="e">
        <f t="shared" si="228"/>
        <v>#N/A</v>
      </c>
      <c r="BR68" s="103" t="e">
        <f t="shared" si="229"/>
        <v>#N/A</v>
      </c>
      <c r="BS68" s="103" t="e">
        <f t="shared" si="230"/>
        <v>#N/A</v>
      </c>
      <c r="BT68" s="103" t="e">
        <f t="shared" si="231"/>
        <v>#N/A</v>
      </c>
      <c r="BU68" s="103" t="str">
        <f t="shared" si="232"/>
        <v xml:space="preserve"> </v>
      </c>
      <c r="BV68" s="103" t="str">
        <f t="shared" si="233"/>
        <v xml:space="preserve"> </v>
      </c>
      <c r="BW68" s="103" t="str">
        <f t="shared" si="234"/>
        <v xml:space="preserve"> </v>
      </c>
      <c r="BX68" s="103"/>
      <c r="BY68" s="103"/>
      <c r="BZ68" s="103"/>
      <c r="CA68" s="112" t="str">
        <f t="shared" si="235"/>
        <v xml:space="preserve"> </v>
      </c>
      <c r="CB68" s="123"/>
      <c r="CC68" s="101">
        <f t="shared" si="61"/>
        <v>265</v>
      </c>
      <c r="CD68" s="133" t="str">
        <f t="shared" si="62"/>
        <v>NGSA</v>
      </c>
      <c r="CE68" s="103" t="e">
        <f t="shared" si="236"/>
        <v>#N/A</v>
      </c>
      <c r="CF68" s="103" t="e">
        <f t="shared" si="237"/>
        <v>#N/A</v>
      </c>
      <c r="CG68" s="103" t="e">
        <f t="shared" si="238"/>
        <v>#N/A</v>
      </c>
      <c r="CH68" s="103" t="e">
        <f t="shared" si="239"/>
        <v>#N/A</v>
      </c>
      <c r="CI68" s="103" t="e">
        <f t="shared" si="240"/>
        <v>#N/A</v>
      </c>
      <c r="CJ68" s="103" t="e">
        <f t="shared" si="241"/>
        <v>#N/A</v>
      </c>
      <c r="CK68" s="103" t="e">
        <f t="shared" si="242"/>
        <v>#N/A</v>
      </c>
      <c r="CL68" s="103" t="e">
        <f t="shared" si="243"/>
        <v>#N/A</v>
      </c>
      <c r="CM68" s="103" t="e">
        <f t="shared" si="244"/>
        <v>#N/A</v>
      </c>
      <c r="CN68" s="103" t="str">
        <f t="shared" si="245"/>
        <v xml:space="preserve"> </v>
      </c>
      <c r="CO68" s="103" t="str">
        <f t="shared" si="246"/>
        <v xml:space="preserve"> </v>
      </c>
      <c r="CP68" s="103" t="str">
        <f t="shared" si="247"/>
        <v xml:space="preserve"> </v>
      </c>
      <c r="CQ68" s="103"/>
      <c r="CR68" s="103"/>
      <c r="CS68" s="103"/>
      <c r="CT68" s="112" t="str">
        <f t="shared" si="248"/>
        <v xml:space="preserve"> </v>
      </c>
      <c r="CU68" s="127"/>
      <c r="CV68" s="101">
        <f t="shared" si="76"/>
        <v>265</v>
      </c>
      <c r="CW68" s="133" t="str">
        <f t="shared" si="77"/>
        <v>NGSA</v>
      </c>
      <c r="CX68" s="223"/>
      <c r="CY68" s="223"/>
      <c r="CZ68" s="223"/>
      <c r="DA68" s="223"/>
      <c r="DB68" s="223"/>
      <c r="DC68" s="223"/>
      <c r="DD68" s="223"/>
      <c r="DE68" s="223"/>
      <c r="DF68" s="223"/>
      <c r="DG68" s="223">
        <f t="shared" si="249"/>
        <v>0</v>
      </c>
      <c r="DH68" s="223">
        <f t="shared" si="250"/>
        <v>0</v>
      </c>
      <c r="DI68" s="223">
        <f t="shared" si="251"/>
        <v>0</v>
      </c>
      <c r="DM68" s="224"/>
    </row>
    <row r="69" spans="1:117" ht="15.75" x14ac:dyDescent="0.25">
      <c r="A69" s="136">
        <f t="shared" si="105"/>
        <v>282</v>
      </c>
      <c r="B69" s="136" t="str">
        <f t="shared" si="106"/>
        <v>NGSA</v>
      </c>
      <c r="C69" s="42" t="str">
        <f t="shared" si="25"/>
        <v xml:space="preserve"> </v>
      </c>
      <c r="D69" s="39" t="str">
        <f t="shared" si="26"/>
        <v xml:space="preserve"> </v>
      </c>
      <c r="E69" s="25" t="str">
        <f t="shared" si="27"/>
        <v xml:space="preserve"> </v>
      </c>
      <c r="F69" s="25">
        <f t="shared" si="28"/>
        <v>2</v>
      </c>
      <c r="G69" s="145" t="str">
        <f t="shared" si="29"/>
        <v xml:space="preserve"> </v>
      </c>
      <c r="I69" s="101">
        <v>282</v>
      </c>
      <c r="J69" s="133" t="s">
        <v>27</v>
      </c>
      <c r="K69" s="103" t="str">
        <f t="shared" si="184"/>
        <v xml:space="preserve"> </v>
      </c>
      <c r="L69" s="103" t="str">
        <f t="shared" si="185"/>
        <v xml:space="preserve"> </v>
      </c>
      <c r="M69" s="103">
        <f t="shared" si="186"/>
        <v>0</v>
      </c>
      <c r="N69" s="103">
        <f t="shared" si="187"/>
        <v>0</v>
      </c>
      <c r="O69" s="103">
        <f t="shared" si="188"/>
        <v>0</v>
      </c>
      <c r="P69" s="103">
        <f t="shared" si="189"/>
        <v>0</v>
      </c>
      <c r="Q69" s="103">
        <f t="shared" si="190"/>
        <v>0</v>
      </c>
      <c r="R69" s="103">
        <f t="shared" si="191"/>
        <v>0</v>
      </c>
      <c r="S69" s="103">
        <f t="shared" si="192"/>
        <v>0</v>
      </c>
      <c r="T69" s="103">
        <f t="shared" si="193"/>
        <v>0</v>
      </c>
      <c r="U69" s="103">
        <f t="shared" si="194"/>
        <v>0</v>
      </c>
      <c r="V69" s="103">
        <f t="shared" si="195"/>
        <v>0</v>
      </c>
      <c r="W69" s="103"/>
      <c r="X69" s="103"/>
      <c r="Y69" s="103"/>
      <c r="Z69" s="112" t="str">
        <f t="shared" si="196"/>
        <v xml:space="preserve"> </v>
      </c>
      <c r="AA69" s="123"/>
      <c r="AB69" s="103">
        <f t="shared" si="197"/>
        <v>0</v>
      </c>
      <c r="AC69" s="103" t="str">
        <f t="shared" si="198"/>
        <v xml:space="preserve"> </v>
      </c>
      <c r="AD69" s="103" t="str">
        <f t="shared" si="199"/>
        <v xml:space="preserve"> </v>
      </c>
      <c r="AE69" s="103" t="str">
        <f t="shared" si="200"/>
        <v xml:space="preserve"> </v>
      </c>
      <c r="AF69" s="103" t="str">
        <f t="shared" si="201"/>
        <v xml:space="preserve"> </v>
      </c>
      <c r="AG69" s="103" t="str">
        <f t="shared" si="202"/>
        <v xml:space="preserve"> </v>
      </c>
      <c r="AH69" s="103" t="str">
        <f t="shared" si="203"/>
        <v xml:space="preserve"> </v>
      </c>
      <c r="AI69" s="103" t="str">
        <f t="shared" si="204"/>
        <v xml:space="preserve"> </v>
      </c>
      <c r="AJ69" s="103" t="str">
        <f t="shared" si="205"/>
        <v xml:space="preserve"> </v>
      </c>
      <c r="AK69" s="103">
        <f t="shared" si="206"/>
        <v>0</v>
      </c>
      <c r="AL69" s="103">
        <f t="shared" si="207"/>
        <v>0</v>
      </c>
      <c r="AM69" s="103">
        <f t="shared" si="208"/>
        <v>0</v>
      </c>
      <c r="AN69" s="103"/>
      <c r="AO69" s="103"/>
      <c r="AP69" s="103"/>
      <c r="AQ69" s="112" t="str">
        <f t="shared" si="209"/>
        <v xml:space="preserve"> </v>
      </c>
      <c r="AR69" s="123"/>
      <c r="AS69" s="101">
        <f t="shared" si="8"/>
        <v>282</v>
      </c>
      <c r="AT69" s="133" t="str">
        <f t="shared" si="9"/>
        <v>NGSA</v>
      </c>
      <c r="AU69" s="103" t="str">
        <f t="shared" si="210"/>
        <v xml:space="preserve"> </v>
      </c>
      <c r="AV69" s="103" t="str">
        <f t="shared" si="211"/>
        <v xml:space="preserve"> </v>
      </c>
      <c r="AW69" s="103" t="str">
        <f t="shared" si="212"/>
        <v xml:space="preserve"> </v>
      </c>
      <c r="AX69" s="103" t="str">
        <f t="shared" si="213"/>
        <v xml:space="preserve"> </v>
      </c>
      <c r="AY69" s="103" t="str">
        <f t="shared" si="214"/>
        <v xml:space="preserve"> </v>
      </c>
      <c r="AZ69" s="103" t="str">
        <f t="shared" si="215"/>
        <v xml:space="preserve"> </v>
      </c>
      <c r="BA69" s="103" t="str">
        <f t="shared" si="216"/>
        <v xml:space="preserve"> </v>
      </c>
      <c r="BB69" s="103" t="str">
        <f t="shared" si="217"/>
        <v xml:space="preserve"> </v>
      </c>
      <c r="BC69" s="103" t="str">
        <f t="shared" si="218"/>
        <v xml:space="preserve"> </v>
      </c>
      <c r="BD69" s="103">
        <f t="shared" si="219"/>
        <v>0</v>
      </c>
      <c r="BE69" s="103">
        <f t="shared" si="220"/>
        <v>0</v>
      </c>
      <c r="BF69" s="103">
        <f t="shared" si="221"/>
        <v>0</v>
      </c>
      <c r="BG69" s="103"/>
      <c r="BH69" s="103"/>
      <c r="BI69" s="103"/>
      <c r="BJ69" s="112" t="str">
        <f t="shared" si="222"/>
        <v xml:space="preserve"> </v>
      </c>
      <c r="BK69" s="123"/>
      <c r="BL69" s="103" t="str">
        <f t="shared" si="223"/>
        <v xml:space="preserve"> </v>
      </c>
      <c r="BM69" s="103" t="str">
        <f t="shared" si="224"/>
        <v xml:space="preserve"> </v>
      </c>
      <c r="BN69" s="103" t="str">
        <f t="shared" si="225"/>
        <v xml:space="preserve"> </v>
      </c>
      <c r="BO69" s="103" t="str">
        <f t="shared" si="226"/>
        <v xml:space="preserve"> </v>
      </c>
      <c r="BP69" s="103" t="str">
        <f t="shared" si="227"/>
        <v xml:space="preserve"> </v>
      </c>
      <c r="BQ69" s="103" t="str">
        <f t="shared" si="228"/>
        <v xml:space="preserve"> </v>
      </c>
      <c r="BR69" s="103" t="str">
        <f t="shared" si="229"/>
        <v xml:space="preserve"> </v>
      </c>
      <c r="BS69" s="103" t="str">
        <f t="shared" si="230"/>
        <v xml:space="preserve"> </v>
      </c>
      <c r="BT69" s="103" t="str">
        <f t="shared" si="231"/>
        <v xml:space="preserve"> </v>
      </c>
      <c r="BU69" s="103" t="str">
        <f t="shared" si="232"/>
        <v xml:space="preserve"> </v>
      </c>
      <c r="BV69" s="103" t="str">
        <f t="shared" si="233"/>
        <v xml:space="preserve"> </v>
      </c>
      <c r="BW69" s="103" t="str">
        <f t="shared" si="234"/>
        <v xml:space="preserve"> </v>
      </c>
      <c r="BX69" s="103"/>
      <c r="BY69" s="103"/>
      <c r="BZ69" s="103"/>
      <c r="CA69" s="112" t="str">
        <f t="shared" si="235"/>
        <v xml:space="preserve"> </v>
      </c>
      <c r="CB69" s="123"/>
      <c r="CC69" s="101">
        <f t="shared" si="61"/>
        <v>282</v>
      </c>
      <c r="CD69" s="133" t="str">
        <f t="shared" si="62"/>
        <v>NGSA</v>
      </c>
      <c r="CE69" s="103" t="str">
        <f t="shared" si="236"/>
        <v xml:space="preserve"> </v>
      </c>
      <c r="CF69" s="103" t="str">
        <f t="shared" si="237"/>
        <v xml:space="preserve"> </v>
      </c>
      <c r="CG69" s="103" t="str">
        <f t="shared" si="238"/>
        <v xml:space="preserve"> </v>
      </c>
      <c r="CH69" s="103" t="str">
        <f t="shared" si="239"/>
        <v xml:space="preserve"> </v>
      </c>
      <c r="CI69" s="103" t="str">
        <f t="shared" si="240"/>
        <v xml:space="preserve"> </v>
      </c>
      <c r="CJ69" s="103" t="str">
        <f t="shared" si="241"/>
        <v xml:space="preserve"> </v>
      </c>
      <c r="CK69" s="103" t="str">
        <f t="shared" si="242"/>
        <v>X</v>
      </c>
      <c r="CL69" s="103" t="str">
        <f t="shared" si="243"/>
        <v>X</v>
      </c>
      <c r="CM69" s="103" t="str">
        <f t="shared" si="244"/>
        <v xml:space="preserve"> </v>
      </c>
      <c r="CN69" s="103" t="str">
        <f t="shared" si="245"/>
        <v xml:space="preserve"> </v>
      </c>
      <c r="CO69" s="103" t="str">
        <f t="shared" si="246"/>
        <v xml:space="preserve"> </v>
      </c>
      <c r="CP69" s="103" t="str">
        <f t="shared" si="247"/>
        <v xml:space="preserve"> </v>
      </c>
      <c r="CQ69" s="103"/>
      <c r="CR69" s="103"/>
      <c r="CS69" s="103"/>
      <c r="CT69" s="112">
        <f t="shared" si="248"/>
        <v>2</v>
      </c>
      <c r="CU69" s="127"/>
      <c r="CV69" s="101">
        <f t="shared" si="76"/>
        <v>282</v>
      </c>
      <c r="CW69" s="133" t="str">
        <f t="shared" si="77"/>
        <v>NGSA</v>
      </c>
      <c r="CX69" s="223">
        <f>VLOOKUP($I69,ngsa0705,13,FALSE)</f>
        <v>0</v>
      </c>
      <c r="CY69" s="223">
        <f>VLOOKUP($I69,ngsa0706,13,FALSE)</f>
        <v>0</v>
      </c>
      <c r="CZ69" s="223">
        <f>VLOOKUP($I69,ngsa0707,13,FALSE)</f>
        <v>0</v>
      </c>
      <c r="DA69" s="223">
        <f>VLOOKUP($I69,ngsa0708,13,FALSE)</f>
        <v>0</v>
      </c>
      <c r="DB69" s="223">
        <f>VLOOKUP($I69,ngsa0721,13,FALSE)</f>
        <v>0</v>
      </c>
      <c r="DC69" s="223">
        <f>VLOOKUP($I69,ngsa0725,13,FALSE)</f>
        <v>0</v>
      </c>
      <c r="DD69" s="223">
        <f>VLOOKUP($I69,ngsa0829,13,FALSE)</f>
        <v>248</v>
      </c>
      <c r="DE69" s="223">
        <f>VLOOKUP($I69,ngsa0830,13,FALSE)</f>
        <v>249</v>
      </c>
      <c r="DF69" s="223">
        <f>VLOOKUP($I69,ngsa0910,13,FALSE)</f>
        <v>0</v>
      </c>
      <c r="DG69" s="223">
        <f t="shared" si="249"/>
        <v>0</v>
      </c>
      <c r="DH69" s="223">
        <f t="shared" si="250"/>
        <v>0</v>
      </c>
      <c r="DI69" s="223">
        <f t="shared" si="251"/>
        <v>0</v>
      </c>
      <c r="DM69" s="224">
        <f t="shared" si="104"/>
        <v>41.416666666666664</v>
      </c>
    </row>
    <row r="70" spans="1:117" ht="15.75" x14ac:dyDescent="0.25">
      <c r="A70" s="136">
        <f t="shared" si="105"/>
        <v>330</v>
      </c>
      <c r="B70" s="136" t="str">
        <f t="shared" si="106"/>
        <v>NGSA</v>
      </c>
      <c r="C70" s="42" t="str">
        <f t="shared" si="25"/>
        <v xml:space="preserve"> </v>
      </c>
      <c r="D70" s="39" t="str">
        <f t="shared" si="26"/>
        <v xml:space="preserve"> </v>
      </c>
      <c r="E70" s="25" t="str">
        <f t="shared" si="27"/>
        <v xml:space="preserve"> </v>
      </c>
      <c r="F70" s="25" t="str">
        <f t="shared" si="28"/>
        <v xml:space="preserve"> </v>
      </c>
      <c r="G70" s="145" t="str">
        <f t="shared" si="29"/>
        <v xml:space="preserve"> </v>
      </c>
      <c r="I70" s="101">
        <v>330</v>
      </c>
      <c r="J70" s="133" t="s">
        <v>27</v>
      </c>
      <c r="K70" s="103" t="e">
        <f t="shared" si="184"/>
        <v>#N/A</v>
      </c>
      <c r="L70" s="103" t="e">
        <f t="shared" si="185"/>
        <v>#N/A</v>
      </c>
      <c r="M70" s="103" t="e">
        <f t="shared" si="186"/>
        <v>#N/A</v>
      </c>
      <c r="N70" s="103" t="e">
        <f t="shared" si="187"/>
        <v>#N/A</v>
      </c>
      <c r="O70" s="103" t="e">
        <f t="shared" si="188"/>
        <v>#N/A</v>
      </c>
      <c r="P70" s="103" t="e">
        <f t="shared" si="189"/>
        <v>#N/A</v>
      </c>
      <c r="Q70" s="103" t="e">
        <f t="shared" si="190"/>
        <v>#N/A</v>
      </c>
      <c r="R70" s="103" t="e">
        <f t="shared" si="191"/>
        <v>#N/A</v>
      </c>
      <c r="S70" s="103" t="e">
        <f t="shared" si="192"/>
        <v>#N/A</v>
      </c>
      <c r="T70" s="103">
        <f t="shared" si="193"/>
        <v>0</v>
      </c>
      <c r="U70" s="103">
        <f t="shared" si="194"/>
        <v>0</v>
      </c>
      <c r="V70" s="103">
        <f t="shared" si="195"/>
        <v>0</v>
      </c>
      <c r="W70" s="103"/>
      <c r="X70" s="103"/>
      <c r="Y70" s="103"/>
      <c r="Z70" s="112" t="str">
        <f t="shared" si="196"/>
        <v xml:space="preserve"> </v>
      </c>
      <c r="AA70" s="123"/>
      <c r="AB70" s="103" t="e">
        <f t="shared" si="197"/>
        <v>#N/A</v>
      </c>
      <c r="AC70" s="103" t="e">
        <f t="shared" si="198"/>
        <v>#N/A</v>
      </c>
      <c r="AD70" s="103" t="e">
        <f t="shared" si="199"/>
        <v>#N/A</v>
      </c>
      <c r="AE70" s="103" t="e">
        <f t="shared" si="200"/>
        <v>#N/A</v>
      </c>
      <c r="AF70" s="103" t="e">
        <f t="shared" si="201"/>
        <v>#N/A</v>
      </c>
      <c r="AG70" s="103" t="e">
        <f t="shared" si="202"/>
        <v>#N/A</v>
      </c>
      <c r="AH70" s="103" t="e">
        <f t="shared" si="203"/>
        <v>#N/A</v>
      </c>
      <c r="AI70" s="103" t="e">
        <f t="shared" si="204"/>
        <v>#N/A</v>
      </c>
      <c r="AJ70" s="103" t="e">
        <f t="shared" si="205"/>
        <v>#N/A</v>
      </c>
      <c r="AK70" s="103">
        <f t="shared" si="206"/>
        <v>0</v>
      </c>
      <c r="AL70" s="103">
        <f t="shared" si="207"/>
        <v>0</v>
      </c>
      <c r="AM70" s="103">
        <f t="shared" si="208"/>
        <v>0</v>
      </c>
      <c r="AN70" s="103"/>
      <c r="AO70" s="103"/>
      <c r="AP70" s="103"/>
      <c r="AQ70" s="112" t="str">
        <f t="shared" si="209"/>
        <v xml:space="preserve"> </v>
      </c>
      <c r="AR70" s="123"/>
      <c r="AS70" s="101">
        <f t="shared" si="8"/>
        <v>330</v>
      </c>
      <c r="AT70" s="133" t="str">
        <f t="shared" si="9"/>
        <v>NGSA</v>
      </c>
      <c r="AU70" s="103" t="e">
        <f t="shared" si="210"/>
        <v>#N/A</v>
      </c>
      <c r="AV70" s="103" t="e">
        <f t="shared" si="211"/>
        <v>#N/A</v>
      </c>
      <c r="AW70" s="103" t="e">
        <f t="shared" si="212"/>
        <v>#N/A</v>
      </c>
      <c r="AX70" s="103" t="e">
        <f t="shared" si="213"/>
        <v>#N/A</v>
      </c>
      <c r="AY70" s="103" t="e">
        <f t="shared" si="214"/>
        <v>#N/A</v>
      </c>
      <c r="AZ70" s="103" t="e">
        <f t="shared" si="215"/>
        <v>#N/A</v>
      </c>
      <c r="BA70" s="103" t="e">
        <f t="shared" si="216"/>
        <v>#N/A</v>
      </c>
      <c r="BB70" s="103" t="e">
        <f t="shared" si="217"/>
        <v>#N/A</v>
      </c>
      <c r="BC70" s="103" t="e">
        <f t="shared" si="218"/>
        <v>#N/A</v>
      </c>
      <c r="BD70" s="103">
        <f t="shared" si="219"/>
        <v>0</v>
      </c>
      <c r="BE70" s="103">
        <f t="shared" si="220"/>
        <v>0</v>
      </c>
      <c r="BF70" s="103">
        <f t="shared" si="221"/>
        <v>0</v>
      </c>
      <c r="BG70" s="103"/>
      <c r="BH70" s="103"/>
      <c r="BI70" s="103"/>
      <c r="BJ70" s="112" t="str">
        <f t="shared" si="222"/>
        <v xml:space="preserve"> </v>
      </c>
      <c r="BK70" s="123"/>
      <c r="BL70" s="103" t="e">
        <f t="shared" si="223"/>
        <v>#N/A</v>
      </c>
      <c r="BM70" s="103" t="e">
        <f t="shared" si="224"/>
        <v>#N/A</v>
      </c>
      <c r="BN70" s="103" t="e">
        <f t="shared" si="225"/>
        <v>#N/A</v>
      </c>
      <c r="BO70" s="103" t="e">
        <f t="shared" si="226"/>
        <v>#N/A</v>
      </c>
      <c r="BP70" s="103" t="e">
        <f t="shared" si="227"/>
        <v>#N/A</v>
      </c>
      <c r="BQ70" s="103" t="e">
        <f t="shared" si="228"/>
        <v>#N/A</v>
      </c>
      <c r="BR70" s="103" t="e">
        <f t="shared" si="229"/>
        <v>#N/A</v>
      </c>
      <c r="BS70" s="103" t="e">
        <f t="shared" si="230"/>
        <v>#N/A</v>
      </c>
      <c r="BT70" s="103" t="e">
        <f t="shared" si="231"/>
        <v>#N/A</v>
      </c>
      <c r="BU70" s="103" t="str">
        <f t="shared" si="232"/>
        <v xml:space="preserve"> </v>
      </c>
      <c r="BV70" s="103" t="str">
        <f t="shared" si="233"/>
        <v xml:space="preserve"> </v>
      </c>
      <c r="BW70" s="103" t="str">
        <f t="shared" si="234"/>
        <v xml:space="preserve"> </v>
      </c>
      <c r="BX70" s="103"/>
      <c r="BY70" s="103"/>
      <c r="BZ70" s="103"/>
      <c r="CA70" s="112" t="str">
        <f t="shared" si="235"/>
        <v xml:space="preserve"> </v>
      </c>
      <c r="CB70" s="123"/>
      <c r="CC70" s="101">
        <f t="shared" si="61"/>
        <v>330</v>
      </c>
      <c r="CD70" s="133" t="str">
        <f t="shared" si="62"/>
        <v>NGSA</v>
      </c>
      <c r="CE70" s="103" t="e">
        <f t="shared" si="236"/>
        <v>#N/A</v>
      </c>
      <c r="CF70" s="103" t="e">
        <f t="shared" si="237"/>
        <v>#N/A</v>
      </c>
      <c r="CG70" s="103" t="e">
        <f t="shared" si="238"/>
        <v>#N/A</v>
      </c>
      <c r="CH70" s="103" t="e">
        <f t="shared" si="239"/>
        <v>#N/A</v>
      </c>
      <c r="CI70" s="103" t="e">
        <f t="shared" si="240"/>
        <v>#N/A</v>
      </c>
      <c r="CJ70" s="103" t="e">
        <f t="shared" si="241"/>
        <v>#N/A</v>
      </c>
      <c r="CK70" s="103" t="e">
        <f t="shared" si="242"/>
        <v>#N/A</v>
      </c>
      <c r="CL70" s="103" t="e">
        <f t="shared" si="243"/>
        <v>#N/A</v>
      </c>
      <c r="CM70" s="103" t="e">
        <f t="shared" si="244"/>
        <v>#N/A</v>
      </c>
      <c r="CN70" s="103" t="str">
        <f t="shared" si="245"/>
        <v xml:space="preserve"> </v>
      </c>
      <c r="CO70" s="103" t="str">
        <f t="shared" si="246"/>
        <v xml:space="preserve"> </v>
      </c>
      <c r="CP70" s="103" t="str">
        <f t="shared" si="247"/>
        <v xml:space="preserve"> </v>
      </c>
      <c r="CQ70" s="103"/>
      <c r="CR70" s="103"/>
      <c r="CS70" s="103"/>
      <c r="CT70" s="112" t="str">
        <f t="shared" si="248"/>
        <v xml:space="preserve"> </v>
      </c>
      <c r="CU70" s="127"/>
      <c r="CV70" s="101">
        <f t="shared" si="76"/>
        <v>330</v>
      </c>
      <c r="CW70" s="133" t="str">
        <f t="shared" si="77"/>
        <v>NGSA</v>
      </c>
      <c r="CX70" s="223"/>
      <c r="CY70" s="223"/>
      <c r="CZ70" s="223"/>
      <c r="DA70" s="223"/>
      <c r="DB70" s="223"/>
      <c r="DC70" s="223"/>
      <c r="DD70" s="223"/>
      <c r="DE70" s="223"/>
      <c r="DF70" s="223"/>
      <c r="DG70" s="223">
        <f t="shared" si="249"/>
        <v>0</v>
      </c>
      <c r="DH70" s="223">
        <f t="shared" si="250"/>
        <v>0</v>
      </c>
      <c r="DI70" s="223">
        <f t="shared" si="251"/>
        <v>0</v>
      </c>
      <c r="DM70" s="224"/>
    </row>
    <row r="71" spans="1:117" ht="15.75" x14ac:dyDescent="0.25">
      <c r="A71" s="136">
        <f t="shared" si="105"/>
        <v>348</v>
      </c>
      <c r="B71" s="136" t="str">
        <f t="shared" si="106"/>
        <v>NGSA</v>
      </c>
      <c r="C71" s="42" t="str">
        <f t="shared" si="25"/>
        <v xml:space="preserve"> </v>
      </c>
      <c r="D71" s="39" t="str">
        <f t="shared" si="26"/>
        <v xml:space="preserve"> </v>
      </c>
      <c r="E71" s="25" t="str">
        <f t="shared" si="27"/>
        <v xml:space="preserve"> </v>
      </c>
      <c r="F71" s="25" t="str">
        <f t="shared" si="28"/>
        <v xml:space="preserve"> </v>
      </c>
      <c r="G71" s="145" t="str">
        <f t="shared" si="29"/>
        <v xml:space="preserve"> </v>
      </c>
      <c r="I71" s="101">
        <v>348</v>
      </c>
      <c r="J71" s="133" t="s">
        <v>27</v>
      </c>
      <c r="K71" s="103" t="e">
        <f t="shared" si="184"/>
        <v>#N/A</v>
      </c>
      <c r="L71" s="103" t="e">
        <f t="shared" si="185"/>
        <v>#N/A</v>
      </c>
      <c r="M71" s="103" t="e">
        <f t="shared" si="186"/>
        <v>#N/A</v>
      </c>
      <c r="N71" s="103" t="e">
        <f t="shared" si="187"/>
        <v>#N/A</v>
      </c>
      <c r="O71" s="103" t="e">
        <f t="shared" si="188"/>
        <v>#N/A</v>
      </c>
      <c r="P71" s="103" t="e">
        <f t="shared" si="189"/>
        <v>#N/A</v>
      </c>
      <c r="Q71" s="103" t="e">
        <f t="shared" si="190"/>
        <v>#N/A</v>
      </c>
      <c r="R71" s="103" t="e">
        <f t="shared" si="191"/>
        <v>#N/A</v>
      </c>
      <c r="S71" s="103" t="e">
        <f t="shared" si="192"/>
        <v>#N/A</v>
      </c>
      <c r="T71" s="103">
        <f t="shared" si="193"/>
        <v>0</v>
      </c>
      <c r="U71" s="103">
        <f t="shared" si="194"/>
        <v>0</v>
      </c>
      <c r="V71" s="103">
        <f t="shared" si="195"/>
        <v>0</v>
      </c>
      <c r="W71" s="103"/>
      <c r="X71" s="103"/>
      <c r="Y71" s="103"/>
      <c r="Z71" s="112" t="str">
        <f t="shared" ref="Z71:Z79" si="252">IF(COUNTIF(K71:Y71,"x")=0," ",COUNTIF(K71:Y71,"x"))</f>
        <v xml:space="preserve"> </v>
      </c>
      <c r="AA71" s="123"/>
      <c r="AB71" s="103" t="e">
        <f t="shared" si="197"/>
        <v>#N/A</v>
      </c>
      <c r="AC71" s="103" t="e">
        <f t="shared" si="198"/>
        <v>#N/A</v>
      </c>
      <c r="AD71" s="103" t="e">
        <f t="shared" si="199"/>
        <v>#N/A</v>
      </c>
      <c r="AE71" s="103" t="e">
        <f t="shared" si="200"/>
        <v>#N/A</v>
      </c>
      <c r="AF71" s="103" t="e">
        <f t="shared" si="201"/>
        <v>#N/A</v>
      </c>
      <c r="AG71" s="103" t="e">
        <f t="shared" si="202"/>
        <v>#N/A</v>
      </c>
      <c r="AH71" s="103" t="e">
        <f t="shared" si="203"/>
        <v>#N/A</v>
      </c>
      <c r="AI71" s="103" t="e">
        <f t="shared" si="204"/>
        <v>#N/A</v>
      </c>
      <c r="AJ71" s="103" t="e">
        <f t="shared" si="205"/>
        <v>#N/A</v>
      </c>
      <c r="AK71" s="103" t="str">
        <f t="shared" si="206"/>
        <v xml:space="preserve"> </v>
      </c>
      <c r="AL71" s="103" t="str">
        <f t="shared" si="207"/>
        <v xml:space="preserve"> </v>
      </c>
      <c r="AM71" s="103" t="str">
        <f t="shared" si="208"/>
        <v xml:space="preserve"> </v>
      </c>
      <c r="AN71" s="103"/>
      <c r="AO71" s="103"/>
      <c r="AP71" s="103"/>
      <c r="AQ71" s="112" t="str">
        <f t="shared" ref="AQ71:AQ79" si="253">IF(COUNTIF(AB71:AP71,"x")=0," ",COUNTIF(AB71:AP71,"x"))</f>
        <v xml:space="preserve"> </v>
      </c>
      <c r="AR71" s="123"/>
      <c r="AS71" s="101">
        <f t="shared" si="8"/>
        <v>348</v>
      </c>
      <c r="AT71" s="133" t="str">
        <f t="shared" si="9"/>
        <v>NGSA</v>
      </c>
      <c r="AU71" s="103" t="e">
        <f t="shared" si="210"/>
        <v>#N/A</v>
      </c>
      <c r="AV71" s="103" t="e">
        <f t="shared" si="211"/>
        <v>#N/A</v>
      </c>
      <c r="AW71" s="103" t="e">
        <f t="shared" si="212"/>
        <v>#N/A</v>
      </c>
      <c r="AX71" s="103" t="e">
        <f t="shared" si="213"/>
        <v>#N/A</v>
      </c>
      <c r="AY71" s="103" t="e">
        <f t="shared" si="214"/>
        <v>#N/A</v>
      </c>
      <c r="AZ71" s="103" t="e">
        <f t="shared" si="215"/>
        <v>#N/A</v>
      </c>
      <c r="BA71" s="103" t="e">
        <f t="shared" si="216"/>
        <v>#N/A</v>
      </c>
      <c r="BB71" s="103" t="e">
        <f t="shared" si="217"/>
        <v>#N/A</v>
      </c>
      <c r="BC71" s="103" t="e">
        <f t="shared" si="218"/>
        <v>#N/A</v>
      </c>
      <c r="BD71" s="103" t="str">
        <f t="shared" si="219"/>
        <v xml:space="preserve"> </v>
      </c>
      <c r="BE71" s="103" t="str">
        <f t="shared" si="220"/>
        <v xml:space="preserve"> </v>
      </c>
      <c r="BF71" s="103" t="str">
        <f t="shared" si="221"/>
        <v xml:space="preserve"> </v>
      </c>
      <c r="BG71" s="103"/>
      <c r="BH71" s="103"/>
      <c r="BI71" s="103"/>
      <c r="BJ71" s="112" t="str">
        <f t="shared" si="222"/>
        <v xml:space="preserve"> </v>
      </c>
      <c r="BK71" s="123"/>
      <c r="BL71" s="103" t="e">
        <f t="shared" si="223"/>
        <v>#N/A</v>
      </c>
      <c r="BM71" s="103" t="e">
        <f t="shared" si="224"/>
        <v>#N/A</v>
      </c>
      <c r="BN71" s="103" t="e">
        <f t="shared" si="225"/>
        <v>#N/A</v>
      </c>
      <c r="BO71" s="103" t="e">
        <f t="shared" si="226"/>
        <v>#N/A</v>
      </c>
      <c r="BP71" s="103" t="e">
        <f t="shared" si="227"/>
        <v>#N/A</v>
      </c>
      <c r="BQ71" s="103" t="e">
        <f t="shared" si="228"/>
        <v>#N/A</v>
      </c>
      <c r="BR71" s="103" t="e">
        <f t="shared" si="229"/>
        <v>#N/A</v>
      </c>
      <c r="BS71" s="103" t="e">
        <f t="shared" si="230"/>
        <v>#N/A</v>
      </c>
      <c r="BT71" s="103" t="e">
        <f t="shared" si="231"/>
        <v>#N/A</v>
      </c>
      <c r="BU71" s="103" t="str">
        <f t="shared" si="232"/>
        <v xml:space="preserve"> </v>
      </c>
      <c r="BV71" s="103" t="str">
        <f t="shared" si="233"/>
        <v xml:space="preserve"> </v>
      </c>
      <c r="BW71" s="103" t="str">
        <f t="shared" si="234"/>
        <v xml:space="preserve"> </v>
      </c>
      <c r="BX71" s="103"/>
      <c r="BY71" s="103"/>
      <c r="BZ71" s="103"/>
      <c r="CA71" s="112" t="str">
        <f t="shared" si="235"/>
        <v xml:space="preserve"> </v>
      </c>
      <c r="CB71" s="123"/>
      <c r="CC71" s="101">
        <f t="shared" si="61"/>
        <v>348</v>
      </c>
      <c r="CD71" s="133" t="str">
        <f t="shared" si="62"/>
        <v>NGSA</v>
      </c>
      <c r="CE71" s="103" t="e">
        <f t="shared" si="236"/>
        <v>#N/A</v>
      </c>
      <c r="CF71" s="103" t="e">
        <f t="shared" si="237"/>
        <v>#N/A</v>
      </c>
      <c r="CG71" s="103" t="e">
        <f t="shared" si="238"/>
        <v>#N/A</v>
      </c>
      <c r="CH71" s="103" t="e">
        <f t="shared" si="239"/>
        <v>#N/A</v>
      </c>
      <c r="CI71" s="103" t="e">
        <f t="shared" si="240"/>
        <v>#N/A</v>
      </c>
      <c r="CJ71" s="103" t="e">
        <f t="shared" si="241"/>
        <v>#N/A</v>
      </c>
      <c r="CK71" s="103" t="e">
        <f t="shared" si="242"/>
        <v>#N/A</v>
      </c>
      <c r="CL71" s="103" t="e">
        <f t="shared" si="243"/>
        <v>#N/A</v>
      </c>
      <c r="CM71" s="103" t="e">
        <f t="shared" si="244"/>
        <v>#N/A</v>
      </c>
      <c r="CN71" s="103" t="str">
        <f t="shared" si="245"/>
        <v xml:space="preserve"> </v>
      </c>
      <c r="CO71" s="103" t="str">
        <f t="shared" si="246"/>
        <v xml:space="preserve"> </v>
      </c>
      <c r="CP71" s="103" t="str">
        <f t="shared" si="247"/>
        <v xml:space="preserve"> </v>
      </c>
      <c r="CQ71" s="103"/>
      <c r="CR71" s="103"/>
      <c r="CS71" s="103"/>
      <c r="CT71" s="112" t="str">
        <f t="shared" si="248"/>
        <v xml:space="preserve"> </v>
      </c>
      <c r="CU71" s="127"/>
      <c r="CV71" s="101">
        <f t="shared" si="76"/>
        <v>348</v>
      </c>
      <c r="CW71" s="133" t="str">
        <f t="shared" si="77"/>
        <v>NGSA</v>
      </c>
      <c r="CX71" s="223"/>
      <c r="CY71" s="223"/>
      <c r="CZ71" s="223"/>
      <c r="DA71" s="223"/>
      <c r="DB71" s="223"/>
      <c r="DC71" s="223"/>
      <c r="DD71" s="223"/>
      <c r="DE71" s="223"/>
      <c r="DF71" s="223"/>
      <c r="DG71" s="223">
        <f t="shared" si="249"/>
        <v>0</v>
      </c>
      <c r="DH71" s="223">
        <f t="shared" si="250"/>
        <v>0</v>
      </c>
      <c r="DI71" s="223">
        <f t="shared" si="251"/>
        <v>32</v>
      </c>
      <c r="DM71" s="224">
        <f t="shared" si="104"/>
        <v>10.666666666666666</v>
      </c>
    </row>
    <row r="72" spans="1:117" ht="15.75" x14ac:dyDescent="0.25">
      <c r="A72" s="136">
        <f t="shared" si="105"/>
        <v>389</v>
      </c>
      <c r="B72" s="136" t="str">
        <f t="shared" si="106"/>
        <v>NGSA</v>
      </c>
      <c r="C72" s="42" t="str">
        <f t="shared" si="25"/>
        <v xml:space="preserve"> </v>
      </c>
      <c r="D72" s="39" t="str">
        <f t="shared" si="26"/>
        <v xml:space="preserve"> </v>
      </c>
      <c r="E72" s="25" t="str">
        <f t="shared" si="27"/>
        <v xml:space="preserve"> </v>
      </c>
      <c r="F72" s="25" t="str">
        <f t="shared" si="28"/>
        <v xml:space="preserve"> </v>
      </c>
      <c r="G72" s="145" t="str">
        <f t="shared" si="29"/>
        <v xml:space="preserve"> </v>
      </c>
      <c r="I72" s="101">
        <v>389</v>
      </c>
      <c r="J72" s="133" t="s">
        <v>27</v>
      </c>
      <c r="K72" s="103" t="e">
        <f t="shared" si="184"/>
        <v>#N/A</v>
      </c>
      <c r="L72" s="103" t="e">
        <f t="shared" si="185"/>
        <v>#N/A</v>
      </c>
      <c r="M72" s="103" t="e">
        <f t="shared" si="186"/>
        <v>#N/A</v>
      </c>
      <c r="N72" s="103" t="e">
        <f t="shared" si="187"/>
        <v>#N/A</v>
      </c>
      <c r="O72" s="103" t="e">
        <f t="shared" si="188"/>
        <v>#N/A</v>
      </c>
      <c r="P72" s="103" t="e">
        <f t="shared" si="189"/>
        <v>#N/A</v>
      </c>
      <c r="Q72" s="103" t="e">
        <f t="shared" si="190"/>
        <v>#N/A</v>
      </c>
      <c r="R72" s="103" t="e">
        <f t="shared" si="191"/>
        <v>#N/A</v>
      </c>
      <c r="S72" s="103" t="e">
        <f t="shared" si="192"/>
        <v>#N/A</v>
      </c>
      <c r="T72" s="103">
        <f t="shared" si="193"/>
        <v>0</v>
      </c>
      <c r="U72" s="103">
        <f t="shared" si="194"/>
        <v>0</v>
      </c>
      <c r="V72" s="103">
        <f t="shared" si="195"/>
        <v>0</v>
      </c>
      <c r="W72" s="103"/>
      <c r="X72" s="103"/>
      <c r="Y72" s="103"/>
      <c r="Z72" s="112" t="str">
        <f t="shared" si="252"/>
        <v xml:space="preserve"> </v>
      </c>
      <c r="AA72" s="123"/>
      <c r="AB72" s="103" t="e">
        <f t="shared" si="197"/>
        <v>#N/A</v>
      </c>
      <c r="AC72" s="103" t="e">
        <f t="shared" si="198"/>
        <v>#N/A</v>
      </c>
      <c r="AD72" s="103" t="e">
        <f t="shared" si="199"/>
        <v>#N/A</v>
      </c>
      <c r="AE72" s="103" t="e">
        <f t="shared" si="200"/>
        <v>#N/A</v>
      </c>
      <c r="AF72" s="103" t="e">
        <f t="shared" si="201"/>
        <v>#N/A</v>
      </c>
      <c r="AG72" s="103" t="e">
        <f t="shared" si="202"/>
        <v>#N/A</v>
      </c>
      <c r="AH72" s="103" t="e">
        <f t="shared" si="203"/>
        <v>#N/A</v>
      </c>
      <c r="AI72" s="103" t="e">
        <f t="shared" si="204"/>
        <v>#N/A</v>
      </c>
      <c r="AJ72" s="103" t="e">
        <f t="shared" si="205"/>
        <v>#N/A</v>
      </c>
      <c r="AK72" s="103" t="str">
        <f t="shared" si="206"/>
        <v xml:space="preserve"> </v>
      </c>
      <c r="AL72" s="103" t="str">
        <f t="shared" si="207"/>
        <v xml:space="preserve"> </v>
      </c>
      <c r="AM72" s="103" t="str">
        <f t="shared" si="208"/>
        <v xml:space="preserve"> </v>
      </c>
      <c r="AN72" s="103"/>
      <c r="AO72" s="103"/>
      <c r="AP72" s="103"/>
      <c r="AQ72" s="112" t="str">
        <f t="shared" si="253"/>
        <v xml:space="preserve"> </v>
      </c>
      <c r="AR72" s="123"/>
      <c r="AS72" s="101">
        <f t="shared" si="8"/>
        <v>389</v>
      </c>
      <c r="AT72" s="133" t="str">
        <f t="shared" si="9"/>
        <v>NGSA</v>
      </c>
      <c r="AU72" s="103" t="e">
        <f t="shared" si="210"/>
        <v>#N/A</v>
      </c>
      <c r="AV72" s="103" t="e">
        <f t="shared" si="211"/>
        <v>#N/A</v>
      </c>
      <c r="AW72" s="103" t="e">
        <f t="shared" si="212"/>
        <v>#N/A</v>
      </c>
      <c r="AX72" s="103" t="e">
        <f t="shared" si="213"/>
        <v>#N/A</v>
      </c>
      <c r="AY72" s="103" t="e">
        <f t="shared" si="214"/>
        <v>#N/A</v>
      </c>
      <c r="AZ72" s="103" t="e">
        <f t="shared" si="215"/>
        <v>#N/A</v>
      </c>
      <c r="BA72" s="103" t="e">
        <f t="shared" si="216"/>
        <v>#N/A</v>
      </c>
      <c r="BB72" s="103" t="e">
        <f t="shared" si="217"/>
        <v>#N/A</v>
      </c>
      <c r="BC72" s="103" t="e">
        <f t="shared" si="218"/>
        <v>#N/A</v>
      </c>
      <c r="BD72" s="103" t="str">
        <f t="shared" si="219"/>
        <v xml:space="preserve"> </v>
      </c>
      <c r="BE72" s="103" t="str">
        <f t="shared" si="220"/>
        <v xml:space="preserve"> </v>
      </c>
      <c r="BF72" s="103" t="str">
        <f t="shared" si="221"/>
        <v xml:space="preserve"> </v>
      </c>
      <c r="BG72" s="103"/>
      <c r="BH72" s="103"/>
      <c r="BI72" s="103"/>
      <c r="BJ72" s="112" t="str">
        <f t="shared" si="222"/>
        <v xml:space="preserve"> </v>
      </c>
      <c r="BK72" s="123"/>
      <c r="BL72" s="103" t="e">
        <f t="shared" si="223"/>
        <v>#N/A</v>
      </c>
      <c r="BM72" s="103" t="e">
        <f t="shared" si="224"/>
        <v>#N/A</v>
      </c>
      <c r="BN72" s="103" t="e">
        <f t="shared" si="225"/>
        <v>#N/A</v>
      </c>
      <c r="BO72" s="103" t="e">
        <f t="shared" si="226"/>
        <v>#N/A</v>
      </c>
      <c r="BP72" s="103" t="e">
        <f t="shared" si="227"/>
        <v>#N/A</v>
      </c>
      <c r="BQ72" s="103" t="e">
        <f t="shared" si="228"/>
        <v>#N/A</v>
      </c>
      <c r="BR72" s="103" t="e">
        <f t="shared" si="229"/>
        <v>#N/A</v>
      </c>
      <c r="BS72" s="103" t="e">
        <f t="shared" si="230"/>
        <v>#N/A</v>
      </c>
      <c r="BT72" s="103" t="e">
        <f t="shared" si="231"/>
        <v>#N/A</v>
      </c>
      <c r="BU72" s="103" t="str">
        <f t="shared" si="232"/>
        <v xml:space="preserve"> </v>
      </c>
      <c r="BV72" s="103" t="str">
        <f t="shared" si="233"/>
        <v xml:space="preserve"> </v>
      </c>
      <c r="BW72" s="103" t="str">
        <f t="shared" si="234"/>
        <v xml:space="preserve"> </v>
      </c>
      <c r="BX72" s="103"/>
      <c r="BY72" s="103"/>
      <c r="BZ72" s="103"/>
      <c r="CA72" s="112" t="str">
        <f t="shared" si="235"/>
        <v xml:space="preserve"> </v>
      </c>
      <c r="CB72" s="123"/>
      <c r="CC72" s="101">
        <f t="shared" si="61"/>
        <v>389</v>
      </c>
      <c r="CD72" s="133" t="str">
        <f t="shared" si="62"/>
        <v>NGSA</v>
      </c>
      <c r="CE72" s="103" t="e">
        <f t="shared" si="236"/>
        <v>#N/A</v>
      </c>
      <c r="CF72" s="103" t="e">
        <f t="shared" si="237"/>
        <v>#N/A</v>
      </c>
      <c r="CG72" s="103" t="e">
        <f t="shared" si="238"/>
        <v>#N/A</v>
      </c>
      <c r="CH72" s="103" t="e">
        <f t="shared" si="239"/>
        <v>#N/A</v>
      </c>
      <c r="CI72" s="103" t="e">
        <f t="shared" si="240"/>
        <v>#N/A</v>
      </c>
      <c r="CJ72" s="103" t="e">
        <f t="shared" si="241"/>
        <v>#N/A</v>
      </c>
      <c r="CK72" s="103" t="e">
        <f t="shared" si="242"/>
        <v>#N/A</v>
      </c>
      <c r="CL72" s="103" t="e">
        <f t="shared" si="243"/>
        <v>#N/A</v>
      </c>
      <c r="CM72" s="103" t="e">
        <f t="shared" si="244"/>
        <v>#N/A</v>
      </c>
      <c r="CN72" s="103" t="str">
        <f t="shared" si="245"/>
        <v xml:space="preserve"> </v>
      </c>
      <c r="CO72" s="103" t="str">
        <f t="shared" si="246"/>
        <v xml:space="preserve"> </v>
      </c>
      <c r="CP72" s="103" t="str">
        <f t="shared" si="247"/>
        <v xml:space="preserve"> </v>
      </c>
      <c r="CQ72" s="103"/>
      <c r="CR72" s="103"/>
      <c r="CS72" s="103"/>
      <c r="CT72" s="112" t="str">
        <f t="shared" si="248"/>
        <v xml:space="preserve"> </v>
      </c>
      <c r="CU72" s="127"/>
      <c r="CV72" s="101">
        <f t="shared" si="76"/>
        <v>389</v>
      </c>
      <c r="CW72" s="133" t="str">
        <f t="shared" si="77"/>
        <v>NGSA</v>
      </c>
      <c r="CX72" s="223"/>
      <c r="CY72" s="223"/>
      <c r="CZ72" s="223"/>
      <c r="DA72" s="223"/>
      <c r="DB72" s="223"/>
      <c r="DC72" s="223"/>
      <c r="DD72" s="223"/>
      <c r="DE72" s="223"/>
      <c r="DF72" s="223"/>
      <c r="DG72" s="223">
        <f t="shared" si="249"/>
        <v>129</v>
      </c>
      <c r="DH72" s="223">
        <f t="shared" si="250"/>
        <v>144</v>
      </c>
      <c r="DI72" s="223">
        <f t="shared" si="251"/>
        <v>115</v>
      </c>
      <c r="DM72" s="224">
        <f t="shared" si="104"/>
        <v>129.33333333333334</v>
      </c>
    </row>
    <row r="73" spans="1:117" ht="15.75" x14ac:dyDescent="0.25">
      <c r="A73" s="136">
        <f t="shared" si="105"/>
        <v>399</v>
      </c>
      <c r="B73" s="136" t="str">
        <f t="shared" si="106"/>
        <v>NGSA</v>
      </c>
      <c r="C73" s="42" t="str">
        <f t="shared" si="25"/>
        <v xml:space="preserve"> </v>
      </c>
      <c r="D73" s="39" t="str">
        <f t="shared" si="26"/>
        <v xml:space="preserve"> </v>
      </c>
      <c r="E73" s="25" t="str">
        <f t="shared" si="27"/>
        <v xml:space="preserve"> </v>
      </c>
      <c r="F73" s="25" t="str">
        <f t="shared" si="28"/>
        <v xml:space="preserve"> </v>
      </c>
      <c r="G73" s="145" t="str">
        <f t="shared" si="29"/>
        <v xml:space="preserve"> </v>
      </c>
      <c r="I73" s="101">
        <v>399</v>
      </c>
      <c r="J73" s="133" t="s">
        <v>27</v>
      </c>
      <c r="K73" s="103" t="e">
        <f t="shared" si="184"/>
        <v>#N/A</v>
      </c>
      <c r="L73" s="103" t="e">
        <f t="shared" si="185"/>
        <v>#N/A</v>
      </c>
      <c r="M73" s="103" t="e">
        <f t="shared" si="186"/>
        <v>#N/A</v>
      </c>
      <c r="N73" s="103" t="e">
        <f t="shared" si="187"/>
        <v>#N/A</v>
      </c>
      <c r="O73" s="103" t="e">
        <f t="shared" si="188"/>
        <v>#N/A</v>
      </c>
      <c r="P73" s="103" t="e">
        <f t="shared" si="189"/>
        <v>#N/A</v>
      </c>
      <c r="Q73" s="103" t="e">
        <f t="shared" si="190"/>
        <v>#N/A</v>
      </c>
      <c r="R73" s="103" t="e">
        <f t="shared" si="191"/>
        <v>#N/A</v>
      </c>
      <c r="S73" s="103" t="e">
        <f t="shared" si="192"/>
        <v>#N/A</v>
      </c>
      <c r="T73" s="103">
        <f t="shared" si="193"/>
        <v>0</v>
      </c>
      <c r="U73" s="103">
        <f t="shared" si="194"/>
        <v>0</v>
      </c>
      <c r="V73" s="103">
        <f t="shared" si="195"/>
        <v>0</v>
      </c>
      <c r="W73" s="103"/>
      <c r="X73" s="103"/>
      <c r="Y73" s="103"/>
      <c r="Z73" s="112" t="str">
        <f t="shared" si="252"/>
        <v xml:space="preserve"> </v>
      </c>
      <c r="AA73" s="123"/>
      <c r="AB73" s="103" t="e">
        <f t="shared" si="197"/>
        <v>#N/A</v>
      </c>
      <c r="AC73" s="103" t="e">
        <f t="shared" si="198"/>
        <v>#N/A</v>
      </c>
      <c r="AD73" s="103" t="e">
        <f t="shared" si="199"/>
        <v>#N/A</v>
      </c>
      <c r="AE73" s="103" t="e">
        <f t="shared" si="200"/>
        <v>#N/A</v>
      </c>
      <c r="AF73" s="103" t="e">
        <f t="shared" si="201"/>
        <v>#N/A</v>
      </c>
      <c r="AG73" s="103" t="e">
        <f t="shared" si="202"/>
        <v>#N/A</v>
      </c>
      <c r="AH73" s="103" t="e">
        <f t="shared" si="203"/>
        <v>#N/A</v>
      </c>
      <c r="AI73" s="103" t="e">
        <f t="shared" si="204"/>
        <v>#N/A</v>
      </c>
      <c r="AJ73" s="103" t="e">
        <f t="shared" si="205"/>
        <v>#N/A</v>
      </c>
      <c r="AK73" s="103">
        <f t="shared" si="206"/>
        <v>0</v>
      </c>
      <c r="AL73" s="103">
        <f t="shared" si="207"/>
        <v>0</v>
      </c>
      <c r="AM73" s="103">
        <f t="shared" si="208"/>
        <v>0</v>
      </c>
      <c r="AN73" s="103"/>
      <c r="AO73" s="103"/>
      <c r="AP73" s="103"/>
      <c r="AQ73" s="112" t="str">
        <f t="shared" si="253"/>
        <v xml:space="preserve"> </v>
      </c>
      <c r="AR73" s="123"/>
      <c r="AS73" s="101">
        <f t="shared" ref="AS73:AS116" si="254">$I73</f>
        <v>399</v>
      </c>
      <c r="AT73" s="133" t="str">
        <f t="shared" ref="AT73:AT116" si="255">$J73</f>
        <v>NGSA</v>
      </c>
      <c r="AU73" s="103" t="e">
        <f t="shared" si="210"/>
        <v>#N/A</v>
      </c>
      <c r="AV73" s="103" t="e">
        <f t="shared" si="211"/>
        <v>#N/A</v>
      </c>
      <c r="AW73" s="103" t="e">
        <f t="shared" si="212"/>
        <v>#N/A</v>
      </c>
      <c r="AX73" s="103" t="e">
        <f t="shared" si="213"/>
        <v>#N/A</v>
      </c>
      <c r="AY73" s="103" t="e">
        <f t="shared" si="214"/>
        <v>#N/A</v>
      </c>
      <c r="AZ73" s="103" t="e">
        <f t="shared" si="215"/>
        <v>#N/A</v>
      </c>
      <c r="BA73" s="103" t="e">
        <f t="shared" si="216"/>
        <v>#N/A</v>
      </c>
      <c r="BB73" s="103" t="e">
        <f t="shared" si="217"/>
        <v>#N/A</v>
      </c>
      <c r="BC73" s="103" t="e">
        <f t="shared" si="218"/>
        <v>#N/A</v>
      </c>
      <c r="BD73" s="103">
        <f t="shared" si="219"/>
        <v>0</v>
      </c>
      <c r="BE73" s="103">
        <f t="shared" si="220"/>
        <v>0</v>
      </c>
      <c r="BF73" s="103">
        <f t="shared" si="221"/>
        <v>0</v>
      </c>
      <c r="BG73" s="103"/>
      <c r="BH73" s="103"/>
      <c r="BI73" s="103"/>
      <c r="BJ73" s="112" t="str">
        <f t="shared" si="222"/>
        <v xml:space="preserve"> </v>
      </c>
      <c r="BK73" s="123"/>
      <c r="BL73" s="103" t="e">
        <f t="shared" si="223"/>
        <v>#N/A</v>
      </c>
      <c r="BM73" s="103" t="e">
        <f t="shared" si="224"/>
        <v>#N/A</v>
      </c>
      <c r="BN73" s="103" t="e">
        <f t="shared" si="225"/>
        <v>#N/A</v>
      </c>
      <c r="BO73" s="103" t="e">
        <f t="shared" si="226"/>
        <v>#N/A</v>
      </c>
      <c r="BP73" s="103" t="e">
        <f t="shared" si="227"/>
        <v>#N/A</v>
      </c>
      <c r="BQ73" s="103" t="e">
        <f t="shared" si="228"/>
        <v>#N/A</v>
      </c>
      <c r="BR73" s="103" t="e">
        <f t="shared" si="229"/>
        <v>#N/A</v>
      </c>
      <c r="BS73" s="103" t="e">
        <f t="shared" si="230"/>
        <v>#N/A</v>
      </c>
      <c r="BT73" s="103" t="e">
        <f t="shared" si="231"/>
        <v>#N/A</v>
      </c>
      <c r="BU73" s="103" t="str">
        <f t="shared" si="232"/>
        <v xml:space="preserve"> </v>
      </c>
      <c r="BV73" s="103" t="str">
        <f t="shared" si="233"/>
        <v xml:space="preserve"> </v>
      </c>
      <c r="BW73" s="103" t="str">
        <f t="shared" si="234"/>
        <v xml:space="preserve"> </v>
      </c>
      <c r="BX73" s="103"/>
      <c r="BY73" s="103"/>
      <c r="BZ73" s="103"/>
      <c r="CA73" s="112" t="str">
        <f t="shared" si="235"/>
        <v xml:space="preserve"> </v>
      </c>
      <c r="CB73" s="123"/>
      <c r="CC73" s="101">
        <f t="shared" si="61"/>
        <v>399</v>
      </c>
      <c r="CD73" s="133" t="str">
        <f t="shared" si="62"/>
        <v>NGSA</v>
      </c>
      <c r="CE73" s="103" t="e">
        <f t="shared" si="236"/>
        <v>#N/A</v>
      </c>
      <c r="CF73" s="103" t="e">
        <f t="shared" si="237"/>
        <v>#N/A</v>
      </c>
      <c r="CG73" s="103" t="e">
        <f t="shared" si="238"/>
        <v>#N/A</v>
      </c>
      <c r="CH73" s="103" t="e">
        <f t="shared" si="239"/>
        <v>#N/A</v>
      </c>
      <c r="CI73" s="103" t="e">
        <f t="shared" si="240"/>
        <v>#N/A</v>
      </c>
      <c r="CJ73" s="103" t="e">
        <f t="shared" si="241"/>
        <v>#N/A</v>
      </c>
      <c r="CK73" s="103" t="e">
        <f t="shared" si="242"/>
        <v>#N/A</v>
      </c>
      <c r="CL73" s="103" t="e">
        <f t="shared" si="243"/>
        <v>#N/A</v>
      </c>
      <c r="CM73" s="103" t="e">
        <f t="shared" si="244"/>
        <v>#N/A</v>
      </c>
      <c r="CN73" s="103" t="str">
        <f t="shared" si="245"/>
        <v xml:space="preserve"> </v>
      </c>
      <c r="CO73" s="103" t="str">
        <f t="shared" si="246"/>
        <v xml:space="preserve"> </v>
      </c>
      <c r="CP73" s="103" t="str">
        <f t="shared" si="247"/>
        <v xml:space="preserve"> </v>
      </c>
      <c r="CQ73" s="103"/>
      <c r="CR73" s="103"/>
      <c r="CS73" s="103"/>
      <c r="CT73" s="112" t="str">
        <f t="shared" si="248"/>
        <v xml:space="preserve"> </v>
      </c>
      <c r="CU73" s="127"/>
      <c r="CV73" s="101">
        <f t="shared" si="76"/>
        <v>399</v>
      </c>
      <c r="CW73" s="133" t="str">
        <f t="shared" si="77"/>
        <v>NGSA</v>
      </c>
      <c r="CX73" s="223"/>
      <c r="CY73" s="223"/>
      <c r="CZ73" s="223"/>
      <c r="DA73" s="223"/>
      <c r="DB73" s="223"/>
      <c r="DC73" s="223"/>
      <c r="DD73" s="223"/>
      <c r="DE73" s="223"/>
      <c r="DF73" s="223"/>
      <c r="DG73" s="223">
        <f t="shared" si="249"/>
        <v>103</v>
      </c>
      <c r="DH73" s="223">
        <f t="shared" si="250"/>
        <v>97</v>
      </c>
      <c r="DI73" s="223">
        <f t="shared" si="251"/>
        <v>102</v>
      </c>
      <c r="DM73" s="224">
        <f t="shared" si="104"/>
        <v>100.66666666666667</v>
      </c>
    </row>
    <row r="74" spans="1:117" ht="15.75" x14ac:dyDescent="0.25">
      <c r="A74" s="136">
        <f t="shared" si="105"/>
        <v>428</v>
      </c>
      <c r="B74" s="136" t="str">
        <f t="shared" si="106"/>
        <v>NGSA</v>
      </c>
      <c r="C74" s="42" t="str">
        <f t="shared" ref="C74:C116" si="256" xml:space="preserve"> Z74</f>
        <v xml:space="preserve"> </v>
      </c>
      <c r="D74" s="39" t="str">
        <f t="shared" ref="D74:D116" si="257">AQ74</f>
        <v xml:space="preserve"> </v>
      </c>
      <c r="E74" s="25" t="str">
        <f t="shared" ref="E74:E116" si="258">CA74</f>
        <v xml:space="preserve"> </v>
      </c>
      <c r="F74" s="25" t="str">
        <f t="shared" ref="F74:F116" si="259">CT74</f>
        <v xml:space="preserve"> </v>
      </c>
      <c r="G74" s="145" t="str">
        <f t="shared" ref="G74:G116" si="260">BJ74</f>
        <v xml:space="preserve"> </v>
      </c>
      <c r="I74" s="101">
        <v>428</v>
      </c>
      <c r="J74" s="133" t="s">
        <v>27</v>
      </c>
      <c r="K74" s="103" t="e">
        <f t="shared" si="184"/>
        <v>#N/A</v>
      </c>
      <c r="L74" s="103" t="e">
        <f t="shared" si="185"/>
        <v>#N/A</v>
      </c>
      <c r="M74" s="103" t="e">
        <f t="shared" si="186"/>
        <v>#N/A</v>
      </c>
      <c r="N74" s="103" t="e">
        <f t="shared" si="187"/>
        <v>#N/A</v>
      </c>
      <c r="O74" s="103" t="e">
        <f t="shared" si="188"/>
        <v>#N/A</v>
      </c>
      <c r="P74" s="103" t="e">
        <f t="shared" si="189"/>
        <v>#N/A</v>
      </c>
      <c r="Q74" s="103" t="e">
        <f t="shared" si="190"/>
        <v>#N/A</v>
      </c>
      <c r="R74" s="103" t="e">
        <f t="shared" si="191"/>
        <v>#N/A</v>
      </c>
      <c r="S74" s="103" t="e">
        <f t="shared" si="192"/>
        <v>#N/A</v>
      </c>
      <c r="T74" s="103">
        <f t="shared" si="193"/>
        <v>0</v>
      </c>
      <c r="U74" s="103">
        <f t="shared" si="194"/>
        <v>0</v>
      </c>
      <c r="V74" s="103">
        <f t="shared" si="195"/>
        <v>0</v>
      </c>
      <c r="W74" s="103"/>
      <c r="X74" s="103"/>
      <c r="Y74" s="103"/>
      <c r="Z74" s="112" t="str">
        <f t="shared" si="252"/>
        <v xml:space="preserve"> </v>
      </c>
      <c r="AA74" s="123"/>
      <c r="AB74" s="103" t="e">
        <f t="shared" si="197"/>
        <v>#N/A</v>
      </c>
      <c r="AC74" s="103" t="e">
        <f t="shared" si="198"/>
        <v>#N/A</v>
      </c>
      <c r="AD74" s="103" t="e">
        <f t="shared" si="199"/>
        <v>#N/A</v>
      </c>
      <c r="AE74" s="103" t="e">
        <f t="shared" si="200"/>
        <v>#N/A</v>
      </c>
      <c r="AF74" s="103" t="e">
        <f t="shared" si="201"/>
        <v>#N/A</v>
      </c>
      <c r="AG74" s="103" t="e">
        <f t="shared" si="202"/>
        <v>#N/A</v>
      </c>
      <c r="AH74" s="103" t="e">
        <f t="shared" si="203"/>
        <v>#N/A</v>
      </c>
      <c r="AI74" s="103" t="e">
        <f t="shared" si="204"/>
        <v>#N/A</v>
      </c>
      <c r="AJ74" s="103" t="e">
        <f t="shared" si="205"/>
        <v>#N/A</v>
      </c>
      <c r="AK74" s="103" t="str">
        <f t="shared" si="206"/>
        <v xml:space="preserve"> </v>
      </c>
      <c r="AL74" s="103" t="str">
        <f t="shared" si="207"/>
        <v xml:space="preserve"> </v>
      </c>
      <c r="AM74" s="103" t="str">
        <f t="shared" si="208"/>
        <v xml:space="preserve"> </v>
      </c>
      <c r="AN74" s="103"/>
      <c r="AO74" s="103"/>
      <c r="AP74" s="103"/>
      <c r="AQ74" s="112" t="str">
        <f t="shared" si="253"/>
        <v xml:space="preserve"> </v>
      </c>
      <c r="AR74" s="123"/>
      <c r="AS74" s="101">
        <f t="shared" si="254"/>
        <v>428</v>
      </c>
      <c r="AT74" s="133" t="str">
        <f t="shared" si="255"/>
        <v>NGSA</v>
      </c>
      <c r="AU74" s="103" t="e">
        <f t="shared" si="210"/>
        <v>#N/A</v>
      </c>
      <c r="AV74" s="103" t="e">
        <f t="shared" si="211"/>
        <v>#N/A</v>
      </c>
      <c r="AW74" s="103" t="e">
        <f t="shared" si="212"/>
        <v>#N/A</v>
      </c>
      <c r="AX74" s="103" t="e">
        <f t="shared" si="213"/>
        <v>#N/A</v>
      </c>
      <c r="AY74" s="103" t="e">
        <f t="shared" si="214"/>
        <v>#N/A</v>
      </c>
      <c r="AZ74" s="103" t="e">
        <f t="shared" si="215"/>
        <v>#N/A</v>
      </c>
      <c r="BA74" s="103" t="e">
        <f t="shared" si="216"/>
        <v>#N/A</v>
      </c>
      <c r="BB74" s="103" t="e">
        <f t="shared" si="217"/>
        <v>#N/A</v>
      </c>
      <c r="BC74" s="103" t="e">
        <f t="shared" si="218"/>
        <v>#N/A</v>
      </c>
      <c r="BD74" s="103" t="str">
        <f t="shared" si="219"/>
        <v xml:space="preserve"> </v>
      </c>
      <c r="BE74" s="103" t="str">
        <f t="shared" si="220"/>
        <v xml:space="preserve"> </v>
      </c>
      <c r="BF74" s="103" t="str">
        <f t="shared" si="221"/>
        <v xml:space="preserve"> </v>
      </c>
      <c r="BG74" s="103"/>
      <c r="BH74" s="103"/>
      <c r="BI74" s="103"/>
      <c r="BJ74" s="112" t="str">
        <f t="shared" si="222"/>
        <v xml:space="preserve"> </v>
      </c>
      <c r="BK74" s="123"/>
      <c r="BL74" s="103" t="e">
        <f t="shared" si="223"/>
        <v>#N/A</v>
      </c>
      <c r="BM74" s="103" t="e">
        <f t="shared" si="224"/>
        <v>#N/A</v>
      </c>
      <c r="BN74" s="103" t="e">
        <f t="shared" si="225"/>
        <v>#N/A</v>
      </c>
      <c r="BO74" s="103" t="e">
        <f t="shared" si="226"/>
        <v>#N/A</v>
      </c>
      <c r="BP74" s="103" t="e">
        <f t="shared" si="227"/>
        <v>#N/A</v>
      </c>
      <c r="BQ74" s="103" t="e">
        <f t="shared" si="228"/>
        <v>#N/A</v>
      </c>
      <c r="BR74" s="103" t="e">
        <f t="shared" si="229"/>
        <v>#N/A</v>
      </c>
      <c r="BS74" s="103" t="e">
        <f t="shared" si="230"/>
        <v>#N/A</v>
      </c>
      <c r="BT74" s="103" t="e">
        <f t="shared" si="231"/>
        <v>#N/A</v>
      </c>
      <c r="BU74" s="103" t="str">
        <f t="shared" si="232"/>
        <v xml:space="preserve"> </v>
      </c>
      <c r="BV74" s="103" t="str">
        <f t="shared" si="233"/>
        <v xml:space="preserve"> </v>
      </c>
      <c r="BW74" s="103" t="str">
        <f t="shared" si="234"/>
        <v xml:space="preserve"> </v>
      </c>
      <c r="BX74" s="103"/>
      <c r="BY74" s="103"/>
      <c r="BZ74" s="103"/>
      <c r="CA74" s="112" t="str">
        <f t="shared" si="235"/>
        <v xml:space="preserve"> </v>
      </c>
      <c r="CB74" s="123"/>
      <c r="CC74" s="101">
        <f t="shared" ref="CC74:CC116" si="261">$I74</f>
        <v>428</v>
      </c>
      <c r="CD74" s="133" t="str">
        <f t="shared" ref="CD74:CD116" si="262">$J74</f>
        <v>NGSA</v>
      </c>
      <c r="CE74" s="103" t="e">
        <f t="shared" si="236"/>
        <v>#N/A</v>
      </c>
      <c r="CF74" s="103" t="e">
        <f t="shared" si="237"/>
        <v>#N/A</v>
      </c>
      <c r="CG74" s="103" t="e">
        <f t="shared" si="238"/>
        <v>#N/A</v>
      </c>
      <c r="CH74" s="103" t="e">
        <f t="shared" si="239"/>
        <v>#N/A</v>
      </c>
      <c r="CI74" s="103" t="e">
        <f t="shared" si="240"/>
        <v>#N/A</v>
      </c>
      <c r="CJ74" s="103" t="e">
        <f t="shared" si="241"/>
        <v>#N/A</v>
      </c>
      <c r="CK74" s="103" t="e">
        <f t="shared" si="242"/>
        <v>#N/A</v>
      </c>
      <c r="CL74" s="103" t="e">
        <f t="shared" si="243"/>
        <v>#N/A</v>
      </c>
      <c r="CM74" s="103" t="e">
        <f t="shared" si="244"/>
        <v>#N/A</v>
      </c>
      <c r="CN74" s="103" t="str">
        <f t="shared" si="245"/>
        <v xml:space="preserve"> </v>
      </c>
      <c r="CO74" s="103" t="str">
        <f t="shared" si="246"/>
        <v xml:space="preserve"> </v>
      </c>
      <c r="CP74" s="103" t="str">
        <f t="shared" si="247"/>
        <v xml:space="preserve"> </v>
      </c>
      <c r="CQ74" s="103"/>
      <c r="CR74" s="103"/>
      <c r="CS74" s="103"/>
      <c r="CT74" s="112" t="str">
        <f t="shared" si="248"/>
        <v xml:space="preserve"> </v>
      </c>
      <c r="CU74" s="127"/>
      <c r="CV74" s="101">
        <f t="shared" ref="CV74:CV115" si="263">$I74</f>
        <v>428</v>
      </c>
      <c r="CW74" s="133" t="str">
        <f t="shared" ref="CW74:CW115" si="264">$J74</f>
        <v>NGSA</v>
      </c>
      <c r="CX74" s="223"/>
      <c r="CY74" s="223"/>
      <c r="CZ74" s="223"/>
      <c r="DA74" s="223"/>
      <c r="DB74" s="223"/>
      <c r="DC74" s="223"/>
      <c r="DD74" s="223"/>
      <c r="DE74" s="223"/>
      <c r="DF74" s="223"/>
      <c r="DG74" s="223">
        <f t="shared" si="249"/>
        <v>75</v>
      </c>
      <c r="DH74" s="223">
        <f t="shared" si="250"/>
        <v>0</v>
      </c>
      <c r="DI74" s="223">
        <f t="shared" si="251"/>
        <v>98</v>
      </c>
      <c r="DM74" s="224">
        <f t="shared" si="104"/>
        <v>57.666666666666664</v>
      </c>
    </row>
    <row r="75" spans="1:117" ht="15.75" x14ac:dyDescent="0.25">
      <c r="A75" s="136">
        <f t="shared" si="105"/>
        <v>476</v>
      </c>
      <c r="B75" s="136" t="str">
        <f t="shared" si="106"/>
        <v>NGSA</v>
      </c>
      <c r="C75" s="42" t="str">
        <f t="shared" si="256"/>
        <v xml:space="preserve"> </v>
      </c>
      <c r="D75" s="39" t="str">
        <f t="shared" si="257"/>
        <v xml:space="preserve"> </v>
      </c>
      <c r="E75" s="25" t="str">
        <f t="shared" si="258"/>
        <v xml:space="preserve"> </v>
      </c>
      <c r="F75" s="25">
        <f t="shared" si="259"/>
        <v>1</v>
      </c>
      <c r="G75" s="145" t="str">
        <f t="shared" si="260"/>
        <v xml:space="preserve"> </v>
      </c>
      <c r="I75" s="101">
        <v>476</v>
      </c>
      <c r="J75" s="133" t="s">
        <v>27</v>
      </c>
      <c r="K75" s="103" t="str">
        <f t="shared" si="184"/>
        <v xml:space="preserve"> </v>
      </c>
      <c r="L75" s="103" t="str">
        <f t="shared" si="185"/>
        <v xml:space="preserve"> </v>
      </c>
      <c r="M75" s="103">
        <f t="shared" si="186"/>
        <v>0</v>
      </c>
      <c r="N75" s="103">
        <f t="shared" si="187"/>
        <v>0</v>
      </c>
      <c r="O75" s="103">
        <f t="shared" si="188"/>
        <v>0</v>
      </c>
      <c r="P75" s="103">
        <f t="shared" si="189"/>
        <v>0</v>
      </c>
      <c r="Q75" s="103">
        <f t="shared" si="190"/>
        <v>0</v>
      </c>
      <c r="R75" s="103">
        <f t="shared" si="191"/>
        <v>0</v>
      </c>
      <c r="S75" s="103">
        <f t="shared" si="192"/>
        <v>0</v>
      </c>
      <c r="T75" s="103">
        <f t="shared" si="193"/>
        <v>0</v>
      </c>
      <c r="U75" s="103">
        <f t="shared" si="194"/>
        <v>0</v>
      </c>
      <c r="V75" s="103">
        <f t="shared" si="195"/>
        <v>0</v>
      </c>
      <c r="W75" s="103"/>
      <c r="X75" s="103"/>
      <c r="Y75" s="103"/>
      <c r="Z75" s="112" t="str">
        <f t="shared" si="252"/>
        <v xml:space="preserve"> </v>
      </c>
      <c r="AA75" s="123"/>
      <c r="AB75" s="103" t="str">
        <f t="shared" si="197"/>
        <v xml:space="preserve"> </v>
      </c>
      <c r="AC75" s="103" t="str">
        <f t="shared" si="198"/>
        <v xml:space="preserve"> </v>
      </c>
      <c r="AD75" s="103" t="str">
        <f t="shared" si="199"/>
        <v xml:space="preserve"> </v>
      </c>
      <c r="AE75" s="103" t="str">
        <f t="shared" si="200"/>
        <v xml:space="preserve"> </v>
      </c>
      <c r="AF75" s="103" t="str">
        <f t="shared" si="201"/>
        <v xml:space="preserve"> </v>
      </c>
      <c r="AG75" s="103" t="str">
        <f t="shared" si="202"/>
        <v xml:space="preserve"> </v>
      </c>
      <c r="AH75" s="103" t="str">
        <f t="shared" si="203"/>
        <v xml:space="preserve"> </v>
      </c>
      <c r="AI75" s="103" t="str">
        <f t="shared" si="204"/>
        <v xml:space="preserve"> </v>
      </c>
      <c r="AJ75" s="103" t="str">
        <f t="shared" si="205"/>
        <v xml:space="preserve"> </v>
      </c>
      <c r="AK75" s="103">
        <f t="shared" si="206"/>
        <v>0</v>
      </c>
      <c r="AL75" s="103">
        <f t="shared" si="207"/>
        <v>0</v>
      </c>
      <c r="AM75" s="103">
        <f t="shared" si="208"/>
        <v>0</v>
      </c>
      <c r="AN75" s="103"/>
      <c r="AO75" s="103"/>
      <c r="AP75" s="103"/>
      <c r="AQ75" s="112" t="str">
        <f t="shared" si="253"/>
        <v xml:space="preserve"> </v>
      </c>
      <c r="AR75" s="123"/>
      <c r="AS75" s="101">
        <f t="shared" si="254"/>
        <v>476</v>
      </c>
      <c r="AT75" s="133" t="str">
        <f t="shared" si="255"/>
        <v>NGSA</v>
      </c>
      <c r="AU75" s="103" t="str">
        <f t="shared" si="210"/>
        <v xml:space="preserve"> </v>
      </c>
      <c r="AV75" s="103" t="str">
        <f t="shared" si="211"/>
        <v xml:space="preserve"> </v>
      </c>
      <c r="AW75" s="103" t="str">
        <f t="shared" si="212"/>
        <v xml:space="preserve"> </v>
      </c>
      <c r="AX75" s="103" t="str">
        <f t="shared" si="213"/>
        <v xml:space="preserve"> </v>
      </c>
      <c r="AY75" s="103" t="str">
        <f t="shared" si="214"/>
        <v xml:space="preserve"> </v>
      </c>
      <c r="AZ75" s="103" t="str">
        <f t="shared" si="215"/>
        <v xml:space="preserve"> </v>
      </c>
      <c r="BA75" s="103" t="str">
        <f t="shared" si="216"/>
        <v xml:space="preserve"> </v>
      </c>
      <c r="BB75" s="103" t="str">
        <f t="shared" si="217"/>
        <v xml:space="preserve"> </v>
      </c>
      <c r="BC75" s="103" t="str">
        <f t="shared" si="218"/>
        <v xml:space="preserve"> </v>
      </c>
      <c r="BD75" s="103">
        <f t="shared" si="219"/>
        <v>0</v>
      </c>
      <c r="BE75" s="103">
        <f t="shared" si="220"/>
        <v>0</v>
      </c>
      <c r="BF75" s="103">
        <f t="shared" si="221"/>
        <v>0</v>
      </c>
      <c r="BG75" s="103"/>
      <c r="BH75" s="103"/>
      <c r="BI75" s="103"/>
      <c r="BJ75" s="112" t="str">
        <f t="shared" si="222"/>
        <v xml:space="preserve"> </v>
      </c>
      <c r="BK75" s="123"/>
      <c r="BL75" s="103" t="str">
        <f t="shared" si="223"/>
        <v xml:space="preserve"> </v>
      </c>
      <c r="BM75" s="103" t="str">
        <f t="shared" si="224"/>
        <v xml:space="preserve"> </v>
      </c>
      <c r="BN75" s="103" t="str">
        <f t="shared" si="225"/>
        <v xml:space="preserve"> </v>
      </c>
      <c r="BO75" s="103" t="str">
        <f t="shared" si="226"/>
        <v xml:space="preserve"> </v>
      </c>
      <c r="BP75" s="103" t="str">
        <f t="shared" si="227"/>
        <v xml:space="preserve"> </v>
      </c>
      <c r="BQ75" s="103" t="str">
        <f t="shared" si="228"/>
        <v xml:space="preserve"> </v>
      </c>
      <c r="BR75" s="103" t="str">
        <f t="shared" si="229"/>
        <v xml:space="preserve"> </v>
      </c>
      <c r="BS75" s="103" t="str">
        <f t="shared" si="230"/>
        <v xml:space="preserve"> </v>
      </c>
      <c r="BT75" s="103" t="str">
        <f t="shared" si="231"/>
        <v xml:space="preserve"> </v>
      </c>
      <c r="BU75" s="103" t="str">
        <f t="shared" si="232"/>
        <v xml:space="preserve"> </v>
      </c>
      <c r="BV75" s="103" t="str">
        <f t="shared" si="233"/>
        <v xml:space="preserve"> </v>
      </c>
      <c r="BW75" s="103" t="str">
        <f t="shared" si="234"/>
        <v xml:space="preserve"> </v>
      </c>
      <c r="BX75" s="103"/>
      <c r="BY75" s="103"/>
      <c r="BZ75" s="103"/>
      <c r="CA75" s="112" t="str">
        <f t="shared" si="235"/>
        <v xml:space="preserve"> </v>
      </c>
      <c r="CB75" s="123"/>
      <c r="CC75" s="101">
        <f t="shared" si="261"/>
        <v>476</v>
      </c>
      <c r="CD75" s="133" t="str">
        <f t="shared" si="262"/>
        <v>NGSA</v>
      </c>
      <c r="CE75" s="103" t="str">
        <f t="shared" si="236"/>
        <v xml:space="preserve"> </v>
      </c>
      <c r="CF75" s="103" t="str">
        <f t="shared" si="237"/>
        <v xml:space="preserve"> </v>
      </c>
      <c r="CG75" s="103" t="str">
        <f t="shared" si="238"/>
        <v xml:space="preserve"> </v>
      </c>
      <c r="CH75" s="103" t="str">
        <f t="shared" si="239"/>
        <v xml:space="preserve"> </v>
      </c>
      <c r="CI75" s="103" t="str">
        <f t="shared" si="240"/>
        <v>X</v>
      </c>
      <c r="CJ75" s="103" t="str">
        <f t="shared" si="241"/>
        <v xml:space="preserve"> </v>
      </c>
      <c r="CK75" s="103" t="str">
        <f t="shared" si="242"/>
        <v xml:space="preserve"> </v>
      </c>
      <c r="CL75" s="103" t="str">
        <f t="shared" si="243"/>
        <v xml:space="preserve"> </v>
      </c>
      <c r="CM75" s="103" t="str">
        <f t="shared" si="244"/>
        <v xml:space="preserve"> </v>
      </c>
      <c r="CN75" s="103" t="str">
        <f t="shared" si="245"/>
        <v xml:space="preserve"> </v>
      </c>
      <c r="CO75" s="103" t="str">
        <f t="shared" si="246"/>
        <v xml:space="preserve"> </v>
      </c>
      <c r="CP75" s="103" t="str">
        <f t="shared" si="247"/>
        <v xml:space="preserve"> </v>
      </c>
      <c r="CQ75" s="103"/>
      <c r="CR75" s="103"/>
      <c r="CS75" s="103"/>
      <c r="CT75" s="112">
        <f t="shared" si="248"/>
        <v>1</v>
      </c>
      <c r="CU75" s="127"/>
      <c r="CV75" s="101">
        <f t="shared" si="263"/>
        <v>476</v>
      </c>
      <c r="CW75" s="133" t="str">
        <f t="shared" si="264"/>
        <v>NGSA</v>
      </c>
      <c r="CX75" s="223">
        <f>VLOOKUP($I75,ngsa0705,13,FALSE)</f>
        <v>0</v>
      </c>
      <c r="CY75" s="223">
        <f>VLOOKUP($I75,ngsa0706,13,FALSE)</f>
        <v>0</v>
      </c>
      <c r="CZ75" s="223">
        <f>VLOOKUP($I75,ngsa0707,13,FALSE)</f>
        <v>0</v>
      </c>
      <c r="DA75" s="223">
        <f>VLOOKUP($I75,ngsa0708,13,FALSE)</f>
        <v>0</v>
      </c>
      <c r="DB75" s="223">
        <f>VLOOKUP($I75,ngsa0721,13,FALSE)</f>
        <v>0</v>
      </c>
      <c r="DC75" s="223">
        <f>VLOOKUP($I75,ngsa0725,13,FALSE)</f>
        <v>0</v>
      </c>
      <c r="DD75" s="223">
        <f>VLOOKUP($I75,ngsa0829,13,FALSE)</f>
        <v>0</v>
      </c>
      <c r="DE75" s="223">
        <f>VLOOKUP($I75,ngsa0830,13,FALSE)</f>
        <v>0</v>
      </c>
      <c r="DF75" s="223">
        <f>VLOOKUP($I75,ngsa0910,13,FALSE)</f>
        <v>0</v>
      </c>
      <c r="DG75" s="223">
        <f t="shared" si="249"/>
        <v>0</v>
      </c>
      <c r="DH75" s="223">
        <f t="shared" si="250"/>
        <v>0</v>
      </c>
      <c r="DI75" s="223">
        <f t="shared" si="251"/>
        <v>0</v>
      </c>
      <c r="DM75" s="224"/>
    </row>
    <row r="76" spans="1:117" ht="15.75" x14ac:dyDescent="0.25">
      <c r="A76" s="136">
        <f t="shared" si="105"/>
        <v>478</v>
      </c>
      <c r="B76" s="136" t="str">
        <f t="shared" si="106"/>
        <v>NGSA</v>
      </c>
      <c r="C76" s="42" t="str">
        <f t="shared" si="256"/>
        <v xml:space="preserve"> </v>
      </c>
      <c r="D76" s="39" t="str">
        <f t="shared" si="257"/>
        <v xml:space="preserve"> </v>
      </c>
      <c r="E76" s="25" t="str">
        <f t="shared" si="258"/>
        <v xml:space="preserve"> </v>
      </c>
      <c r="F76" s="25" t="str">
        <f t="shared" si="259"/>
        <v xml:space="preserve"> </v>
      </c>
      <c r="G76" s="145" t="str">
        <f t="shared" si="260"/>
        <v xml:space="preserve"> </v>
      </c>
      <c r="I76" s="101">
        <v>478</v>
      </c>
      <c r="J76" s="133" t="s">
        <v>27</v>
      </c>
      <c r="K76" s="103" t="e">
        <f t="shared" si="184"/>
        <v>#N/A</v>
      </c>
      <c r="L76" s="103" t="e">
        <f t="shared" si="185"/>
        <v>#N/A</v>
      </c>
      <c r="M76" s="103" t="e">
        <f t="shared" si="186"/>
        <v>#N/A</v>
      </c>
      <c r="N76" s="103" t="e">
        <f t="shared" si="187"/>
        <v>#N/A</v>
      </c>
      <c r="O76" s="103" t="e">
        <f t="shared" si="188"/>
        <v>#N/A</v>
      </c>
      <c r="P76" s="103" t="e">
        <f t="shared" si="189"/>
        <v>#N/A</v>
      </c>
      <c r="Q76" s="103" t="e">
        <f t="shared" si="190"/>
        <v>#N/A</v>
      </c>
      <c r="R76" s="103" t="e">
        <f t="shared" si="191"/>
        <v>#N/A</v>
      </c>
      <c r="S76" s="103" t="e">
        <f t="shared" si="192"/>
        <v>#N/A</v>
      </c>
      <c r="T76" s="103">
        <f t="shared" si="193"/>
        <v>0</v>
      </c>
      <c r="U76" s="103">
        <f t="shared" si="194"/>
        <v>0</v>
      </c>
      <c r="V76" s="103">
        <f t="shared" si="195"/>
        <v>0</v>
      </c>
      <c r="W76" s="103"/>
      <c r="X76" s="103"/>
      <c r="Y76" s="103"/>
      <c r="Z76" s="112" t="str">
        <f t="shared" si="252"/>
        <v xml:space="preserve"> </v>
      </c>
      <c r="AA76" s="123"/>
      <c r="AB76" s="103" t="e">
        <f t="shared" si="197"/>
        <v>#N/A</v>
      </c>
      <c r="AC76" s="103" t="e">
        <f t="shared" si="198"/>
        <v>#N/A</v>
      </c>
      <c r="AD76" s="103" t="e">
        <f t="shared" si="199"/>
        <v>#N/A</v>
      </c>
      <c r="AE76" s="103" t="e">
        <f t="shared" si="200"/>
        <v>#N/A</v>
      </c>
      <c r="AF76" s="103" t="e">
        <f t="shared" si="201"/>
        <v>#N/A</v>
      </c>
      <c r="AG76" s="103" t="e">
        <f t="shared" si="202"/>
        <v>#N/A</v>
      </c>
      <c r="AH76" s="103" t="e">
        <f t="shared" si="203"/>
        <v>#N/A</v>
      </c>
      <c r="AI76" s="103" t="e">
        <f t="shared" si="204"/>
        <v>#N/A</v>
      </c>
      <c r="AJ76" s="103" t="e">
        <f t="shared" si="205"/>
        <v>#N/A</v>
      </c>
      <c r="AK76" s="103" t="str">
        <f t="shared" si="206"/>
        <v xml:space="preserve"> </v>
      </c>
      <c r="AL76" s="103" t="str">
        <f t="shared" si="207"/>
        <v xml:space="preserve"> </v>
      </c>
      <c r="AM76" s="103" t="str">
        <f t="shared" si="208"/>
        <v xml:space="preserve"> </v>
      </c>
      <c r="AN76" s="103"/>
      <c r="AO76" s="103"/>
      <c r="AP76" s="103"/>
      <c r="AQ76" s="112" t="str">
        <f t="shared" si="253"/>
        <v xml:space="preserve"> </v>
      </c>
      <c r="AR76" s="123"/>
      <c r="AS76" s="101">
        <f t="shared" si="254"/>
        <v>478</v>
      </c>
      <c r="AT76" s="133" t="str">
        <f t="shared" si="255"/>
        <v>NGSA</v>
      </c>
      <c r="AU76" s="103" t="e">
        <f t="shared" si="210"/>
        <v>#N/A</v>
      </c>
      <c r="AV76" s="103" t="e">
        <f t="shared" si="211"/>
        <v>#N/A</v>
      </c>
      <c r="AW76" s="103" t="e">
        <f t="shared" si="212"/>
        <v>#N/A</v>
      </c>
      <c r="AX76" s="103" t="e">
        <f t="shared" si="213"/>
        <v>#N/A</v>
      </c>
      <c r="AY76" s="103" t="e">
        <f t="shared" si="214"/>
        <v>#N/A</v>
      </c>
      <c r="AZ76" s="103" t="e">
        <f t="shared" si="215"/>
        <v>#N/A</v>
      </c>
      <c r="BA76" s="103" t="e">
        <f t="shared" si="216"/>
        <v>#N/A</v>
      </c>
      <c r="BB76" s="103" t="e">
        <f t="shared" si="217"/>
        <v>#N/A</v>
      </c>
      <c r="BC76" s="103" t="e">
        <f t="shared" si="218"/>
        <v>#N/A</v>
      </c>
      <c r="BD76" s="103" t="str">
        <f t="shared" si="219"/>
        <v xml:space="preserve"> </v>
      </c>
      <c r="BE76" s="103" t="str">
        <f t="shared" si="220"/>
        <v xml:space="preserve"> </v>
      </c>
      <c r="BF76" s="103" t="str">
        <f t="shared" si="221"/>
        <v xml:space="preserve"> </v>
      </c>
      <c r="BG76" s="103"/>
      <c r="BH76" s="103"/>
      <c r="BI76" s="103"/>
      <c r="BJ76" s="112" t="str">
        <f t="shared" si="222"/>
        <v xml:space="preserve"> </v>
      </c>
      <c r="BK76" s="123"/>
      <c r="BL76" s="103" t="e">
        <f t="shared" si="223"/>
        <v>#N/A</v>
      </c>
      <c r="BM76" s="103" t="e">
        <f t="shared" si="224"/>
        <v>#N/A</v>
      </c>
      <c r="BN76" s="103" t="e">
        <f t="shared" si="225"/>
        <v>#N/A</v>
      </c>
      <c r="BO76" s="103" t="e">
        <f t="shared" si="226"/>
        <v>#N/A</v>
      </c>
      <c r="BP76" s="103" t="e">
        <f t="shared" si="227"/>
        <v>#N/A</v>
      </c>
      <c r="BQ76" s="103" t="e">
        <f t="shared" si="228"/>
        <v>#N/A</v>
      </c>
      <c r="BR76" s="103" t="e">
        <f t="shared" si="229"/>
        <v>#N/A</v>
      </c>
      <c r="BS76" s="103" t="e">
        <f t="shared" si="230"/>
        <v>#N/A</v>
      </c>
      <c r="BT76" s="103" t="e">
        <f t="shared" si="231"/>
        <v>#N/A</v>
      </c>
      <c r="BU76" s="103" t="str">
        <f t="shared" si="232"/>
        <v xml:space="preserve"> </v>
      </c>
      <c r="BV76" s="103" t="str">
        <f t="shared" si="233"/>
        <v xml:space="preserve"> </v>
      </c>
      <c r="BW76" s="103" t="str">
        <f t="shared" si="234"/>
        <v xml:space="preserve"> </v>
      </c>
      <c r="BX76" s="103"/>
      <c r="BY76" s="103"/>
      <c r="BZ76" s="103"/>
      <c r="CA76" s="112" t="str">
        <f t="shared" si="235"/>
        <v xml:space="preserve"> </v>
      </c>
      <c r="CB76" s="123"/>
      <c r="CC76" s="101">
        <f t="shared" si="261"/>
        <v>478</v>
      </c>
      <c r="CD76" s="133" t="str">
        <f t="shared" si="262"/>
        <v>NGSA</v>
      </c>
      <c r="CE76" s="103" t="e">
        <f t="shared" si="236"/>
        <v>#N/A</v>
      </c>
      <c r="CF76" s="103" t="e">
        <f t="shared" si="237"/>
        <v>#N/A</v>
      </c>
      <c r="CG76" s="103" t="e">
        <f t="shared" si="238"/>
        <v>#N/A</v>
      </c>
      <c r="CH76" s="103" t="e">
        <f t="shared" si="239"/>
        <v>#N/A</v>
      </c>
      <c r="CI76" s="103" t="e">
        <f t="shared" si="240"/>
        <v>#N/A</v>
      </c>
      <c r="CJ76" s="103" t="e">
        <f t="shared" si="241"/>
        <v>#N/A</v>
      </c>
      <c r="CK76" s="103" t="e">
        <f t="shared" si="242"/>
        <v>#N/A</v>
      </c>
      <c r="CL76" s="103" t="e">
        <f t="shared" si="243"/>
        <v>#N/A</v>
      </c>
      <c r="CM76" s="103" t="e">
        <f t="shared" si="244"/>
        <v>#N/A</v>
      </c>
      <c r="CN76" s="103" t="str">
        <f t="shared" si="245"/>
        <v xml:space="preserve"> </v>
      </c>
      <c r="CO76" s="103" t="str">
        <f t="shared" si="246"/>
        <v xml:space="preserve"> </v>
      </c>
      <c r="CP76" s="103" t="str">
        <f t="shared" si="247"/>
        <v xml:space="preserve"> </v>
      </c>
      <c r="CQ76" s="103"/>
      <c r="CR76" s="103"/>
      <c r="CS76" s="103"/>
      <c r="CT76" s="112" t="str">
        <f t="shared" si="248"/>
        <v xml:space="preserve"> </v>
      </c>
      <c r="CU76" s="127"/>
      <c r="CV76" s="101">
        <f t="shared" si="263"/>
        <v>478</v>
      </c>
      <c r="CW76" s="133" t="str">
        <f t="shared" si="264"/>
        <v>NGSA</v>
      </c>
      <c r="CX76" s="223"/>
      <c r="CY76" s="223"/>
      <c r="CZ76" s="223"/>
      <c r="DA76" s="223"/>
      <c r="DB76" s="223"/>
      <c r="DC76" s="223"/>
      <c r="DD76" s="223"/>
      <c r="DE76" s="223"/>
      <c r="DF76" s="223"/>
      <c r="DG76" s="223">
        <f t="shared" si="249"/>
        <v>80</v>
      </c>
      <c r="DH76" s="223">
        <f t="shared" si="250"/>
        <v>35</v>
      </c>
      <c r="DI76" s="223">
        <f t="shared" si="251"/>
        <v>66</v>
      </c>
      <c r="DM76" s="224">
        <f t="shared" ref="DM76:DM115" si="265">AVERAGE(CX76:DL76)</f>
        <v>60.333333333333336</v>
      </c>
    </row>
    <row r="77" spans="1:117" ht="15.75" x14ac:dyDescent="0.25">
      <c r="A77" s="136">
        <f t="shared" si="105"/>
        <v>512</v>
      </c>
      <c r="B77" s="136" t="str">
        <f t="shared" si="106"/>
        <v>NGSA</v>
      </c>
      <c r="C77" s="42" t="str">
        <f t="shared" si="256"/>
        <v xml:space="preserve"> </v>
      </c>
      <c r="D77" s="39" t="str">
        <f t="shared" si="257"/>
        <v xml:space="preserve"> </v>
      </c>
      <c r="E77" s="25" t="str">
        <f t="shared" si="258"/>
        <v xml:space="preserve"> </v>
      </c>
      <c r="F77" s="25">
        <f t="shared" si="259"/>
        <v>5</v>
      </c>
      <c r="G77" s="145" t="str">
        <f t="shared" si="260"/>
        <v xml:space="preserve"> </v>
      </c>
      <c r="I77" s="101">
        <v>512</v>
      </c>
      <c r="J77" s="133" t="s">
        <v>27</v>
      </c>
      <c r="K77" s="103" t="str">
        <f t="shared" si="184"/>
        <v xml:space="preserve"> </v>
      </c>
      <c r="L77" s="103" t="str">
        <f t="shared" si="185"/>
        <v xml:space="preserve"> </v>
      </c>
      <c r="M77" s="103">
        <f t="shared" si="186"/>
        <v>0</v>
      </c>
      <c r="N77" s="103">
        <f t="shared" si="187"/>
        <v>0</v>
      </c>
      <c r="O77" s="103">
        <f t="shared" si="188"/>
        <v>0</v>
      </c>
      <c r="P77" s="103">
        <f t="shared" si="189"/>
        <v>0</v>
      </c>
      <c r="Q77" s="103">
        <f t="shared" si="190"/>
        <v>0</v>
      </c>
      <c r="R77" s="103">
        <f t="shared" si="191"/>
        <v>0</v>
      </c>
      <c r="S77" s="103">
        <f t="shared" si="192"/>
        <v>0</v>
      </c>
      <c r="T77" s="103">
        <f t="shared" si="193"/>
        <v>0</v>
      </c>
      <c r="U77" s="103">
        <f t="shared" si="194"/>
        <v>0</v>
      </c>
      <c r="V77" s="103">
        <f t="shared" si="195"/>
        <v>0</v>
      </c>
      <c r="W77" s="103"/>
      <c r="X77" s="103"/>
      <c r="Y77" s="103"/>
      <c r="Z77" s="112" t="str">
        <f t="shared" si="252"/>
        <v xml:space="preserve"> </v>
      </c>
      <c r="AA77" s="123"/>
      <c r="AB77" s="103" t="str">
        <f t="shared" si="197"/>
        <v xml:space="preserve"> </v>
      </c>
      <c r="AC77" s="103" t="str">
        <f t="shared" si="198"/>
        <v xml:space="preserve"> </v>
      </c>
      <c r="AD77" s="103" t="str">
        <f t="shared" si="199"/>
        <v xml:space="preserve"> </v>
      </c>
      <c r="AE77" s="103" t="str">
        <f t="shared" si="200"/>
        <v xml:space="preserve"> </v>
      </c>
      <c r="AF77" s="103" t="str">
        <f t="shared" si="201"/>
        <v xml:space="preserve"> </v>
      </c>
      <c r="AG77" s="103" t="str">
        <f t="shared" si="202"/>
        <v xml:space="preserve"> </v>
      </c>
      <c r="AH77" s="103" t="str">
        <f t="shared" si="203"/>
        <v xml:space="preserve"> </v>
      </c>
      <c r="AI77" s="103" t="str">
        <f t="shared" si="204"/>
        <v xml:space="preserve"> </v>
      </c>
      <c r="AJ77" s="103" t="str">
        <f t="shared" si="205"/>
        <v xml:space="preserve"> </v>
      </c>
      <c r="AK77" s="103" t="str">
        <f t="shared" si="206"/>
        <v xml:space="preserve"> </v>
      </c>
      <c r="AL77" s="103" t="str">
        <f t="shared" si="207"/>
        <v xml:space="preserve"> </v>
      </c>
      <c r="AM77" s="103" t="str">
        <f t="shared" si="208"/>
        <v xml:space="preserve"> </v>
      </c>
      <c r="AN77" s="103"/>
      <c r="AO77" s="103"/>
      <c r="AP77" s="103"/>
      <c r="AQ77" s="112" t="str">
        <f t="shared" si="253"/>
        <v xml:space="preserve"> </v>
      </c>
      <c r="AR77" s="123"/>
      <c r="AS77" s="101">
        <f t="shared" si="254"/>
        <v>512</v>
      </c>
      <c r="AT77" s="133" t="str">
        <f t="shared" si="255"/>
        <v>NGSA</v>
      </c>
      <c r="AU77" s="103" t="str">
        <f t="shared" si="210"/>
        <v xml:space="preserve"> </v>
      </c>
      <c r="AV77" s="103" t="str">
        <f t="shared" si="211"/>
        <v xml:space="preserve"> </v>
      </c>
      <c r="AW77" s="103" t="str">
        <f t="shared" si="212"/>
        <v xml:space="preserve"> </v>
      </c>
      <c r="AX77" s="103" t="str">
        <f t="shared" si="213"/>
        <v xml:space="preserve"> </v>
      </c>
      <c r="AY77" s="103" t="str">
        <f t="shared" si="214"/>
        <v xml:space="preserve"> </v>
      </c>
      <c r="AZ77" s="103" t="str">
        <f t="shared" si="215"/>
        <v xml:space="preserve"> </v>
      </c>
      <c r="BA77" s="103" t="str">
        <f t="shared" si="216"/>
        <v xml:space="preserve"> </v>
      </c>
      <c r="BB77" s="103" t="str">
        <f t="shared" si="217"/>
        <v xml:space="preserve"> </v>
      </c>
      <c r="BC77" s="103" t="str">
        <f t="shared" si="218"/>
        <v xml:space="preserve"> </v>
      </c>
      <c r="BD77" s="103" t="str">
        <f t="shared" si="219"/>
        <v xml:space="preserve"> </v>
      </c>
      <c r="BE77" s="103" t="str">
        <f t="shared" si="220"/>
        <v xml:space="preserve"> </v>
      </c>
      <c r="BF77" s="103" t="str">
        <f t="shared" si="221"/>
        <v xml:space="preserve"> </v>
      </c>
      <c r="BG77" s="103"/>
      <c r="BH77" s="103"/>
      <c r="BI77" s="103"/>
      <c r="BJ77" s="112" t="str">
        <f t="shared" si="222"/>
        <v xml:space="preserve"> </v>
      </c>
      <c r="BK77" s="123"/>
      <c r="BL77" s="103" t="str">
        <f t="shared" si="223"/>
        <v xml:space="preserve"> </v>
      </c>
      <c r="BM77" s="103" t="str">
        <f t="shared" si="224"/>
        <v xml:space="preserve"> </v>
      </c>
      <c r="BN77" s="103" t="str">
        <f t="shared" si="225"/>
        <v xml:space="preserve"> </v>
      </c>
      <c r="BO77" s="103" t="str">
        <f t="shared" si="226"/>
        <v xml:space="preserve"> </v>
      </c>
      <c r="BP77" s="103" t="str">
        <f t="shared" si="227"/>
        <v xml:space="preserve"> </v>
      </c>
      <c r="BQ77" s="103" t="str">
        <f t="shared" si="228"/>
        <v xml:space="preserve"> </v>
      </c>
      <c r="BR77" s="103" t="str">
        <f t="shared" si="229"/>
        <v xml:space="preserve"> </v>
      </c>
      <c r="BS77" s="103" t="str">
        <f t="shared" si="230"/>
        <v xml:space="preserve"> </v>
      </c>
      <c r="BT77" s="103" t="str">
        <f t="shared" si="231"/>
        <v xml:space="preserve"> </v>
      </c>
      <c r="BU77" s="103" t="str">
        <f t="shared" si="232"/>
        <v xml:space="preserve"> </v>
      </c>
      <c r="BV77" s="103" t="str">
        <f t="shared" si="233"/>
        <v xml:space="preserve"> </v>
      </c>
      <c r="BW77" s="103" t="str">
        <f t="shared" si="234"/>
        <v xml:space="preserve"> </v>
      </c>
      <c r="BX77" s="103"/>
      <c r="BY77" s="103"/>
      <c r="BZ77" s="103"/>
      <c r="CA77" s="112" t="str">
        <f t="shared" si="235"/>
        <v xml:space="preserve"> </v>
      </c>
      <c r="CB77" s="123"/>
      <c r="CC77" s="101">
        <f t="shared" si="261"/>
        <v>512</v>
      </c>
      <c r="CD77" s="133" t="str">
        <f t="shared" si="262"/>
        <v>NGSA</v>
      </c>
      <c r="CE77" s="103" t="str">
        <f t="shared" si="236"/>
        <v xml:space="preserve"> </v>
      </c>
      <c r="CF77" s="103" t="str">
        <f t="shared" si="237"/>
        <v xml:space="preserve"> </v>
      </c>
      <c r="CG77" s="103" t="str">
        <f t="shared" si="238"/>
        <v xml:space="preserve"> </v>
      </c>
      <c r="CH77" s="103" t="str">
        <f t="shared" si="239"/>
        <v xml:space="preserve"> </v>
      </c>
      <c r="CI77" s="103" t="str">
        <f t="shared" si="240"/>
        <v xml:space="preserve"> </v>
      </c>
      <c r="CJ77" s="103" t="str">
        <f t="shared" si="241"/>
        <v xml:space="preserve"> </v>
      </c>
      <c r="CK77" s="103" t="str">
        <f t="shared" si="242"/>
        <v>X</v>
      </c>
      <c r="CL77" s="103" t="str">
        <f t="shared" si="243"/>
        <v xml:space="preserve"> </v>
      </c>
      <c r="CM77" s="103" t="str">
        <f t="shared" si="244"/>
        <v>X</v>
      </c>
      <c r="CN77" s="103" t="str">
        <f t="shared" si="245"/>
        <v>X</v>
      </c>
      <c r="CO77" s="103" t="str">
        <f t="shared" si="246"/>
        <v>X</v>
      </c>
      <c r="CP77" s="103" t="str">
        <f t="shared" si="247"/>
        <v>X</v>
      </c>
      <c r="CQ77" s="103"/>
      <c r="CR77" s="103"/>
      <c r="CS77" s="103"/>
      <c r="CT77" s="112">
        <f t="shared" si="248"/>
        <v>5</v>
      </c>
      <c r="CU77" s="127"/>
      <c r="CV77" s="101">
        <f t="shared" si="263"/>
        <v>512</v>
      </c>
      <c r="CW77" s="133" t="str">
        <f t="shared" si="264"/>
        <v>NGSA</v>
      </c>
      <c r="CX77" s="223">
        <f>VLOOKUP($I77,ngsa0705,13,FALSE)</f>
        <v>1238</v>
      </c>
      <c r="CY77" s="223">
        <f>VLOOKUP($I77,ngsa0706,13,FALSE)</f>
        <v>3103</v>
      </c>
      <c r="CZ77" s="223">
        <f>VLOOKUP($I77,ngsa0707,13,FALSE)</f>
        <v>2815</v>
      </c>
      <c r="DA77" s="223">
        <f>VLOOKUP($I77,ngsa0708,13,FALSE)</f>
        <v>2430</v>
      </c>
      <c r="DB77" s="223">
        <f>VLOOKUP($I77,ngsa0721,13,FALSE)</f>
        <v>992</v>
      </c>
      <c r="DC77" s="223">
        <f>VLOOKUP($I77,ngsa0725,13,FALSE)</f>
        <v>912</v>
      </c>
      <c r="DD77" s="223">
        <f>VLOOKUP($I77,ngsa0829,13,FALSE)</f>
        <v>1968</v>
      </c>
      <c r="DE77" s="223">
        <f>VLOOKUP($I77,ngsa0830,13,FALSE)</f>
        <v>1287</v>
      </c>
      <c r="DF77" s="223">
        <f>VLOOKUP($I77,ngsa0910,13,FALSE)</f>
        <v>672</v>
      </c>
      <c r="DG77" s="223">
        <f t="shared" si="249"/>
        <v>693</v>
      </c>
      <c r="DH77" s="223">
        <f t="shared" si="250"/>
        <v>1039</v>
      </c>
      <c r="DI77" s="223">
        <f t="shared" si="251"/>
        <v>446</v>
      </c>
      <c r="DM77" s="224">
        <f t="shared" si="265"/>
        <v>1466.25</v>
      </c>
    </row>
    <row r="78" spans="1:117" ht="15.75" x14ac:dyDescent="0.25">
      <c r="A78" s="136">
        <f t="shared" si="105"/>
        <v>535</v>
      </c>
      <c r="B78" s="136" t="str">
        <f t="shared" si="106"/>
        <v>NGSA</v>
      </c>
      <c r="C78" s="42" t="str">
        <f t="shared" si="256"/>
        <v xml:space="preserve"> </v>
      </c>
      <c r="D78" s="39" t="str">
        <f t="shared" si="257"/>
        <v xml:space="preserve"> </v>
      </c>
      <c r="E78" s="25" t="str">
        <f t="shared" si="258"/>
        <v xml:space="preserve"> </v>
      </c>
      <c r="F78" s="25" t="str">
        <f t="shared" si="259"/>
        <v xml:space="preserve"> </v>
      </c>
      <c r="G78" s="145" t="str">
        <f t="shared" si="260"/>
        <v xml:space="preserve"> </v>
      </c>
      <c r="I78" s="101">
        <v>535</v>
      </c>
      <c r="J78" s="133" t="s">
        <v>27</v>
      </c>
      <c r="K78" s="103" t="e">
        <f t="shared" si="184"/>
        <v>#N/A</v>
      </c>
      <c r="L78" s="103" t="e">
        <f t="shared" si="185"/>
        <v>#N/A</v>
      </c>
      <c r="M78" s="103" t="e">
        <f t="shared" si="186"/>
        <v>#N/A</v>
      </c>
      <c r="N78" s="103" t="e">
        <f t="shared" si="187"/>
        <v>#N/A</v>
      </c>
      <c r="O78" s="103" t="e">
        <f t="shared" si="188"/>
        <v>#N/A</v>
      </c>
      <c r="P78" s="103" t="e">
        <f t="shared" si="189"/>
        <v>#N/A</v>
      </c>
      <c r="Q78" s="103" t="e">
        <f t="shared" si="190"/>
        <v>#N/A</v>
      </c>
      <c r="R78" s="103" t="e">
        <f t="shared" si="191"/>
        <v>#N/A</v>
      </c>
      <c r="S78" s="103" t="e">
        <f t="shared" si="192"/>
        <v>#N/A</v>
      </c>
      <c r="T78" s="103">
        <f t="shared" si="193"/>
        <v>0</v>
      </c>
      <c r="U78" s="103">
        <f t="shared" si="194"/>
        <v>0</v>
      </c>
      <c r="V78" s="103">
        <f t="shared" si="195"/>
        <v>0</v>
      </c>
      <c r="W78" s="103"/>
      <c r="X78" s="103"/>
      <c r="Y78" s="103"/>
      <c r="Z78" s="112" t="str">
        <f t="shared" si="252"/>
        <v xml:space="preserve"> </v>
      </c>
      <c r="AA78" s="123"/>
      <c r="AB78" s="103" t="e">
        <f t="shared" si="197"/>
        <v>#N/A</v>
      </c>
      <c r="AC78" s="103" t="e">
        <f t="shared" si="198"/>
        <v>#N/A</v>
      </c>
      <c r="AD78" s="103" t="e">
        <f t="shared" si="199"/>
        <v>#N/A</v>
      </c>
      <c r="AE78" s="103" t="e">
        <f t="shared" si="200"/>
        <v>#N/A</v>
      </c>
      <c r="AF78" s="103" t="e">
        <f t="shared" si="201"/>
        <v>#N/A</v>
      </c>
      <c r="AG78" s="103" t="e">
        <f t="shared" si="202"/>
        <v>#N/A</v>
      </c>
      <c r="AH78" s="103" t="e">
        <f t="shared" si="203"/>
        <v>#N/A</v>
      </c>
      <c r="AI78" s="103" t="e">
        <f t="shared" si="204"/>
        <v>#N/A</v>
      </c>
      <c r="AJ78" s="103" t="e">
        <f t="shared" si="205"/>
        <v>#N/A</v>
      </c>
      <c r="AK78" s="103" t="str">
        <f t="shared" si="206"/>
        <v xml:space="preserve"> </v>
      </c>
      <c r="AL78" s="103" t="str">
        <f t="shared" si="207"/>
        <v xml:space="preserve"> </v>
      </c>
      <c r="AM78" s="103" t="str">
        <f t="shared" si="208"/>
        <v xml:space="preserve"> </v>
      </c>
      <c r="AN78" s="103"/>
      <c r="AO78" s="103"/>
      <c r="AP78" s="103"/>
      <c r="AQ78" s="112" t="str">
        <f t="shared" si="253"/>
        <v xml:space="preserve"> </v>
      </c>
      <c r="AR78" s="123"/>
      <c r="AS78" s="101">
        <f t="shared" si="254"/>
        <v>535</v>
      </c>
      <c r="AT78" s="133" t="str">
        <f t="shared" si="255"/>
        <v>NGSA</v>
      </c>
      <c r="AU78" s="103" t="e">
        <f t="shared" si="210"/>
        <v>#N/A</v>
      </c>
      <c r="AV78" s="103" t="e">
        <f t="shared" si="211"/>
        <v>#N/A</v>
      </c>
      <c r="AW78" s="103" t="e">
        <f t="shared" si="212"/>
        <v>#N/A</v>
      </c>
      <c r="AX78" s="103" t="e">
        <f t="shared" si="213"/>
        <v>#N/A</v>
      </c>
      <c r="AY78" s="103" t="e">
        <f t="shared" si="214"/>
        <v>#N/A</v>
      </c>
      <c r="AZ78" s="103" t="e">
        <f t="shared" si="215"/>
        <v>#N/A</v>
      </c>
      <c r="BA78" s="103" t="e">
        <f t="shared" si="216"/>
        <v>#N/A</v>
      </c>
      <c r="BB78" s="103" t="e">
        <f t="shared" si="217"/>
        <v>#N/A</v>
      </c>
      <c r="BC78" s="103" t="e">
        <f t="shared" si="218"/>
        <v>#N/A</v>
      </c>
      <c r="BD78" s="103" t="str">
        <f t="shared" si="219"/>
        <v xml:space="preserve"> </v>
      </c>
      <c r="BE78" s="103" t="str">
        <f t="shared" si="220"/>
        <v xml:space="preserve"> </v>
      </c>
      <c r="BF78" s="103" t="str">
        <f t="shared" si="221"/>
        <v xml:space="preserve"> </v>
      </c>
      <c r="BG78" s="103"/>
      <c r="BH78" s="103"/>
      <c r="BI78" s="103"/>
      <c r="BJ78" s="112" t="str">
        <f t="shared" si="222"/>
        <v xml:space="preserve"> </v>
      </c>
      <c r="BK78" s="123"/>
      <c r="BL78" s="103" t="e">
        <f t="shared" si="223"/>
        <v>#N/A</v>
      </c>
      <c r="BM78" s="103" t="e">
        <f t="shared" si="224"/>
        <v>#N/A</v>
      </c>
      <c r="BN78" s="103" t="e">
        <f t="shared" si="225"/>
        <v>#N/A</v>
      </c>
      <c r="BO78" s="103" t="e">
        <f t="shared" si="226"/>
        <v>#N/A</v>
      </c>
      <c r="BP78" s="103" t="e">
        <f t="shared" si="227"/>
        <v>#N/A</v>
      </c>
      <c r="BQ78" s="103" t="e">
        <f t="shared" si="228"/>
        <v>#N/A</v>
      </c>
      <c r="BR78" s="103" t="e">
        <f t="shared" si="229"/>
        <v>#N/A</v>
      </c>
      <c r="BS78" s="103" t="e">
        <f t="shared" si="230"/>
        <v>#N/A</v>
      </c>
      <c r="BT78" s="103" t="e">
        <f t="shared" si="231"/>
        <v>#N/A</v>
      </c>
      <c r="BU78" s="103" t="str">
        <f t="shared" si="232"/>
        <v xml:space="preserve"> </v>
      </c>
      <c r="BV78" s="103" t="str">
        <f t="shared" si="233"/>
        <v xml:space="preserve"> </v>
      </c>
      <c r="BW78" s="103" t="str">
        <f t="shared" si="234"/>
        <v xml:space="preserve"> </v>
      </c>
      <c r="BX78" s="103"/>
      <c r="BY78" s="103"/>
      <c r="BZ78" s="103"/>
      <c r="CA78" s="112" t="str">
        <f t="shared" si="235"/>
        <v xml:space="preserve"> </v>
      </c>
      <c r="CB78" s="123"/>
      <c r="CC78" s="101">
        <f t="shared" si="261"/>
        <v>535</v>
      </c>
      <c r="CD78" s="133" t="str">
        <f t="shared" si="262"/>
        <v>NGSA</v>
      </c>
      <c r="CE78" s="103" t="e">
        <f t="shared" si="236"/>
        <v>#N/A</v>
      </c>
      <c r="CF78" s="103" t="e">
        <f t="shared" si="237"/>
        <v>#N/A</v>
      </c>
      <c r="CG78" s="103" t="e">
        <f t="shared" si="238"/>
        <v>#N/A</v>
      </c>
      <c r="CH78" s="103" t="e">
        <f t="shared" si="239"/>
        <v>#N/A</v>
      </c>
      <c r="CI78" s="103" t="e">
        <f t="shared" si="240"/>
        <v>#N/A</v>
      </c>
      <c r="CJ78" s="103" t="e">
        <f t="shared" si="241"/>
        <v>#N/A</v>
      </c>
      <c r="CK78" s="103" t="e">
        <f t="shared" si="242"/>
        <v>#N/A</v>
      </c>
      <c r="CL78" s="103" t="e">
        <f t="shared" si="243"/>
        <v>#N/A</v>
      </c>
      <c r="CM78" s="103" t="e">
        <f t="shared" si="244"/>
        <v>#N/A</v>
      </c>
      <c r="CN78" s="103" t="str">
        <f t="shared" si="245"/>
        <v xml:space="preserve"> </v>
      </c>
      <c r="CO78" s="103" t="str">
        <f t="shared" si="246"/>
        <v xml:space="preserve"> </v>
      </c>
      <c r="CP78" s="103" t="str">
        <f t="shared" si="247"/>
        <v xml:space="preserve"> </v>
      </c>
      <c r="CQ78" s="103"/>
      <c r="CR78" s="103"/>
      <c r="CS78" s="103"/>
      <c r="CT78" s="112" t="str">
        <f t="shared" si="248"/>
        <v xml:space="preserve"> </v>
      </c>
      <c r="CU78" s="127"/>
      <c r="CV78" s="101">
        <f t="shared" si="263"/>
        <v>535</v>
      </c>
      <c r="CW78" s="133" t="str">
        <f t="shared" si="264"/>
        <v>NGSA</v>
      </c>
      <c r="CX78" s="223"/>
      <c r="CY78" s="223"/>
      <c r="CZ78" s="223"/>
      <c r="DA78" s="223"/>
      <c r="DB78" s="223"/>
      <c r="DC78" s="223"/>
      <c r="DD78" s="223"/>
      <c r="DE78" s="223"/>
      <c r="DF78" s="223"/>
      <c r="DG78" s="223">
        <f t="shared" si="249"/>
        <v>0</v>
      </c>
      <c r="DH78" s="223">
        <f t="shared" si="250"/>
        <v>0</v>
      </c>
      <c r="DI78" s="223">
        <f t="shared" si="251"/>
        <v>0</v>
      </c>
      <c r="DM78" s="224"/>
    </row>
    <row r="79" spans="1:117" ht="15.75" x14ac:dyDescent="0.25">
      <c r="A79" s="136">
        <f t="shared" si="105"/>
        <v>536</v>
      </c>
      <c r="B79" s="136" t="str">
        <f t="shared" si="106"/>
        <v>NGSA</v>
      </c>
      <c r="C79" s="42" t="str">
        <f t="shared" si="256"/>
        <v xml:space="preserve"> </v>
      </c>
      <c r="D79" s="39" t="str">
        <f t="shared" si="257"/>
        <v xml:space="preserve"> </v>
      </c>
      <c r="E79" s="25" t="str">
        <f t="shared" si="258"/>
        <v xml:space="preserve"> </v>
      </c>
      <c r="F79" s="25" t="str">
        <f t="shared" si="259"/>
        <v xml:space="preserve"> </v>
      </c>
      <c r="G79" s="145" t="str">
        <f t="shared" si="260"/>
        <v xml:space="preserve"> </v>
      </c>
      <c r="I79" s="101">
        <v>536</v>
      </c>
      <c r="J79" s="133" t="s">
        <v>27</v>
      </c>
      <c r="K79" s="103" t="e">
        <f t="shared" si="184"/>
        <v>#N/A</v>
      </c>
      <c r="L79" s="103" t="e">
        <f t="shared" si="185"/>
        <v>#N/A</v>
      </c>
      <c r="M79" s="103" t="e">
        <f t="shared" si="186"/>
        <v>#N/A</v>
      </c>
      <c r="N79" s="103" t="e">
        <f t="shared" si="187"/>
        <v>#N/A</v>
      </c>
      <c r="O79" s="103" t="e">
        <f t="shared" si="188"/>
        <v>#N/A</v>
      </c>
      <c r="P79" s="103" t="e">
        <f t="shared" si="189"/>
        <v>#N/A</v>
      </c>
      <c r="Q79" s="103" t="e">
        <f t="shared" si="190"/>
        <v>#N/A</v>
      </c>
      <c r="R79" s="103" t="e">
        <f t="shared" si="191"/>
        <v>#N/A</v>
      </c>
      <c r="S79" s="103" t="e">
        <f t="shared" si="192"/>
        <v>#N/A</v>
      </c>
      <c r="T79" s="103">
        <f t="shared" si="193"/>
        <v>0</v>
      </c>
      <c r="U79" s="103">
        <f t="shared" si="194"/>
        <v>0</v>
      </c>
      <c r="V79" s="103">
        <f t="shared" si="195"/>
        <v>0</v>
      </c>
      <c r="W79" s="103"/>
      <c r="X79" s="103"/>
      <c r="Y79" s="103"/>
      <c r="Z79" s="112" t="str">
        <f t="shared" si="252"/>
        <v xml:space="preserve"> </v>
      </c>
      <c r="AA79" s="123"/>
      <c r="AB79" s="103" t="e">
        <f t="shared" si="197"/>
        <v>#N/A</v>
      </c>
      <c r="AC79" s="103" t="e">
        <f t="shared" si="198"/>
        <v>#N/A</v>
      </c>
      <c r="AD79" s="103" t="e">
        <f t="shared" si="199"/>
        <v>#N/A</v>
      </c>
      <c r="AE79" s="103" t="e">
        <f t="shared" si="200"/>
        <v>#N/A</v>
      </c>
      <c r="AF79" s="103" t="e">
        <f t="shared" si="201"/>
        <v>#N/A</v>
      </c>
      <c r="AG79" s="103" t="e">
        <f t="shared" si="202"/>
        <v>#N/A</v>
      </c>
      <c r="AH79" s="103" t="e">
        <f t="shared" si="203"/>
        <v>#N/A</v>
      </c>
      <c r="AI79" s="103" t="e">
        <f t="shared" si="204"/>
        <v>#N/A</v>
      </c>
      <c r="AJ79" s="103" t="e">
        <f t="shared" si="205"/>
        <v>#N/A</v>
      </c>
      <c r="AK79" s="103" t="str">
        <f t="shared" si="206"/>
        <v xml:space="preserve"> </v>
      </c>
      <c r="AL79" s="103" t="str">
        <f t="shared" si="207"/>
        <v xml:space="preserve"> </v>
      </c>
      <c r="AM79" s="103" t="str">
        <f t="shared" si="208"/>
        <v xml:space="preserve"> </v>
      </c>
      <c r="AN79" s="103"/>
      <c r="AO79" s="103"/>
      <c r="AP79" s="103"/>
      <c r="AQ79" s="112" t="str">
        <f t="shared" si="253"/>
        <v xml:space="preserve"> </v>
      </c>
      <c r="AR79" s="123"/>
      <c r="AS79" s="101">
        <f t="shared" si="254"/>
        <v>536</v>
      </c>
      <c r="AT79" s="133" t="str">
        <f t="shared" si="255"/>
        <v>NGSA</v>
      </c>
      <c r="AU79" s="103" t="e">
        <f t="shared" si="210"/>
        <v>#N/A</v>
      </c>
      <c r="AV79" s="103" t="e">
        <f t="shared" si="211"/>
        <v>#N/A</v>
      </c>
      <c r="AW79" s="103" t="e">
        <f t="shared" si="212"/>
        <v>#N/A</v>
      </c>
      <c r="AX79" s="103" t="e">
        <f t="shared" si="213"/>
        <v>#N/A</v>
      </c>
      <c r="AY79" s="103" t="e">
        <f t="shared" si="214"/>
        <v>#N/A</v>
      </c>
      <c r="AZ79" s="103" t="e">
        <f t="shared" si="215"/>
        <v>#N/A</v>
      </c>
      <c r="BA79" s="103" t="e">
        <f t="shared" si="216"/>
        <v>#N/A</v>
      </c>
      <c r="BB79" s="103" t="e">
        <f t="shared" si="217"/>
        <v>#N/A</v>
      </c>
      <c r="BC79" s="103" t="e">
        <f t="shared" si="218"/>
        <v>#N/A</v>
      </c>
      <c r="BD79" s="103" t="str">
        <f t="shared" si="219"/>
        <v xml:space="preserve"> </v>
      </c>
      <c r="BE79" s="103" t="str">
        <f t="shared" si="220"/>
        <v xml:space="preserve"> </v>
      </c>
      <c r="BF79" s="103" t="str">
        <f t="shared" si="221"/>
        <v xml:space="preserve"> </v>
      </c>
      <c r="BG79" s="103"/>
      <c r="BH79" s="103"/>
      <c r="BI79" s="103"/>
      <c r="BJ79" s="112" t="str">
        <f t="shared" si="222"/>
        <v xml:space="preserve"> </v>
      </c>
      <c r="BK79" s="123"/>
      <c r="BL79" s="103" t="e">
        <f t="shared" si="223"/>
        <v>#N/A</v>
      </c>
      <c r="BM79" s="103" t="e">
        <f t="shared" si="224"/>
        <v>#N/A</v>
      </c>
      <c r="BN79" s="103" t="e">
        <f t="shared" si="225"/>
        <v>#N/A</v>
      </c>
      <c r="BO79" s="103" t="e">
        <f t="shared" si="226"/>
        <v>#N/A</v>
      </c>
      <c r="BP79" s="103" t="e">
        <f t="shared" si="227"/>
        <v>#N/A</v>
      </c>
      <c r="BQ79" s="103" t="e">
        <f t="shared" si="228"/>
        <v>#N/A</v>
      </c>
      <c r="BR79" s="103" t="e">
        <f t="shared" si="229"/>
        <v>#N/A</v>
      </c>
      <c r="BS79" s="103" t="e">
        <f t="shared" si="230"/>
        <v>#N/A</v>
      </c>
      <c r="BT79" s="103" t="e">
        <f t="shared" si="231"/>
        <v>#N/A</v>
      </c>
      <c r="BU79" s="103" t="str">
        <f t="shared" si="232"/>
        <v xml:space="preserve"> </v>
      </c>
      <c r="BV79" s="103" t="str">
        <f t="shared" si="233"/>
        <v xml:space="preserve"> </v>
      </c>
      <c r="BW79" s="103" t="str">
        <f t="shared" si="234"/>
        <v xml:space="preserve"> </v>
      </c>
      <c r="BX79" s="103"/>
      <c r="BY79" s="103"/>
      <c r="BZ79" s="103"/>
      <c r="CA79" s="112" t="str">
        <f t="shared" si="235"/>
        <v xml:space="preserve"> </v>
      </c>
      <c r="CB79" s="123"/>
      <c r="CC79" s="101">
        <f t="shared" si="261"/>
        <v>536</v>
      </c>
      <c r="CD79" s="133" t="str">
        <f t="shared" si="262"/>
        <v>NGSA</v>
      </c>
      <c r="CE79" s="103" t="e">
        <f t="shared" si="236"/>
        <v>#N/A</v>
      </c>
      <c r="CF79" s="103" t="e">
        <f t="shared" si="237"/>
        <v>#N/A</v>
      </c>
      <c r="CG79" s="103" t="e">
        <f t="shared" si="238"/>
        <v>#N/A</v>
      </c>
      <c r="CH79" s="103" t="e">
        <f t="shared" si="239"/>
        <v>#N/A</v>
      </c>
      <c r="CI79" s="103" t="e">
        <f t="shared" si="240"/>
        <v>#N/A</v>
      </c>
      <c r="CJ79" s="103" t="e">
        <f t="shared" si="241"/>
        <v>#N/A</v>
      </c>
      <c r="CK79" s="103" t="e">
        <f t="shared" si="242"/>
        <v>#N/A</v>
      </c>
      <c r="CL79" s="103" t="e">
        <f t="shared" si="243"/>
        <v>#N/A</v>
      </c>
      <c r="CM79" s="103" t="e">
        <f t="shared" si="244"/>
        <v>#N/A</v>
      </c>
      <c r="CN79" s="103" t="str">
        <f t="shared" si="245"/>
        <v xml:space="preserve"> </v>
      </c>
      <c r="CO79" s="103" t="str">
        <f t="shared" si="246"/>
        <v xml:space="preserve"> </v>
      </c>
      <c r="CP79" s="103" t="str">
        <f t="shared" si="247"/>
        <v xml:space="preserve"> </v>
      </c>
      <c r="CQ79" s="103"/>
      <c r="CR79" s="103"/>
      <c r="CS79" s="103"/>
      <c r="CT79" s="112" t="str">
        <f t="shared" si="248"/>
        <v xml:space="preserve"> </v>
      </c>
      <c r="CU79" s="127"/>
      <c r="CV79" s="101">
        <f t="shared" si="263"/>
        <v>536</v>
      </c>
      <c r="CW79" s="133" t="str">
        <f t="shared" si="264"/>
        <v>NGSA</v>
      </c>
      <c r="CX79" s="223"/>
      <c r="CY79" s="223"/>
      <c r="CZ79" s="223"/>
      <c r="DA79" s="223"/>
      <c r="DB79" s="223"/>
      <c r="DC79" s="223"/>
      <c r="DD79" s="223"/>
      <c r="DE79" s="223"/>
      <c r="DF79" s="223"/>
      <c r="DG79" s="223">
        <f t="shared" si="249"/>
        <v>0</v>
      </c>
      <c r="DH79" s="223">
        <f t="shared" si="250"/>
        <v>0</v>
      </c>
      <c r="DI79" s="223">
        <f t="shared" si="251"/>
        <v>0</v>
      </c>
      <c r="DM79" s="224"/>
    </row>
    <row r="80" spans="1:117" ht="15.75" x14ac:dyDescent="0.25">
      <c r="A80" s="136">
        <f t="shared" si="105"/>
        <v>563</v>
      </c>
      <c r="B80" s="136" t="str">
        <f t="shared" si="106"/>
        <v>NGSA</v>
      </c>
      <c r="C80" s="42" t="str">
        <f t="shared" si="256"/>
        <v xml:space="preserve"> </v>
      </c>
      <c r="D80" s="39" t="str">
        <f t="shared" si="257"/>
        <v xml:space="preserve"> </v>
      </c>
      <c r="E80" s="25" t="str">
        <f t="shared" si="258"/>
        <v xml:space="preserve"> </v>
      </c>
      <c r="F80" s="25" t="str">
        <f t="shared" si="259"/>
        <v xml:space="preserve"> </v>
      </c>
      <c r="G80" s="145" t="str">
        <f t="shared" si="260"/>
        <v xml:space="preserve"> </v>
      </c>
      <c r="I80" s="101">
        <v>563</v>
      </c>
      <c r="J80" s="133" t="s">
        <v>27</v>
      </c>
      <c r="K80" s="103" t="e">
        <f t="shared" si="184"/>
        <v>#N/A</v>
      </c>
      <c r="L80" s="103" t="e">
        <f t="shared" si="185"/>
        <v>#N/A</v>
      </c>
      <c r="M80" s="103" t="e">
        <f t="shared" si="186"/>
        <v>#N/A</v>
      </c>
      <c r="N80" s="103" t="e">
        <f t="shared" si="187"/>
        <v>#N/A</v>
      </c>
      <c r="O80" s="103" t="e">
        <f t="shared" si="188"/>
        <v>#N/A</v>
      </c>
      <c r="P80" s="103" t="e">
        <f t="shared" si="189"/>
        <v>#N/A</v>
      </c>
      <c r="Q80" s="103" t="e">
        <f t="shared" si="190"/>
        <v>#N/A</v>
      </c>
      <c r="R80" s="103" t="e">
        <f t="shared" si="191"/>
        <v>#N/A</v>
      </c>
      <c r="S80" s="103" t="e">
        <f t="shared" si="192"/>
        <v>#N/A</v>
      </c>
      <c r="T80" s="103">
        <f t="shared" si="193"/>
        <v>0</v>
      </c>
      <c r="U80" s="103">
        <f t="shared" si="194"/>
        <v>0</v>
      </c>
      <c r="V80" s="103">
        <f t="shared" si="195"/>
        <v>0</v>
      </c>
      <c r="W80" s="103"/>
      <c r="X80" s="103"/>
      <c r="Y80" s="103"/>
      <c r="Z80" s="112" t="str">
        <f t="shared" ref="Z80:Z90" si="266">IF(COUNTIF(K80:Y80,"x")=0," ",COUNTIF(K80:Y80,"x"))</f>
        <v xml:space="preserve"> </v>
      </c>
      <c r="AA80" s="123"/>
      <c r="AB80" s="103" t="e">
        <f t="shared" si="197"/>
        <v>#N/A</v>
      </c>
      <c r="AC80" s="103" t="e">
        <f t="shared" si="198"/>
        <v>#N/A</v>
      </c>
      <c r="AD80" s="103" t="e">
        <f t="shared" si="199"/>
        <v>#N/A</v>
      </c>
      <c r="AE80" s="103" t="e">
        <f t="shared" si="200"/>
        <v>#N/A</v>
      </c>
      <c r="AF80" s="103" t="e">
        <f t="shared" si="201"/>
        <v>#N/A</v>
      </c>
      <c r="AG80" s="103" t="e">
        <f t="shared" si="202"/>
        <v>#N/A</v>
      </c>
      <c r="AH80" s="103" t="e">
        <f t="shared" si="203"/>
        <v>#N/A</v>
      </c>
      <c r="AI80" s="103" t="e">
        <f t="shared" si="204"/>
        <v>#N/A</v>
      </c>
      <c r="AJ80" s="103" t="e">
        <f t="shared" si="205"/>
        <v>#N/A</v>
      </c>
      <c r="AK80" s="103">
        <f t="shared" si="206"/>
        <v>0</v>
      </c>
      <c r="AL80" s="103">
        <f t="shared" si="207"/>
        <v>0</v>
      </c>
      <c r="AM80" s="103">
        <f t="shared" si="208"/>
        <v>0</v>
      </c>
      <c r="AN80" s="103"/>
      <c r="AO80" s="103"/>
      <c r="AP80" s="103"/>
      <c r="AQ80" s="112" t="str">
        <f t="shared" ref="AQ80:AQ115" si="267">IF(COUNTIF(AB80:AP80,"x")=0," ",COUNTIF(AB80:AP80,"x"))</f>
        <v xml:space="preserve"> </v>
      </c>
      <c r="AR80" s="123"/>
      <c r="AS80" s="101">
        <f t="shared" si="254"/>
        <v>563</v>
      </c>
      <c r="AT80" s="133" t="str">
        <f t="shared" si="255"/>
        <v>NGSA</v>
      </c>
      <c r="AU80" s="103" t="e">
        <f t="shared" si="210"/>
        <v>#N/A</v>
      </c>
      <c r="AV80" s="103" t="e">
        <f t="shared" si="211"/>
        <v>#N/A</v>
      </c>
      <c r="AW80" s="103" t="e">
        <f t="shared" si="212"/>
        <v>#N/A</v>
      </c>
      <c r="AX80" s="103" t="e">
        <f t="shared" si="213"/>
        <v>#N/A</v>
      </c>
      <c r="AY80" s="103" t="e">
        <f t="shared" si="214"/>
        <v>#N/A</v>
      </c>
      <c r="AZ80" s="103" t="e">
        <f t="shared" si="215"/>
        <v>#N/A</v>
      </c>
      <c r="BA80" s="103" t="e">
        <f t="shared" si="216"/>
        <v>#N/A</v>
      </c>
      <c r="BB80" s="103" t="e">
        <f t="shared" si="217"/>
        <v>#N/A</v>
      </c>
      <c r="BC80" s="103" t="e">
        <f t="shared" si="218"/>
        <v>#N/A</v>
      </c>
      <c r="BD80" s="103">
        <f t="shared" si="219"/>
        <v>0</v>
      </c>
      <c r="BE80" s="103">
        <f t="shared" si="220"/>
        <v>0</v>
      </c>
      <c r="BF80" s="103">
        <f t="shared" si="221"/>
        <v>0</v>
      </c>
      <c r="BG80" s="103"/>
      <c r="BH80" s="103"/>
      <c r="BI80" s="103"/>
      <c r="BJ80" s="112" t="str">
        <f t="shared" si="222"/>
        <v xml:space="preserve"> </v>
      </c>
      <c r="BK80" s="123"/>
      <c r="BL80" s="103" t="e">
        <f t="shared" si="223"/>
        <v>#N/A</v>
      </c>
      <c r="BM80" s="103" t="e">
        <f t="shared" si="224"/>
        <v>#N/A</v>
      </c>
      <c r="BN80" s="103" t="e">
        <f t="shared" si="225"/>
        <v>#N/A</v>
      </c>
      <c r="BO80" s="103" t="e">
        <f t="shared" si="226"/>
        <v>#N/A</v>
      </c>
      <c r="BP80" s="103" t="e">
        <f t="shared" si="227"/>
        <v>#N/A</v>
      </c>
      <c r="BQ80" s="103" t="e">
        <f t="shared" si="228"/>
        <v>#N/A</v>
      </c>
      <c r="BR80" s="103" t="e">
        <f t="shared" si="229"/>
        <v>#N/A</v>
      </c>
      <c r="BS80" s="103" t="e">
        <f t="shared" si="230"/>
        <v>#N/A</v>
      </c>
      <c r="BT80" s="103" t="e">
        <f t="shared" si="231"/>
        <v>#N/A</v>
      </c>
      <c r="BU80" s="103" t="str">
        <f t="shared" si="232"/>
        <v xml:space="preserve"> </v>
      </c>
      <c r="BV80" s="103" t="str">
        <f t="shared" si="233"/>
        <v xml:space="preserve"> </v>
      </c>
      <c r="BW80" s="103" t="str">
        <f t="shared" si="234"/>
        <v xml:space="preserve"> </v>
      </c>
      <c r="BX80" s="103"/>
      <c r="BY80" s="103"/>
      <c r="BZ80" s="103"/>
      <c r="CA80" s="112" t="str">
        <f t="shared" si="235"/>
        <v xml:space="preserve"> </v>
      </c>
      <c r="CB80" s="123"/>
      <c r="CC80" s="101">
        <f t="shared" si="261"/>
        <v>563</v>
      </c>
      <c r="CD80" s="133" t="str">
        <f t="shared" si="262"/>
        <v>NGSA</v>
      </c>
      <c r="CE80" s="103" t="e">
        <f t="shared" si="236"/>
        <v>#N/A</v>
      </c>
      <c r="CF80" s="103" t="e">
        <f t="shared" si="237"/>
        <v>#N/A</v>
      </c>
      <c r="CG80" s="103" t="e">
        <f t="shared" si="238"/>
        <v>#N/A</v>
      </c>
      <c r="CH80" s="103" t="e">
        <f t="shared" si="239"/>
        <v>#N/A</v>
      </c>
      <c r="CI80" s="103" t="e">
        <f t="shared" si="240"/>
        <v>#N/A</v>
      </c>
      <c r="CJ80" s="103" t="e">
        <f t="shared" si="241"/>
        <v>#N/A</v>
      </c>
      <c r="CK80" s="103" t="e">
        <f t="shared" si="242"/>
        <v>#N/A</v>
      </c>
      <c r="CL80" s="103" t="e">
        <f t="shared" si="243"/>
        <v>#N/A</v>
      </c>
      <c r="CM80" s="103" t="e">
        <f t="shared" si="244"/>
        <v>#N/A</v>
      </c>
      <c r="CN80" s="103" t="str">
        <f t="shared" si="245"/>
        <v xml:space="preserve"> </v>
      </c>
      <c r="CO80" s="103" t="str">
        <f t="shared" si="246"/>
        <v xml:space="preserve"> </v>
      </c>
      <c r="CP80" s="103" t="str">
        <f t="shared" si="247"/>
        <v xml:space="preserve"> </v>
      </c>
      <c r="CQ80" s="103"/>
      <c r="CR80" s="103"/>
      <c r="CS80" s="103"/>
      <c r="CT80" s="112" t="str">
        <f t="shared" si="248"/>
        <v xml:space="preserve"> </v>
      </c>
      <c r="CU80" s="127"/>
      <c r="CV80" s="101">
        <f t="shared" si="263"/>
        <v>563</v>
      </c>
      <c r="CW80" s="133" t="str">
        <f t="shared" si="264"/>
        <v>NGSA</v>
      </c>
      <c r="CX80" s="223"/>
      <c r="CY80" s="223"/>
      <c r="CZ80" s="223"/>
      <c r="DA80" s="223"/>
      <c r="DB80" s="223"/>
      <c r="DC80" s="223"/>
      <c r="DD80" s="223"/>
      <c r="DE80" s="223"/>
      <c r="DF80" s="223"/>
      <c r="DG80" s="223">
        <f t="shared" si="249"/>
        <v>40</v>
      </c>
      <c r="DH80" s="223">
        <f t="shared" si="250"/>
        <v>45</v>
      </c>
      <c r="DI80" s="223">
        <f t="shared" si="251"/>
        <v>45</v>
      </c>
      <c r="DM80" s="224">
        <f t="shared" si="265"/>
        <v>43.333333333333336</v>
      </c>
    </row>
    <row r="81" spans="1:117" ht="15.75" x14ac:dyDescent="0.25">
      <c r="A81" s="136">
        <f t="shared" si="105"/>
        <v>741</v>
      </c>
      <c r="B81" s="136" t="str">
        <f t="shared" si="106"/>
        <v>NGSA</v>
      </c>
      <c r="C81" s="42" t="str">
        <f t="shared" si="256"/>
        <v xml:space="preserve"> </v>
      </c>
      <c r="D81" s="39" t="str">
        <f t="shared" si="257"/>
        <v xml:space="preserve"> </v>
      </c>
      <c r="E81" s="25" t="str">
        <f t="shared" si="258"/>
        <v xml:space="preserve"> </v>
      </c>
      <c r="F81" s="25" t="str">
        <f t="shared" si="259"/>
        <v xml:space="preserve"> </v>
      </c>
      <c r="G81" s="145" t="str">
        <f t="shared" si="260"/>
        <v xml:space="preserve"> </v>
      </c>
      <c r="I81" s="101">
        <v>741</v>
      </c>
      <c r="J81" s="133" t="s">
        <v>27</v>
      </c>
      <c r="K81" s="103" t="e">
        <f t="shared" si="184"/>
        <v>#N/A</v>
      </c>
      <c r="L81" s="103" t="e">
        <f t="shared" si="185"/>
        <v>#N/A</v>
      </c>
      <c r="M81" s="103" t="e">
        <f t="shared" si="186"/>
        <v>#N/A</v>
      </c>
      <c r="N81" s="103" t="e">
        <f t="shared" si="187"/>
        <v>#N/A</v>
      </c>
      <c r="O81" s="103" t="e">
        <f t="shared" si="188"/>
        <v>#N/A</v>
      </c>
      <c r="P81" s="103" t="e">
        <f t="shared" si="189"/>
        <v>#N/A</v>
      </c>
      <c r="Q81" s="103" t="e">
        <f t="shared" si="190"/>
        <v>#N/A</v>
      </c>
      <c r="R81" s="103" t="e">
        <f t="shared" si="191"/>
        <v>#N/A</v>
      </c>
      <c r="S81" s="103" t="e">
        <f t="shared" si="192"/>
        <v>#N/A</v>
      </c>
      <c r="T81" s="103">
        <f t="shared" si="193"/>
        <v>0</v>
      </c>
      <c r="U81" s="103">
        <f t="shared" si="194"/>
        <v>0</v>
      </c>
      <c r="V81" s="103">
        <f t="shared" si="195"/>
        <v>0</v>
      </c>
      <c r="W81" s="103"/>
      <c r="X81" s="103"/>
      <c r="Y81" s="103"/>
      <c r="Z81" s="112" t="str">
        <f t="shared" si="266"/>
        <v xml:space="preserve"> </v>
      </c>
      <c r="AA81" s="123"/>
      <c r="AB81" s="103" t="e">
        <f t="shared" si="197"/>
        <v>#N/A</v>
      </c>
      <c r="AC81" s="103" t="e">
        <f t="shared" si="198"/>
        <v>#N/A</v>
      </c>
      <c r="AD81" s="103" t="e">
        <f t="shared" si="199"/>
        <v>#N/A</v>
      </c>
      <c r="AE81" s="103" t="e">
        <f t="shared" si="200"/>
        <v>#N/A</v>
      </c>
      <c r="AF81" s="103" t="e">
        <f t="shared" si="201"/>
        <v>#N/A</v>
      </c>
      <c r="AG81" s="103" t="e">
        <f t="shared" si="202"/>
        <v>#N/A</v>
      </c>
      <c r="AH81" s="103" t="e">
        <f t="shared" si="203"/>
        <v>#N/A</v>
      </c>
      <c r="AI81" s="103" t="e">
        <f t="shared" si="204"/>
        <v>#N/A</v>
      </c>
      <c r="AJ81" s="103" t="e">
        <f t="shared" si="205"/>
        <v>#N/A</v>
      </c>
      <c r="AK81" s="103" t="str">
        <f t="shared" si="206"/>
        <v xml:space="preserve"> </v>
      </c>
      <c r="AL81" s="103" t="str">
        <f t="shared" si="207"/>
        <v xml:space="preserve"> </v>
      </c>
      <c r="AM81" s="103" t="str">
        <f t="shared" si="208"/>
        <v xml:space="preserve"> </v>
      </c>
      <c r="AN81" s="103"/>
      <c r="AO81" s="103"/>
      <c r="AP81" s="103"/>
      <c r="AQ81" s="112" t="str">
        <f t="shared" si="267"/>
        <v xml:space="preserve"> </v>
      </c>
      <c r="AR81" s="123"/>
      <c r="AS81" s="101">
        <f t="shared" si="254"/>
        <v>741</v>
      </c>
      <c r="AT81" s="133" t="str">
        <f t="shared" si="255"/>
        <v>NGSA</v>
      </c>
      <c r="AU81" s="103" t="e">
        <f t="shared" si="210"/>
        <v>#N/A</v>
      </c>
      <c r="AV81" s="103" t="e">
        <f t="shared" si="211"/>
        <v>#N/A</v>
      </c>
      <c r="AW81" s="103" t="e">
        <f t="shared" si="212"/>
        <v>#N/A</v>
      </c>
      <c r="AX81" s="103" t="e">
        <f t="shared" si="213"/>
        <v>#N/A</v>
      </c>
      <c r="AY81" s="103" t="e">
        <f t="shared" si="214"/>
        <v>#N/A</v>
      </c>
      <c r="AZ81" s="103" t="e">
        <f t="shared" si="215"/>
        <v>#N/A</v>
      </c>
      <c r="BA81" s="103" t="e">
        <f t="shared" si="216"/>
        <v>#N/A</v>
      </c>
      <c r="BB81" s="103" t="e">
        <f t="shared" si="217"/>
        <v>#N/A</v>
      </c>
      <c r="BC81" s="103" t="e">
        <f t="shared" si="218"/>
        <v>#N/A</v>
      </c>
      <c r="BD81" s="103" t="str">
        <f t="shared" si="219"/>
        <v xml:space="preserve"> </v>
      </c>
      <c r="BE81" s="103" t="str">
        <f t="shared" si="220"/>
        <v xml:space="preserve"> </v>
      </c>
      <c r="BF81" s="103" t="str">
        <f t="shared" si="221"/>
        <v xml:space="preserve"> </v>
      </c>
      <c r="BG81" s="103"/>
      <c r="BH81" s="103"/>
      <c r="BI81" s="103"/>
      <c r="BJ81" s="112" t="str">
        <f t="shared" si="222"/>
        <v xml:space="preserve"> </v>
      </c>
      <c r="BK81" s="123"/>
      <c r="BL81" s="103" t="e">
        <f t="shared" si="223"/>
        <v>#N/A</v>
      </c>
      <c r="BM81" s="103" t="e">
        <f t="shared" si="224"/>
        <v>#N/A</v>
      </c>
      <c r="BN81" s="103" t="e">
        <f t="shared" si="225"/>
        <v>#N/A</v>
      </c>
      <c r="BO81" s="103" t="e">
        <f t="shared" si="226"/>
        <v>#N/A</v>
      </c>
      <c r="BP81" s="103" t="e">
        <f t="shared" si="227"/>
        <v>#N/A</v>
      </c>
      <c r="BQ81" s="103" t="e">
        <f t="shared" si="228"/>
        <v>#N/A</v>
      </c>
      <c r="BR81" s="103" t="e">
        <f t="shared" si="229"/>
        <v>#N/A</v>
      </c>
      <c r="BS81" s="103" t="e">
        <f t="shared" si="230"/>
        <v>#N/A</v>
      </c>
      <c r="BT81" s="103" t="e">
        <f t="shared" si="231"/>
        <v>#N/A</v>
      </c>
      <c r="BU81" s="103" t="str">
        <f t="shared" si="232"/>
        <v xml:space="preserve"> </v>
      </c>
      <c r="BV81" s="103" t="str">
        <f t="shared" si="233"/>
        <v xml:space="preserve"> </v>
      </c>
      <c r="BW81" s="103" t="str">
        <f t="shared" si="234"/>
        <v xml:space="preserve"> </v>
      </c>
      <c r="BX81" s="103"/>
      <c r="BY81" s="103"/>
      <c r="BZ81" s="103"/>
      <c r="CA81" s="112" t="str">
        <f t="shared" si="235"/>
        <v xml:space="preserve"> </v>
      </c>
      <c r="CB81" s="123"/>
      <c r="CC81" s="101">
        <f t="shared" si="261"/>
        <v>741</v>
      </c>
      <c r="CD81" s="133" t="str">
        <f t="shared" si="262"/>
        <v>NGSA</v>
      </c>
      <c r="CE81" s="103" t="e">
        <f t="shared" si="236"/>
        <v>#N/A</v>
      </c>
      <c r="CF81" s="103" t="e">
        <f t="shared" si="237"/>
        <v>#N/A</v>
      </c>
      <c r="CG81" s="103" t="e">
        <f t="shared" si="238"/>
        <v>#N/A</v>
      </c>
      <c r="CH81" s="103" t="e">
        <f t="shared" si="239"/>
        <v>#N/A</v>
      </c>
      <c r="CI81" s="103" t="e">
        <f t="shared" si="240"/>
        <v>#N/A</v>
      </c>
      <c r="CJ81" s="103" t="e">
        <f t="shared" si="241"/>
        <v>#N/A</v>
      </c>
      <c r="CK81" s="103" t="e">
        <f t="shared" si="242"/>
        <v>#N/A</v>
      </c>
      <c r="CL81" s="103" t="e">
        <f t="shared" si="243"/>
        <v>#N/A</v>
      </c>
      <c r="CM81" s="103" t="e">
        <f t="shared" si="244"/>
        <v>#N/A</v>
      </c>
      <c r="CN81" s="103" t="str">
        <f t="shared" si="245"/>
        <v xml:space="preserve"> </v>
      </c>
      <c r="CO81" s="103" t="str">
        <f t="shared" si="246"/>
        <v xml:space="preserve"> </v>
      </c>
      <c r="CP81" s="103" t="str">
        <f t="shared" si="247"/>
        <v xml:space="preserve"> </v>
      </c>
      <c r="CQ81" s="103"/>
      <c r="CR81" s="103"/>
      <c r="CS81" s="103"/>
      <c r="CT81" s="112" t="str">
        <f t="shared" si="248"/>
        <v xml:space="preserve"> </v>
      </c>
      <c r="CU81" s="127"/>
      <c r="CV81" s="101">
        <f t="shared" si="263"/>
        <v>741</v>
      </c>
      <c r="CW81" s="133" t="str">
        <f t="shared" si="264"/>
        <v>NGSA</v>
      </c>
      <c r="CX81" s="223"/>
      <c r="CY81" s="223"/>
      <c r="CZ81" s="223"/>
      <c r="DA81" s="223"/>
      <c r="DB81" s="223"/>
      <c r="DC81" s="223"/>
      <c r="DD81" s="223"/>
      <c r="DE81" s="223"/>
      <c r="DF81" s="223"/>
      <c r="DG81" s="223">
        <f t="shared" si="249"/>
        <v>126</v>
      </c>
      <c r="DH81" s="223">
        <f t="shared" si="250"/>
        <v>127</v>
      </c>
      <c r="DI81" s="223">
        <f t="shared" si="251"/>
        <v>119</v>
      </c>
      <c r="DM81" s="224">
        <f t="shared" si="265"/>
        <v>124</v>
      </c>
    </row>
    <row r="82" spans="1:117" ht="15.75" x14ac:dyDescent="0.25">
      <c r="A82" s="136">
        <f t="shared" si="105"/>
        <v>757</v>
      </c>
      <c r="B82" s="136" t="str">
        <f t="shared" si="106"/>
        <v>NGSA</v>
      </c>
      <c r="C82" s="42" t="str">
        <f t="shared" si="256"/>
        <v xml:space="preserve"> </v>
      </c>
      <c r="D82" s="39" t="str">
        <f t="shared" si="257"/>
        <v xml:space="preserve"> </v>
      </c>
      <c r="E82" s="25" t="str">
        <f t="shared" si="258"/>
        <v xml:space="preserve"> </v>
      </c>
      <c r="F82" s="25">
        <f t="shared" si="259"/>
        <v>4</v>
      </c>
      <c r="G82" s="145" t="str">
        <f t="shared" si="260"/>
        <v xml:space="preserve"> </v>
      </c>
      <c r="I82" s="101">
        <v>757</v>
      </c>
      <c r="J82" s="133" t="s">
        <v>27</v>
      </c>
      <c r="K82" s="103" t="str">
        <f t="shared" si="184"/>
        <v xml:space="preserve"> </v>
      </c>
      <c r="L82" s="103" t="str">
        <f t="shared" si="185"/>
        <v xml:space="preserve"> </v>
      </c>
      <c r="M82" s="103">
        <f t="shared" si="186"/>
        <v>0</v>
      </c>
      <c r="N82" s="103">
        <f t="shared" si="187"/>
        <v>0</v>
      </c>
      <c r="O82" s="103">
        <f t="shared" si="188"/>
        <v>0</v>
      </c>
      <c r="P82" s="103">
        <f t="shared" si="189"/>
        <v>0</v>
      </c>
      <c r="Q82" s="103">
        <f t="shared" si="190"/>
        <v>0</v>
      </c>
      <c r="R82" s="103">
        <f t="shared" si="191"/>
        <v>0</v>
      </c>
      <c r="S82" s="103">
        <f t="shared" si="192"/>
        <v>0</v>
      </c>
      <c r="T82" s="103">
        <f t="shared" si="193"/>
        <v>0</v>
      </c>
      <c r="U82" s="103">
        <f t="shared" si="194"/>
        <v>0</v>
      </c>
      <c r="V82" s="103">
        <f t="shared" si="195"/>
        <v>0</v>
      </c>
      <c r="W82" s="103"/>
      <c r="X82" s="103"/>
      <c r="Y82" s="103"/>
      <c r="Z82" s="112" t="str">
        <f t="shared" si="266"/>
        <v xml:space="preserve"> </v>
      </c>
      <c r="AA82" s="123"/>
      <c r="AB82" s="103" t="str">
        <f t="shared" si="197"/>
        <v xml:space="preserve"> </v>
      </c>
      <c r="AC82" s="103" t="str">
        <f t="shared" si="198"/>
        <v xml:space="preserve"> </v>
      </c>
      <c r="AD82" s="103" t="str">
        <f t="shared" si="199"/>
        <v xml:space="preserve"> </v>
      </c>
      <c r="AE82" s="103" t="str">
        <f t="shared" si="200"/>
        <v xml:space="preserve"> </v>
      </c>
      <c r="AF82" s="103" t="str">
        <f t="shared" si="201"/>
        <v xml:space="preserve"> </v>
      </c>
      <c r="AG82" s="103" t="str">
        <f t="shared" si="202"/>
        <v xml:space="preserve"> </v>
      </c>
      <c r="AH82" s="103" t="str">
        <f t="shared" si="203"/>
        <v xml:space="preserve"> </v>
      </c>
      <c r="AI82" s="103" t="str">
        <f t="shared" si="204"/>
        <v xml:space="preserve"> </v>
      </c>
      <c r="AJ82" s="103" t="str">
        <f t="shared" si="205"/>
        <v xml:space="preserve"> </v>
      </c>
      <c r="AK82" s="103" t="str">
        <f t="shared" si="206"/>
        <v xml:space="preserve"> </v>
      </c>
      <c r="AL82" s="103" t="str">
        <f t="shared" si="207"/>
        <v xml:space="preserve"> </v>
      </c>
      <c r="AM82" s="103" t="str">
        <f t="shared" si="208"/>
        <v xml:space="preserve"> </v>
      </c>
      <c r="AN82" s="103"/>
      <c r="AO82" s="103"/>
      <c r="AP82" s="103"/>
      <c r="AQ82" s="112" t="str">
        <f t="shared" si="267"/>
        <v xml:space="preserve"> </v>
      </c>
      <c r="AR82" s="123"/>
      <c r="AS82" s="101">
        <f t="shared" si="254"/>
        <v>757</v>
      </c>
      <c r="AT82" s="133" t="str">
        <f t="shared" si="255"/>
        <v>NGSA</v>
      </c>
      <c r="AU82" s="103" t="str">
        <f t="shared" si="210"/>
        <v xml:space="preserve"> </v>
      </c>
      <c r="AV82" s="103" t="str">
        <f t="shared" si="211"/>
        <v xml:space="preserve"> </v>
      </c>
      <c r="AW82" s="103" t="str">
        <f t="shared" si="212"/>
        <v xml:space="preserve"> </v>
      </c>
      <c r="AX82" s="103" t="str">
        <f t="shared" si="213"/>
        <v xml:space="preserve"> </v>
      </c>
      <c r="AY82" s="103" t="str">
        <f t="shared" si="214"/>
        <v xml:space="preserve"> </v>
      </c>
      <c r="AZ82" s="103" t="str">
        <f t="shared" si="215"/>
        <v xml:space="preserve"> </v>
      </c>
      <c r="BA82" s="103" t="str">
        <f t="shared" si="216"/>
        <v xml:space="preserve"> </v>
      </c>
      <c r="BB82" s="103" t="str">
        <f t="shared" si="217"/>
        <v xml:space="preserve"> </v>
      </c>
      <c r="BC82" s="103" t="str">
        <f t="shared" si="218"/>
        <v xml:space="preserve"> </v>
      </c>
      <c r="BD82" s="103" t="str">
        <f t="shared" si="219"/>
        <v xml:space="preserve"> </v>
      </c>
      <c r="BE82" s="103" t="str">
        <f t="shared" si="220"/>
        <v xml:space="preserve"> </v>
      </c>
      <c r="BF82" s="103" t="str">
        <f t="shared" si="221"/>
        <v xml:space="preserve"> </v>
      </c>
      <c r="BG82" s="103"/>
      <c r="BH82" s="103"/>
      <c r="BI82" s="103"/>
      <c r="BJ82" s="112" t="str">
        <f t="shared" si="222"/>
        <v xml:space="preserve"> </v>
      </c>
      <c r="BK82" s="123"/>
      <c r="BL82" s="103" t="str">
        <f t="shared" si="223"/>
        <v xml:space="preserve"> </v>
      </c>
      <c r="BM82" s="103" t="str">
        <f t="shared" si="224"/>
        <v xml:space="preserve"> </v>
      </c>
      <c r="BN82" s="103" t="str">
        <f t="shared" si="225"/>
        <v xml:space="preserve"> </v>
      </c>
      <c r="BO82" s="103" t="str">
        <f t="shared" si="226"/>
        <v xml:space="preserve"> </v>
      </c>
      <c r="BP82" s="103" t="str">
        <f t="shared" si="227"/>
        <v xml:space="preserve"> </v>
      </c>
      <c r="BQ82" s="103" t="str">
        <f t="shared" si="228"/>
        <v xml:space="preserve"> </v>
      </c>
      <c r="BR82" s="103" t="str">
        <f t="shared" si="229"/>
        <v xml:space="preserve"> </v>
      </c>
      <c r="BS82" s="103" t="str">
        <f t="shared" si="230"/>
        <v xml:space="preserve"> </v>
      </c>
      <c r="BT82" s="103" t="str">
        <f t="shared" si="231"/>
        <v xml:space="preserve"> </v>
      </c>
      <c r="BU82" s="103" t="str">
        <f t="shared" si="232"/>
        <v xml:space="preserve"> </v>
      </c>
      <c r="BV82" s="103" t="str">
        <f t="shared" si="233"/>
        <v xml:space="preserve"> </v>
      </c>
      <c r="BW82" s="103" t="str">
        <f t="shared" si="234"/>
        <v xml:space="preserve"> </v>
      </c>
      <c r="BX82" s="103"/>
      <c r="BY82" s="103"/>
      <c r="BZ82" s="103"/>
      <c r="CA82" s="112" t="str">
        <f t="shared" si="235"/>
        <v xml:space="preserve"> </v>
      </c>
      <c r="CB82" s="123"/>
      <c r="CC82" s="101">
        <f t="shared" si="261"/>
        <v>757</v>
      </c>
      <c r="CD82" s="133" t="str">
        <f t="shared" si="262"/>
        <v>NGSA</v>
      </c>
      <c r="CE82" s="103" t="str">
        <f t="shared" si="236"/>
        <v xml:space="preserve"> </v>
      </c>
      <c r="CF82" s="103" t="str">
        <f t="shared" si="237"/>
        <v xml:space="preserve"> </v>
      </c>
      <c r="CG82" s="103" t="str">
        <f t="shared" si="238"/>
        <v xml:space="preserve"> </v>
      </c>
      <c r="CH82" s="103" t="str">
        <f t="shared" si="239"/>
        <v xml:space="preserve"> </v>
      </c>
      <c r="CI82" s="103" t="str">
        <f t="shared" si="240"/>
        <v>X</v>
      </c>
      <c r="CJ82" s="103" t="str">
        <f t="shared" si="241"/>
        <v>X</v>
      </c>
      <c r="CK82" s="103" t="str">
        <f t="shared" si="242"/>
        <v>X</v>
      </c>
      <c r="CL82" s="103" t="str">
        <f t="shared" si="243"/>
        <v>X</v>
      </c>
      <c r="CM82" s="103" t="str">
        <f t="shared" si="244"/>
        <v xml:space="preserve"> </v>
      </c>
      <c r="CN82" s="103" t="str">
        <f t="shared" si="245"/>
        <v xml:space="preserve"> </v>
      </c>
      <c r="CO82" s="103" t="str">
        <f t="shared" si="246"/>
        <v xml:space="preserve"> </v>
      </c>
      <c r="CP82" s="103" t="str">
        <f t="shared" si="247"/>
        <v xml:space="preserve"> </v>
      </c>
      <c r="CQ82" s="103"/>
      <c r="CR82" s="103"/>
      <c r="CS82" s="103"/>
      <c r="CT82" s="112">
        <f t="shared" si="248"/>
        <v>4</v>
      </c>
      <c r="CU82" s="127"/>
      <c r="CV82" s="101">
        <f t="shared" si="263"/>
        <v>757</v>
      </c>
      <c r="CW82" s="133" t="str">
        <f t="shared" si="264"/>
        <v>NGSA</v>
      </c>
      <c r="CX82" s="223">
        <f>VLOOKUP($I82,ngsa0705,13,FALSE)</f>
        <v>494</v>
      </c>
      <c r="CY82" s="223">
        <f>VLOOKUP($I82,ngsa0706,13,FALSE)</f>
        <v>494</v>
      </c>
      <c r="CZ82" s="223">
        <f>VLOOKUP($I82,ngsa0707,13,FALSE)</f>
        <v>491</v>
      </c>
      <c r="DA82" s="223">
        <f>VLOOKUP($I82,ngsa0708,13,FALSE)</f>
        <v>489</v>
      </c>
      <c r="DB82" s="223">
        <f>VLOOKUP($I82,ngsa0721,13,FALSE)</f>
        <v>403</v>
      </c>
      <c r="DC82" s="223">
        <f>VLOOKUP($I82,ngsa0725,13,FALSE)</f>
        <v>544</v>
      </c>
      <c r="DD82" s="223">
        <f>VLOOKUP($I82,ngsa0829,13,FALSE)</f>
        <v>365</v>
      </c>
      <c r="DE82" s="223">
        <f>VLOOKUP($I82,ngsa0830,13,FALSE)</f>
        <v>272</v>
      </c>
      <c r="DF82" s="223">
        <f>VLOOKUP($I82,ngsa0910,13,FALSE)</f>
        <v>528</v>
      </c>
      <c r="DG82" s="223">
        <f t="shared" si="249"/>
        <v>466</v>
      </c>
      <c r="DH82" s="223">
        <f t="shared" si="250"/>
        <v>423</v>
      </c>
      <c r="DI82" s="223">
        <f t="shared" si="251"/>
        <v>420</v>
      </c>
      <c r="DM82" s="224">
        <f t="shared" si="265"/>
        <v>449.08333333333331</v>
      </c>
    </row>
    <row r="83" spans="1:117" ht="15.75" x14ac:dyDescent="0.25">
      <c r="A83" s="136">
        <f t="shared" si="105"/>
        <v>767</v>
      </c>
      <c r="B83" s="136" t="str">
        <f t="shared" si="106"/>
        <v>NGSA</v>
      </c>
      <c r="C83" s="42" t="str">
        <f t="shared" si="256"/>
        <v xml:space="preserve"> </v>
      </c>
      <c r="D83" s="39" t="str">
        <f t="shared" si="257"/>
        <v xml:space="preserve"> </v>
      </c>
      <c r="E83" s="25" t="str">
        <f t="shared" si="258"/>
        <v xml:space="preserve"> </v>
      </c>
      <c r="F83" s="25" t="str">
        <f t="shared" si="259"/>
        <v xml:space="preserve"> </v>
      </c>
      <c r="G83" s="145" t="str">
        <f t="shared" si="260"/>
        <v xml:space="preserve"> </v>
      </c>
      <c r="I83" s="101">
        <v>767</v>
      </c>
      <c r="J83" s="133" t="s">
        <v>27</v>
      </c>
      <c r="K83" s="103" t="e">
        <f t="shared" si="184"/>
        <v>#N/A</v>
      </c>
      <c r="L83" s="103" t="e">
        <f t="shared" si="185"/>
        <v>#N/A</v>
      </c>
      <c r="M83" s="103" t="e">
        <f t="shared" si="186"/>
        <v>#N/A</v>
      </c>
      <c r="N83" s="103" t="e">
        <f t="shared" si="187"/>
        <v>#N/A</v>
      </c>
      <c r="O83" s="103" t="e">
        <f t="shared" si="188"/>
        <v>#N/A</v>
      </c>
      <c r="P83" s="103" t="e">
        <f t="shared" si="189"/>
        <v>#N/A</v>
      </c>
      <c r="Q83" s="103" t="e">
        <f t="shared" si="190"/>
        <v>#N/A</v>
      </c>
      <c r="R83" s="103" t="e">
        <f t="shared" si="191"/>
        <v>#N/A</v>
      </c>
      <c r="S83" s="103" t="e">
        <f t="shared" si="192"/>
        <v>#N/A</v>
      </c>
      <c r="T83" s="103">
        <f t="shared" si="193"/>
        <v>0</v>
      </c>
      <c r="U83" s="103">
        <f t="shared" si="194"/>
        <v>0</v>
      </c>
      <c r="V83" s="103">
        <f t="shared" si="195"/>
        <v>0</v>
      </c>
      <c r="W83" s="103"/>
      <c r="X83" s="103"/>
      <c r="Y83" s="103"/>
      <c r="Z83" s="112" t="str">
        <f t="shared" si="266"/>
        <v xml:space="preserve"> </v>
      </c>
      <c r="AA83" s="123"/>
      <c r="AB83" s="103" t="e">
        <f t="shared" si="197"/>
        <v>#N/A</v>
      </c>
      <c r="AC83" s="103" t="e">
        <f t="shared" si="198"/>
        <v>#N/A</v>
      </c>
      <c r="AD83" s="103" t="e">
        <f t="shared" si="199"/>
        <v>#N/A</v>
      </c>
      <c r="AE83" s="103" t="e">
        <f t="shared" si="200"/>
        <v>#N/A</v>
      </c>
      <c r="AF83" s="103" t="e">
        <f t="shared" si="201"/>
        <v>#N/A</v>
      </c>
      <c r="AG83" s="103" t="e">
        <f t="shared" si="202"/>
        <v>#N/A</v>
      </c>
      <c r="AH83" s="103" t="e">
        <f t="shared" si="203"/>
        <v>#N/A</v>
      </c>
      <c r="AI83" s="103" t="e">
        <f t="shared" si="204"/>
        <v>#N/A</v>
      </c>
      <c r="AJ83" s="103" t="e">
        <f t="shared" si="205"/>
        <v>#N/A</v>
      </c>
      <c r="AK83" s="103">
        <f t="shared" si="206"/>
        <v>0</v>
      </c>
      <c r="AL83" s="103">
        <f t="shared" si="207"/>
        <v>0</v>
      </c>
      <c r="AM83" s="103">
        <f t="shared" si="208"/>
        <v>0</v>
      </c>
      <c r="AN83" s="103"/>
      <c r="AO83" s="103"/>
      <c r="AP83" s="103"/>
      <c r="AQ83" s="112" t="str">
        <f t="shared" si="267"/>
        <v xml:space="preserve"> </v>
      </c>
      <c r="AR83" s="123"/>
      <c r="AS83" s="101">
        <f t="shared" si="254"/>
        <v>767</v>
      </c>
      <c r="AT83" s="133" t="str">
        <f t="shared" si="255"/>
        <v>NGSA</v>
      </c>
      <c r="AU83" s="103" t="e">
        <f t="shared" si="210"/>
        <v>#N/A</v>
      </c>
      <c r="AV83" s="103" t="e">
        <f t="shared" si="211"/>
        <v>#N/A</v>
      </c>
      <c r="AW83" s="103" t="e">
        <f t="shared" si="212"/>
        <v>#N/A</v>
      </c>
      <c r="AX83" s="103" t="e">
        <f t="shared" si="213"/>
        <v>#N/A</v>
      </c>
      <c r="AY83" s="103" t="e">
        <f t="shared" si="214"/>
        <v>#N/A</v>
      </c>
      <c r="AZ83" s="103" t="e">
        <f t="shared" si="215"/>
        <v>#N/A</v>
      </c>
      <c r="BA83" s="103" t="e">
        <f t="shared" si="216"/>
        <v>#N/A</v>
      </c>
      <c r="BB83" s="103" t="e">
        <f t="shared" si="217"/>
        <v>#N/A</v>
      </c>
      <c r="BC83" s="103" t="e">
        <f t="shared" si="218"/>
        <v>#N/A</v>
      </c>
      <c r="BD83" s="103">
        <f t="shared" si="219"/>
        <v>0</v>
      </c>
      <c r="BE83" s="103">
        <f t="shared" si="220"/>
        <v>0</v>
      </c>
      <c r="BF83" s="103">
        <f t="shared" si="221"/>
        <v>0</v>
      </c>
      <c r="BG83" s="103"/>
      <c r="BH83" s="103"/>
      <c r="BI83" s="103"/>
      <c r="BJ83" s="112" t="str">
        <f t="shared" si="222"/>
        <v xml:space="preserve"> </v>
      </c>
      <c r="BK83" s="123"/>
      <c r="BL83" s="103" t="e">
        <f t="shared" si="223"/>
        <v>#N/A</v>
      </c>
      <c r="BM83" s="103" t="e">
        <f t="shared" si="224"/>
        <v>#N/A</v>
      </c>
      <c r="BN83" s="103" t="e">
        <f t="shared" si="225"/>
        <v>#N/A</v>
      </c>
      <c r="BO83" s="103" t="e">
        <f t="shared" si="226"/>
        <v>#N/A</v>
      </c>
      <c r="BP83" s="103" t="e">
        <f t="shared" si="227"/>
        <v>#N/A</v>
      </c>
      <c r="BQ83" s="103" t="e">
        <f t="shared" si="228"/>
        <v>#N/A</v>
      </c>
      <c r="BR83" s="103" t="e">
        <f t="shared" si="229"/>
        <v>#N/A</v>
      </c>
      <c r="BS83" s="103" t="e">
        <f t="shared" si="230"/>
        <v>#N/A</v>
      </c>
      <c r="BT83" s="103" t="e">
        <f t="shared" si="231"/>
        <v>#N/A</v>
      </c>
      <c r="BU83" s="103" t="str">
        <f t="shared" si="232"/>
        <v xml:space="preserve"> </v>
      </c>
      <c r="BV83" s="103" t="str">
        <f t="shared" si="233"/>
        <v xml:space="preserve"> </v>
      </c>
      <c r="BW83" s="103" t="str">
        <f t="shared" si="234"/>
        <v xml:space="preserve"> </v>
      </c>
      <c r="BX83" s="103"/>
      <c r="BY83" s="103"/>
      <c r="BZ83" s="103"/>
      <c r="CA83" s="112" t="str">
        <f t="shared" si="235"/>
        <v xml:space="preserve"> </v>
      </c>
      <c r="CB83" s="123"/>
      <c r="CC83" s="101">
        <f t="shared" si="261"/>
        <v>767</v>
      </c>
      <c r="CD83" s="133" t="str">
        <f t="shared" si="262"/>
        <v>NGSA</v>
      </c>
      <c r="CE83" s="103" t="e">
        <f t="shared" si="236"/>
        <v>#N/A</v>
      </c>
      <c r="CF83" s="103" t="e">
        <f t="shared" si="237"/>
        <v>#N/A</v>
      </c>
      <c r="CG83" s="103" t="e">
        <f t="shared" si="238"/>
        <v>#N/A</v>
      </c>
      <c r="CH83" s="103" t="e">
        <f t="shared" si="239"/>
        <v>#N/A</v>
      </c>
      <c r="CI83" s="103" t="e">
        <f t="shared" si="240"/>
        <v>#N/A</v>
      </c>
      <c r="CJ83" s="103" t="e">
        <f t="shared" si="241"/>
        <v>#N/A</v>
      </c>
      <c r="CK83" s="103" t="e">
        <f t="shared" si="242"/>
        <v>#N/A</v>
      </c>
      <c r="CL83" s="103" t="e">
        <f t="shared" si="243"/>
        <v>#N/A</v>
      </c>
      <c r="CM83" s="103" t="e">
        <f t="shared" si="244"/>
        <v>#N/A</v>
      </c>
      <c r="CN83" s="103" t="str">
        <f t="shared" si="245"/>
        <v xml:space="preserve"> </v>
      </c>
      <c r="CO83" s="103" t="str">
        <f t="shared" si="246"/>
        <v xml:space="preserve"> </v>
      </c>
      <c r="CP83" s="103" t="str">
        <f t="shared" si="247"/>
        <v xml:space="preserve"> </v>
      </c>
      <c r="CQ83" s="103"/>
      <c r="CR83" s="103"/>
      <c r="CS83" s="103"/>
      <c r="CT83" s="112" t="str">
        <f t="shared" si="248"/>
        <v xml:space="preserve"> </v>
      </c>
      <c r="CU83" s="127"/>
      <c r="CV83" s="101">
        <f t="shared" si="263"/>
        <v>767</v>
      </c>
      <c r="CW83" s="133" t="str">
        <f t="shared" si="264"/>
        <v>NGSA</v>
      </c>
      <c r="CX83" s="223"/>
      <c r="CY83" s="223"/>
      <c r="CZ83" s="223"/>
      <c r="DA83" s="223"/>
      <c r="DB83" s="223"/>
      <c r="DC83" s="223"/>
      <c r="DD83" s="223"/>
      <c r="DE83" s="223"/>
      <c r="DF83" s="223"/>
      <c r="DG83" s="223">
        <f t="shared" si="249"/>
        <v>0</v>
      </c>
      <c r="DH83" s="223">
        <f t="shared" si="250"/>
        <v>0</v>
      </c>
      <c r="DI83" s="223">
        <f t="shared" si="251"/>
        <v>0</v>
      </c>
      <c r="DM83" s="224"/>
    </row>
    <row r="84" spans="1:117" ht="15.75" x14ac:dyDescent="0.25">
      <c r="A84" s="136">
        <f t="shared" si="105"/>
        <v>777</v>
      </c>
      <c r="B84" s="136" t="str">
        <f t="shared" si="106"/>
        <v>NGSA</v>
      </c>
      <c r="C84" s="42" t="str">
        <f t="shared" si="256"/>
        <v xml:space="preserve"> </v>
      </c>
      <c r="D84" s="39" t="str">
        <f t="shared" si="257"/>
        <v xml:space="preserve"> </v>
      </c>
      <c r="E84" s="25" t="str">
        <f t="shared" si="258"/>
        <v xml:space="preserve"> </v>
      </c>
      <c r="F84" s="25">
        <f t="shared" si="259"/>
        <v>1</v>
      </c>
      <c r="G84" s="145" t="str">
        <f t="shared" si="260"/>
        <v xml:space="preserve"> </v>
      </c>
      <c r="I84" s="101">
        <v>777</v>
      </c>
      <c r="J84" s="133" t="s">
        <v>27</v>
      </c>
      <c r="K84" s="103" t="e">
        <f t="shared" si="184"/>
        <v>#N/A</v>
      </c>
      <c r="L84" s="103" t="e">
        <f t="shared" si="185"/>
        <v>#N/A</v>
      </c>
      <c r="M84" s="103" t="e">
        <f t="shared" si="186"/>
        <v>#N/A</v>
      </c>
      <c r="N84" s="103" t="e">
        <f t="shared" si="187"/>
        <v>#N/A</v>
      </c>
      <c r="O84" s="103" t="e">
        <f t="shared" si="188"/>
        <v>#N/A</v>
      </c>
      <c r="P84" s="103" t="e">
        <f t="shared" si="189"/>
        <v>#N/A</v>
      </c>
      <c r="Q84" s="103">
        <f t="shared" si="190"/>
        <v>0</v>
      </c>
      <c r="R84" s="103">
        <f t="shared" si="191"/>
        <v>0</v>
      </c>
      <c r="S84" s="103">
        <f t="shared" si="192"/>
        <v>0</v>
      </c>
      <c r="T84" s="103">
        <f t="shared" si="193"/>
        <v>0</v>
      </c>
      <c r="U84" s="103">
        <f t="shared" si="194"/>
        <v>0</v>
      </c>
      <c r="V84" s="103">
        <f t="shared" si="195"/>
        <v>0</v>
      </c>
      <c r="W84" s="103"/>
      <c r="X84" s="103"/>
      <c r="Y84" s="103"/>
      <c r="Z84" s="112" t="str">
        <f t="shared" si="266"/>
        <v xml:space="preserve"> </v>
      </c>
      <c r="AA84" s="123"/>
      <c r="AB84" s="103" t="e">
        <f t="shared" si="197"/>
        <v>#N/A</v>
      </c>
      <c r="AC84" s="103" t="e">
        <f t="shared" si="198"/>
        <v>#N/A</v>
      </c>
      <c r="AD84" s="103" t="e">
        <f t="shared" si="199"/>
        <v>#N/A</v>
      </c>
      <c r="AE84" s="103" t="e">
        <f t="shared" si="200"/>
        <v>#N/A</v>
      </c>
      <c r="AF84" s="103" t="e">
        <f t="shared" si="201"/>
        <v>#N/A</v>
      </c>
      <c r="AG84" s="103" t="e">
        <f t="shared" si="202"/>
        <v>#N/A</v>
      </c>
      <c r="AH84" s="103">
        <f t="shared" si="203"/>
        <v>0</v>
      </c>
      <c r="AI84" s="103">
        <f t="shared" si="204"/>
        <v>0</v>
      </c>
      <c r="AJ84" s="103" t="str">
        <f t="shared" si="205"/>
        <v xml:space="preserve"> </v>
      </c>
      <c r="AK84" s="103">
        <f t="shared" si="206"/>
        <v>0</v>
      </c>
      <c r="AL84" s="103">
        <f t="shared" si="207"/>
        <v>0</v>
      </c>
      <c r="AM84" s="103">
        <f t="shared" si="208"/>
        <v>0</v>
      </c>
      <c r="AN84" s="103"/>
      <c r="AO84" s="103"/>
      <c r="AP84" s="103"/>
      <c r="AQ84" s="112" t="str">
        <f t="shared" si="267"/>
        <v xml:space="preserve"> </v>
      </c>
      <c r="AR84" s="123"/>
      <c r="AS84" s="101">
        <f t="shared" si="254"/>
        <v>777</v>
      </c>
      <c r="AT84" s="133" t="str">
        <f t="shared" si="255"/>
        <v>NGSA</v>
      </c>
      <c r="AU84" s="103" t="e">
        <f t="shared" si="210"/>
        <v>#N/A</v>
      </c>
      <c r="AV84" s="103" t="e">
        <f t="shared" si="211"/>
        <v>#N/A</v>
      </c>
      <c r="AW84" s="103" t="e">
        <f t="shared" si="212"/>
        <v>#N/A</v>
      </c>
      <c r="AX84" s="103" t="e">
        <f t="shared" si="213"/>
        <v>#N/A</v>
      </c>
      <c r="AY84" s="103" t="e">
        <f t="shared" si="214"/>
        <v>#N/A</v>
      </c>
      <c r="AZ84" s="103" t="e">
        <f t="shared" si="215"/>
        <v>#N/A</v>
      </c>
      <c r="BA84" s="103" t="str">
        <f t="shared" si="216"/>
        <v xml:space="preserve"> </v>
      </c>
      <c r="BB84" s="103" t="str">
        <f t="shared" si="217"/>
        <v xml:space="preserve"> </v>
      </c>
      <c r="BC84" s="103" t="str">
        <f t="shared" si="218"/>
        <v xml:space="preserve"> </v>
      </c>
      <c r="BD84" s="103">
        <f t="shared" si="219"/>
        <v>0</v>
      </c>
      <c r="BE84" s="103">
        <f t="shared" si="220"/>
        <v>0</v>
      </c>
      <c r="BF84" s="103">
        <f t="shared" si="221"/>
        <v>0</v>
      </c>
      <c r="BG84" s="103"/>
      <c r="BH84" s="103"/>
      <c r="BI84" s="103"/>
      <c r="BJ84" s="112" t="str">
        <f t="shared" si="222"/>
        <v xml:space="preserve"> </v>
      </c>
      <c r="BK84" s="123"/>
      <c r="BL84" s="103" t="e">
        <f t="shared" si="223"/>
        <v>#N/A</v>
      </c>
      <c r="BM84" s="103" t="e">
        <f t="shared" si="224"/>
        <v>#N/A</v>
      </c>
      <c r="BN84" s="103" t="e">
        <f t="shared" si="225"/>
        <v>#N/A</v>
      </c>
      <c r="BO84" s="103" t="e">
        <f t="shared" si="226"/>
        <v>#N/A</v>
      </c>
      <c r="BP84" s="103" t="e">
        <f t="shared" si="227"/>
        <v>#N/A</v>
      </c>
      <c r="BQ84" s="103" t="e">
        <f t="shared" si="228"/>
        <v>#N/A</v>
      </c>
      <c r="BR84" s="103" t="str">
        <f t="shared" si="229"/>
        <v xml:space="preserve"> </v>
      </c>
      <c r="BS84" s="103" t="str">
        <f t="shared" si="230"/>
        <v xml:space="preserve"> </v>
      </c>
      <c r="BT84" s="103" t="str">
        <f t="shared" si="231"/>
        <v xml:space="preserve"> </v>
      </c>
      <c r="BU84" s="103" t="str">
        <f t="shared" si="232"/>
        <v xml:space="preserve"> </v>
      </c>
      <c r="BV84" s="103" t="str">
        <f t="shared" si="233"/>
        <v xml:space="preserve"> </v>
      </c>
      <c r="BW84" s="103" t="str">
        <f t="shared" si="234"/>
        <v xml:space="preserve"> </v>
      </c>
      <c r="BX84" s="103"/>
      <c r="BY84" s="103"/>
      <c r="BZ84" s="103"/>
      <c r="CA84" s="112" t="str">
        <f t="shared" si="235"/>
        <v xml:space="preserve"> </v>
      </c>
      <c r="CB84" s="123"/>
      <c r="CC84" s="101">
        <f t="shared" si="261"/>
        <v>777</v>
      </c>
      <c r="CD84" s="133" t="str">
        <f t="shared" si="262"/>
        <v>NGSA</v>
      </c>
      <c r="CE84" s="103" t="e">
        <f t="shared" si="236"/>
        <v>#N/A</v>
      </c>
      <c r="CF84" s="103" t="e">
        <f t="shared" si="237"/>
        <v>#N/A</v>
      </c>
      <c r="CG84" s="103" t="e">
        <f t="shared" si="238"/>
        <v>#N/A</v>
      </c>
      <c r="CH84" s="103" t="e">
        <f t="shared" si="239"/>
        <v>#N/A</v>
      </c>
      <c r="CI84" s="103" t="e">
        <f t="shared" si="240"/>
        <v>#N/A</v>
      </c>
      <c r="CJ84" s="103" t="e">
        <f t="shared" si="241"/>
        <v>#N/A</v>
      </c>
      <c r="CK84" s="103" t="str">
        <f t="shared" si="242"/>
        <v xml:space="preserve"> </v>
      </c>
      <c r="CL84" s="103" t="str">
        <f t="shared" si="243"/>
        <v>X</v>
      </c>
      <c r="CM84" s="103" t="str">
        <f t="shared" si="244"/>
        <v xml:space="preserve"> </v>
      </c>
      <c r="CN84" s="103" t="str">
        <f t="shared" si="245"/>
        <v xml:space="preserve"> </v>
      </c>
      <c r="CO84" s="103" t="str">
        <f t="shared" si="246"/>
        <v xml:space="preserve"> </v>
      </c>
      <c r="CP84" s="103" t="str">
        <f t="shared" si="247"/>
        <v xml:space="preserve"> </v>
      </c>
      <c r="CQ84" s="103"/>
      <c r="CR84" s="103"/>
      <c r="CS84" s="103"/>
      <c r="CT84" s="112">
        <f t="shared" si="248"/>
        <v>1</v>
      </c>
      <c r="CU84" s="127"/>
      <c r="CV84" s="101">
        <f t="shared" si="263"/>
        <v>777</v>
      </c>
      <c r="CW84" s="133" t="str">
        <f t="shared" si="264"/>
        <v>NGSA</v>
      </c>
      <c r="CX84" s="223"/>
      <c r="CY84" s="223"/>
      <c r="CZ84" s="223"/>
      <c r="DA84" s="223"/>
      <c r="DB84" s="223"/>
      <c r="DC84" s="223"/>
      <c r="DD84" s="223">
        <f t="shared" ref="DD84:DD90" si="268">VLOOKUP($I84,ngsa0829,13,FALSE)</f>
        <v>1086</v>
      </c>
      <c r="DE84" s="223">
        <f t="shared" ref="DE84:DE90" si="269">VLOOKUP($I84,ngsa0830,13,FALSE)</f>
        <v>1017</v>
      </c>
      <c r="DF84" s="223">
        <f t="shared" ref="DF84:DF93" si="270">VLOOKUP($I84,ngsa0910,13,FALSE)</f>
        <v>68</v>
      </c>
      <c r="DG84" s="223">
        <f t="shared" si="249"/>
        <v>999</v>
      </c>
      <c r="DH84" s="223">
        <f t="shared" si="250"/>
        <v>795</v>
      </c>
      <c r="DI84" s="223">
        <f t="shared" si="251"/>
        <v>896</v>
      </c>
      <c r="DM84" s="224">
        <f t="shared" si="265"/>
        <v>810.16666666666663</v>
      </c>
    </row>
    <row r="85" spans="1:117" ht="15.75" x14ac:dyDescent="0.25">
      <c r="A85" s="136">
        <f t="shared" si="105"/>
        <v>779</v>
      </c>
      <c r="B85" s="136" t="str">
        <f t="shared" si="106"/>
        <v>NGSA</v>
      </c>
      <c r="C85" s="42" t="str">
        <f t="shared" si="256"/>
        <v xml:space="preserve"> </v>
      </c>
      <c r="D85" s="39" t="str">
        <f t="shared" si="257"/>
        <v xml:space="preserve"> </v>
      </c>
      <c r="E85" s="25" t="str">
        <f t="shared" si="258"/>
        <v xml:space="preserve"> </v>
      </c>
      <c r="F85" s="25">
        <f t="shared" si="259"/>
        <v>4</v>
      </c>
      <c r="G85" s="145" t="str">
        <f t="shared" si="260"/>
        <v xml:space="preserve"> </v>
      </c>
      <c r="I85" s="101">
        <v>779</v>
      </c>
      <c r="J85" s="133" t="s">
        <v>27</v>
      </c>
      <c r="K85" s="103" t="str">
        <f t="shared" si="184"/>
        <v xml:space="preserve"> </v>
      </c>
      <c r="L85" s="103" t="str">
        <f t="shared" si="185"/>
        <v xml:space="preserve"> </v>
      </c>
      <c r="M85" s="103">
        <f t="shared" si="186"/>
        <v>0</v>
      </c>
      <c r="N85" s="103">
        <f t="shared" si="187"/>
        <v>0</v>
      </c>
      <c r="O85" s="103">
        <f t="shared" si="188"/>
        <v>0</v>
      </c>
      <c r="P85" s="103">
        <f t="shared" si="189"/>
        <v>0</v>
      </c>
      <c r="Q85" s="103">
        <f t="shared" si="190"/>
        <v>0</v>
      </c>
      <c r="R85" s="103">
        <f t="shared" si="191"/>
        <v>0</v>
      </c>
      <c r="S85" s="103">
        <f t="shared" si="192"/>
        <v>0</v>
      </c>
      <c r="T85" s="103">
        <f t="shared" si="193"/>
        <v>0</v>
      </c>
      <c r="U85" s="103">
        <f t="shared" si="194"/>
        <v>0</v>
      </c>
      <c r="V85" s="103">
        <f t="shared" si="195"/>
        <v>0</v>
      </c>
      <c r="W85" s="103"/>
      <c r="X85" s="103"/>
      <c r="Y85" s="103"/>
      <c r="Z85" s="112" t="str">
        <f t="shared" si="266"/>
        <v xml:space="preserve"> </v>
      </c>
      <c r="AA85" s="123"/>
      <c r="AB85" s="103" t="str">
        <f t="shared" si="197"/>
        <v xml:space="preserve"> </v>
      </c>
      <c r="AC85" s="103" t="str">
        <f t="shared" si="198"/>
        <v xml:space="preserve"> </v>
      </c>
      <c r="AD85" s="103" t="str">
        <f t="shared" si="199"/>
        <v xml:space="preserve"> </v>
      </c>
      <c r="AE85" s="103" t="str">
        <f t="shared" si="200"/>
        <v xml:space="preserve"> </v>
      </c>
      <c r="AF85" s="103" t="str">
        <f t="shared" si="201"/>
        <v xml:space="preserve"> </v>
      </c>
      <c r="AG85" s="103" t="str">
        <f t="shared" si="202"/>
        <v xml:space="preserve"> </v>
      </c>
      <c r="AH85" s="103" t="str">
        <f t="shared" si="203"/>
        <v xml:space="preserve"> </v>
      </c>
      <c r="AI85" s="103" t="str">
        <f t="shared" si="204"/>
        <v xml:space="preserve"> </v>
      </c>
      <c r="AJ85" s="103" t="str">
        <f t="shared" si="205"/>
        <v xml:space="preserve"> </v>
      </c>
      <c r="AK85" s="103">
        <f t="shared" si="206"/>
        <v>0</v>
      </c>
      <c r="AL85" s="103">
        <f t="shared" si="207"/>
        <v>0</v>
      </c>
      <c r="AM85" s="103">
        <f t="shared" si="208"/>
        <v>0</v>
      </c>
      <c r="AN85" s="103"/>
      <c r="AO85" s="103"/>
      <c r="AP85" s="103"/>
      <c r="AQ85" s="112" t="str">
        <f t="shared" si="267"/>
        <v xml:space="preserve"> </v>
      </c>
      <c r="AR85" s="123"/>
      <c r="AS85" s="101">
        <f t="shared" si="254"/>
        <v>779</v>
      </c>
      <c r="AT85" s="133" t="str">
        <f t="shared" si="255"/>
        <v>NGSA</v>
      </c>
      <c r="AU85" s="103" t="str">
        <f t="shared" si="210"/>
        <v xml:space="preserve"> </v>
      </c>
      <c r="AV85" s="103" t="str">
        <f t="shared" si="211"/>
        <v xml:space="preserve"> </v>
      </c>
      <c r="AW85" s="103" t="str">
        <f t="shared" si="212"/>
        <v xml:space="preserve"> </v>
      </c>
      <c r="AX85" s="103" t="str">
        <f t="shared" si="213"/>
        <v xml:space="preserve"> </v>
      </c>
      <c r="AY85" s="103" t="str">
        <f t="shared" si="214"/>
        <v xml:space="preserve"> </v>
      </c>
      <c r="AZ85" s="103" t="str">
        <f t="shared" si="215"/>
        <v xml:space="preserve"> </v>
      </c>
      <c r="BA85" s="103" t="str">
        <f t="shared" si="216"/>
        <v xml:space="preserve"> </v>
      </c>
      <c r="BB85" s="103" t="str">
        <f t="shared" si="217"/>
        <v xml:space="preserve"> </v>
      </c>
      <c r="BC85" s="103" t="str">
        <f t="shared" si="218"/>
        <v xml:space="preserve"> </v>
      </c>
      <c r="BD85" s="103">
        <f t="shared" si="219"/>
        <v>0</v>
      </c>
      <c r="BE85" s="103">
        <f t="shared" si="220"/>
        <v>0</v>
      </c>
      <c r="BF85" s="103">
        <f t="shared" si="221"/>
        <v>0</v>
      </c>
      <c r="BG85" s="103"/>
      <c r="BH85" s="103"/>
      <c r="BI85" s="103"/>
      <c r="BJ85" s="112" t="str">
        <f t="shared" si="222"/>
        <v xml:space="preserve"> </v>
      </c>
      <c r="BK85" s="123"/>
      <c r="BL85" s="103" t="str">
        <f t="shared" si="223"/>
        <v xml:space="preserve"> </v>
      </c>
      <c r="BM85" s="103" t="str">
        <f t="shared" si="224"/>
        <v xml:space="preserve"> </v>
      </c>
      <c r="BN85" s="103" t="str">
        <f t="shared" si="225"/>
        <v xml:space="preserve"> </v>
      </c>
      <c r="BO85" s="103" t="str">
        <f t="shared" si="226"/>
        <v xml:space="preserve"> </v>
      </c>
      <c r="BP85" s="103" t="str">
        <f t="shared" si="227"/>
        <v xml:space="preserve"> </v>
      </c>
      <c r="BQ85" s="103" t="str">
        <f t="shared" si="228"/>
        <v xml:space="preserve"> </v>
      </c>
      <c r="BR85" s="103" t="str">
        <f t="shared" si="229"/>
        <v xml:space="preserve"> </v>
      </c>
      <c r="BS85" s="103" t="str">
        <f t="shared" si="230"/>
        <v xml:space="preserve"> </v>
      </c>
      <c r="BT85" s="103" t="str">
        <f t="shared" si="231"/>
        <v xml:space="preserve"> </v>
      </c>
      <c r="BU85" s="103" t="str">
        <f t="shared" si="232"/>
        <v xml:space="preserve"> </v>
      </c>
      <c r="BV85" s="103" t="str">
        <f t="shared" si="233"/>
        <v xml:space="preserve"> </v>
      </c>
      <c r="BW85" s="103" t="str">
        <f t="shared" si="234"/>
        <v xml:space="preserve"> </v>
      </c>
      <c r="BX85" s="103"/>
      <c r="BY85" s="103"/>
      <c r="BZ85" s="103"/>
      <c r="CA85" s="112" t="str">
        <f t="shared" si="235"/>
        <v xml:space="preserve"> </v>
      </c>
      <c r="CB85" s="123"/>
      <c r="CC85" s="101">
        <f t="shared" si="261"/>
        <v>779</v>
      </c>
      <c r="CD85" s="133" t="str">
        <f t="shared" si="262"/>
        <v>NGSA</v>
      </c>
      <c r="CE85" s="103" t="str">
        <f t="shared" si="236"/>
        <v>X</v>
      </c>
      <c r="CF85" s="103" t="str">
        <f t="shared" si="237"/>
        <v>X</v>
      </c>
      <c r="CG85" s="103" t="str">
        <f t="shared" si="238"/>
        <v>X</v>
      </c>
      <c r="CH85" s="103" t="str">
        <f t="shared" si="239"/>
        <v xml:space="preserve"> </v>
      </c>
      <c r="CI85" s="103" t="str">
        <f t="shared" si="240"/>
        <v>X</v>
      </c>
      <c r="CJ85" s="103" t="str">
        <f t="shared" si="241"/>
        <v xml:space="preserve"> </v>
      </c>
      <c r="CK85" s="103" t="str">
        <f t="shared" si="242"/>
        <v xml:space="preserve"> </v>
      </c>
      <c r="CL85" s="103" t="str">
        <f t="shared" si="243"/>
        <v xml:space="preserve"> </v>
      </c>
      <c r="CM85" s="103" t="str">
        <f t="shared" si="244"/>
        <v xml:space="preserve"> </v>
      </c>
      <c r="CN85" s="103" t="str">
        <f t="shared" si="245"/>
        <v xml:space="preserve"> </v>
      </c>
      <c r="CO85" s="103" t="str">
        <f t="shared" si="246"/>
        <v xml:space="preserve"> </v>
      </c>
      <c r="CP85" s="103" t="str">
        <f t="shared" si="247"/>
        <v xml:space="preserve"> </v>
      </c>
      <c r="CQ85" s="103"/>
      <c r="CR85" s="103"/>
      <c r="CS85" s="103"/>
      <c r="CT85" s="112">
        <f t="shared" si="248"/>
        <v>4</v>
      </c>
      <c r="CU85" s="127"/>
      <c r="CV85" s="101">
        <f t="shared" si="263"/>
        <v>779</v>
      </c>
      <c r="CW85" s="133" t="str">
        <f t="shared" si="264"/>
        <v>NGSA</v>
      </c>
      <c r="CX85" s="223">
        <f t="shared" ref="CX85:CX90" si="271">VLOOKUP($I85,ngsa0705,13,FALSE)</f>
        <v>919</v>
      </c>
      <c r="CY85" s="223">
        <f t="shared" ref="CY85:CY90" si="272">VLOOKUP($I85,ngsa0706,13,FALSE)</f>
        <v>1320</v>
      </c>
      <c r="CZ85" s="223">
        <f t="shared" ref="CZ85:CZ90" si="273">VLOOKUP($I85,ngsa0707,13,FALSE)</f>
        <v>1170</v>
      </c>
      <c r="DA85" s="223">
        <f t="shared" ref="DA85:DA90" si="274">VLOOKUP($I85,ngsa0708,13,FALSE)</f>
        <v>1356</v>
      </c>
      <c r="DB85" s="223">
        <f t="shared" ref="DB85:DB90" si="275">VLOOKUP($I85,ngsa0721,13,FALSE)</f>
        <v>1150</v>
      </c>
      <c r="DC85" s="223">
        <f t="shared" ref="DC85:DC90" si="276">VLOOKUP($I85,ngsa0725,13,FALSE)</f>
        <v>1014</v>
      </c>
      <c r="DD85" s="223">
        <f t="shared" si="268"/>
        <v>1127</v>
      </c>
      <c r="DE85" s="223">
        <f t="shared" si="269"/>
        <v>1323</v>
      </c>
      <c r="DF85" s="223">
        <f t="shared" si="270"/>
        <v>252</v>
      </c>
      <c r="DG85" s="223">
        <f t="shared" si="249"/>
        <v>1212</v>
      </c>
      <c r="DH85" s="223">
        <f t="shared" si="250"/>
        <v>1237</v>
      </c>
      <c r="DI85" s="223">
        <f t="shared" si="251"/>
        <v>1138</v>
      </c>
      <c r="DM85" s="224">
        <f t="shared" si="265"/>
        <v>1101.5</v>
      </c>
    </row>
    <row r="86" spans="1:117" ht="15.75" x14ac:dyDescent="0.25">
      <c r="A86" s="136">
        <f t="shared" si="105"/>
        <v>809</v>
      </c>
      <c r="B86" s="136" t="str">
        <f t="shared" si="106"/>
        <v>NGSA</v>
      </c>
      <c r="C86" s="42" t="str">
        <f t="shared" si="256"/>
        <v xml:space="preserve"> </v>
      </c>
      <c r="D86" s="39" t="str">
        <f t="shared" si="257"/>
        <v xml:space="preserve"> </v>
      </c>
      <c r="E86" s="25" t="str">
        <f t="shared" si="258"/>
        <v xml:space="preserve"> </v>
      </c>
      <c r="F86" s="25" t="str">
        <f t="shared" si="259"/>
        <v xml:space="preserve"> </v>
      </c>
      <c r="G86" s="145" t="str">
        <f t="shared" si="260"/>
        <v xml:space="preserve"> </v>
      </c>
      <c r="I86" s="101">
        <v>809</v>
      </c>
      <c r="J86" s="133" t="s">
        <v>27</v>
      </c>
      <c r="K86" s="103" t="str">
        <f t="shared" si="184"/>
        <v xml:space="preserve"> </v>
      </c>
      <c r="L86" s="103" t="str">
        <f t="shared" si="185"/>
        <v xml:space="preserve"> </v>
      </c>
      <c r="M86" s="103">
        <f t="shared" si="186"/>
        <v>0</v>
      </c>
      <c r="N86" s="103">
        <f t="shared" si="187"/>
        <v>0</v>
      </c>
      <c r="O86" s="103">
        <f t="shared" si="188"/>
        <v>0</v>
      </c>
      <c r="P86" s="103">
        <f t="shared" si="189"/>
        <v>0</v>
      </c>
      <c r="Q86" s="103">
        <f t="shared" si="190"/>
        <v>0</v>
      </c>
      <c r="R86" s="103">
        <f t="shared" si="191"/>
        <v>0</v>
      </c>
      <c r="S86" s="103">
        <f t="shared" si="192"/>
        <v>0</v>
      </c>
      <c r="T86" s="103">
        <f t="shared" si="193"/>
        <v>0</v>
      </c>
      <c r="U86" s="103">
        <f t="shared" si="194"/>
        <v>0</v>
      </c>
      <c r="V86" s="103">
        <f t="shared" si="195"/>
        <v>0</v>
      </c>
      <c r="W86" s="103"/>
      <c r="X86" s="103"/>
      <c r="Y86" s="103"/>
      <c r="Z86" s="112" t="str">
        <f t="shared" si="266"/>
        <v xml:space="preserve"> </v>
      </c>
      <c r="AA86" s="123"/>
      <c r="AB86" s="103" t="str">
        <f t="shared" si="197"/>
        <v xml:space="preserve"> </v>
      </c>
      <c r="AC86" s="103" t="str">
        <f t="shared" si="198"/>
        <v xml:space="preserve"> </v>
      </c>
      <c r="AD86" s="103" t="str">
        <f t="shared" si="199"/>
        <v xml:space="preserve"> </v>
      </c>
      <c r="AE86" s="103" t="str">
        <f t="shared" si="200"/>
        <v xml:space="preserve"> </v>
      </c>
      <c r="AF86" s="103" t="str">
        <f t="shared" si="201"/>
        <v xml:space="preserve"> </v>
      </c>
      <c r="AG86" s="103" t="str">
        <f t="shared" si="202"/>
        <v xml:space="preserve"> </v>
      </c>
      <c r="AH86" s="103" t="str">
        <f t="shared" si="203"/>
        <v xml:space="preserve"> </v>
      </c>
      <c r="AI86" s="103" t="str">
        <f t="shared" si="204"/>
        <v xml:space="preserve"> </v>
      </c>
      <c r="AJ86" s="103" t="str">
        <f t="shared" si="205"/>
        <v xml:space="preserve"> </v>
      </c>
      <c r="AK86" s="103" t="str">
        <f t="shared" si="206"/>
        <v xml:space="preserve"> </v>
      </c>
      <c r="AL86" s="103" t="str">
        <f t="shared" si="207"/>
        <v xml:space="preserve"> </v>
      </c>
      <c r="AM86" s="103" t="str">
        <f t="shared" si="208"/>
        <v xml:space="preserve"> </v>
      </c>
      <c r="AN86" s="103"/>
      <c r="AO86" s="103"/>
      <c r="AP86" s="103"/>
      <c r="AQ86" s="112" t="str">
        <f t="shared" si="267"/>
        <v xml:space="preserve"> </v>
      </c>
      <c r="AR86" s="123"/>
      <c r="AS86" s="101">
        <f t="shared" si="254"/>
        <v>809</v>
      </c>
      <c r="AT86" s="133" t="str">
        <f t="shared" si="255"/>
        <v>NGSA</v>
      </c>
      <c r="AU86" s="103" t="str">
        <f t="shared" si="210"/>
        <v xml:space="preserve"> </v>
      </c>
      <c r="AV86" s="103" t="str">
        <f t="shared" si="211"/>
        <v xml:space="preserve"> </v>
      </c>
      <c r="AW86" s="103" t="str">
        <f t="shared" si="212"/>
        <v xml:space="preserve"> </v>
      </c>
      <c r="AX86" s="103" t="str">
        <f t="shared" si="213"/>
        <v xml:space="preserve"> </v>
      </c>
      <c r="AY86" s="103" t="str">
        <f t="shared" si="214"/>
        <v xml:space="preserve"> </v>
      </c>
      <c r="AZ86" s="103" t="str">
        <f t="shared" si="215"/>
        <v xml:space="preserve"> </v>
      </c>
      <c r="BA86" s="103" t="str">
        <f t="shared" si="216"/>
        <v xml:space="preserve"> </v>
      </c>
      <c r="BB86" s="103" t="str">
        <f t="shared" si="217"/>
        <v xml:space="preserve"> </v>
      </c>
      <c r="BC86" s="103" t="str">
        <f t="shared" si="218"/>
        <v xml:space="preserve"> </v>
      </c>
      <c r="BD86" s="103" t="str">
        <f t="shared" si="219"/>
        <v xml:space="preserve"> </v>
      </c>
      <c r="BE86" s="103" t="str">
        <f t="shared" si="220"/>
        <v xml:space="preserve"> </v>
      </c>
      <c r="BF86" s="103" t="str">
        <f t="shared" si="221"/>
        <v xml:space="preserve"> </v>
      </c>
      <c r="BG86" s="103"/>
      <c r="BH86" s="103"/>
      <c r="BI86" s="103"/>
      <c r="BJ86" s="112" t="str">
        <f t="shared" si="222"/>
        <v xml:space="preserve"> </v>
      </c>
      <c r="BK86" s="123"/>
      <c r="BL86" s="103" t="str">
        <f t="shared" si="223"/>
        <v xml:space="preserve"> </v>
      </c>
      <c r="BM86" s="103" t="str">
        <f t="shared" si="224"/>
        <v xml:space="preserve"> </v>
      </c>
      <c r="BN86" s="103" t="str">
        <f t="shared" si="225"/>
        <v xml:space="preserve"> </v>
      </c>
      <c r="BO86" s="103" t="str">
        <f t="shared" si="226"/>
        <v xml:space="preserve"> </v>
      </c>
      <c r="BP86" s="103" t="str">
        <f t="shared" si="227"/>
        <v xml:space="preserve"> </v>
      </c>
      <c r="BQ86" s="103" t="str">
        <f t="shared" si="228"/>
        <v xml:space="preserve"> </v>
      </c>
      <c r="BR86" s="103" t="str">
        <f t="shared" si="229"/>
        <v xml:space="preserve"> </v>
      </c>
      <c r="BS86" s="103" t="str">
        <f t="shared" si="230"/>
        <v xml:space="preserve"> </v>
      </c>
      <c r="BT86" s="103" t="str">
        <f t="shared" si="231"/>
        <v xml:space="preserve"> </v>
      </c>
      <c r="BU86" s="103" t="str">
        <f t="shared" si="232"/>
        <v xml:space="preserve"> </v>
      </c>
      <c r="BV86" s="103" t="str">
        <f t="shared" si="233"/>
        <v xml:space="preserve"> </v>
      </c>
      <c r="BW86" s="103" t="str">
        <f t="shared" si="234"/>
        <v xml:space="preserve"> </v>
      </c>
      <c r="BX86" s="103"/>
      <c r="BY86" s="103"/>
      <c r="BZ86" s="103"/>
      <c r="CA86" s="112" t="str">
        <f t="shared" si="235"/>
        <v xml:space="preserve"> </v>
      </c>
      <c r="CB86" s="123"/>
      <c r="CC86" s="101">
        <f t="shared" si="261"/>
        <v>809</v>
      </c>
      <c r="CD86" s="133" t="str">
        <f t="shared" si="262"/>
        <v>NGSA</v>
      </c>
      <c r="CE86" s="103" t="str">
        <f t="shared" si="236"/>
        <v xml:space="preserve"> </v>
      </c>
      <c r="CF86" s="103" t="str">
        <f t="shared" si="237"/>
        <v xml:space="preserve"> </v>
      </c>
      <c r="CG86" s="103" t="str">
        <f t="shared" si="238"/>
        <v xml:space="preserve"> </v>
      </c>
      <c r="CH86" s="103" t="str">
        <f t="shared" si="239"/>
        <v xml:space="preserve"> </v>
      </c>
      <c r="CI86" s="103" t="str">
        <f t="shared" si="240"/>
        <v xml:space="preserve"> </v>
      </c>
      <c r="CJ86" s="103" t="str">
        <f t="shared" si="241"/>
        <v xml:space="preserve"> </v>
      </c>
      <c r="CK86" s="103" t="str">
        <f t="shared" si="242"/>
        <v xml:space="preserve"> </v>
      </c>
      <c r="CL86" s="103" t="str">
        <f t="shared" si="243"/>
        <v xml:space="preserve"> </v>
      </c>
      <c r="CM86" s="103" t="str">
        <f t="shared" si="244"/>
        <v xml:space="preserve"> </v>
      </c>
      <c r="CN86" s="103" t="str">
        <f t="shared" si="245"/>
        <v xml:space="preserve"> </v>
      </c>
      <c r="CO86" s="103" t="str">
        <f t="shared" si="246"/>
        <v xml:space="preserve"> </v>
      </c>
      <c r="CP86" s="103" t="str">
        <f t="shared" si="247"/>
        <v xml:space="preserve"> </v>
      </c>
      <c r="CQ86" s="103"/>
      <c r="CR86" s="103"/>
      <c r="CS86" s="103"/>
      <c r="CT86" s="112" t="str">
        <f t="shared" si="248"/>
        <v xml:space="preserve"> </v>
      </c>
      <c r="CU86" s="127"/>
      <c r="CV86" s="101">
        <f t="shared" si="263"/>
        <v>809</v>
      </c>
      <c r="CW86" s="133" t="str">
        <f t="shared" si="264"/>
        <v>NGSA</v>
      </c>
      <c r="CX86" s="223">
        <f t="shared" si="271"/>
        <v>0</v>
      </c>
      <c r="CY86" s="223">
        <f t="shared" si="272"/>
        <v>1</v>
      </c>
      <c r="CZ86" s="223">
        <f t="shared" si="273"/>
        <v>2</v>
      </c>
      <c r="DA86" s="223">
        <f t="shared" si="274"/>
        <v>0</v>
      </c>
      <c r="DB86" s="223">
        <f t="shared" si="275"/>
        <v>0</v>
      </c>
      <c r="DC86" s="223">
        <f t="shared" si="276"/>
        <v>0</v>
      </c>
      <c r="DD86" s="223">
        <f t="shared" si="268"/>
        <v>0</v>
      </c>
      <c r="DE86" s="223">
        <f t="shared" si="269"/>
        <v>0</v>
      </c>
      <c r="DF86" s="223">
        <f t="shared" si="270"/>
        <v>0</v>
      </c>
      <c r="DG86" s="223">
        <f t="shared" si="249"/>
        <v>0</v>
      </c>
      <c r="DH86" s="223">
        <f t="shared" si="250"/>
        <v>0</v>
      </c>
      <c r="DI86" s="223">
        <f t="shared" si="251"/>
        <v>0</v>
      </c>
      <c r="DM86" s="224">
        <f t="shared" si="265"/>
        <v>0.25</v>
      </c>
    </row>
    <row r="87" spans="1:117" ht="15.75" x14ac:dyDescent="0.25">
      <c r="A87" s="136">
        <f t="shared" si="105"/>
        <v>810</v>
      </c>
      <c r="B87" s="136" t="str">
        <f t="shared" si="106"/>
        <v>NGSA</v>
      </c>
      <c r="C87" s="42" t="str">
        <f t="shared" si="256"/>
        <v xml:space="preserve"> </v>
      </c>
      <c r="D87" s="39" t="str">
        <f t="shared" si="257"/>
        <v xml:space="preserve"> </v>
      </c>
      <c r="E87" s="25" t="str">
        <f t="shared" si="258"/>
        <v xml:space="preserve"> </v>
      </c>
      <c r="F87" s="25" t="str">
        <f t="shared" si="259"/>
        <v xml:space="preserve"> </v>
      </c>
      <c r="G87" s="145" t="str">
        <f t="shared" si="260"/>
        <v xml:space="preserve"> </v>
      </c>
      <c r="I87" s="101">
        <v>810</v>
      </c>
      <c r="J87" s="133" t="s">
        <v>27</v>
      </c>
      <c r="K87" s="103" t="str">
        <f t="shared" si="184"/>
        <v xml:space="preserve"> </v>
      </c>
      <c r="L87" s="103" t="str">
        <f t="shared" si="185"/>
        <v xml:space="preserve"> </v>
      </c>
      <c r="M87" s="103">
        <f t="shared" si="186"/>
        <v>0</v>
      </c>
      <c r="N87" s="103">
        <f t="shared" si="187"/>
        <v>0</v>
      </c>
      <c r="O87" s="103">
        <f t="shared" si="188"/>
        <v>0</v>
      </c>
      <c r="P87" s="103">
        <f t="shared" si="189"/>
        <v>0</v>
      </c>
      <c r="Q87" s="103">
        <f t="shared" si="190"/>
        <v>0</v>
      </c>
      <c r="R87" s="103">
        <f t="shared" si="191"/>
        <v>0</v>
      </c>
      <c r="S87" s="103">
        <f t="shared" si="192"/>
        <v>0</v>
      </c>
      <c r="T87" s="103">
        <f t="shared" si="193"/>
        <v>0</v>
      </c>
      <c r="U87" s="103">
        <f t="shared" si="194"/>
        <v>0</v>
      </c>
      <c r="V87" s="103">
        <f t="shared" si="195"/>
        <v>0</v>
      </c>
      <c r="W87" s="103"/>
      <c r="X87" s="103"/>
      <c r="Y87" s="103"/>
      <c r="Z87" s="112" t="str">
        <f t="shared" si="266"/>
        <v xml:space="preserve"> </v>
      </c>
      <c r="AA87" s="123"/>
      <c r="AB87" s="103" t="str">
        <f t="shared" si="197"/>
        <v xml:space="preserve"> </v>
      </c>
      <c r="AC87" s="103" t="str">
        <f t="shared" si="198"/>
        <v xml:space="preserve"> </v>
      </c>
      <c r="AD87" s="103" t="str">
        <f t="shared" si="199"/>
        <v xml:space="preserve"> </v>
      </c>
      <c r="AE87" s="103" t="str">
        <f t="shared" si="200"/>
        <v xml:space="preserve"> </v>
      </c>
      <c r="AF87" s="103" t="str">
        <f t="shared" si="201"/>
        <v xml:space="preserve"> </v>
      </c>
      <c r="AG87" s="103" t="str">
        <f t="shared" si="202"/>
        <v xml:space="preserve"> </v>
      </c>
      <c r="AH87" s="103" t="str">
        <f t="shared" si="203"/>
        <v xml:space="preserve"> </v>
      </c>
      <c r="AI87" s="103" t="str">
        <f t="shared" si="204"/>
        <v xml:space="preserve"> </v>
      </c>
      <c r="AJ87" s="103" t="str">
        <f t="shared" si="205"/>
        <v xml:space="preserve"> </v>
      </c>
      <c r="AK87" s="103" t="str">
        <f t="shared" si="206"/>
        <v xml:space="preserve"> </v>
      </c>
      <c r="AL87" s="103" t="str">
        <f t="shared" si="207"/>
        <v xml:space="preserve"> </v>
      </c>
      <c r="AM87" s="103" t="str">
        <f t="shared" si="208"/>
        <v xml:space="preserve"> </v>
      </c>
      <c r="AN87" s="103"/>
      <c r="AO87" s="103"/>
      <c r="AP87" s="103"/>
      <c r="AQ87" s="112" t="str">
        <f t="shared" si="267"/>
        <v xml:space="preserve"> </v>
      </c>
      <c r="AR87" s="123"/>
      <c r="AS87" s="101">
        <f t="shared" si="254"/>
        <v>810</v>
      </c>
      <c r="AT87" s="133" t="str">
        <f t="shared" si="255"/>
        <v>NGSA</v>
      </c>
      <c r="AU87" s="103" t="str">
        <f t="shared" si="210"/>
        <v xml:space="preserve"> </v>
      </c>
      <c r="AV87" s="103" t="str">
        <f t="shared" si="211"/>
        <v xml:space="preserve"> </v>
      </c>
      <c r="AW87" s="103" t="str">
        <f t="shared" si="212"/>
        <v xml:space="preserve"> </v>
      </c>
      <c r="AX87" s="103" t="str">
        <f t="shared" si="213"/>
        <v xml:space="preserve"> </v>
      </c>
      <c r="AY87" s="103" t="str">
        <f t="shared" si="214"/>
        <v xml:space="preserve"> </v>
      </c>
      <c r="AZ87" s="103" t="str">
        <f t="shared" si="215"/>
        <v xml:space="preserve"> </v>
      </c>
      <c r="BA87" s="103" t="str">
        <f t="shared" si="216"/>
        <v xml:space="preserve"> </v>
      </c>
      <c r="BB87" s="103" t="str">
        <f t="shared" si="217"/>
        <v xml:space="preserve"> </v>
      </c>
      <c r="BC87" s="103" t="str">
        <f t="shared" si="218"/>
        <v xml:space="preserve"> </v>
      </c>
      <c r="BD87" s="103" t="str">
        <f t="shared" si="219"/>
        <v xml:space="preserve"> </v>
      </c>
      <c r="BE87" s="103" t="str">
        <f t="shared" si="220"/>
        <v xml:space="preserve"> </v>
      </c>
      <c r="BF87" s="103" t="str">
        <f t="shared" si="221"/>
        <v xml:space="preserve"> </v>
      </c>
      <c r="BG87" s="103"/>
      <c r="BH87" s="103"/>
      <c r="BI87" s="103"/>
      <c r="BJ87" s="112" t="str">
        <f t="shared" si="222"/>
        <v xml:space="preserve"> </v>
      </c>
      <c r="BK87" s="123"/>
      <c r="BL87" s="103" t="str">
        <f t="shared" si="223"/>
        <v xml:space="preserve"> </v>
      </c>
      <c r="BM87" s="103" t="str">
        <f t="shared" si="224"/>
        <v xml:space="preserve"> </v>
      </c>
      <c r="BN87" s="103" t="str">
        <f t="shared" si="225"/>
        <v xml:space="preserve"> </v>
      </c>
      <c r="BO87" s="103" t="str">
        <f t="shared" si="226"/>
        <v xml:space="preserve"> </v>
      </c>
      <c r="BP87" s="103" t="str">
        <f t="shared" si="227"/>
        <v xml:space="preserve"> </v>
      </c>
      <c r="BQ87" s="103" t="str">
        <f t="shared" si="228"/>
        <v xml:space="preserve"> </v>
      </c>
      <c r="BR87" s="103" t="str">
        <f t="shared" si="229"/>
        <v xml:space="preserve"> </v>
      </c>
      <c r="BS87" s="103" t="str">
        <f t="shared" si="230"/>
        <v xml:space="preserve"> </v>
      </c>
      <c r="BT87" s="103" t="str">
        <f t="shared" si="231"/>
        <v xml:space="preserve"> </v>
      </c>
      <c r="BU87" s="103">
        <f t="shared" si="232"/>
        <v>12</v>
      </c>
      <c r="BV87" s="103">
        <f t="shared" si="233"/>
        <v>11</v>
      </c>
      <c r="BW87" s="103">
        <f t="shared" si="234"/>
        <v>14</v>
      </c>
      <c r="BX87" s="103"/>
      <c r="BY87" s="103"/>
      <c r="BZ87" s="103"/>
      <c r="CA87" s="112" t="str">
        <f t="shared" si="235"/>
        <v xml:space="preserve"> </v>
      </c>
      <c r="CB87" s="123"/>
      <c r="CC87" s="101">
        <f t="shared" si="261"/>
        <v>810</v>
      </c>
      <c r="CD87" s="133" t="str">
        <f t="shared" si="262"/>
        <v>NGSA</v>
      </c>
      <c r="CE87" s="103" t="str">
        <f t="shared" si="236"/>
        <v xml:space="preserve"> </v>
      </c>
      <c r="CF87" s="103" t="str">
        <f t="shared" si="237"/>
        <v xml:space="preserve"> </v>
      </c>
      <c r="CG87" s="103" t="str">
        <f t="shared" si="238"/>
        <v xml:space="preserve"> </v>
      </c>
      <c r="CH87" s="103" t="str">
        <f t="shared" si="239"/>
        <v xml:space="preserve"> </v>
      </c>
      <c r="CI87" s="103" t="str">
        <f t="shared" si="240"/>
        <v xml:space="preserve"> </v>
      </c>
      <c r="CJ87" s="103" t="str">
        <f t="shared" si="241"/>
        <v xml:space="preserve"> </v>
      </c>
      <c r="CK87" s="103" t="str">
        <f t="shared" si="242"/>
        <v xml:space="preserve"> </v>
      </c>
      <c r="CL87" s="103" t="str">
        <f t="shared" si="243"/>
        <v xml:space="preserve"> </v>
      </c>
      <c r="CM87" s="103" t="str">
        <f t="shared" si="244"/>
        <v xml:space="preserve"> </v>
      </c>
      <c r="CN87" s="103">
        <f t="shared" si="245"/>
        <v>13</v>
      </c>
      <c r="CO87" s="103">
        <f t="shared" si="246"/>
        <v>13</v>
      </c>
      <c r="CP87" s="103">
        <f t="shared" si="247"/>
        <v>19</v>
      </c>
      <c r="CQ87" s="103"/>
      <c r="CR87" s="103"/>
      <c r="CS87" s="103"/>
      <c r="CT87" s="112" t="str">
        <f t="shared" si="248"/>
        <v xml:space="preserve"> </v>
      </c>
      <c r="CU87" s="127"/>
      <c r="CV87" s="101">
        <f t="shared" si="263"/>
        <v>810</v>
      </c>
      <c r="CW87" s="133" t="str">
        <f t="shared" si="264"/>
        <v>NGSA</v>
      </c>
      <c r="CX87" s="223">
        <f t="shared" si="271"/>
        <v>0</v>
      </c>
      <c r="CY87" s="223">
        <f t="shared" si="272"/>
        <v>0</v>
      </c>
      <c r="CZ87" s="223">
        <f t="shared" si="273"/>
        <v>0</v>
      </c>
      <c r="DA87" s="223">
        <f t="shared" si="274"/>
        <v>0</v>
      </c>
      <c r="DB87" s="223">
        <f t="shared" si="275"/>
        <v>0</v>
      </c>
      <c r="DC87" s="223">
        <f t="shared" si="276"/>
        <v>0</v>
      </c>
      <c r="DD87" s="223">
        <f t="shared" si="268"/>
        <v>0</v>
      </c>
      <c r="DE87" s="223">
        <f t="shared" si="269"/>
        <v>0</v>
      </c>
      <c r="DF87" s="223">
        <f t="shared" si="270"/>
        <v>0</v>
      </c>
      <c r="DG87" s="223">
        <f t="shared" si="249"/>
        <v>0</v>
      </c>
      <c r="DH87" s="223">
        <f t="shared" si="250"/>
        <v>0</v>
      </c>
      <c r="DI87" s="223">
        <f t="shared" si="251"/>
        <v>0</v>
      </c>
      <c r="DM87" s="224"/>
    </row>
    <row r="88" spans="1:117" ht="15.75" x14ac:dyDescent="0.25">
      <c r="A88" s="136">
        <f t="shared" si="105"/>
        <v>915</v>
      </c>
      <c r="B88" s="136" t="str">
        <f t="shared" si="106"/>
        <v>NGSA</v>
      </c>
      <c r="C88" s="42" t="str">
        <f t="shared" si="256"/>
        <v xml:space="preserve"> </v>
      </c>
      <c r="D88" s="39" t="str">
        <f t="shared" si="257"/>
        <v xml:space="preserve"> </v>
      </c>
      <c r="E88" s="25" t="str">
        <f t="shared" si="258"/>
        <v xml:space="preserve"> </v>
      </c>
      <c r="F88" s="25" t="str">
        <f t="shared" si="259"/>
        <v xml:space="preserve"> </v>
      </c>
      <c r="G88" s="145" t="str">
        <f t="shared" si="260"/>
        <v xml:space="preserve"> </v>
      </c>
      <c r="I88" s="101">
        <v>915</v>
      </c>
      <c r="J88" s="133" t="s">
        <v>27</v>
      </c>
      <c r="K88" s="103" t="str">
        <f t="shared" si="184"/>
        <v xml:space="preserve"> </v>
      </c>
      <c r="L88" s="103" t="str">
        <f t="shared" si="185"/>
        <v xml:space="preserve"> </v>
      </c>
      <c r="M88" s="103">
        <f t="shared" si="186"/>
        <v>0</v>
      </c>
      <c r="N88" s="103">
        <f t="shared" si="187"/>
        <v>0</v>
      </c>
      <c r="O88" s="103">
        <f t="shared" si="188"/>
        <v>0</v>
      </c>
      <c r="P88" s="103">
        <f t="shared" si="189"/>
        <v>0</v>
      </c>
      <c r="Q88" s="103">
        <f t="shared" si="190"/>
        <v>0</v>
      </c>
      <c r="R88" s="103">
        <f t="shared" si="191"/>
        <v>0</v>
      </c>
      <c r="S88" s="103">
        <f t="shared" si="192"/>
        <v>0</v>
      </c>
      <c r="T88" s="103">
        <f t="shared" si="193"/>
        <v>0</v>
      </c>
      <c r="U88" s="103">
        <f t="shared" si="194"/>
        <v>0</v>
      </c>
      <c r="V88" s="103">
        <f t="shared" si="195"/>
        <v>0</v>
      </c>
      <c r="W88" s="103"/>
      <c r="X88" s="103"/>
      <c r="Y88" s="103"/>
      <c r="Z88" s="112" t="str">
        <f t="shared" si="266"/>
        <v xml:space="preserve"> </v>
      </c>
      <c r="AA88" s="123"/>
      <c r="AB88" s="103" t="str">
        <f t="shared" si="197"/>
        <v xml:space="preserve"> </v>
      </c>
      <c r="AC88" s="103" t="str">
        <f t="shared" si="198"/>
        <v xml:space="preserve"> </v>
      </c>
      <c r="AD88" s="103" t="str">
        <f t="shared" si="199"/>
        <v xml:space="preserve"> </v>
      </c>
      <c r="AE88" s="103" t="str">
        <f t="shared" si="200"/>
        <v xml:space="preserve"> </v>
      </c>
      <c r="AF88" s="103" t="str">
        <f t="shared" si="201"/>
        <v xml:space="preserve"> </v>
      </c>
      <c r="AG88" s="103" t="str">
        <f t="shared" si="202"/>
        <v xml:space="preserve"> </v>
      </c>
      <c r="AH88" s="103" t="str">
        <f t="shared" si="203"/>
        <v xml:space="preserve"> </v>
      </c>
      <c r="AI88" s="103" t="str">
        <f t="shared" si="204"/>
        <v xml:space="preserve"> </v>
      </c>
      <c r="AJ88" s="103" t="str">
        <f t="shared" si="205"/>
        <v xml:space="preserve"> </v>
      </c>
      <c r="AK88" s="103" t="str">
        <f t="shared" si="206"/>
        <v xml:space="preserve"> </v>
      </c>
      <c r="AL88" s="103" t="str">
        <f t="shared" si="207"/>
        <v xml:space="preserve"> </v>
      </c>
      <c r="AM88" s="103" t="str">
        <f t="shared" si="208"/>
        <v xml:space="preserve"> </v>
      </c>
      <c r="AN88" s="103"/>
      <c r="AO88" s="103"/>
      <c r="AP88" s="103"/>
      <c r="AQ88" s="112" t="str">
        <f t="shared" si="267"/>
        <v xml:space="preserve"> </v>
      </c>
      <c r="AR88" s="123"/>
      <c r="AS88" s="101">
        <f t="shared" si="254"/>
        <v>915</v>
      </c>
      <c r="AT88" s="133" t="str">
        <f t="shared" si="255"/>
        <v>NGSA</v>
      </c>
      <c r="AU88" s="103" t="str">
        <f t="shared" si="210"/>
        <v xml:space="preserve"> </v>
      </c>
      <c r="AV88" s="103" t="str">
        <f t="shared" si="211"/>
        <v xml:space="preserve"> </v>
      </c>
      <c r="AW88" s="103" t="str">
        <f t="shared" si="212"/>
        <v xml:space="preserve"> </v>
      </c>
      <c r="AX88" s="103" t="str">
        <f t="shared" si="213"/>
        <v xml:space="preserve"> </v>
      </c>
      <c r="AY88" s="103" t="str">
        <f t="shared" si="214"/>
        <v xml:space="preserve"> </v>
      </c>
      <c r="AZ88" s="103" t="str">
        <f t="shared" si="215"/>
        <v xml:space="preserve"> </v>
      </c>
      <c r="BA88" s="103" t="str">
        <f t="shared" si="216"/>
        <v xml:space="preserve"> </v>
      </c>
      <c r="BB88" s="103" t="str">
        <f t="shared" si="217"/>
        <v xml:space="preserve"> </v>
      </c>
      <c r="BC88" s="103" t="str">
        <f t="shared" si="218"/>
        <v xml:space="preserve"> </v>
      </c>
      <c r="BD88" s="103" t="str">
        <f t="shared" si="219"/>
        <v xml:space="preserve"> </v>
      </c>
      <c r="BE88" s="103" t="str">
        <f t="shared" si="220"/>
        <v xml:space="preserve"> </v>
      </c>
      <c r="BF88" s="103" t="str">
        <f t="shared" si="221"/>
        <v xml:space="preserve"> </v>
      </c>
      <c r="BG88" s="103"/>
      <c r="BH88" s="103"/>
      <c r="BI88" s="103"/>
      <c r="BJ88" s="112" t="str">
        <f t="shared" si="222"/>
        <v xml:space="preserve"> </v>
      </c>
      <c r="BK88" s="123"/>
      <c r="BL88" s="103" t="str">
        <f t="shared" si="223"/>
        <v xml:space="preserve"> </v>
      </c>
      <c r="BM88" s="103" t="str">
        <f t="shared" si="224"/>
        <v xml:space="preserve"> </v>
      </c>
      <c r="BN88" s="103" t="str">
        <f t="shared" si="225"/>
        <v xml:space="preserve"> </v>
      </c>
      <c r="BO88" s="103" t="str">
        <f t="shared" si="226"/>
        <v xml:space="preserve"> </v>
      </c>
      <c r="BP88" s="103" t="str">
        <f t="shared" si="227"/>
        <v xml:space="preserve"> </v>
      </c>
      <c r="BQ88" s="103" t="str">
        <f t="shared" si="228"/>
        <v xml:space="preserve"> </v>
      </c>
      <c r="BR88" s="103" t="str">
        <f t="shared" si="229"/>
        <v xml:space="preserve"> </v>
      </c>
      <c r="BS88" s="103" t="str">
        <f t="shared" si="230"/>
        <v xml:space="preserve"> </v>
      </c>
      <c r="BT88" s="103" t="str">
        <f t="shared" si="231"/>
        <v xml:space="preserve"> </v>
      </c>
      <c r="BU88" s="103">
        <f t="shared" si="232"/>
        <v>0</v>
      </c>
      <c r="BV88" s="103">
        <f t="shared" si="233"/>
        <v>0</v>
      </c>
      <c r="BW88" s="103">
        <f t="shared" si="234"/>
        <v>0</v>
      </c>
      <c r="BX88" s="103"/>
      <c r="BY88" s="103"/>
      <c r="BZ88" s="103"/>
      <c r="CA88" s="112" t="str">
        <f t="shared" si="235"/>
        <v xml:space="preserve"> </v>
      </c>
      <c r="CB88" s="123"/>
      <c r="CC88" s="101">
        <f t="shared" si="261"/>
        <v>915</v>
      </c>
      <c r="CD88" s="133" t="str">
        <f t="shared" si="262"/>
        <v>NGSA</v>
      </c>
      <c r="CE88" s="103" t="str">
        <f t="shared" si="236"/>
        <v xml:space="preserve"> </v>
      </c>
      <c r="CF88" s="103" t="str">
        <f t="shared" si="237"/>
        <v xml:space="preserve"> </v>
      </c>
      <c r="CG88" s="103" t="str">
        <f t="shared" si="238"/>
        <v xml:space="preserve"> </v>
      </c>
      <c r="CH88" s="103" t="str">
        <f t="shared" si="239"/>
        <v xml:space="preserve"> </v>
      </c>
      <c r="CI88" s="103" t="str">
        <f t="shared" si="240"/>
        <v xml:space="preserve"> </v>
      </c>
      <c r="CJ88" s="103" t="str">
        <f t="shared" si="241"/>
        <v xml:space="preserve"> </v>
      </c>
      <c r="CK88" s="103" t="str">
        <f t="shared" si="242"/>
        <v xml:space="preserve"> </v>
      </c>
      <c r="CL88" s="103" t="str">
        <f t="shared" si="243"/>
        <v xml:space="preserve"> </v>
      </c>
      <c r="CM88" s="103" t="str">
        <f t="shared" si="244"/>
        <v xml:space="preserve"> </v>
      </c>
      <c r="CN88" s="103">
        <f t="shared" si="245"/>
        <v>0</v>
      </c>
      <c r="CO88" s="103">
        <f t="shared" si="246"/>
        <v>0</v>
      </c>
      <c r="CP88" s="103">
        <f t="shared" si="247"/>
        <v>0</v>
      </c>
      <c r="CQ88" s="103"/>
      <c r="CR88" s="103"/>
      <c r="CS88" s="103"/>
      <c r="CT88" s="112" t="str">
        <f t="shared" si="248"/>
        <v xml:space="preserve"> </v>
      </c>
      <c r="CU88" s="127"/>
      <c r="CV88" s="101">
        <f t="shared" si="263"/>
        <v>915</v>
      </c>
      <c r="CW88" s="133" t="str">
        <f t="shared" si="264"/>
        <v>NGSA</v>
      </c>
      <c r="CX88" s="223">
        <f t="shared" si="271"/>
        <v>0</v>
      </c>
      <c r="CY88" s="223">
        <f t="shared" si="272"/>
        <v>0</v>
      </c>
      <c r="CZ88" s="223">
        <f t="shared" si="273"/>
        <v>0</v>
      </c>
      <c r="DA88" s="223">
        <f t="shared" si="274"/>
        <v>0</v>
      </c>
      <c r="DB88" s="223">
        <f t="shared" si="275"/>
        <v>0</v>
      </c>
      <c r="DC88" s="223">
        <f t="shared" si="276"/>
        <v>0</v>
      </c>
      <c r="DD88" s="223">
        <f t="shared" si="268"/>
        <v>0</v>
      </c>
      <c r="DE88" s="223">
        <f t="shared" si="269"/>
        <v>0</v>
      </c>
      <c r="DF88" s="223">
        <f t="shared" si="270"/>
        <v>0</v>
      </c>
      <c r="DG88" s="223">
        <f t="shared" si="249"/>
        <v>0</v>
      </c>
      <c r="DH88" s="223">
        <f t="shared" si="250"/>
        <v>0</v>
      </c>
      <c r="DI88" s="223">
        <f t="shared" si="251"/>
        <v>0</v>
      </c>
      <c r="DM88" s="224"/>
    </row>
    <row r="89" spans="1:117" ht="15.75" x14ac:dyDescent="0.25">
      <c r="A89" s="136">
        <f t="shared" ref="A89:A115" si="277">I89</f>
        <v>928</v>
      </c>
      <c r="B89" s="136" t="str">
        <f t="shared" ref="B89:B115" si="278">J89</f>
        <v>NGSA</v>
      </c>
      <c r="C89" s="42" t="str">
        <f t="shared" si="256"/>
        <v xml:space="preserve"> </v>
      </c>
      <c r="D89" s="39" t="str">
        <f t="shared" si="257"/>
        <v xml:space="preserve"> </v>
      </c>
      <c r="E89" s="25" t="str">
        <f t="shared" si="258"/>
        <v xml:space="preserve"> </v>
      </c>
      <c r="F89" s="25">
        <f t="shared" si="259"/>
        <v>1</v>
      </c>
      <c r="G89" s="145" t="str">
        <f t="shared" si="260"/>
        <v xml:space="preserve"> </v>
      </c>
      <c r="I89" s="219">
        <v>928</v>
      </c>
      <c r="J89" s="217" t="s">
        <v>27</v>
      </c>
      <c r="K89" s="103" t="str">
        <f t="shared" si="184"/>
        <v xml:space="preserve"> </v>
      </c>
      <c r="L89" s="103" t="str">
        <f t="shared" si="185"/>
        <v xml:space="preserve"> </v>
      </c>
      <c r="M89" s="103">
        <f t="shared" si="186"/>
        <v>0</v>
      </c>
      <c r="N89" s="103">
        <f t="shared" si="187"/>
        <v>0</v>
      </c>
      <c r="O89" s="103">
        <f t="shared" si="188"/>
        <v>0</v>
      </c>
      <c r="P89" s="103">
        <f t="shared" si="189"/>
        <v>0</v>
      </c>
      <c r="Q89" s="103">
        <f t="shared" si="190"/>
        <v>0</v>
      </c>
      <c r="R89" s="103">
        <f t="shared" si="191"/>
        <v>0</v>
      </c>
      <c r="S89" s="103">
        <f t="shared" si="192"/>
        <v>0</v>
      </c>
      <c r="T89" s="103">
        <f t="shared" si="193"/>
        <v>0</v>
      </c>
      <c r="U89" s="103">
        <f t="shared" si="194"/>
        <v>0</v>
      </c>
      <c r="V89" s="103">
        <f t="shared" si="195"/>
        <v>0</v>
      </c>
      <c r="W89" s="103"/>
      <c r="X89" s="103"/>
      <c r="Y89" s="103"/>
      <c r="Z89" s="112" t="str">
        <f t="shared" si="266"/>
        <v xml:space="preserve"> </v>
      </c>
      <c r="AA89" s="123"/>
      <c r="AB89" s="103" t="str">
        <f t="shared" si="197"/>
        <v xml:space="preserve"> </v>
      </c>
      <c r="AC89" s="103" t="str">
        <f t="shared" si="198"/>
        <v xml:space="preserve"> </v>
      </c>
      <c r="AD89" s="103" t="str">
        <f t="shared" si="199"/>
        <v xml:space="preserve"> </v>
      </c>
      <c r="AE89" s="103" t="str">
        <f t="shared" si="200"/>
        <v xml:space="preserve"> </v>
      </c>
      <c r="AF89" s="103" t="str">
        <f t="shared" si="201"/>
        <v xml:space="preserve"> </v>
      </c>
      <c r="AG89" s="103" t="str">
        <f t="shared" si="202"/>
        <v xml:space="preserve"> </v>
      </c>
      <c r="AH89" s="103" t="str">
        <f t="shared" si="203"/>
        <v xml:space="preserve"> </v>
      </c>
      <c r="AI89" s="103" t="str">
        <f t="shared" si="204"/>
        <v xml:space="preserve"> </v>
      </c>
      <c r="AJ89" s="103" t="str">
        <f t="shared" si="205"/>
        <v xml:space="preserve"> </v>
      </c>
      <c r="AK89" s="103">
        <f t="shared" si="206"/>
        <v>0</v>
      </c>
      <c r="AL89" s="103">
        <f t="shared" si="207"/>
        <v>0</v>
      </c>
      <c r="AM89" s="103">
        <f t="shared" si="208"/>
        <v>0</v>
      </c>
      <c r="AN89" s="103"/>
      <c r="AO89" s="103"/>
      <c r="AP89" s="103"/>
      <c r="AQ89" s="112" t="str">
        <f t="shared" si="267"/>
        <v xml:space="preserve"> </v>
      </c>
      <c r="AR89" s="123"/>
      <c r="AS89" s="101">
        <f t="shared" si="254"/>
        <v>928</v>
      </c>
      <c r="AT89" s="133" t="str">
        <f t="shared" si="255"/>
        <v>NGSA</v>
      </c>
      <c r="AU89" s="103" t="str">
        <f t="shared" si="210"/>
        <v xml:space="preserve"> </v>
      </c>
      <c r="AV89" s="103" t="str">
        <f t="shared" si="211"/>
        <v xml:space="preserve"> </v>
      </c>
      <c r="AW89" s="103" t="str">
        <f t="shared" si="212"/>
        <v xml:space="preserve"> </v>
      </c>
      <c r="AX89" s="103" t="str">
        <f t="shared" si="213"/>
        <v xml:space="preserve"> </v>
      </c>
      <c r="AY89" s="103" t="str">
        <f t="shared" si="214"/>
        <v xml:space="preserve"> </v>
      </c>
      <c r="AZ89" s="103" t="str">
        <f t="shared" si="215"/>
        <v xml:space="preserve"> </v>
      </c>
      <c r="BA89" s="103" t="str">
        <f t="shared" si="216"/>
        <v xml:space="preserve"> </v>
      </c>
      <c r="BB89" s="103" t="str">
        <f t="shared" si="217"/>
        <v xml:space="preserve"> </v>
      </c>
      <c r="BC89" s="103" t="str">
        <f t="shared" si="218"/>
        <v xml:space="preserve"> </v>
      </c>
      <c r="BD89" s="103">
        <f t="shared" si="219"/>
        <v>0</v>
      </c>
      <c r="BE89" s="103">
        <f t="shared" si="220"/>
        <v>0</v>
      </c>
      <c r="BF89" s="103">
        <f t="shared" si="221"/>
        <v>0</v>
      </c>
      <c r="BG89" s="103"/>
      <c r="BH89" s="103"/>
      <c r="BI89" s="103"/>
      <c r="BJ89" s="112" t="str">
        <f t="shared" si="222"/>
        <v xml:space="preserve"> </v>
      </c>
      <c r="BK89" s="123"/>
      <c r="BL89" s="103" t="str">
        <f t="shared" si="223"/>
        <v xml:space="preserve"> </v>
      </c>
      <c r="BM89" s="103" t="str">
        <f t="shared" si="224"/>
        <v xml:space="preserve"> </v>
      </c>
      <c r="BN89" s="103" t="str">
        <f t="shared" si="225"/>
        <v xml:space="preserve"> </v>
      </c>
      <c r="BO89" s="103" t="str">
        <f t="shared" si="226"/>
        <v xml:space="preserve"> </v>
      </c>
      <c r="BP89" s="103" t="str">
        <f t="shared" si="227"/>
        <v xml:space="preserve"> </v>
      </c>
      <c r="BQ89" s="103" t="str">
        <f t="shared" si="228"/>
        <v xml:space="preserve"> </v>
      </c>
      <c r="BR89" s="103" t="str">
        <f t="shared" si="229"/>
        <v xml:space="preserve"> </v>
      </c>
      <c r="BS89" s="103" t="str">
        <f t="shared" si="230"/>
        <v xml:space="preserve"> </v>
      </c>
      <c r="BT89" s="103" t="str">
        <f t="shared" si="231"/>
        <v xml:space="preserve"> </v>
      </c>
      <c r="BU89" s="103">
        <f t="shared" si="232"/>
        <v>0</v>
      </c>
      <c r="BV89" s="103">
        <f t="shared" si="233"/>
        <v>0</v>
      </c>
      <c r="BW89" s="103">
        <f t="shared" si="234"/>
        <v>0</v>
      </c>
      <c r="BX89" s="103"/>
      <c r="BY89" s="103"/>
      <c r="BZ89" s="103"/>
      <c r="CA89" s="112" t="str">
        <f t="shared" si="235"/>
        <v xml:space="preserve"> </v>
      </c>
      <c r="CB89" s="123"/>
      <c r="CC89" s="101">
        <f t="shared" si="261"/>
        <v>928</v>
      </c>
      <c r="CD89" s="133" t="str">
        <f t="shared" si="262"/>
        <v>NGSA</v>
      </c>
      <c r="CE89" s="103" t="str">
        <f t="shared" si="236"/>
        <v xml:space="preserve"> </v>
      </c>
      <c r="CF89" s="103" t="str">
        <f t="shared" si="237"/>
        <v xml:space="preserve"> </v>
      </c>
      <c r="CG89" s="103" t="str">
        <f t="shared" si="238"/>
        <v xml:space="preserve"> </v>
      </c>
      <c r="CH89" s="103" t="str">
        <f t="shared" si="239"/>
        <v xml:space="preserve"> </v>
      </c>
      <c r="CI89" s="103" t="str">
        <f t="shared" si="240"/>
        <v xml:space="preserve"> </v>
      </c>
      <c r="CJ89" s="103" t="str">
        <f t="shared" si="241"/>
        <v>X</v>
      </c>
      <c r="CK89" s="103" t="str">
        <f t="shared" si="242"/>
        <v xml:space="preserve"> </v>
      </c>
      <c r="CL89" s="103" t="str">
        <f t="shared" si="243"/>
        <v xml:space="preserve"> </v>
      </c>
      <c r="CM89" s="103" t="str">
        <f t="shared" si="244"/>
        <v xml:space="preserve"> </v>
      </c>
      <c r="CN89" s="103">
        <f t="shared" si="245"/>
        <v>0</v>
      </c>
      <c r="CO89" s="103">
        <f t="shared" si="246"/>
        <v>0</v>
      </c>
      <c r="CP89" s="103">
        <f t="shared" si="247"/>
        <v>0</v>
      </c>
      <c r="CQ89" s="103"/>
      <c r="CR89" s="103"/>
      <c r="CS89" s="103"/>
      <c r="CT89" s="112">
        <f t="shared" si="248"/>
        <v>1</v>
      </c>
      <c r="CU89" s="127"/>
      <c r="CV89" s="101">
        <f t="shared" si="263"/>
        <v>928</v>
      </c>
      <c r="CW89" s="133" t="str">
        <f t="shared" si="264"/>
        <v>NGSA</v>
      </c>
      <c r="CX89" s="223">
        <f t="shared" si="271"/>
        <v>474</v>
      </c>
      <c r="CY89" s="223">
        <f t="shared" si="272"/>
        <v>335</v>
      </c>
      <c r="CZ89" s="223">
        <f t="shared" si="273"/>
        <v>187</v>
      </c>
      <c r="DA89" s="223">
        <f t="shared" si="274"/>
        <v>186</v>
      </c>
      <c r="DB89" s="223">
        <f t="shared" si="275"/>
        <v>463</v>
      </c>
      <c r="DC89" s="223">
        <f t="shared" si="276"/>
        <v>421</v>
      </c>
      <c r="DD89" s="223">
        <f t="shared" si="268"/>
        <v>173</v>
      </c>
      <c r="DE89" s="223">
        <f t="shared" si="269"/>
        <v>175</v>
      </c>
      <c r="DF89" s="223">
        <f t="shared" si="270"/>
        <v>176</v>
      </c>
      <c r="DG89" s="223">
        <f t="shared" si="249"/>
        <v>203</v>
      </c>
      <c r="DH89" s="223">
        <f t="shared" si="250"/>
        <v>193</v>
      </c>
      <c r="DI89" s="223">
        <f t="shared" si="251"/>
        <v>204</v>
      </c>
      <c r="DM89" s="224">
        <f t="shared" si="265"/>
        <v>265.83333333333331</v>
      </c>
    </row>
    <row r="90" spans="1:117" ht="15.75" x14ac:dyDescent="0.25">
      <c r="A90" s="136">
        <f t="shared" si="277"/>
        <v>997</v>
      </c>
      <c r="B90" s="136" t="str">
        <f t="shared" si="278"/>
        <v>NGSA</v>
      </c>
      <c r="C90" s="42">
        <f t="shared" si="256"/>
        <v>1</v>
      </c>
      <c r="D90" s="39">
        <f t="shared" si="257"/>
        <v>2</v>
      </c>
      <c r="E90" s="25" t="str">
        <f t="shared" si="258"/>
        <v xml:space="preserve"> </v>
      </c>
      <c r="F90" s="25">
        <f t="shared" si="259"/>
        <v>1</v>
      </c>
      <c r="G90" s="145">
        <f t="shared" si="260"/>
        <v>2</v>
      </c>
      <c r="I90" s="101">
        <v>997</v>
      </c>
      <c r="J90" s="133" t="s">
        <v>27</v>
      </c>
      <c r="K90" s="103" t="str">
        <f t="shared" si="184"/>
        <v xml:space="preserve"> </v>
      </c>
      <c r="L90" s="103" t="str">
        <f t="shared" si="185"/>
        <v xml:space="preserve"> </v>
      </c>
      <c r="M90" s="103">
        <f t="shared" si="186"/>
        <v>0</v>
      </c>
      <c r="N90" s="103">
        <f t="shared" si="187"/>
        <v>0</v>
      </c>
      <c r="O90" s="103">
        <f t="shared" si="188"/>
        <v>0</v>
      </c>
      <c r="P90" s="103">
        <f t="shared" si="189"/>
        <v>0</v>
      </c>
      <c r="Q90" s="103">
        <f t="shared" si="190"/>
        <v>0</v>
      </c>
      <c r="R90" s="103">
        <f t="shared" si="191"/>
        <v>0</v>
      </c>
      <c r="S90" s="103">
        <f t="shared" si="192"/>
        <v>0</v>
      </c>
      <c r="T90" s="103">
        <f t="shared" si="193"/>
        <v>0</v>
      </c>
      <c r="U90" s="103">
        <f t="shared" si="194"/>
        <v>0</v>
      </c>
      <c r="V90" s="103" t="str">
        <f t="shared" si="195"/>
        <v>X</v>
      </c>
      <c r="W90" s="103"/>
      <c r="X90" s="103"/>
      <c r="Y90" s="103"/>
      <c r="Z90" s="112">
        <f t="shared" si="266"/>
        <v>1</v>
      </c>
      <c r="AA90" s="123"/>
      <c r="AB90" s="103" t="str">
        <f t="shared" si="197"/>
        <v xml:space="preserve"> </v>
      </c>
      <c r="AC90" s="103" t="str">
        <f t="shared" si="198"/>
        <v xml:space="preserve"> </v>
      </c>
      <c r="AD90" s="103" t="str">
        <f t="shared" si="199"/>
        <v xml:space="preserve"> </v>
      </c>
      <c r="AE90" s="103" t="str">
        <f t="shared" si="200"/>
        <v xml:space="preserve"> </v>
      </c>
      <c r="AF90" s="103" t="str">
        <f t="shared" si="201"/>
        <v xml:space="preserve"> </v>
      </c>
      <c r="AG90" s="103" t="str">
        <f t="shared" si="202"/>
        <v xml:space="preserve"> </v>
      </c>
      <c r="AH90" s="103" t="str">
        <f t="shared" si="203"/>
        <v xml:space="preserve"> </v>
      </c>
      <c r="AI90" s="103" t="str">
        <f t="shared" si="204"/>
        <v xml:space="preserve"> </v>
      </c>
      <c r="AJ90" s="103" t="str">
        <f t="shared" si="205"/>
        <v xml:space="preserve"> </v>
      </c>
      <c r="AK90" s="103" t="str">
        <f t="shared" si="206"/>
        <v xml:space="preserve"> </v>
      </c>
      <c r="AL90" s="103" t="str">
        <f t="shared" si="207"/>
        <v>X</v>
      </c>
      <c r="AM90" s="103" t="str">
        <f t="shared" si="208"/>
        <v>X</v>
      </c>
      <c r="AN90" s="103"/>
      <c r="AO90" s="103"/>
      <c r="AP90" s="103"/>
      <c r="AQ90" s="112">
        <f t="shared" si="267"/>
        <v>2</v>
      </c>
      <c r="AR90" s="123"/>
      <c r="AS90" s="101">
        <f t="shared" si="254"/>
        <v>997</v>
      </c>
      <c r="AT90" s="133" t="str">
        <f t="shared" si="255"/>
        <v>NGSA</v>
      </c>
      <c r="AU90" s="103" t="str">
        <f t="shared" si="210"/>
        <v xml:space="preserve"> </v>
      </c>
      <c r="AV90" s="103" t="str">
        <f t="shared" si="211"/>
        <v xml:space="preserve"> </v>
      </c>
      <c r="AW90" s="103" t="str">
        <f t="shared" si="212"/>
        <v xml:space="preserve"> </v>
      </c>
      <c r="AX90" s="103" t="str">
        <f t="shared" si="213"/>
        <v xml:space="preserve"> </v>
      </c>
      <c r="AY90" s="103" t="str">
        <f t="shared" si="214"/>
        <v xml:space="preserve"> </v>
      </c>
      <c r="AZ90" s="103" t="str">
        <f t="shared" si="215"/>
        <v xml:space="preserve"> </v>
      </c>
      <c r="BA90" s="103" t="str">
        <f t="shared" si="216"/>
        <v xml:space="preserve"> </v>
      </c>
      <c r="BB90" s="103" t="str">
        <f t="shared" si="217"/>
        <v xml:space="preserve"> </v>
      </c>
      <c r="BC90" s="103" t="str">
        <f t="shared" si="218"/>
        <v xml:space="preserve"> </v>
      </c>
      <c r="BD90" s="103" t="str">
        <f t="shared" si="219"/>
        <v>X</v>
      </c>
      <c r="BE90" s="103" t="str">
        <f t="shared" si="220"/>
        <v xml:space="preserve"> </v>
      </c>
      <c r="BF90" s="103" t="str">
        <f t="shared" si="221"/>
        <v>X</v>
      </c>
      <c r="BG90" s="103"/>
      <c r="BH90" s="103"/>
      <c r="BI90" s="103"/>
      <c r="BJ90" s="112">
        <f t="shared" si="222"/>
        <v>2</v>
      </c>
      <c r="BK90" s="123"/>
      <c r="BL90" s="103" t="str">
        <f t="shared" si="223"/>
        <v xml:space="preserve"> </v>
      </c>
      <c r="BM90" s="103" t="str">
        <f t="shared" si="224"/>
        <v xml:space="preserve"> </v>
      </c>
      <c r="BN90" s="103" t="str">
        <f t="shared" si="225"/>
        <v xml:space="preserve"> </v>
      </c>
      <c r="BO90" s="103" t="str">
        <f t="shared" si="226"/>
        <v xml:space="preserve"> </v>
      </c>
      <c r="BP90" s="103" t="str">
        <f t="shared" si="227"/>
        <v xml:space="preserve"> </v>
      </c>
      <c r="BQ90" s="103" t="str">
        <f t="shared" si="228"/>
        <v xml:space="preserve"> </v>
      </c>
      <c r="BR90" s="103" t="str">
        <f t="shared" si="229"/>
        <v xml:space="preserve"> </v>
      </c>
      <c r="BS90" s="103" t="str">
        <f t="shared" si="230"/>
        <v xml:space="preserve"> </v>
      </c>
      <c r="BT90" s="103" t="str">
        <f t="shared" si="231"/>
        <v xml:space="preserve"> </v>
      </c>
      <c r="BU90" s="103">
        <f t="shared" si="232"/>
        <v>0</v>
      </c>
      <c r="BV90" s="103">
        <f t="shared" si="233"/>
        <v>0</v>
      </c>
      <c r="BW90" s="103">
        <f t="shared" si="234"/>
        <v>0</v>
      </c>
      <c r="BX90" s="103"/>
      <c r="BY90" s="103"/>
      <c r="BZ90" s="103"/>
      <c r="CA90" s="112" t="str">
        <f t="shared" si="235"/>
        <v xml:space="preserve"> </v>
      </c>
      <c r="CB90" s="123"/>
      <c r="CC90" s="101">
        <f t="shared" si="261"/>
        <v>997</v>
      </c>
      <c r="CD90" s="133" t="str">
        <f t="shared" si="262"/>
        <v>NGSA</v>
      </c>
      <c r="CE90" s="103" t="str">
        <f t="shared" si="236"/>
        <v xml:space="preserve"> </v>
      </c>
      <c r="CF90" s="103" t="str">
        <f t="shared" si="237"/>
        <v xml:space="preserve"> </v>
      </c>
      <c r="CG90" s="103" t="str">
        <f t="shared" si="238"/>
        <v xml:space="preserve"> </v>
      </c>
      <c r="CH90" s="103" t="str">
        <f t="shared" si="239"/>
        <v xml:space="preserve"> </v>
      </c>
      <c r="CI90" s="103" t="str">
        <f t="shared" si="240"/>
        <v>X</v>
      </c>
      <c r="CJ90" s="103" t="str">
        <f t="shared" si="241"/>
        <v xml:space="preserve"> </v>
      </c>
      <c r="CK90" s="103" t="str">
        <f t="shared" si="242"/>
        <v xml:space="preserve"> </v>
      </c>
      <c r="CL90" s="103" t="str">
        <f t="shared" si="243"/>
        <v xml:space="preserve"> </v>
      </c>
      <c r="CM90" s="103" t="str">
        <f t="shared" si="244"/>
        <v xml:space="preserve"> </v>
      </c>
      <c r="CN90" s="103">
        <f t="shared" si="245"/>
        <v>0</v>
      </c>
      <c r="CO90" s="103">
        <f t="shared" si="246"/>
        <v>0</v>
      </c>
      <c r="CP90" s="103">
        <f t="shared" si="247"/>
        <v>0</v>
      </c>
      <c r="CQ90" s="103"/>
      <c r="CR90" s="103"/>
      <c r="CS90" s="103"/>
      <c r="CT90" s="112">
        <f t="shared" si="248"/>
        <v>1</v>
      </c>
      <c r="CU90" s="127"/>
      <c r="CV90" s="101">
        <f t="shared" si="263"/>
        <v>997</v>
      </c>
      <c r="CW90" s="133" t="str">
        <f t="shared" si="264"/>
        <v>NGSA</v>
      </c>
      <c r="CX90" s="223">
        <f t="shared" si="271"/>
        <v>0</v>
      </c>
      <c r="CY90" s="223">
        <f t="shared" si="272"/>
        <v>0</v>
      </c>
      <c r="CZ90" s="223">
        <f t="shared" si="273"/>
        <v>0</v>
      </c>
      <c r="DA90" s="223">
        <f t="shared" si="274"/>
        <v>0</v>
      </c>
      <c r="DB90" s="223">
        <f t="shared" si="275"/>
        <v>0</v>
      </c>
      <c r="DC90" s="223">
        <f t="shared" si="276"/>
        <v>0</v>
      </c>
      <c r="DD90" s="223">
        <f t="shared" si="268"/>
        <v>0</v>
      </c>
      <c r="DE90" s="223">
        <f t="shared" si="269"/>
        <v>0</v>
      </c>
      <c r="DF90" s="223">
        <f t="shared" si="270"/>
        <v>10596</v>
      </c>
      <c r="DG90" s="223">
        <f t="shared" si="249"/>
        <v>11382</v>
      </c>
      <c r="DH90" s="223">
        <f t="shared" si="250"/>
        <v>11438</v>
      </c>
      <c r="DI90" s="223">
        <f t="shared" si="251"/>
        <v>11381</v>
      </c>
      <c r="DM90" s="224">
        <f t="shared" si="265"/>
        <v>3733.0833333333335</v>
      </c>
    </row>
    <row r="91" spans="1:117" ht="15.75" x14ac:dyDescent="0.25">
      <c r="A91" s="136">
        <f t="shared" si="277"/>
        <v>5370</v>
      </c>
      <c r="B91" s="136" t="str">
        <f t="shared" si="278"/>
        <v>NGSA</v>
      </c>
      <c r="C91" s="42"/>
      <c r="D91" s="39"/>
      <c r="E91" s="25"/>
      <c r="F91" s="25"/>
      <c r="G91" s="145"/>
      <c r="I91" s="33">
        <v>5370</v>
      </c>
      <c r="J91" s="130" t="s">
        <v>27</v>
      </c>
      <c r="K91" s="103" t="e">
        <f t="shared" si="184"/>
        <v>#N/A</v>
      </c>
      <c r="L91" s="103" t="e">
        <f t="shared" si="185"/>
        <v>#N/A</v>
      </c>
      <c r="M91" s="103" t="e">
        <f t="shared" si="186"/>
        <v>#N/A</v>
      </c>
      <c r="N91" s="103" t="e">
        <f t="shared" si="187"/>
        <v>#N/A</v>
      </c>
      <c r="O91" s="103" t="e">
        <f t="shared" si="188"/>
        <v>#N/A</v>
      </c>
      <c r="P91" s="103" t="e">
        <f t="shared" si="189"/>
        <v>#N/A</v>
      </c>
      <c r="Q91" s="103" t="e">
        <f t="shared" si="190"/>
        <v>#N/A</v>
      </c>
      <c r="R91" s="103" t="e">
        <f t="shared" si="191"/>
        <v>#N/A</v>
      </c>
      <c r="S91" s="103">
        <f t="shared" si="192"/>
        <v>0</v>
      </c>
      <c r="T91" s="103">
        <f t="shared" si="193"/>
        <v>0</v>
      </c>
      <c r="U91" s="103">
        <f t="shared" si="194"/>
        <v>0</v>
      </c>
      <c r="V91" s="103">
        <f t="shared" si="195"/>
        <v>0</v>
      </c>
      <c r="W91" s="103"/>
      <c r="X91" s="103"/>
      <c r="Y91" s="103"/>
      <c r="Z91" s="112"/>
      <c r="AA91" s="123"/>
      <c r="AB91" s="103" t="e">
        <f t="shared" si="197"/>
        <v>#N/A</v>
      </c>
      <c r="AC91" s="103" t="e">
        <f t="shared" si="198"/>
        <v>#N/A</v>
      </c>
      <c r="AD91" s="103" t="e">
        <f t="shared" si="199"/>
        <v>#N/A</v>
      </c>
      <c r="AE91" s="103" t="e">
        <f t="shared" si="200"/>
        <v>#N/A</v>
      </c>
      <c r="AF91" s="103" t="e">
        <f t="shared" si="201"/>
        <v>#N/A</v>
      </c>
      <c r="AG91" s="103" t="e">
        <f t="shared" si="202"/>
        <v>#N/A</v>
      </c>
      <c r="AH91" s="103" t="e">
        <f t="shared" si="203"/>
        <v>#N/A</v>
      </c>
      <c r="AI91" s="103" t="e">
        <f t="shared" si="204"/>
        <v>#N/A</v>
      </c>
      <c r="AJ91" s="103" t="str">
        <f t="shared" si="205"/>
        <v xml:space="preserve"> </v>
      </c>
      <c r="AK91" s="103" t="str">
        <f t="shared" si="206"/>
        <v xml:space="preserve"> </v>
      </c>
      <c r="AL91" s="103" t="str">
        <f t="shared" si="207"/>
        <v xml:space="preserve"> </v>
      </c>
      <c r="AM91" s="103" t="str">
        <f t="shared" si="208"/>
        <v xml:space="preserve"> </v>
      </c>
      <c r="AN91" s="103"/>
      <c r="AO91" s="103"/>
      <c r="AP91" s="103"/>
      <c r="AQ91" s="112" t="str">
        <f t="shared" si="267"/>
        <v xml:space="preserve"> </v>
      </c>
      <c r="AR91" s="123"/>
      <c r="AS91" s="101">
        <f t="shared" si="254"/>
        <v>5370</v>
      </c>
      <c r="AT91" s="133" t="str">
        <f t="shared" si="255"/>
        <v>NGSA</v>
      </c>
      <c r="AU91" s="103" t="e">
        <f t="shared" si="210"/>
        <v>#N/A</v>
      </c>
      <c r="AV91" s="103" t="e">
        <f t="shared" si="211"/>
        <v>#N/A</v>
      </c>
      <c r="AW91" s="103" t="e">
        <f t="shared" si="212"/>
        <v>#N/A</v>
      </c>
      <c r="AX91" s="103" t="e">
        <f t="shared" si="213"/>
        <v>#N/A</v>
      </c>
      <c r="AY91" s="103" t="e">
        <f t="shared" si="214"/>
        <v>#N/A</v>
      </c>
      <c r="AZ91" s="103" t="e">
        <f t="shared" si="215"/>
        <v>#N/A</v>
      </c>
      <c r="BA91" s="103" t="e">
        <f t="shared" si="216"/>
        <v>#N/A</v>
      </c>
      <c r="BB91" s="103" t="e">
        <f t="shared" si="217"/>
        <v>#N/A</v>
      </c>
      <c r="BC91" s="103" t="str">
        <f t="shared" si="218"/>
        <v xml:space="preserve"> </v>
      </c>
      <c r="BD91" s="103" t="str">
        <f t="shared" si="219"/>
        <v xml:space="preserve"> </v>
      </c>
      <c r="BE91" s="103" t="str">
        <f t="shared" si="220"/>
        <v xml:space="preserve"> </v>
      </c>
      <c r="BF91" s="103" t="str">
        <f t="shared" si="221"/>
        <v xml:space="preserve"> </v>
      </c>
      <c r="BG91" s="103"/>
      <c r="BH91" s="103"/>
      <c r="BI91" s="103"/>
      <c r="BJ91" s="112" t="str">
        <f t="shared" si="222"/>
        <v xml:space="preserve"> </v>
      </c>
      <c r="BK91" s="123"/>
      <c r="BL91" s="103" t="e">
        <f t="shared" si="223"/>
        <v>#N/A</v>
      </c>
      <c r="BM91" s="103" t="e">
        <f t="shared" si="224"/>
        <v>#N/A</v>
      </c>
      <c r="BN91" s="103" t="e">
        <f t="shared" si="225"/>
        <v>#N/A</v>
      </c>
      <c r="BO91" s="103" t="e">
        <f t="shared" si="226"/>
        <v>#N/A</v>
      </c>
      <c r="BP91" s="103" t="e">
        <f t="shared" si="227"/>
        <v>#N/A</v>
      </c>
      <c r="BQ91" s="103" t="e">
        <f t="shared" si="228"/>
        <v>#N/A</v>
      </c>
      <c r="BR91" s="103" t="e">
        <f t="shared" si="229"/>
        <v>#N/A</v>
      </c>
      <c r="BS91" s="103" t="e">
        <f t="shared" si="230"/>
        <v>#N/A</v>
      </c>
      <c r="BT91" s="103" t="str">
        <f t="shared" si="231"/>
        <v xml:space="preserve"> </v>
      </c>
      <c r="BU91" s="103">
        <f t="shared" si="232"/>
        <v>0</v>
      </c>
      <c r="BV91" s="103">
        <f t="shared" si="233"/>
        <v>0</v>
      </c>
      <c r="BW91" s="103">
        <f t="shared" si="234"/>
        <v>0</v>
      </c>
      <c r="BX91" s="103"/>
      <c r="BY91" s="103"/>
      <c r="BZ91" s="103"/>
      <c r="CA91" s="112" t="str">
        <f t="shared" si="235"/>
        <v xml:space="preserve"> </v>
      </c>
      <c r="CB91" s="123"/>
      <c r="CC91" s="101">
        <f t="shared" si="261"/>
        <v>5370</v>
      </c>
      <c r="CD91" s="133" t="str">
        <f t="shared" si="262"/>
        <v>NGSA</v>
      </c>
      <c r="CE91" s="103" t="e">
        <f t="shared" si="236"/>
        <v>#N/A</v>
      </c>
      <c r="CF91" s="103" t="e">
        <f t="shared" si="237"/>
        <v>#N/A</v>
      </c>
      <c r="CG91" s="103" t="e">
        <f t="shared" si="238"/>
        <v>#N/A</v>
      </c>
      <c r="CH91" s="103" t="e">
        <f t="shared" si="239"/>
        <v>#N/A</v>
      </c>
      <c r="CI91" s="103" t="e">
        <f t="shared" si="240"/>
        <v>#N/A</v>
      </c>
      <c r="CJ91" s="103" t="e">
        <f t="shared" si="241"/>
        <v>#N/A</v>
      </c>
      <c r="CK91" s="103" t="e">
        <f t="shared" si="242"/>
        <v>#N/A</v>
      </c>
      <c r="CL91" s="103" t="e">
        <f t="shared" si="243"/>
        <v>#N/A</v>
      </c>
      <c r="CM91" s="103" t="str">
        <f t="shared" si="244"/>
        <v>X</v>
      </c>
      <c r="CN91" s="103">
        <f t="shared" si="245"/>
        <v>0</v>
      </c>
      <c r="CO91" s="103">
        <f t="shared" si="246"/>
        <v>0</v>
      </c>
      <c r="CP91" s="103">
        <f t="shared" si="247"/>
        <v>0</v>
      </c>
      <c r="CQ91" s="103"/>
      <c r="CR91" s="103"/>
      <c r="CS91" s="103"/>
      <c r="CT91" s="112">
        <f t="shared" si="248"/>
        <v>1</v>
      </c>
      <c r="CU91" s="127"/>
      <c r="CV91" s="101">
        <f t="shared" si="263"/>
        <v>5370</v>
      </c>
      <c r="CW91" s="133" t="str">
        <f t="shared" si="264"/>
        <v>NGSA</v>
      </c>
      <c r="CX91" s="223"/>
      <c r="CY91" s="223"/>
      <c r="CZ91" s="223"/>
      <c r="DA91" s="223"/>
      <c r="DB91" s="223"/>
      <c r="DC91" s="223"/>
      <c r="DD91" s="223"/>
      <c r="DE91" s="223"/>
      <c r="DF91" s="223">
        <f t="shared" si="270"/>
        <v>17</v>
      </c>
      <c r="DG91" s="223">
        <f t="shared" si="249"/>
        <v>60</v>
      </c>
      <c r="DH91" s="223">
        <f t="shared" si="250"/>
        <v>36</v>
      </c>
      <c r="DI91" s="223">
        <f t="shared" si="251"/>
        <v>65</v>
      </c>
      <c r="DM91" s="224">
        <f t="shared" si="265"/>
        <v>44.5</v>
      </c>
    </row>
    <row r="92" spans="1:117" ht="15.75" x14ac:dyDescent="0.25">
      <c r="A92" s="136">
        <f t="shared" si="277"/>
        <v>5379</v>
      </c>
      <c r="B92" s="136" t="str">
        <f t="shared" si="278"/>
        <v>NGSA</v>
      </c>
      <c r="C92" s="42"/>
      <c r="D92" s="39"/>
      <c r="E92" s="25"/>
      <c r="F92" s="25"/>
      <c r="G92" s="145"/>
      <c r="I92" s="33">
        <v>5379</v>
      </c>
      <c r="J92" s="130" t="s">
        <v>27</v>
      </c>
      <c r="K92" s="103" t="str">
        <f t="shared" si="184"/>
        <v xml:space="preserve"> </v>
      </c>
      <c r="L92" s="103" t="str">
        <f t="shared" si="185"/>
        <v xml:space="preserve"> </v>
      </c>
      <c r="M92" s="103">
        <f t="shared" si="186"/>
        <v>0</v>
      </c>
      <c r="N92" s="103">
        <f t="shared" si="187"/>
        <v>0</v>
      </c>
      <c r="O92" s="103">
        <f t="shared" si="188"/>
        <v>0</v>
      </c>
      <c r="P92" s="103">
        <f t="shared" si="189"/>
        <v>0</v>
      </c>
      <c r="Q92" s="103">
        <f t="shared" si="190"/>
        <v>0</v>
      </c>
      <c r="R92" s="103">
        <f t="shared" si="191"/>
        <v>0</v>
      </c>
      <c r="S92" s="103">
        <f t="shared" si="192"/>
        <v>0</v>
      </c>
      <c r="T92" s="103">
        <f t="shared" si="193"/>
        <v>0</v>
      </c>
      <c r="U92" s="103">
        <f t="shared" si="194"/>
        <v>0</v>
      </c>
      <c r="V92" s="103">
        <f t="shared" si="195"/>
        <v>0</v>
      </c>
      <c r="W92" s="103"/>
      <c r="X92" s="103"/>
      <c r="Y92" s="103"/>
      <c r="Z92" s="112"/>
      <c r="AA92" s="123"/>
      <c r="AB92" s="103" t="str">
        <f t="shared" si="197"/>
        <v xml:space="preserve"> </v>
      </c>
      <c r="AC92" s="103" t="str">
        <f t="shared" si="198"/>
        <v xml:space="preserve"> </v>
      </c>
      <c r="AD92" s="103" t="str">
        <f t="shared" si="199"/>
        <v xml:space="preserve"> </v>
      </c>
      <c r="AE92" s="103" t="str">
        <f t="shared" si="200"/>
        <v xml:space="preserve"> </v>
      </c>
      <c r="AF92" s="103" t="str">
        <f t="shared" si="201"/>
        <v xml:space="preserve"> </v>
      </c>
      <c r="AG92" s="103" t="str">
        <f t="shared" si="202"/>
        <v xml:space="preserve"> </v>
      </c>
      <c r="AH92" s="103" t="str">
        <f t="shared" si="203"/>
        <v xml:space="preserve"> </v>
      </c>
      <c r="AI92" s="103" t="str">
        <f t="shared" si="204"/>
        <v xml:space="preserve"> </v>
      </c>
      <c r="AJ92" s="103" t="str">
        <f t="shared" si="205"/>
        <v xml:space="preserve"> </v>
      </c>
      <c r="AK92" s="103">
        <f t="shared" si="206"/>
        <v>0</v>
      </c>
      <c r="AL92" s="103" t="str">
        <f t="shared" si="207"/>
        <v xml:space="preserve"> </v>
      </c>
      <c r="AM92" s="103">
        <f t="shared" si="208"/>
        <v>0</v>
      </c>
      <c r="AN92" s="103"/>
      <c r="AO92" s="103"/>
      <c r="AP92" s="103"/>
      <c r="AQ92" s="112" t="str">
        <f t="shared" si="267"/>
        <v xml:space="preserve"> </v>
      </c>
      <c r="AR92" s="123"/>
      <c r="AS92" s="101">
        <f t="shared" si="254"/>
        <v>5379</v>
      </c>
      <c r="AT92" s="133" t="str">
        <f t="shared" si="255"/>
        <v>NGSA</v>
      </c>
      <c r="AU92" s="103" t="str">
        <f t="shared" si="210"/>
        <v xml:space="preserve"> </v>
      </c>
      <c r="AV92" s="103" t="str">
        <f t="shared" si="211"/>
        <v xml:space="preserve"> </v>
      </c>
      <c r="AW92" s="103" t="str">
        <f t="shared" si="212"/>
        <v xml:space="preserve"> </v>
      </c>
      <c r="AX92" s="103" t="str">
        <f t="shared" si="213"/>
        <v xml:space="preserve"> </v>
      </c>
      <c r="AY92" s="103" t="str">
        <f t="shared" si="214"/>
        <v xml:space="preserve"> </v>
      </c>
      <c r="AZ92" s="103" t="str">
        <f t="shared" si="215"/>
        <v xml:space="preserve"> </v>
      </c>
      <c r="BA92" s="103" t="str">
        <f t="shared" si="216"/>
        <v xml:space="preserve"> </v>
      </c>
      <c r="BB92" s="103" t="str">
        <f t="shared" si="217"/>
        <v xml:space="preserve"> </v>
      </c>
      <c r="BC92" s="103" t="str">
        <f t="shared" si="218"/>
        <v xml:space="preserve"> </v>
      </c>
      <c r="BD92" s="103">
        <f t="shared" si="219"/>
        <v>0</v>
      </c>
      <c r="BE92" s="103" t="str">
        <f t="shared" si="220"/>
        <v xml:space="preserve"> </v>
      </c>
      <c r="BF92" s="103">
        <f t="shared" si="221"/>
        <v>0</v>
      </c>
      <c r="BG92" s="103"/>
      <c r="BH92" s="103"/>
      <c r="BI92" s="103"/>
      <c r="BJ92" s="112" t="str">
        <f t="shared" si="222"/>
        <v xml:space="preserve"> </v>
      </c>
      <c r="BK92" s="123"/>
      <c r="BL92" s="103" t="str">
        <f t="shared" si="223"/>
        <v xml:space="preserve"> </v>
      </c>
      <c r="BM92" s="103" t="str">
        <f t="shared" si="224"/>
        <v xml:space="preserve"> </v>
      </c>
      <c r="BN92" s="103" t="str">
        <f t="shared" si="225"/>
        <v xml:space="preserve"> </v>
      </c>
      <c r="BO92" s="103" t="str">
        <f t="shared" si="226"/>
        <v xml:space="preserve"> </v>
      </c>
      <c r="BP92" s="103" t="str">
        <f t="shared" si="227"/>
        <v xml:space="preserve"> </v>
      </c>
      <c r="BQ92" s="103" t="str">
        <f t="shared" si="228"/>
        <v xml:space="preserve"> </v>
      </c>
      <c r="BR92" s="103" t="str">
        <f t="shared" si="229"/>
        <v xml:space="preserve"> </v>
      </c>
      <c r="BS92" s="103" t="str">
        <f t="shared" si="230"/>
        <v xml:space="preserve"> </v>
      </c>
      <c r="BT92" s="103" t="str">
        <f t="shared" si="231"/>
        <v xml:space="preserve"> </v>
      </c>
      <c r="BU92" s="103">
        <f t="shared" si="232"/>
        <v>0</v>
      </c>
      <c r="BV92" s="103">
        <f t="shared" si="233"/>
        <v>0</v>
      </c>
      <c r="BW92" s="103">
        <f t="shared" si="234"/>
        <v>0</v>
      </c>
      <c r="BX92" s="103"/>
      <c r="BY92" s="103"/>
      <c r="BZ92" s="103"/>
      <c r="CA92" s="112" t="str">
        <f t="shared" si="235"/>
        <v xml:space="preserve"> </v>
      </c>
      <c r="CB92" s="123"/>
      <c r="CC92" s="101">
        <f t="shared" si="261"/>
        <v>5379</v>
      </c>
      <c r="CD92" s="133" t="str">
        <f t="shared" si="262"/>
        <v>NGSA</v>
      </c>
      <c r="CE92" s="103" t="str">
        <f t="shared" si="236"/>
        <v xml:space="preserve"> </v>
      </c>
      <c r="CF92" s="103" t="str">
        <f t="shared" si="237"/>
        <v xml:space="preserve"> </v>
      </c>
      <c r="CG92" s="103" t="str">
        <f t="shared" si="238"/>
        <v xml:space="preserve"> </v>
      </c>
      <c r="CH92" s="103" t="str">
        <f t="shared" si="239"/>
        <v xml:space="preserve"> </v>
      </c>
      <c r="CI92" s="103" t="str">
        <f t="shared" si="240"/>
        <v xml:space="preserve"> </v>
      </c>
      <c r="CJ92" s="103" t="str">
        <f t="shared" si="241"/>
        <v xml:space="preserve"> </v>
      </c>
      <c r="CK92" s="103" t="str">
        <f t="shared" si="242"/>
        <v xml:space="preserve"> </v>
      </c>
      <c r="CL92" s="103" t="str">
        <f t="shared" si="243"/>
        <v xml:space="preserve"> </v>
      </c>
      <c r="CM92" s="103" t="str">
        <f t="shared" si="244"/>
        <v xml:space="preserve"> </v>
      </c>
      <c r="CN92" s="103">
        <f t="shared" si="245"/>
        <v>0</v>
      </c>
      <c r="CO92" s="103">
        <f t="shared" si="246"/>
        <v>0</v>
      </c>
      <c r="CP92" s="103">
        <f t="shared" si="247"/>
        <v>0</v>
      </c>
      <c r="CQ92" s="103"/>
      <c r="CR92" s="103"/>
      <c r="CS92" s="103"/>
      <c r="CT92" s="112" t="str">
        <f t="shared" si="248"/>
        <v xml:space="preserve"> </v>
      </c>
      <c r="CU92" s="127"/>
      <c r="CV92" s="101">
        <f t="shared" si="263"/>
        <v>5379</v>
      </c>
      <c r="CW92" s="133" t="str">
        <f t="shared" si="264"/>
        <v>NGSA</v>
      </c>
      <c r="CX92" s="223"/>
      <c r="CY92" s="223"/>
      <c r="CZ92" s="223"/>
      <c r="DA92" s="223"/>
      <c r="DB92" s="223"/>
      <c r="DC92" s="223"/>
      <c r="DD92" s="223"/>
      <c r="DE92" s="223"/>
      <c r="DF92" s="223">
        <f t="shared" si="270"/>
        <v>0</v>
      </c>
      <c r="DG92" s="223">
        <f t="shared" si="249"/>
        <v>0</v>
      </c>
      <c r="DH92" s="223">
        <f t="shared" si="250"/>
        <v>0</v>
      </c>
      <c r="DI92" s="223">
        <f t="shared" si="251"/>
        <v>0</v>
      </c>
      <c r="DM92" s="224"/>
    </row>
    <row r="93" spans="1:117" ht="15.75" x14ac:dyDescent="0.25">
      <c r="A93" s="136">
        <f t="shared" si="277"/>
        <v>6905</v>
      </c>
      <c r="B93" s="136" t="str">
        <f t="shared" si="278"/>
        <v>NGSA</v>
      </c>
      <c r="C93" s="42"/>
      <c r="D93" s="39"/>
      <c r="E93" s="25"/>
      <c r="F93" s="25"/>
      <c r="G93" s="145"/>
      <c r="I93" s="33">
        <v>6905</v>
      </c>
      <c r="J93" s="130" t="s">
        <v>27</v>
      </c>
      <c r="K93" s="103" t="e">
        <f t="shared" si="184"/>
        <v>#N/A</v>
      </c>
      <c r="L93" s="103" t="e">
        <f t="shared" si="185"/>
        <v>#N/A</v>
      </c>
      <c r="M93" s="103" t="e">
        <f t="shared" si="186"/>
        <v>#N/A</v>
      </c>
      <c r="N93" s="103" t="e">
        <f t="shared" si="187"/>
        <v>#N/A</v>
      </c>
      <c r="O93" s="103" t="e">
        <f t="shared" si="188"/>
        <v>#N/A</v>
      </c>
      <c r="P93" s="103" t="e">
        <f t="shared" si="189"/>
        <v>#N/A</v>
      </c>
      <c r="Q93" s="103">
        <f t="shared" si="190"/>
        <v>0</v>
      </c>
      <c r="R93" s="103">
        <f t="shared" si="191"/>
        <v>0</v>
      </c>
      <c r="S93" s="103">
        <f t="shared" si="192"/>
        <v>0</v>
      </c>
      <c r="T93" s="103">
        <f t="shared" si="193"/>
        <v>0</v>
      </c>
      <c r="U93" s="103">
        <f t="shared" si="194"/>
        <v>0</v>
      </c>
      <c r="V93" s="103">
        <f t="shared" si="195"/>
        <v>0</v>
      </c>
      <c r="W93" s="103"/>
      <c r="X93" s="103"/>
      <c r="Y93" s="103"/>
      <c r="Z93" s="112"/>
      <c r="AA93" s="123"/>
      <c r="AB93" s="103" t="e">
        <f t="shared" si="197"/>
        <v>#N/A</v>
      </c>
      <c r="AC93" s="103" t="e">
        <f t="shared" si="198"/>
        <v>#N/A</v>
      </c>
      <c r="AD93" s="103" t="e">
        <f t="shared" si="199"/>
        <v>#N/A</v>
      </c>
      <c r="AE93" s="103" t="e">
        <f t="shared" si="200"/>
        <v>#N/A</v>
      </c>
      <c r="AF93" s="103" t="e">
        <f t="shared" si="201"/>
        <v>#N/A</v>
      </c>
      <c r="AG93" s="103" t="e">
        <f t="shared" si="202"/>
        <v>#N/A</v>
      </c>
      <c r="AH93" s="103" t="str">
        <f t="shared" si="203"/>
        <v xml:space="preserve"> </v>
      </c>
      <c r="AI93" s="103" t="str">
        <f t="shared" si="204"/>
        <v xml:space="preserve"> </v>
      </c>
      <c r="AJ93" s="103" t="str">
        <f t="shared" si="205"/>
        <v xml:space="preserve"> </v>
      </c>
      <c r="AK93" s="103">
        <f t="shared" si="206"/>
        <v>0</v>
      </c>
      <c r="AL93" s="103" t="str">
        <f t="shared" si="207"/>
        <v xml:space="preserve"> </v>
      </c>
      <c r="AM93" s="103">
        <f t="shared" si="208"/>
        <v>0</v>
      </c>
      <c r="AN93" s="103"/>
      <c r="AO93" s="103"/>
      <c r="AP93" s="103"/>
      <c r="AQ93" s="112" t="str">
        <f t="shared" si="267"/>
        <v xml:space="preserve"> </v>
      </c>
      <c r="AR93" s="123"/>
      <c r="AS93" s="101">
        <f t="shared" si="254"/>
        <v>6905</v>
      </c>
      <c r="AT93" s="133" t="str">
        <f t="shared" si="255"/>
        <v>NGSA</v>
      </c>
      <c r="AU93" s="103" t="e">
        <f t="shared" si="210"/>
        <v>#N/A</v>
      </c>
      <c r="AV93" s="103" t="e">
        <f t="shared" si="211"/>
        <v>#N/A</v>
      </c>
      <c r="AW93" s="103" t="e">
        <f t="shared" si="212"/>
        <v>#N/A</v>
      </c>
      <c r="AX93" s="103" t="e">
        <f t="shared" si="213"/>
        <v>#N/A</v>
      </c>
      <c r="AY93" s="103" t="e">
        <f t="shared" si="214"/>
        <v>#N/A</v>
      </c>
      <c r="AZ93" s="103" t="e">
        <f t="shared" si="215"/>
        <v>#N/A</v>
      </c>
      <c r="BA93" s="103" t="str">
        <f t="shared" si="216"/>
        <v xml:space="preserve"> </v>
      </c>
      <c r="BB93" s="103" t="str">
        <f t="shared" si="217"/>
        <v xml:space="preserve"> </v>
      </c>
      <c r="BC93" s="103" t="str">
        <f t="shared" si="218"/>
        <v xml:space="preserve"> </v>
      </c>
      <c r="BD93" s="103">
        <f t="shared" si="219"/>
        <v>0</v>
      </c>
      <c r="BE93" s="103" t="str">
        <f t="shared" si="220"/>
        <v xml:space="preserve"> </v>
      </c>
      <c r="BF93" s="103">
        <f t="shared" si="221"/>
        <v>0</v>
      </c>
      <c r="BG93" s="103"/>
      <c r="BH93" s="103"/>
      <c r="BI93" s="103"/>
      <c r="BJ93" s="112" t="str">
        <f t="shared" si="222"/>
        <v xml:space="preserve"> </v>
      </c>
      <c r="BK93" s="123"/>
      <c r="BL93" s="103" t="e">
        <f t="shared" si="223"/>
        <v>#N/A</v>
      </c>
      <c r="BM93" s="103" t="e">
        <f t="shared" si="224"/>
        <v>#N/A</v>
      </c>
      <c r="BN93" s="103" t="e">
        <f t="shared" si="225"/>
        <v>#N/A</v>
      </c>
      <c r="BO93" s="103" t="e">
        <f t="shared" si="226"/>
        <v>#N/A</v>
      </c>
      <c r="BP93" s="103" t="e">
        <f t="shared" si="227"/>
        <v>#N/A</v>
      </c>
      <c r="BQ93" s="103" t="e">
        <f t="shared" si="228"/>
        <v>#N/A</v>
      </c>
      <c r="BR93" s="103" t="str">
        <f t="shared" si="229"/>
        <v xml:space="preserve"> </v>
      </c>
      <c r="BS93" s="103" t="str">
        <f t="shared" si="230"/>
        <v xml:space="preserve"> </v>
      </c>
      <c r="BT93" s="103" t="str">
        <f t="shared" si="231"/>
        <v xml:space="preserve"> </v>
      </c>
      <c r="BU93" s="103">
        <f t="shared" si="232"/>
        <v>0</v>
      </c>
      <c r="BV93" s="103">
        <f t="shared" si="233"/>
        <v>0</v>
      </c>
      <c r="BW93" s="103">
        <f t="shared" si="234"/>
        <v>0</v>
      </c>
      <c r="BX93" s="103"/>
      <c r="BY93" s="103"/>
      <c r="BZ93" s="103"/>
      <c r="CA93" s="112" t="str">
        <f t="shared" si="235"/>
        <v xml:space="preserve"> </v>
      </c>
      <c r="CB93" s="123"/>
      <c r="CC93" s="101">
        <f t="shared" si="261"/>
        <v>6905</v>
      </c>
      <c r="CD93" s="133" t="str">
        <f t="shared" si="262"/>
        <v>NGSA</v>
      </c>
      <c r="CE93" s="103" t="e">
        <f t="shared" si="236"/>
        <v>#N/A</v>
      </c>
      <c r="CF93" s="103" t="e">
        <f t="shared" si="237"/>
        <v>#N/A</v>
      </c>
      <c r="CG93" s="103" t="e">
        <f t="shared" si="238"/>
        <v>#N/A</v>
      </c>
      <c r="CH93" s="103" t="e">
        <f t="shared" si="239"/>
        <v>#N/A</v>
      </c>
      <c r="CI93" s="103" t="e">
        <f t="shared" si="240"/>
        <v>#N/A</v>
      </c>
      <c r="CJ93" s="103" t="e">
        <f t="shared" si="241"/>
        <v>#N/A</v>
      </c>
      <c r="CK93" s="103" t="str">
        <f t="shared" si="242"/>
        <v>X</v>
      </c>
      <c r="CL93" s="103" t="str">
        <f t="shared" si="243"/>
        <v>X</v>
      </c>
      <c r="CM93" s="103" t="str">
        <f t="shared" si="244"/>
        <v xml:space="preserve"> </v>
      </c>
      <c r="CN93" s="103">
        <f t="shared" si="245"/>
        <v>0</v>
      </c>
      <c r="CO93" s="103">
        <f t="shared" si="246"/>
        <v>0</v>
      </c>
      <c r="CP93" s="103">
        <f t="shared" si="247"/>
        <v>0</v>
      </c>
      <c r="CQ93" s="103"/>
      <c r="CR93" s="103"/>
      <c r="CS93" s="103"/>
      <c r="CT93" s="112">
        <f t="shared" si="248"/>
        <v>2</v>
      </c>
      <c r="CU93" s="127"/>
      <c r="CV93" s="101">
        <f t="shared" si="263"/>
        <v>6905</v>
      </c>
      <c r="CW93" s="133" t="str">
        <f t="shared" si="264"/>
        <v>NGSA</v>
      </c>
      <c r="CX93" s="223"/>
      <c r="CY93" s="223"/>
      <c r="CZ93" s="223"/>
      <c r="DA93" s="223"/>
      <c r="DB93" s="223"/>
      <c r="DC93" s="223"/>
      <c r="DD93" s="223">
        <f>VLOOKUP($I93,ngsa0829,13,FALSE)</f>
        <v>66</v>
      </c>
      <c r="DE93" s="223">
        <f>VLOOKUP($I93,ngsa0830,13,FALSE)</f>
        <v>73</v>
      </c>
      <c r="DF93" s="223">
        <f t="shared" si="270"/>
        <v>55</v>
      </c>
      <c r="DG93" s="223">
        <f t="shared" si="249"/>
        <v>87</v>
      </c>
      <c r="DH93" s="223">
        <f t="shared" si="250"/>
        <v>77</v>
      </c>
      <c r="DI93" s="223">
        <f t="shared" si="251"/>
        <v>73</v>
      </c>
      <c r="DM93" s="224">
        <f t="shared" si="265"/>
        <v>71.833333333333329</v>
      </c>
    </row>
    <row r="94" spans="1:117" ht="15.75" x14ac:dyDescent="0.25">
      <c r="A94" s="136">
        <f t="shared" si="277"/>
        <v>7090</v>
      </c>
      <c r="B94" s="136" t="str">
        <f t="shared" si="278"/>
        <v>NGSA</v>
      </c>
      <c r="C94" s="42"/>
      <c r="D94" s="39"/>
      <c r="E94" s="25"/>
      <c r="F94" s="25"/>
      <c r="G94" s="145"/>
      <c r="I94" s="33">
        <v>7090</v>
      </c>
      <c r="J94" s="130" t="s">
        <v>27</v>
      </c>
      <c r="K94" s="103" t="e">
        <f t="shared" si="184"/>
        <v>#N/A</v>
      </c>
      <c r="L94" s="103" t="e">
        <f t="shared" si="185"/>
        <v>#N/A</v>
      </c>
      <c r="M94" s="103" t="e">
        <f t="shared" si="186"/>
        <v>#N/A</v>
      </c>
      <c r="N94" s="103" t="e">
        <f t="shared" si="187"/>
        <v>#N/A</v>
      </c>
      <c r="O94" s="103" t="e">
        <f t="shared" si="188"/>
        <v>#N/A</v>
      </c>
      <c r="P94" s="103" t="e">
        <f t="shared" si="189"/>
        <v>#N/A</v>
      </c>
      <c r="Q94" s="103" t="e">
        <f t="shared" si="190"/>
        <v>#N/A</v>
      </c>
      <c r="R94" s="103" t="e">
        <f t="shared" si="191"/>
        <v>#N/A</v>
      </c>
      <c r="S94" s="103" t="e">
        <f t="shared" si="192"/>
        <v>#N/A</v>
      </c>
      <c r="T94" s="103">
        <f t="shared" si="193"/>
        <v>0</v>
      </c>
      <c r="U94" s="103">
        <f t="shared" si="194"/>
        <v>0</v>
      </c>
      <c r="V94" s="103">
        <f t="shared" si="195"/>
        <v>0</v>
      </c>
      <c r="W94" s="103"/>
      <c r="X94" s="103"/>
      <c r="Y94" s="103"/>
      <c r="Z94" s="112"/>
      <c r="AA94" s="123"/>
      <c r="AB94" s="103" t="e">
        <f t="shared" si="197"/>
        <v>#N/A</v>
      </c>
      <c r="AC94" s="103" t="e">
        <f t="shared" si="198"/>
        <v>#N/A</v>
      </c>
      <c r="AD94" s="103" t="e">
        <f t="shared" si="199"/>
        <v>#N/A</v>
      </c>
      <c r="AE94" s="103" t="e">
        <f t="shared" si="200"/>
        <v>#N/A</v>
      </c>
      <c r="AF94" s="103" t="e">
        <f t="shared" si="201"/>
        <v>#N/A</v>
      </c>
      <c r="AG94" s="103" t="e">
        <f t="shared" si="202"/>
        <v>#N/A</v>
      </c>
      <c r="AH94" s="103" t="e">
        <f t="shared" si="203"/>
        <v>#N/A</v>
      </c>
      <c r="AI94" s="103" t="e">
        <f t="shared" si="204"/>
        <v>#N/A</v>
      </c>
      <c r="AJ94" s="103" t="e">
        <f t="shared" si="205"/>
        <v>#N/A</v>
      </c>
      <c r="AK94" s="103" t="str">
        <f t="shared" si="206"/>
        <v xml:space="preserve"> </v>
      </c>
      <c r="AL94" s="103" t="str">
        <f t="shared" si="207"/>
        <v xml:space="preserve"> </v>
      </c>
      <c r="AM94" s="103" t="str">
        <f t="shared" si="208"/>
        <v xml:space="preserve"> </v>
      </c>
      <c r="AN94" s="103"/>
      <c r="AO94" s="103"/>
      <c r="AP94" s="103"/>
      <c r="AQ94" s="112" t="str">
        <f t="shared" si="267"/>
        <v xml:space="preserve"> </v>
      </c>
      <c r="AR94" s="123"/>
      <c r="AS94" s="101">
        <f t="shared" si="254"/>
        <v>7090</v>
      </c>
      <c r="AT94" s="133" t="str">
        <f t="shared" si="255"/>
        <v>NGSA</v>
      </c>
      <c r="AU94" s="103" t="e">
        <f t="shared" si="210"/>
        <v>#N/A</v>
      </c>
      <c r="AV94" s="103" t="e">
        <f t="shared" si="211"/>
        <v>#N/A</v>
      </c>
      <c r="AW94" s="103" t="e">
        <f t="shared" si="212"/>
        <v>#N/A</v>
      </c>
      <c r="AX94" s="103" t="e">
        <f t="shared" si="213"/>
        <v>#N/A</v>
      </c>
      <c r="AY94" s="103" t="e">
        <f t="shared" si="214"/>
        <v>#N/A</v>
      </c>
      <c r="AZ94" s="103" t="e">
        <f t="shared" si="215"/>
        <v>#N/A</v>
      </c>
      <c r="BA94" s="103" t="e">
        <f t="shared" si="216"/>
        <v>#N/A</v>
      </c>
      <c r="BB94" s="103" t="e">
        <f t="shared" si="217"/>
        <v>#N/A</v>
      </c>
      <c r="BC94" s="103" t="e">
        <f t="shared" si="218"/>
        <v>#N/A</v>
      </c>
      <c r="BD94" s="103" t="str">
        <f t="shared" si="219"/>
        <v xml:space="preserve"> </v>
      </c>
      <c r="BE94" s="103" t="str">
        <f t="shared" si="220"/>
        <v xml:space="preserve"> </v>
      </c>
      <c r="BF94" s="103" t="str">
        <f t="shared" si="221"/>
        <v xml:space="preserve"> </v>
      </c>
      <c r="BG94" s="103"/>
      <c r="BH94" s="103"/>
      <c r="BI94" s="103"/>
      <c r="BJ94" s="112" t="str">
        <f t="shared" si="222"/>
        <v xml:space="preserve"> </v>
      </c>
      <c r="BK94" s="123"/>
      <c r="BL94" s="103" t="e">
        <f t="shared" si="223"/>
        <v>#N/A</v>
      </c>
      <c r="BM94" s="103" t="e">
        <f t="shared" si="224"/>
        <v>#N/A</v>
      </c>
      <c r="BN94" s="103" t="e">
        <f t="shared" si="225"/>
        <v>#N/A</v>
      </c>
      <c r="BO94" s="103" t="e">
        <f t="shared" si="226"/>
        <v>#N/A</v>
      </c>
      <c r="BP94" s="103" t="e">
        <f t="shared" si="227"/>
        <v>#N/A</v>
      </c>
      <c r="BQ94" s="103" t="e">
        <f t="shared" si="228"/>
        <v>#N/A</v>
      </c>
      <c r="BR94" s="103" t="e">
        <f t="shared" si="229"/>
        <v>#N/A</v>
      </c>
      <c r="BS94" s="103" t="e">
        <f t="shared" si="230"/>
        <v>#N/A</v>
      </c>
      <c r="BT94" s="103" t="e">
        <f t="shared" si="231"/>
        <v>#N/A</v>
      </c>
      <c r="BU94" s="103">
        <f t="shared" si="232"/>
        <v>0</v>
      </c>
      <c r="BV94" s="103">
        <f t="shared" si="233"/>
        <v>0</v>
      </c>
      <c r="BW94" s="103">
        <f t="shared" si="234"/>
        <v>0</v>
      </c>
      <c r="BX94" s="103"/>
      <c r="BY94" s="103"/>
      <c r="BZ94" s="103"/>
      <c r="CA94" s="112" t="str">
        <f t="shared" si="235"/>
        <v xml:space="preserve"> </v>
      </c>
      <c r="CB94" s="123"/>
      <c r="CC94" s="101">
        <f t="shared" si="261"/>
        <v>7090</v>
      </c>
      <c r="CD94" s="133" t="str">
        <f t="shared" si="262"/>
        <v>NGSA</v>
      </c>
      <c r="CE94" s="103" t="e">
        <f t="shared" si="236"/>
        <v>#N/A</v>
      </c>
      <c r="CF94" s="103" t="e">
        <f t="shared" si="237"/>
        <v>#N/A</v>
      </c>
      <c r="CG94" s="103" t="e">
        <f t="shared" si="238"/>
        <v>#N/A</v>
      </c>
      <c r="CH94" s="103" t="e">
        <f t="shared" si="239"/>
        <v>#N/A</v>
      </c>
      <c r="CI94" s="103" t="e">
        <f t="shared" si="240"/>
        <v>#N/A</v>
      </c>
      <c r="CJ94" s="103" t="e">
        <f t="shared" si="241"/>
        <v>#N/A</v>
      </c>
      <c r="CK94" s="103" t="e">
        <f t="shared" si="242"/>
        <v>#N/A</v>
      </c>
      <c r="CL94" s="103" t="e">
        <f t="shared" si="243"/>
        <v>#N/A</v>
      </c>
      <c r="CM94" s="103" t="e">
        <f t="shared" si="244"/>
        <v>#N/A</v>
      </c>
      <c r="CN94" s="103">
        <f t="shared" si="245"/>
        <v>0</v>
      </c>
      <c r="CO94" s="103">
        <f t="shared" si="246"/>
        <v>0</v>
      </c>
      <c r="CP94" s="103">
        <f t="shared" si="247"/>
        <v>0</v>
      </c>
      <c r="CQ94" s="103"/>
      <c r="CR94" s="103"/>
      <c r="CS94" s="103"/>
      <c r="CT94" s="112" t="str">
        <f t="shared" si="248"/>
        <v xml:space="preserve"> </v>
      </c>
      <c r="CU94" s="127"/>
      <c r="CV94" s="101">
        <f t="shared" si="263"/>
        <v>7090</v>
      </c>
      <c r="CW94" s="133" t="str">
        <f t="shared" si="264"/>
        <v>NGSA</v>
      </c>
      <c r="CX94" s="223"/>
      <c r="CY94" s="223"/>
      <c r="CZ94" s="223"/>
      <c r="DA94" s="223"/>
      <c r="DB94" s="223"/>
      <c r="DC94" s="223"/>
      <c r="DD94" s="223"/>
      <c r="DE94" s="223"/>
      <c r="DF94" s="223"/>
      <c r="DG94" s="223">
        <f t="shared" si="249"/>
        <v>549</v>
      </c>
      <c r="DH94" s="223">
        <f t="shared" si="250"/>
        <v>565</v>
      </c>
      <c r="DI94" s="223">
        <f t="shared" si="251"/>
        <v>561</v>
      </c>
      <c r="DM94" s="224">
        <f t="shared" si="265"/>
        <v>558.33333333333337</v>
      </c>
    </row>
    <row r="95" spans="1:117" ht="15.75" x14ac:dyDescent="0.25">
      <c r="A95" s="136">
        <f t="shared" si="277"/>
        <v>7602</v>
      </c>
      <c r="B95" s="136" t="str">
        <f t="shared" si="278"/>
        <v>NGSA</v>
      </c>
      <c r="C95" s="42"/>
      <c r="D95" s="39"/>
      <c r="E95" s="25"/>
      <c r="F95" s="25"/>
      <c r="G95" s="145"/>
      <c r="I95" s="33">
        <v>7602</v>
      </c>
      <c r="J95" s="130" t="s">
        <v>27</v>
      </c>
      <c r="K95" s="103" t="str">
        <f t="shared" si="184"/>
        <v xml:space="preserve"> </v>
      </c>
      <c r="L95" s="103" t="str">
        <f t="shared" si="185"/>
        <v xml:space="preserve"> </v>
      </c>
      <c r="M95" s="103">
        <f t="shared" si="186"/>
        <v>0</v>
      </c>
      <c r="N95" s="103">
        <f t="shared" si="187"/>
        <v>0</v>
      </c>
      <c r="O95" s="103">
        <f t="shared" si="188"/>
        <v>0</v>
      </c>
      <c r="P95" s="103">
        <f t="shared" si="189"/>
        <v>0</v>
      </c>
      <c r="Q95" s="103" t="str">
        <f t="shared" si="190"/>
        <v>X</v>
      </c>
      <c r="R95" s="103">
        <f t="shared" si="191"/>
        <v>0</v>
      </c>
      <c r="S95" s="103">
        <f t="shared" si="192"/>
        <v>0</v>
      </c>
      <c r="T95" s="103">
        <f t="shared" si="193"/>
        <v>0</v>
      </c>
      <c r="U95" s="103">
        <f t="shared" si="194"/>
        <v>0</v>
      </c>
      <c r="V95" s="103">
        <f t="shared" si="195"/>
        <v>0</v>
      </c>
      <c r="W95" s="103"/>
      <c r="X95" s="103"/>
      <c r="Y95" s="103"/>
      <c r="Z95" s="112"/>
      <c r="AA95" s="123"/>
      <c r="AB95" s="103" t="str">
        <f t="shared" si="197"/>
        <v>X</v>
      </c>
      <c r="AC95" s="103" t="str">
        <f t="shared" si="198"/>
        <v>X</v>
      </c>
      <c r="AD95" s="103" t="str">
        <f t="shared" si="199"/>
        <v xml:space="preserve"> </v>
      </c>
      <c r="AE95" s="103" t="str">
        <f t="shared" si="200"/>
        <v xml:space="preserve"> </v>
      </c>
      <c r="AF95" s="103" t="str">
        <f t="shared" si="201"/>
        <v xml:space="preserve"> </v>
      </c>
      <c r="AG95" s="103" t="str">
        <f t="shared" si="202"/>
        <v>X</v>
      </c>
      <c r="AH95" s="103" t="str">
        <f t="shared" si="203"/>
        <v>X</v>
      </c>
      <c r="AI95" s="103" t="str">
        <f t="shared" si="204"/>
        <v xml:space="preserve"> </v>
      </c>
      <c r="AJ95" s="103" t="str">
        <f t="shared" si="205"/>
        <v>X</v>
      </c>
      <c r="AK95" s="103" t="str">
        <f t="shared" si="206"/>
        <v xml:space="preserve"> </v>
      </c>
      <c r="AL95" s="103" t="str">
        <f t="shared" si="207"/>
        <v xml:space="preserve"> </v>
      </c>
      <c r="AM95" s="103" t="str">
        <f t="shared" si="208"/>
        <v>X</v>
      </c>
      <c r="AN95" s="103"/>
      <c r="AO95" s="103"/>
      <c r="AP95" s="103"/>
      <c r="AQ95" s="112">
        <f t="shared" si="267"/>
        <v>6</v>
      </c>
      <c r="AR95" s="123"/>
      <c r="AS95" s="101">
        <f t="shared" si="254"/>
        <v>7602</v>
      </c>
      <c r="AT95" s="133" t="str">
        <f t="shared" si="255"/>
        <v>NGSA</v>
      </c>
      <c r="AU95" s="103" t="str">
        <f t="shared" si="210"/>
        <v xml:space="preserve"> </v>
      </c>
      <c r="AV95" s="103" t="str">
        <f t="shared" si="211"/>
        <v xml:space="preserve"> </v>
      </c>
      <c r="AW95" s="103" t="str">
        <f t="shared" si="212"/>
        <v xml:space="preserve"> </v>
      </c>
      <c r="AX95" s="103" t="str">
        <f t="shared" si="213"/>
        <v xml:space="preserve"> </v>
      </c>
      <c r="AY95" s="103" t="str">
        <f t="shared" si="214"/>
        <v xml:space="preserve"> </v>
      </c>
      <c r="AZ95" s="103" t="str">
        <f t="shared" si="215"/>
        <v xml:space="preserve"> </v>
      </c>
      <c r="BA95" s="103" t="str">
        <f t="shared" si="216"/>
        <v xml:space="preserve"> </v>
      </c>
      <c r="BB95" s="103" t="str">
        <f t="shared" si="217"/>
        <v xml:space="preserve"> </v>
      </c>
      <c r="BC95" s="103" t="str">
        <f t="shared" si="218"/>
        <v xml:space="preserve"> </v>
      </c>
      <c r="BD95" s="103" t="str">
        <f t="shared" si="219"/>
        <v xml:space="preserve"> </v>
      </c>
      <c r="BE95" s="103" t="str">
        <f t="shared" si="220"/>
        <v xml:space="preserve"> </v>
      </c>
      <c r="BF95" s="103" t="str">
        <f t="shared" si="221"/>
        <v xml:space="preserve"> </v>
      </c>
      <c r="BG95" s="103"/>
      <c r="BH95" s="103"/>
      <c r="BI95" s="103"/>
      <c r="BJ95" s="112" t="str">
        <f t="shared" si="222"/>
        <v xml:space="preserve"> </v>
      </c>
      <c r="BK95" s="123"/>
      <c r="BL95" s="103" t="str">
        <f t="shared" si="223"/>
        <v>X</v>
      </c>
      <c r="BM95" s="103" t="str">
        <f t="shared" si="224"/>
        <v>X</v>
      </c>
      <c r="BN95" s="103" t="str">
        <f t="shared" si="225"/>
        <v>X</v>
      </c>
      <c r="BO95" s="103" t="str">
        <f t="shared" si="226"/>
        <v xml:space="preserve"> </v>
      </c>
      <c r="BP95" s="103" t="str">
        <f t="shared" si="227"/>
        <v xml:space="preserve"> </v>
      </c>
      <c r="BQ95" s="103" t="str">
        <f t="shared" si="228"/>
        <v>X</v>
      </c>
      <c r="BR95" s="103" t="str">
        <f t="shared" si="229"/>
        <v>X</v>
      </c>
      <c r="BS95" s="103" t="str">
        <f t="shared" si="230"/>
        <v>X</v>
      </c>
      <c r="BT95" s="103" t="str">
        <f t="shared" si="231"/>
        <v>X</v>
      </c>
      <c r="BU95" s="103">
        <f t="shared" si="232"/>
        <v>0</v>
      </c>
      <c r="BV95" s="103">
        <f t="shared" si="233"/>
        <v>0</v>
      </c>
      <c r="BW95" s="103">
        <f t="shared" si="234"/>
        <v>0</v>
      </c>
      <c r="BX95" s="103"/>
      <c r="BY95" s="103"/>
      <c r="BZ95" s="103"/>
      <c r="CA95" s="112">
        <f t="shared" si="235"/>
        <v>7</v>
      </c>
      <c r="CB95" s="123"/>
      <c r="CC95" s="101">
        <f t="shared" si="261"/>
        <v>7602</v>
      </c>
      <c r="CD95" s="133" t="str">
        <f t="shared" si="262"/>
        <v>NGSA</v>
      </c>
      <c r="CE95" s="103" t="str">
        <f t="shared" si="236"/>
        <v>X</v>
      </c>
      <c r="CF95" s="103" t="str">
        <f t="shared" si="237"/>
        <v>X</v>
      </c>
      <c r="CG95" s="103" t="str">
        <f t="shared" si="238"/>
        <v xml:space="preserve"> </v>
      </c>
      <c r="CH95" s="103" t="str">
        <f t="shared" si="239"/>
        <v xml:space="preserve"> </v>
      </c>
      <c r="CI95" s="103" t="str">
        <f t="shared" si="240"/>
        <v xml:space="preserve"> </v>
      </c>
      <c r="CJ95" s="103" t="str">
        <f t="shared" si="241"/>
        <v>X</v>
      </c>
      <c r="CK95" s="103" t="str">
        <f t="shared" si="242"/>
        <v>X</v>
      </c>
      <c r="CL95" s="103" t="str">
        <f t="shared" si="243"/>
        <v xml:space="preserve"> </v>
      </c>
      <c r="CM95" s="103" t="str">
        <f t="shared" si="244"/>
        <v>X</v>
      </c>
      <c r="CN95" s="103">
        <f t="shared" si="245"/>
        <v>0</v>
      </c>
      <c r="CO95" s="103">
        <f t="shared" si="246"/>
        <v>0</v>
      </c>
      <c r="CP95" s="103">
        <f t="shared" si="247"/>
        <v>0</v>
      </c>
      <c r="CQ95" s="103"/>
      <c r="CR95" s="103"/>
      <c r="CS95" s="103"/>
      <c r="CT95" s="112">
        <f t="shared" si="248"/>
        <v>5</v>
      </c>
      <c r="CU95" s="127"/>
      <c r="CV95" s="101">
        <f t="shared" si="263"/>
        <v>7602</v>
      </c>
      <c r="CW95" s="133" t="str">
        <f t="shared" si="264"/>
        <v>NGSA</v>
      </c>
      <c r="CX95" s="223">
        <f>VLOOKUP($I95,ngsa0705,13,FALSE)</f>
        <v>41159</v>
      </c>
      <c r="CY95" s="223">
        <f>VLOOKUP($I95,ngsa0706,13,FALSE)</f>
        <v>42702</v>
      </c>
      <c r="CZ95" s="223">
        <f>VLOOKUP($I95,ngsa0707,13,FALSE)</f>
        <v>45475</v>
      </c>
      <c r="DA95" s="223">
        <f>VLOOKUP($I95,ngsa0708,13,FALSE)</f>
        <v>39417</v>
      </c>
      <c r="DB95" s="223">
        <f>VLOOKUP($I95,ngsa0721,13,FALSE)</f>
        <v>47933</v>
      </c>
      <c r="DC95" s="223">
        <f>VLOOKUP($I95,ngsa0725,13,FALSE)</f>
        <v>46506</v>
      </c>
      <c r="DD95" s="223">
        <f>VLOOKUP($I95,ngsa0829,13,FALSE)</f>
        <v>43594</v>
      </c>
      <c r="DE95" s="223">
        <f>VLOOKUP($I95,ngsa0830,13,FALSE)</f>
        <v>47565</v>
      </c>
      <c r="DF95" s="223">
        <f>VLOOKUP($I95,ngsa0910,13,FALSE)</f>
        <v>889</v>
      </c>
      <c r="DG95" s="223">
        <f t="shared" si="249"/>
        <v>46092</v>
      </c>
      <c r="DH95" s="223">
        <f t="shared" si="250"/>
        <v>38960</v>
      </c>
      <c r="DI95" s="223">
        <f t="shared" si="251"/>
        <v>46415</v>
      </c>
      <c r="DM95" s="224">
        <f t="shared" si="265"/>
        <v>40558.916666666664</v>
      </c>
    </row>
    <row r="96" spans="1:117" ht="15.75" x14ac:dyDescent="0.25">
      <c r="A96" s="136">
        <f t="shared" si="277"/>
        <v>7604</v>
      </c>
      <c r="B96" s="136" t="str">
        <f t="shared" si="278"/>
        <v>NGSA</v>
      </c>
      <c r="C96" s="42"/>
      <c r="D96" s="39"/>
      <c r="E96" s="25"/>
      <c r="F96" s="25"/>
      <c r="G96" s="145"/>
      <c r="I96" s="33">
        <v>7604</v>
      </c>
      <c r="J96" s="130" t="s">
        <v>27</v>
      </c>
      <c r="K96" s="103" t="str">
        <f t="shared" si="184"/>
        <v xml:space="preserve"> </v>
      </c>
      <c r="L96" s="103" t="str">
        <f t="shared" si="185"/>
        <v xml:space="preserve"> </v>
      </c>
      <c r="M96" s="103">
        <f t="shared" si="186"/>
        <v>0</v>
      </c>
      <c r="N96" s="103">
        <f t="shared" si="187"/>
        <v>0</v>
      </c>
      <c r="O96" s="103">
        <f t="shared" si="188"/>
        <v>0</v>
      </c>
      <c r="P96" s="103">
        <f t="shared" si="189"/>
        <v>0</v>
      </c>
      <c r="Q96" s="103" t="str">
        <f t="shared" si="190"/>
        <v>X</v>
      </c>
      <c r="R96" s="103">
        <f t="shared" si="191"/>
        <v>0</v>
      </c>
      <c r="S96" s="103">
        <f t="shared" si="192"/>
        <v>0</v>
      </c>
      <c r="T96" s="103">
        <f t="shared" si="193"/>
        <v>0</v>
      </c>
      <c r="U96" s="103">
        <f t="shared" si="194"/>
        <v>0</v>
      </c>
      <c r="V96" s="103">
        <f t="shared" si="195"/>
        <v>0</v>
      </c>
      <c r="W96" s="103"/>
      <c r="X96" s="103"/>
      <c r="Y96" s="103"/>
      <c r="Z96" s="112"/>
      <c r="AA96" s="123"/>
      <c r="AB96" s="103" t="str">
        <f t="shared" si="197"/>
        <v xml:space="preserve"> </v>
      </c>
      <c r="AC96" s="103" t="str">
        <f t="shared" si="198"/>
        <v xml:space="preserve"> </v>
      </c>
      <c r="AD96" s="103" t="str">
        <f t="shared" si="199"/>
        <v xml:space="preserve"> </v>
      </c>
      <c r="AE96" s="103" t="str">
        <f t="shared" si="200"/>
        <v xml:space="preserve"> </v>
      </c>
      <c r="AF96" s="103" t="str">
        <f t="shared" si="201"/>
        <v>X</v>
      </c>
      <c r="AG96" s="103" t="str">
        <f t="shared" si="202"/>
        <v>X</v>
      </c>
      <c r="AH96" s="103" t="str">
        <f t="shared" si="203"/>
        <v>X</v>
      </c>
      <c r="AI96" s="103" t="str">
        <f t="shared" si="204"/>
        <v xml:space="preserve"> </v>
      </c>
      <c r="AJ96" s="103" t="str">
        <f t="shared" si="205"/>
        <v>X</v>
      </c>
      <c r="AK96" s="103" t="str">
        <f t="shared" si="206"/>
        <v xml:space="preserve"> </v>
      </c>
      <c r="AL96" s="103" t="str">
        <f t="shared" si="207"/>
        <v xml:space="preserve"> </v>
      </c>
      <c r="AM96" s="103" t="str">
        <f t="shared" si="208"/>
        <v xml:space="preserve"> </v>
      </c>
      <c r="AN96" s="103"/>
      <c r="AO96" s="103"/>
      <c r="AP96" s="103"/>
      <c r="AQ96" s="112">
        <f t="shared" si="267"/>
        <v>4</v>
      </c>
      <c r="AR96" s="123"/>
      <c r="AS96" s="101">
        <f t="shared" si="254"/>
        <v>7604</v>
      </c>
      <c r="AT96" s="133" t="str">
        <f t="shared" si="255"/>
        <v>NGSA</v>
      </c>
      <c r="AU96" s="103" t="str">
        <f t="shared" si="210"/>
        <v xml:space="preserve"> </v>
      </c>
      <c r="AV96" s="103" t="str">
        <f t="shared" si="211"/>
        <v xml:space="preserve"> </v>
      </c>
      <c r="AW96" s="103" t="str">
        <f t="shared" si="212"/>
        <v xml:space="preserve"> </v>
      </c>
      <c r="AX96" s="103" t="str">
        <f t="shared" si="213"/>
        <v xml:space="preserve"> </v>
      </c>
      <c r="AY96" s="103" t="str">
        <f t="shared" si="214"/>
        <v xml:space="preserve"> </v>
      </c>
      <c r="AZ96" s="103" t="str">
        <f t="shared" si="215"/>
        <v xml:space="preserve"> </v>
      </c>
      <c r="BA96" s="103" t="str">
        <f t="shared" si="216"/>
        <v xml:space="preserve"> </v>
      </c>
      <c r="BB96" s="103" t="str">
        <f t="shared" si="217"/>
        <v xml:space="preserve"> </v>
      </c>
      <c r="BC96" s="103" t="str">
        <f t="shared" si="218"/>
        <v xml:space="preserve"> </v>
      </c>
      <c r="BD96" s="103" t="str">
        <f t="shared" si="219"/>
        <v xml:space="preserve"> </v>
      </c>
      <c r="BE96" s="103" t="str">
        <f t="shared" si="220"/>
        <v xml:space="preserve"> </v>
      </c>
      <c r="BF96" s="103" t="str">
        <f t="shared" si="221"/>
        <v xml:space="preserve"> </v>
      </c>
      <c r="BG96" s="103"/>
      <c r="BH96" s="103"/>
      <c r="BI96" s="103"/>
      <c r="BJ96" s="112" t="str">
        <f t="shared" si="222"/>
        <v xml:space="preserve"> </v>
      </c>
      <c r="BK96" s="123"/>
      <c r="BL96" s="103" t="str">
        <f t="shared" si="223"/>
        <v xml:space="preserve"> </v>
      </c>
      <c r="BM96" s="103" t="str">
        <f t="shared" si="224"/>
        <v xml:space="preserve"> </v>
      </c>
      <c r="BN96" s="103" t="str">
        <f t="shared" si="225"/>
        <v xml:space="preserve"> </v>
      </c>
      <c r="BO96" s="103" t="str">
        <f t="shared" si="226"/>
        <v xml:space="preserve"> </v>
      </c>
      <c r="BP96" s="103" t="str">
        <f t="shared" si="227"/>
        <v>X</v>
      </c>
      <c r="BQ96" s="103" t="str">
        <f t="shared" si="228"/>
        <v>X</v>
      </c>
      <c r="BR96" s="103" t="str">
        <f t="shared" si="229"/>
        <v>X</v>
      </c>
      <c r="BS96" s="103" t="str">
        <f t="shared" si="230"/>
        <v>X</v>
      </c>
      <c r="BT96" s="103" t="str">
        <f t="shared" si="231"/>
        <v>X</v>
      </c>
      <c r="BU96" s="103">
        <f t="shared" si="232"/>
        <v>0</v>
      </c>
      <c r="BV96" s="103">
        <f t="shared" si="233"/>
        <v>0</v>
      </c>
      <c r="BW96" s="103">
        <f t="shared" si="234"/>
        <v>0</v>
      </c>
      <c r="BX96" s="103"/>
      <c r="BY96" s="103"/>
      <c r="BZ96" s="103"/>
      <c r="CA96" s="112">
        <f t="shared" si="235"/>
        <v>5</v>
      </c>
      <c r="CB96" s="123"/>
      <c r="CC96" s="101">
        <f t="shared" si="261"/>
        <v>7604</v>
      </c>
      <c r="CD96" s="133" t="str">
        <f t="shared" si="262"/>
        <v>NGSA</v>
      </c>
      <c r="CE96" s="103" t="str">
        <f t="shared" si="236"/>
        <v xml:space="preserve"> </v>
      </c>
      <c r="CF96" s="103" t="str">
        <f t="shared" si="237"/>
        <v xml:space="preserve"> </v>
      </c>
      <c r="CG96" s="103" t="str">
        <f t="shared" si="238"/>
        <v xml:space="preserve"> </v>
      </c>
      <c r="CH96" s="103" t="str">
        <f t="shared" si="239"/>
        <v xml:space="preserve"> </v>
      </c>
      <c r="CI96" s="103" t="str">
        <f t="shared" si="240"/>
        <v>X</v>
      </c>
      <c r="CJ96" s="103" t="str">
        <f t="shared" si="241"/>
        <v>X</v>
      </c>
      <c r="CK96" s="103" t="str">
        <f t="shared" si="242"/>
        <v>X</v>
      </c>
      <c r="CL96" s="103" t="str">
        <f t="shared" si="243"/>
        <v xml:space="preserve"> </v>
      </c>
      <c r="CM96" s="103" t="str">
        <f t="shared" si="244"/>
        <v>X</v>
      </c>
      <c r="CN96" s="103">
        <f t="shared" si="245"/>
        <v>0</v>
      </c>
      <c r="CO96" s="103">
        <f t="shared" si="246"/>
        <v>0</v>
      </c>
      <c r="CP96" s="103">
        <f t="shared" si="247"/>
        <v>0</v>
      </c>
      <c r="CQ96" s="103"/>
      <c r="CR96" s="103"/>
      <c r="CS96" s="103"/>
      <c r="CT96" s="112">
        <f t="shared" si="248"/>
        <v>4</v>
      </c>
      <c r="CU96" s="127"/>
      <c r="CV96" s="101">
        <f t="shared" si="263"/>
        <v>7604</v>
      </c>
      <c r="CW96" s="133" t="str">
        <f t="shared" si="264"/>
        <v>NGSA</v>
      </c>
      <c r="CX96" s="223">
        <f>VLOOKUP($I96,ngsa0705,13,FALSE)</f>
        <v>43787</v>
      </c>
      <c r="CY96" s="223">
        <f>VLOOKUP($I96,ngsa0706,13,FALSE)</f>
        <v>48046</v>
      </c>
      <c r="CZ96" s="223">
        <f>VLOOKUP($I96,ngsa0707,13,FALSE)</f>
        <v>54938</v>
      </c>
      <c r="DA96" s="223">
        <f>VLOOKUP($I96,ngsa0708,13,FALSE)</f>
        <v>57110</v>
      </c>
      <c r="DB96" s="223">
        <f>VLOOKUP($I96,ngsa0721,13,FALSE)</f>
        <v>60478</v>
      </c>
      <c r="DC96" s="223">
        <f>VLOOKUP($I96,ngsa0725,13,FALSE)</f>
        <v>58677</v>
      </c>
      <c r="DD96" s="223">
        <f>VLOOKUP($I96,ngsa0829,13,FALSE)</f>
        <v>73032</v>
      </c>
      <c r="DE96" s="223">
        <f>VLOOKUP($I96,ngsa0830,13,FALSE)</f>
        <v>78543</v>
      </c>
      <c r="DF96" s="223">
        <f>VLOOKUP($I96,ngsa0910,13,FALSE)</f>
        <v>68880</v>
      </c>
      <c r="DG96" s="223">
        <f t="shared" si="249"/>
        <v>71889</v>
      </c>
      <c r="DH96" s="223">
        <f t="shared" si="250"/>
        <v>73017</v>
      </c>
      <c r="DI96" s="223">
        <f t="shared" si="251"/>
        <v>65324</v>
      </c>
      <c r="DM96" s="224">
        <f t="shared" si="265"/>
        <v>62810.083333333336</v>
      </c>
    </row>
    <row r="97" spans="1:117" ht="15.75" x14ac:dyDescent="0.25">
      <c r="A97" s="136">
        <f t="shared" si="277"/>
        <v>7610</v>
      </c>
      <c r="B97" s="136" t="str">
        <f t="shared" si="278"/>
        <v>NGSA</v>
      </c>
      <c r="C97" s="42"/>
      <c r="D97" s="39"/>
      <c r="E97" s="25"/>
      <c r="F97" s="25"/>
      <c r="G97" s="145"/>
      <c r="I97" s="33">
        <v>7610</v>
      </c>
      <c r="J97" s="130" t="s">
        <v>27</v>
      </c>
      <c r="K97" s="103" t="str">
        <f t="shared" si="184"/>
        <v xml:space="preserve"> </v>
      </c>
      <c r="L97" s="103" t="str">
        <f t="shared" si="185"/>
        <v xml:space="preserve"> </v>
      </c>
      <c r="M97" s="103">
        <f t="shared" si="186"/>
        <v>0</v>
      </c>
      <c r="N97" s="103">
        <f t="shared" si="187"/>
        <v>0</v>
      </c>
      <c r="O97" s="103">
        <f t="shared" si="188"/>
        <v>0</v>
      </c>
      <c r="P97" s="103">
        <f t="shared" si="189"/>
        <v>0</v>
      </c>
      <c r="Q97" s="103">
        <f t="shared" si="190"/>
        <v>0</v>
      </c>
      <c r="R97" s="103">
        <f t="shared" si="191"/>
        <v>0</v>
      </c>
      <c r="S97" s="103">
        <f t="shared" si="192"/>
        <v>0</v>
      </c>
      <c r="T97" s="103">
        <f t="shared" si="193"/>
        <v>0</v>
      </c>
      <c r="U97" s="103">
        <f t="shared" si="194"/>
        <v>0</v>
      </c>
      <c r="V97" s="103">
        <f t="shared" si="195"/>
        <v>0</v>
      </c>
      <c r="W97" s="103"/>
      <c r="X97" s="103"/>
      <c r="Y97" s="103"/>
      <c r="Z97" s="112"/>
      <c r="AA97" s="123"/>
      <c r="AB97" s="103" t="str">
        <f t="shared" si="197"/>
        <v xml:space="preserve"> </v>
      </c>
      <c r="AC97" s="103" t="str">
        <f t="shared" si="198"/>
        <v xml:space="preserve"> </v>
      </c>
      <c r="AD97" s="103" t="str">
        <f t="shared" si="199"/>
        <v xml:space="preserve"> </v>
      </c>
      <c r="AE97" s="103" t="str">
        <f t="shared" si="200"/>
        <v xml:space="preserve"> </v>
      </c>
      <c r="AF97" s="103" t="str">
        <f t="shared" si="201"/>
        <v xml:space="preserve"> </v>
      </c>
      <c r="AG97" s="103" t="str">
        <f t="shared" si="202"/>
        <v xml:space="preserve"> </v>
      </c>
      <c r="AH97" s="103" t="str">
        <f t="shared" si="203"/>
        <v xml:space="preserve"> </v>
      </c>
      <c r="AI97" s="103" t="str">
        <f t="shared" si="204"/>
        <v xml:space="preserve"> </v>
      </c>
      <c r="AJ97" s="103" t="str">
        <f t="shared" si="205"/>
        <v xml:space="preserve"> </v>
      </c>
      <c r="AK97" s="103" t="str">
        <f t="shared" si="206"/>
        <v xml:space="preserve"> </v>
      </c>
      <c r="AL97" s="103" t="str">
        <f t="shared" si="207"/>
        <v xml:space="preserve"> </v>
      </c>
      <c r="AM97" s="103" t="str">
        <f t="shared" si="208"/>
        <v xml:space="preserve"> </v>
      </c>
      <c r="AN97" s="103"/>
      <c r="AO97" s="103"/>
      <c r="AP97" s="103"/>
      <c r="AQ97" s="112" t="str">
        <f t="shared" si="267"/>
        <v xml:space="preserve"> </v>
      </c>
      <c r="AR97" s="123"/>
      <c r="AS97" s="101">
        <f t="shared" si="254"/>
        <v>7610</v>
      </c>
      <c r="AT97" s="133" t="str">
        <f t="shared" si="255"/>
        <v>NGSA</v>
      </c>
      <c r="AU97" s="103" t="str">
        <f t="shared" si="210"/>
        <v xml:space="preserve"> </v>
      </c>
      <c r="AV97" s="103" t="str">
        <f t="shared" si="211"/>
        <v xml:space="preserve"> </v>
      </c>
      <c r="AW97" s="103" t="str">
        <f t="shared" si="212"/>
        <v xml:space="preserve"> </v>
      </c>
      <c r="AX97" s="103" t="str">
        <f t="shared" si="213"/>
        <v xml:space="preserve"> </v>
      </c>
      <c r="AY97" s="103" t="str">
        <f t="shared" si="214"/>
        <v xml:space="preserve"> </v>
      </c>
      <c r="AZ97" s="103" t="str">
        <f t="shared" si="215"/>
        <v xml:space="preserve"> </v>
      </c>
      <c r="BA97" s="103" t="str">
        <f t="shared" si="216"/>
        <v xml:space="preserve"> </v>
      </c>
      <c r="BB97" s="103" t="str">
        <f t="shared" si="217"/>
        <v xml:space="preserve"> </v>
      </c>
      <c r="BC97" s="103" t="str">
        <f t="shared" si="218"/>
        <v xml:space="preserve"> </v>
      </c>
      <c r="BD97" s="103" t="str">
        <f t="shared" si="219"/>
        <v xml:space="preserve"> </v>
      </c>
      <c r="BE97" s="103" t="str">
        <f t="shared" si="220"/>
        <v xml:space="preserve"> </v>
      </c>
      <c r="BF97" s="103" t="str">
        <f t="shared" si="221"/>
        <v xml:space="preserve"> </v>
      </c>
      <c r="BG97" s="103"/>
      <c r="BH97" s="103"/>
      <c r="BI97" s="103"/>
      <c r="BJ97" s="112" t="str">
        <f t="shared" si="222"/>
        <v xml:space="preserve"> </v>
      </c>
      <c r="BK97" s="123"/>
      <c r="BL97" s="103" t="str">
        <f t="shared" si="223"/>
        <v xml:space="preserve"> </v>
      </c>
      <c r="BM97" s="103" t="str">
        <f t="shared" si="224"/>
        <v xml:space="preserve"> </v>
      </c>
      <c r="BN97" s="103" t="str">
        <f t="shared" si="225"/>
        <v xml:space="preserve"> </v>
      </c>
      <c r="BO97" s="103" t="str">
        <f t="shared" si="226"/>
        <v xml:space="preserve"> </v>
      </c>
      <c r="BP97" s="103" t="str">
        <f t="shared" si="227"/>
        <v xml:space="preserve"> </v>
      </c>
      <c r="BQ97" s="103" t="str">
        <f t="shared" si="228"/>
        <v xml:space="preserve"> </v>
      </c>
      <c r="BR97" s="103" t="str">
        <f t="shared" si="229"/>
        <v xml:space="preserve"> </v>
      </c>
      <c r="BS97" s="103" t="str">
        <f t="shared" si="230"/>
        <v xml:space="preserve"> </v>
      </c>
      <c r="BT97" s="103" t="str">
        <f t="shared" si="231"/>
        <v xml:space="preserve"> </v>
      </c>
      <c r="BU97" s="103">
        <f t="shared" si="232"/>
        <v>0</v>
      </c>
      <c r="BV97" s="103">
        <f t="shared" si="233"/>
        <v>0</v>
      </c>
      <c r="BW97" s="103">
        <f t="shared" si="234"/>
        <v>0</v>
      </c>
      <c r="BX97" s="103"/>
      <c r="BY97" s="103"/>
      <c r="BZ97" s="103"/>
      <c r="CA97" s="112" t="str">
        <f t="shared" si="235"/>
        <v xml:space="preserve"> </v>
      </c>
      <c r="CB97" s="123"/>
      <c r="CC97" s="101">
        <f t="shared" si="261"/>
        <v>7610</v>
      </c>
      <c r="CD97" s="133" t="str">
        <f t="shared" si="262"/>
        <v>NGSA</v>
      </c>
      <c r="CE97" s="103" t="str">
        <f t="shared" si="236"/>
        <v xml:space="preserve"> </v>
      </c>
      <c r="CF97" s="103" t="str">
        <f t="shared" si="237"/>
        <v xml:space="preserve"> </v>
      </c>
      <c r="CG97" s="103" t="str">
        <f t="shared" si="238"/>
        <v xml:space="preserve"> </v>
      </c>
      <c r="CH97" s="103" t="str">
        <f t="shared" si="239"/>
        <v xml:space="preserve"> </v>
      </c>
      <c r="CI97" s="103" t="str">
        <f t="shared" si="240"/>
        <v>X</v>
      </c>
      <c r="CJ97" s="103" t="str">
        <f t="shared" si="241"/>
        <v>X</v>
      </c>
      <c r="CK97" s="103" t="str">
        <f t="shared" si="242"/>
        <v>X</v>
      </c>
      <c r="CL97" s="103" t="str">
        <f t="shared" si="243"/>
        <v>X</v>
      </c>
      <c r="CM97" s="103" t="str">
        <f t="shared" si="244"/>
        <v>X</v>
      </c>
      <c r="CN97" s="103">
        <f t="shared" si="245"/>
        <v>0</v>
      </c>
      <c r="CO97" s="103">
        <f t="shared" si="246"/>
        <v>0</v>
      </c>
      <c r="CP97" s="103">
        <f t="shared" si="247"/>
        <v>0</v>
      </c>
      <c r="CQ97" s="103"/>
      <c r="CR97" s="103"/>
      <c r="CS97" s="103"/>
      <c r="CT97" s="112">
        <f t="shared" si="248"/>
        <v>5</v>
      </c>
      <c r="CU97" s="127"/>
      <c r="CV97" s="101">
        <f t="shared" si="263"/>
        <v>7610</v>
      </c>
      <c r="CW97" s="133" t="str">
        <f t="shared" si="264"/>
        <v>NGSA</v>
      </c>
      <c r="CX97" s="223">
        <f>VLOOKUP($I97,ngsa0705,13,FALSE)</f>
        <v>179</v>
      </c>
      <c r="CY97" s="223">
        <f>VLOOKUP($I97,ngsa0706,13,FALSE)</f>
        <v>140</v>
      </c>
      <c r="CZ97" s="223">
        <f>VLOOKUP($I97,ngsa0707,13,FALSE)</f>
        <v>117</v>
      </c>
      <c r="DA97" s="223">
        <f>VLOOKUP($I97,ngsa0708,13,FALSE)</f>
        <v>164</v>
      </c>
      <c r="DB97" s="223">
        <f>VLOOKUP($I97,ngsa0721,13,FALSE)</f>
        <v>83</v>
      </c>
      <c r="DC97" s="223">
        <f>VLOOKUP($I97,ngsa0725,13,FALSE)</f>
        <v>82</v>
      </c>
      <c r="DD97" s="223">
        <f>VLOOKUP($I97,ngsa0829,13,FALSE)</f>
        <v>259</v>
      </c>
      <c r="DE97" s="223">
        <f>VLOOKUP($I97,ngsa0830,13,FALSE)</f>
        <v>247</v>
      </c>
      <c r="DF97" s="223">
        <f>VLOOKUP($I97,ngsa0910,13,FALSE)</f>
        <v>0</v>
      </c>
      <c r="DG97" s="223">
        <f t="shared" si="249"/>
        <v>0</v>
      </c>
      <c r="DH97" s="223">
        <f t="shared" si="250"/>
        <v>0</v>
      </c>
      <c r="DI97" s="223">
        <f t="shared" si="251"/>
        <v>157</v>
      </c>
      <c r="DM97" s="224">
        <f t="shared" si="265"/>
        <v>119</v>
      </c>
    </row>
    <row r="98" spans="1:117" ht="15.75" x14ac:dyDescent="0.25">
      <c r="A98" s="136">
        <f t="shared" si="277"/>
        <v>8537</v>
      </c>
      <c r="B98" s="136" t="str">
        <f t="shared" si="278"/>
        <v>NGSA</v>
      </c>
      <c r="C98" s="42"/>
      <c r="D98" s="39"/>
      <c r="E98" s="25"/>
      <c r="F98" s="25"/>
      <c r="G98" s="145"/>
      <c r="I98" s="33">
        <v>8537</v>
      </c>
      <c r="J98" s="130" t="s">
        <v>27</v>
      </c>
      <c r="K98" s="103" t="e">
        <f t="shared" si="184"/>
        <v>#N/A</v>
      </c>
      <c r="L98" s="103" t="e">
        <f t="shared" si="185"/>
        <v>#N/A</v>
      </c>
      <c r="M98" s="103" t="e">
        <f t="shared" si="186"/>
        <v>#N/A</v>
      </c>
      <c r="N98" s="103" t="e">
        <f t="shared" si="187"/>
        <v>#N/A</v>
      </c>
      <c r="O98" s="103" t="e">
        <f t="shared" si="188"/>
        <v>#N/A</v>
      </c>
      <c r="P98" s="103" t="e">
        <f t="shared" si="189"/>
        <v>#N/A</v>
      </c>
      <c r="Q98" s="103" t="e">
        <f t="shared" si="190"/>
        <v>#N/A</v>
      </c>
      <c r="R98" s="103" t="e">
        <f t="shared" si="191"/>
        <v>#N/A</v>
      </c>
      <c r="S98" s="103" t="e">
        <f t="shared" si="192"/>
        <v>#N/A</v>
      </c>
      <c r="T98" s="103">
        <f t="shared" si="193"/>
        <v>0</v>
      </c>
      <c r="U98" s="103">
        <f t="shared" si="194"/>
        <v>0</v>
      </c>
      <c r="V98" s="103">
        <f t="shared" si="195"/>
        <v>0</v>
      </c>
      <c r="W98" s="103"/>
      <c r="X98" s="103"/>
      <c r="Y98" s="103"/>
      <c r="Z98" s="112"/>
      <c r="AA98" s="123"/>
      <c r="AB98" s="103" t="e">
        <f t="shared" si="197"/>
        <v>#N/A</v>
      </c>
      <c r="AC98" s="103" t="e">
        <f t="shared" si="198"/>
        <v>#N/A</v>
      </c>
      <c r="AD98" s="103" t="e">
        <f t="shared" si="199"/>
        <v>#N/A</v>
      </c>
      <c r="AE98" s="103" t="e">
        <f t="shared" si="200"/>
        <v>#N/A</v>
      </c>
      <c r="AF98" s="103" t="e">
        <f t="shared" si="201"/>
        <v>#N/A</v>
      </c>
      <c r="AG98" s="103" t="e">
        <f t="shared" si="202"/>
        <v>#N/A</v>
      </c>
      <c r="AH98" s="103" t="e">
        <f t="shared" si="203"/>
        <v>#N/A</v>
      </c>
      <c r="AI98" s="103" t="e">
        <f t="shared" si="204"/>
        <v>#N/A</v>
      </c>
      <c r="AJ98" s="103" t="e">
        <f t="shared" si="205"/>
        <v>#N/A</v>
      </c>
      <c r="AK98" s="103" t="str">
        <f t="shared" si="206"/>
        <v xml:space="preserve"> </v>
      </c>
      <c r="AL98" s="103" t="str">
        <f t="shared" si="207"/>
        <v xml:space="preserve"> </v>
      </c>
      <c r="AM98" s="103" t="str">
        <f t="shared" si="208"/>
        <v xml:space="preserve"> </v>
      </c>
      <c r="AN98" s="103"/>
      <c r="AO98" s="103"/>
      <c r="AP98" s="103"/>
      <c r="AQ98" s="112" t="str">
        <f t="shared" si="267"/>
        <v xml:space="preserve"> </v>
      </c>
      <c r="AR98" s="123"/>
      <c r="AS98" s="101">
        <f t="shared" si="254"/>
        <v>8537</v>
      </c>
      <c r="AT98" s="133" t="str">
        <f t="shared" si="255"/>
        <v>NGSA</v>
      </c>
      <c r="AU98" s="103" t="e">
        <f t="shared" si="210"/>
        <v>#N/A</v>
      </c>
      <c r="AV98" s="103" t="e">
        <f t="shared" si="211"/>
        <v>#N/A</v>
      </c>
      <c r="AW98" s="103" t="e">
        <f t="shared" si="212"/>
        <v>#N/A</v>
      </c>
      <c r="AX98" s="103" t="e">
        <f t="shared" si="213"/>
        <v>#N/A</v>
      </c>
      <c r="AY98" s="103" t="e">
        <f t="shared" si="214"/>
        <v>#N/A</v>
      </c>
      <c r="AZ98" s="103" t="e">
        <f t="shared" si="215"/>
        <v>#N/A</v>
      </c>
      <c r="BA98" s="103" t="e">
        <f t="shared" si="216"/>
        <v>#N/A</v>
      </c>
      <c r="BB98" s="103" t="e">
        <f t="shared" si="217"/>
        <v>#N/A</v>
      </c>
      <c r="BC98" s="103" t="e">
        <f t="shared" si="218"/>
        <v>#N/A</v>
      </c>
      <c r="BD98" s="103" t="str">
        <f t="shared" si="219"/>
        <v xml:space="preserve"> </v>
      </c>
      <c r="BE98" s="103" t="str">
        <f t="shared" si="220"/>
        <v xml:space="preserve"> </v>
      </c>
      <c r="BF98" s="103" t="str">
        <f t="shared" si="221"/>
        <v xml:space="preserve"> </v>
      </c>
      <c r="BG98" s="103"/>
      <c r="BH98" s="103"/>
      <c r="BI98" s="103"/>
      <c r="BJ98" s="112" t="str">
        <f t="shared" si="222"/>
        <v xml:space="preserve"> </v>
      </c>
      <c r="BK98" s="123"/>
      <c r="BL98" s="103" t="e">
        <f t="shared" si="223"/>
        <v>#N/A</v>
      </c>
      <c r="BM98" s="103" t="e">
        <f t="shared" si="224"/>
        <v>#N/A</v>
      </c>
      <c r="BN98" s="103" t="e">
        <f t="shared" si="225"/>
        <v>#N/A</v>
      </c>
      <c r="BO98" s="103" t="e">
        <f t="shared" si="226"/>
        <v>#N/A</v>
      </c>
      <c r="BP98" s="103" t="e">
        <f t="shared" si="227"/>
        <v>#N/A</v>
      </c>
      <c r="BQ98" s="103" t="e">
        <f t="shared" si="228"/>
        <v>#N/A</v>
      </c>
      <c r="BR98" s="103" t="e">
        <f t="shared" si="229"/>
        <v>#N/A</v>
      </c>
      <c r="BS98" s="103" t="e">
        <f t="shared" si="230"/>
        <v>#N/A</v>
      </c>
      <c r="BT98" s="103" t="e">
        <f t="shared" si="231"/>
        <v>#N/A</v>
      </c>
      <c r="BU98" s="103">
        <f t="shared" si="232"/>
        <v>0</v>
      </c>
      <c r="BV98" s="103">
        <f t="shared" si="233"/>
        <v>0</v>
      </c>
      <c r="BW98" s="103">
        <f t="shared" si="234"/>
        <v>0</v>
      </c>
      <c r="BX98" s="103"/>
      <c r="BY98" s="103"/>
      <c r="BZ98" s="103"/>
      <c r="CA98" s="112" t="str">
        <f t="shared" si="235"/>
        <v xml:space="preserve"> </v>
      </c>
      <c r="CB98" s="123"/>
      <c r="CC98" s="101">
        <f t="shared" si="261"/>
        <v>8537</v>
      </c>
      <c r="CD98" s="133" t="str">
        <f t="shared" si="262"/>
        <v>NGSA</v>
      </c>
      <c r="CE98" s="103" t="e">
        <f t="shared" si="236"/>
        <v>#N/A</v>
      </c>
      <c r="CF98" s="103" t="e">
        <f t="shared" si="237"/>
        <v>#N/A</v>
      </c>
      <c r="CG98" s="103" t="e">
        <f t="shared" si="238"/>
        <v>#N/A</v>
      </c>
      <c r="CH98" s="103" t="e">
        <f t="shared" si="239"/>
        <v>#N/A</v>
      </c>
      <c r="CI98" s="103" t="e">
        <f t="shared" si="240"/>
        <v>#N/A</v>
      </c>
      <c r="CJ98" s="103" t="e">
        <f t="shared" si="241"/>
        <v>#N/A</v>
      </c>
      <c r="CK98" s="103" t="e">
        <f t="shared" si="242"/>
        <v>#N/A</v>
      </c>
      <c r="CL98" s="103" t="e">
        <f t="shared" si="243"/>
        <v>#N/A</v>
      </c>
      <c r="CM98" s="103" t="e">
        <f t="shared" si="244"/>
        <v>#N/A</v>
      </c>
      <c r="CN98" s="103">
        <f t="shared" si="245"/>
        <v>0</v>
      </c>
      <c r="CO98" s="103">
        <f t="shared" si="246"/>
        <v>0</v>
      </c>
      <c r="CP98" s="103">
        <f t="shared" si="247"/>
        <v>0</v>
      </c>
      <c r="CQ98" s="103"/>
      <c r="CR98" s="103"/>
      <c r="CS98" s="103"/>
      <c r="CT98" s="112" t="str">
        <f t="shared" si="248"/>
        <v xml:space="preserve"> </v>
      </c>
      <c r="CU98" s="127"/>
      <c r="CV98" s="101">
        <f t="shared" si="263"/>
        <v>8537</v>
      </c>
      <c r="CW98" s="133" t="str">
        <f t="shared" si="264"/>
        <v>NGSA</v>
      </c>
      <c r="CX98" s="223"/>
      <c r="CY98" s="223"/>
      <c r="CZ98" s="223"/>
      <c r="DA98" s="223"/>
      <c r="DB98" s="223"/>
      <c r="DC98" s="223"/>
      <c r="DD98" s="223"/>
      <c r="DE98" s="223"/>
      <c r="DF98" s="223"/>
      <c r="DG98" s="223">
        <f t="shared" si="249"/>
        <v>0</v>
      </c>
      <c r="DH98" s="223">
        <f t="shared" si="250"/>
        <v>0</v>
      </c>
      <c r="DI98" s="223">
        <f t="shared" si="251"/>
        <v>0</v>
      </c>
      <c r="DM98" s="224"/>
    </row>
    <row r="99" spans="1:117" ht="15.75" x14ac:dyDescent="0.25">
      <c r="A99" s="136">
        <f t="shared" si="277"/>
        <v>8576</v>
      </c>
      <c r="B99" s="136" t="str">
        <f t="shared" si="278"/>
        <v>NGSA</v>
      </c>
      <c r="C99" s="42"/>
      <c r="D99" s="39"/>
      <c r="E99" s="25"/>
      <c r="F99" s="25"/>
      <c r="G99" s="145"/>
      <c r="I99" s="33">
        <v>8576</v>
      </c>
      <c r="J99" s="130" t="s">
        <v>27</v>
      </c>
      <c r="K99" s="103" t="str">
        <f t="shared" si="184"/>
        <v xml:space="preserve"> </v>
      </c>
      <c r="L99" s="103" t="str">
        <f t="shared" si="185"/>
        <v xml:space="preserve"> </v>
      </c>
      <c r="M99" s="103">
        <f t="shared" si="186"/>
        <v>0</v>
      </c>
      <c r="N99" s="103">
        <f t="shared" si="187"/>
        <v>0</v>
      </c>
      <c r="O99" s="103">
        <f t="shared" si="188"/>
        <v>0</v>
      </c>
      <c r="P99" s="103">
        <f t="shared" si="189"/>
        <v>0</v>
      </c>
      <c r="Q99" s="103">
        <f t="shared" si="190"/>
        <v>0</v>
      </c>
      <c r="R99" s="103">
        <f t="shared" si="191"/>
        <v>0</v>
      </c>
      <c r="S99" s="103">
        <f t="shared" si="192"/>
        <v>0</v>
      </c>
      <c r="T99" s="103">
        <f t="shared" si="193"/>
        <v>0</v>
      </c>
      <c r="U99" s="103">
        <f t="shared" si="194"/>
        <v>0</v>
      </c>
      <c r="V99" s="103">
        <f t="shared" si="195"/>
        <v>0</v>
      </c>
      <c r="W99" s="103"/>
      <c r="X99" s="103"/>
      <c r="Y99" s="103"/>
      <c r="Z99" s="112"/>
      <c r="AA99" s="123"/>
      <c r="AB99" s="103" t="str">
        <f t="shared" si="197"/>
        <v xml:space="preserve"> </v>
      </c>
      <c r="AC99" s="103" t="str">
        <f t="shared" si="198"/>
        <v xml:space="preserve"> </v>
      </c>
      <c r="AD99" s="103" t="str">
        <f t="shared" si="199"/>
        <v xml:space="preserve"> </v>
      </c>
      <c r="AE99" s="103" t="str">
        <f t="shared" si="200"/>
        <v xml:space="preserve"> </v>
      </c>
      <c r="AF99" s="103" t="str">
        <f t="shared" si="201"/>
        <v xml:space="preserve"> </v>
      </c>
      <c r="AG99" s="103" t="str">
        <f t="shared" si="202"/>
        <v xml:space="preserve"> </v>
      </c>
      <c r="AH99" s="103" t="str">
        <f t="shared" si="203"/>
        <v xml:space="preserve"> </v>
      </c>
      <c r="AI99" s="103" t="str">
        <f t="shared" si="204"/>
        <v xml:space="preserve"> </v>
      </c>
      <c r="AJ99" s="103" t="str">
        <f t="shared" si="205"/>
        <v xml:space="preserve"> </v>
      </c>
      <c r="AK99" s="103" t="str">
        <f t="shared" si="206"/>
        <v xml:space="preserve"> </v>
      </c>
      <c r="AL99" s="103" t="str">
        <f t="shared" si="207"/>
        <v xml:space="preserve"> </v>
      </c>
      <c r="AM99" s="103" t="str">
        <f t="shared" si="208"/>
        <v xml:space="preserve"> </v>
      </c>
      <c r="AN99" s="103"/>
      <c r="AO99" s="103"/>
      <c r="AP99" s="103"/>
      <c r="AQ99" s="112" t="str">
        <f t="shared" si="267"/>
        <v xml:space="preserve"> </v>
      </c>
      <c r="AR99" s="123"/>
      <c r="AS99" s="101">
        <f t="shared" si="254"/>
        <v>8576</v>
      </c>
      <c r="AT99" s="133" t="str">
        <f t="shared" si="255"/>
        <v>NGSA</v>
      </c>
      <c r="AU99" s="103" t="str">
        <f t="shared" si="210"/>
        <v xml:space="preserve"> </v>
      </c>
      <c r="AV99" s="103" t="str">
        <f t="shared" si="211"/>
        <v xml:space="preserve"> </v>
      </c>
      <c r="AW99" s="103" t="str">
        <f t="shared" si="212"/>
        <v xml:space="preserve"> </v>
      </c>
      <c r="AX99" s="103" t="str">
        <f t="shared" si="213"/>
        <v xml:space="preserve"> </v>
      </c>
      <c r="AY99" s="103" t="str">
        <f t="shared" si="214"/>
        <v xml:space="preserve"> </v>
      </c>
      <c r="AZ99" s="103" t="str">
        <f t="shared" si="215"/>
        <v xml:space="preserve"> </v>
      </c>
      <c r="BA99" s="103" t="str">
        <f t="shared" si="216"/>
        <v xml:space="preserve"> </v>
      </c>
      <c r="BB99" s="103" t="str">
        <f t="shared" si="217"/>
        <v xml:space="preserve"> </v>
      </c>
      <c r="BC99" s="103" t="str">
        <f t="shared" si="218"/>
        <v xml:space="preserve"> </v>
      </c>
      <c r="BD99" s="103" t="str">
        <f t="shared" si="219"/>
        <v xml:space="preserve"> </v>
      </c>
      <c r="BE99" s="103" t="str">
        <f t="shared" si="220"/>
        <v xml:space="preserve"> </v>
      </c>
      <c r="BF99" s="103" t="str">
        <f t="shared" si="221"/>
        <v xml:space="preserve"> </v>
      </c>
      <c r="BG99" s="103"/>
      <c r="BH99" s="103"/>
      <c r="BI99" s="103"/>
      <c r="BJ99" s="112" t="str">
        <f t="shared" si="222"/>
        <v xml:space="preserve"> </v>
      </c>
      <c r="BK99" s="123"/>
      <c r="BL99" s="103" t="str">
        <f t="shared" si="223"/>
        <v xml:space="preserve"> </v>
      </c>
      <c r="BM99" s="103" t="str">
        <f t="shared" si="224"/>
        <v xml:space="preserve"> </v>
      </c>
      <c r="BN99" s="103" t="str">
        <f t="shared" si="225"/>
        <v xml:space="preserve"> </v>
      </c>
      <c r="BO99" s="103" t="str">
        <f t="shared" si="226"/>
        <v xml:space="preserve"> </v>
      </c>
      <c r="BP99" s="103" t="str">
        <f t="shared" si="227"/>
        <v xml:space="preserve"> </v>
      </c>
      <c r="BQ99" s="103" t="str">
        <f t="shared" si="228"/>
        <v xml:space="preserve"> </v>
      </c>
      <c r="BR99" s="103" t="str">
        <f t="shared" si="229"/>
        <v xml:space="preserve"> </v>
      </c>
      <c r="BS99" s="103" t="str">
        <f t="shared" si="230"/>
        <v xml:space="preserve"> </v>
      </c>
      <c r="BT99" s="103" t="str">
        <f t="shared" si="231"/>
        <v xml:space="preserve"> </v>
      </c>
      <c r="BU99" s="103">
        <f t="shared" si="232"/>
        <v>0</v>
      </c>
      <c r="BV99" s="103">
        <f t="shared" si="233"/>
        <v>0</v>
      </c>
      <c r="BW99" s="103">
        <f t="shared" si="234"/>
        <v>0</v>
      </c>
      <c r="BX99" s="103"/>
      <c r="BY99" s="103"/>
      <c r="BZ99" s="103"/>
      <c r="CA99" s="112" t="str">
        <f t="shared" si="235"/>
        <v xml:space="preserve"> </v>
      </c>
      <c r="CB99" s="123"/>
      <c r="CC99" s="101">
        <f t="shared" si="261"/>
        <v>8576</v>
      </c>
      <c r="CD99" s="133" t="str">
        <f t="shared" si="262"/>
        <v>NGSA</v>
      </c>
      <c r="CE99" s="103" t="str">
        <f t="shared" si="236"/>
        <v xml:space="preserve"> </v>
      </c>
      <c r="CF99" s="103" t="str">
        <f t="shared" si="237"/>
        <v xml:space="preserve"> </v>
      </c>
      <c r="CG99" s="103" t="str">
        <f t="shared" si="238"/>
        <v xml:space="preserve"> </v>
      </c>
      <c r="CH99" s="103" t="str">
        <f t="shared" si="239"/>
        <v xml:space="preserve"> </v>
      </c>
      <c r="CI99" s="103" t="str">
        <f t="shared" si="240"/>
        <v xml:space="preserve"> </v>
      </c>
      <c r="CJ99" s="103" t="str">
        <f t="shared" si="241"/>
        <v xml:space="preserve"> </v>
      </c>
      <c r="CK99" s="103" t="str">
        <f t="shared" si="242"/>
        <v xml:space="preserve"> </v>
      </c>
      <c r="CL99" s="103" t="str">
        <f t="shared" si="243"/>
        <v xml:space="preserve"> </v>
      </c>
      <c r="CM99" s="103" t="str">
        <f t="shared" si="244"/>
        <v xml:space="preserve"> </v>
      </c>
      <c r="CN99" s="103">
        <f t="shared" si="245"/>
        <v>0</v>
      </c>
      <c r="CO99" s="103">
        <f t="shared" si="246"/>
        <v>0</v>
      </c>
      <c r="CP99" s="103">
        <f t="shared" si="247"/>
        <v>0</v>
      </c>
      <c r="CQ99" s="103"/>
      <c r="CR99" s="103"/>
      <c r="CS99" s="103"/>
      <c r="CT99" s="112" t="str">
        <f t="shared" si="248"/>
        <v xml:space="preserve"> </v>
      </c>
      <c r="CU99" s="127"/>
      <c r="CV99" s="101">
        <f t="shared" si="263"/>
        <v>8576</v>
      </c>
      <c r="CW99" s="133" t="str">
        <f t="shared" si="264"/>
        <v>NGSA</v>
      </c>
      <c r="CX99" s="223">
        <f>VLOOKUP($I99,ngsa0705,13,FALSE)</f>
        <v>0</v>
      </c>
      <c r="CY99" s="223">
        <f>VLOOKUP($I99,ngsa0706,13,FALSE)</f>
        <v>0</v>
      </c>
      <c r="CZ99" s="223">
        <f>VLOOKUP($I99,ngsa0707,13,FALSE)</f>
        <v>0</v>
      </c>
      <c r="DA99" s="223">
        <f>VLOOKUP($I99,ngsa0708,13,FALSE)</f>
        <v>0</v>
      </c>
      <c r="DB99" s="223">
        <f>VLOOKUP($I99,ngsa0721,13,FALSE)</f>
        <v>0</v>
      </c>
      <c r="DC99" s="223">
        <f>VLOOKUP($I99,ngsa0725,13,FALSE)</f>
        <v>0</v>
      </c>
      <c r="DD99" s="223">
        <f>VLOOKUP($I99,ngsa0829,13,FALSE)</f>
        <v>0</v>
      </c>
      <c r="DE99" s="223">
        <f>VLOOKUP($I99,ngsa0830,13,FALSE)</f>
        <v>0</v>
      </c>
      <c r="DF99" s="223">
        <f>VLOOKUP($I99,ngsa0910,13,FALSE)</f>
        <v>0</v>
      </c>
      <c r="DG99" s="223">
        <f t="shared" si="249"/>
        <v>0</v>
      </c>
      <c r="DH99" s="223">
        <f t="shared" si="250"/>
        <v>0</v>
      </c>
      <c r="DI99" s="223">
        <f t="shared" si="251"/>
        <v>0</v>
      </c>
      <c r="DM99" s="224"/>
    </row>
    <row r="100" spans="1:117" ht="15.75" x14ac:dyDescent="0.25">
      <c r="A100" s="136">
        <f t="shared" si="277"/>
        <v>8577</v>
      </c>
      <c r="B100" s="136" t="str">
        <f t="shared" si="278"/>
        <v>NGSA</v>
      </c>
      <c r="C100" s="42"/>
      <c r="D100" s="39"/>
      <c r="E100" s="25"/>
      <c r="F100" s="25"/>
      <c r="G100" s="145"/>
      <c r="I100" s="33">
        <v>8577</v>
      </c>
      <c r="J100" s="130" t="s">
        <v>27</v>
      </c>
      <c r="K100" s="103" t="str">
        <f t="shared" si="184"/>
        <v xml:space="preserve"> </v>
      </c>
      <c r="L100" s="103" t="str">
        <f t="shared" si="185"/>
        <v xml:space="preserve"> </v>
      </c>
      <c r="M100" s="103">
        <f t="shared" si="186"/>
        <v>0</v>
      </c>
      <c r="N100" s="103">
        <f t="shared" si="187"/>
        <v>0</v>
      </c>
      <c r="O100" s="103">
        <f t="shared" si="188"/>
        <v>0</v>
      </c>
      <c r="P100" s="103">
        <f t="shared" si="189"/>
        <v>0</v>
      </c>
      <c r="Q100" s="103">
        <f t="shared" si="190"/>
        <v>0</v>
      </c>
      <c r="R100" s="103">
        <f t="shared" si="191"/>
        <v>0</v>
      </c>
      <c r="S100" s="103">
        <f t="shared" si="192"/>
        <v>0</v>
      </c>
      <c r="T100" s="103">
        <f t="shared" si="193"/>
        <v>0</v>
      </c>
      <c r="U100" s="103">
        <f t="shared" si="194"/>
        <v>0</v>
      </c>
      <c r="V100" s="103">
        <f t="shared" si="195"/>
        <v>0</v>
      </c>
      <c r="W100" s="103"/>
      <c r="X100" s="103"/>
      <c r="Y100" s="103"/>
      <c r="Z100" s="112"/>
      <c r="AA100" s="123"/>
      <c r="AB100" s="103" t="str">
        <f t="shared" si="197"/>
        <v xml:space="preserve"> </v>
      </c>
      <c r="AC100" s="103" t="str">
        <f t="shared" si="198"/>
        <v xml:space="preserve"> </v>
      </c>
      <c r="AD100" s="103" t="str">
        <f t="shared" si="199"/>
        <v xml:space="preserve"> </v>
      </c>
      <c r="AE100" s="103" t="str">
        <f t="shared" si="200"/>
        <v xml:space="preserve"> </v>
      </c>
      <c r="AF100" s="103" t="str">
        <f t="shared" si="201"/>
        <v xml:space="preserve"> </v>
      </c>
      <c r="AG100" s="103" t="str">
        <f t="shared" si="202"/>
        <v xml:space="preserve"> </v>
      </c>
      <c r="AH100" s="103" t="str">
        <f t="shared" si="203"/>
        <v xml:space="preserve"> </v>
      </c>
      <c r="AI100" s="103" t="str">
        <f t="shared" si="204"/>
        <v xml:space="preserve"> </v>
      </c>
      <c r="AJ100" s="103" t="str">
        <f t="shared" si="205"/>
        <v xml:space="preserve"> </v>
      </c>
      <c r="AK100" s="103" t="str">
        <f t="shared" si="206"/>
        <v xml:space="preserve"> </v>
      </c>
      <c r="AL100" s="103" t="str">
        <f t="shared" si="207"/>
        <v xml:space="preserve"> </v>
      </c>
      <c r="AM100" s="103" t="str">
        <f t="shared" si="208"/>
        <v xml:space="preserve"> </v>
      </c>
      <c r="AN100" s="103"/>
      <c r="AO100" s="103"/>
      <c r="AP100" s="103"/>
      <c r="AQ100" s="112" t="str">
        <f t="shared" si="267"/>
        <v xml:space="preserve"> </v>
      </c>
      <c r="AR100" s="123"/>
      <c r="AS100" s="101">
        <f t="shared" si="254"/>
        <v>8577</v>
      </c>
      <c r="AT100" s="133" t="str">
        <f t="shared" si="255"/>
        <v>NGSA</v>
      </c>
      <c r="AU100" s="103" t="str">
        <f t="shared" si="210"/>
        <v xml:space="preserve"> </v>
      </c>
      <c r="AV100" s="103" t="str">
        <f t="shared" si="211"/>
        <v xml:space="preserve"> </v>
      </c>
      <c r="AW100" s="103" t="str">
        <f t="shared" si="212"/>
        <v xml:space="preserve"> </v>
      </c>
      <c r="AX100" s="103" t="str">
        <f t="shared" si="213"/>
        <v xml:space="preserve"> </v>
      </c>
      <c r="AY100" s="103" t="str">
        <f t="shared" si="214"/>
        <v xml:space="preserve"> </v>
      </c>
      <c r="AZ100" s="103" t="str">
        <f t="shared" si="215"/>
        <v xml:space="preserve"> </v>
      </c>
      <c r="BA100" s="103" t="str">
        <f t="shared" si="216"/>
        <v xml:space="preserve"> </v>
      </c>
      <c r="BB100" s="103" t="str">
        <f t="shared" si="217"/>
        <v xml:space="preserve"> </v>
      </c>
      <c r="BC100" s="103" t="str">
        <f t="shared" si="218"/>
        <v xml:space="preserve"> </v>
      </c>
      <c r="BD100" s="103" t="str">
        <f t="shared" si="219"/>
        <v xml:space="preserve"> </v>
      </c>
      <c r="BE100" s="103" t="str">
        <f t="shared" si="220"/>
        <v xml:space="preserve"> </v>
      </c>
      <c r="BF100" s="103" t="str">
        <f t="shared" si="221"/>
        <v xml:space="preserve"> </v>
      </c>
      <c r="BG100" s="103"/>
      <c r="BH100" s="103"/>
      <c r="BI100" s="103"/>
      <c r="BJ100" s="112" t="str">
        <f t="shared" si="222"/>
        <v xml:space="preserve"> </v>
      </c>
      <c r="BK100" s="123"/>
      <c r="BL100" s="103" t="str">
        <f t="shared" si="223"/>
        <v xml:space="preserve"> </v>
      </c>
      <c r="BM100" s="103" t="str">
        <f t="shared" si="224"/>
        <v xml:space="preserve"> </v>
      </c>
      <c r="BN100" s="103" t="str">
        <f t="shared" si="225"/>
        <v xml:space="preserve"> </v>
      </c>
      <c r="BO100" s="103" t="str">
        <f t="shared" si="226"/>
        <v xml:space="preserve"> </v>
      </c>
      <c r="BP100" s="103" t="str">
        <f t="shared" si="227"/>
        <v xml:space="preserve"> </v>
      </c>
      <c r="BQ100" s="103" t="str">
        <f t="shared" si="228"/>
        <v xml:space="preserve"> </v>
      </c>
      <c r="BR100" s="103" t="str">
        <f t="shared" si="229"/>
        <v xml:space="preserve"> </v>
      </c>
      <c r="BS100" s="103" t="str">
        <f t="shared" si="230"/>
        <v xml:space="preserve"> </v>
      </c>
      <c r="BT100" s="103" t="str">
        <f t="shared" si="231"/>
        <v xml:space="preserve"> </v>
      </c>
      <c r="BU100" s="103">
        <f t="shared" si="232"/>
        <v>0</v>
      </c>
      <c r="BV100" s="103">
        <f t="shared" si="233"/>
        <v>0</v>
      </c>
      <c r="BW100" s="103">
        <f t="shared" si="234"/>
        <v>0</v>
      </c>
      <c r="BX100" s="103"/>
      <c r="BY100" s="103"/>
      <c r="BZ100" s="103"/>
      <c r="CA100" s="112" t="str">
        <f t="shared" si="235"/>
        <v xml:space="preserve"> </v>
      </c>
      <c r="CB100" s="123"/>
      <c r="CC100" s="101">
        <f t="shared" si="261"/>
        <v>8577</v>
      </c>
      <c r="CD100" s="133" t="str">
        <f t="shared" si="262"/>
        <v>NGSA</v>
      </c>
      <c r="CE100" s="103" t="str">
        <f t="shared" si="236"/>
        <v xml:space="preserve"> </v>
      </c>
      <c r="CF100" s="103" t="str">
        <f t="shared" si="237"/>
        <v xml:space="preserve"> </v>
      </c>
      <c r="CG100" s="103" t="str">
        <f t="shared" si="238"/>
        <v xml:space="preserve"> </v>
      </c>
      <c r="CH100" s="103" t="str">
        <f t="shared" si="239"/>
        <v xml:space="preserve"> </v>
      </c>
      <c r="CI100" s="103" t="str">
        <f t="shared" si="240"/>
        <v xml:space="preserve"> </v>
      </c>
      <c r="CJ100" s="103" t="str">
        <f t="shared" si="241"/>
        <v xml:space="preserve"> </v>
      </c>
      <c r="CK100" s="103" t="str">
        <f t="shared" si="242"/>
        <v xml:space="preserve"> </v>
      </c>
      <c r="CL100" s="103" t="str">
        <f t="shared" si="243"/>
        <v xml:space="preserve"> </v>
      </c>
      <c r="CM100" s="103" t="str">
        <f t="shared" si="244"/>
        <v xml:space="preserve"> </v>
      </c>
      <c r="CN100" s="103">
        <f t="shared" si="245"/>
        <v>0</v>
      </c>
      <c r="CO100" s="103">
        <f t="shared" si="246"/>
        <v>0</v>
      </c>
      <c r="CP100" s="103">
        <f t="shared" si="247"/>
        <v>0</v>
      </c>
      <c r="CQ100" s="103"/>
      <c r="CR100" s="103"/>
      <c r="CS100" s="103"/>
      <c r="CT100" s="112" t="str">
        <f t="shared" si="248"/>
        <v xml:space="preserve"> </v>
      </c>
      <c r="CU100" s="127"/>
      <c r="CV100" s="101">
        <f t="shared" si="263"/>
        <v>8577</v>
      </c>
      <c r="CW100" s="133" t="str">
        <f t="shared" si="264"/>
        <v>NGSA</v>
      </c>
      <c r="CX100" s="223">
        <f>VLOOKUP($I100,ngsa0705,13,FALSE)</f>
        <v>0</v>
      </c>
      <c r="CY100" s="223">
        <f>VLOOKUP($I100,ngsa0706,13,FALSE)</f>
        <v>0</v>
      </c>
      <c r="CZ100" s="223">
        <f>VLOOKUP($I100,ngsa0707,13,FALSE)</f>
        <v>0</v>
      </c>
      <c r="DA100" s="223">
        <f>VLOOKUP($I100,ngsa0708,13,FALSE)</f>
        <v>0</v>
      </c>
      <c r="DB100" s="223">
        <f>VLOOKUP($I100,ngsa0721,13,FALSE)</f>
        <v>0</v>
      </c>
      <c r="DC100" s="223">
        <f>VLOOKUP($I100,ngsa0725,13,FALSE)</f>
        <v>0</v>
      </c>
      <c r="DD100" s="223">
        <f>VLOOKUP($I100,ngsa0829,13,FALSE)</f>
        <v>0</v>
      </c>
      <c r="DE100" s="223">
        <f>VLOOKUP($I100,ngsa0830,13,FALSE)</f>
        <v>0</v>
      </c>
      <c r="DF100" s="223">
        <f>VLOOKUP($I100,ngsa0910,13,FALSE)</f>
        <v>0</v>
      </c>
      <c r="DG100" s="223">
        <f t="shared" si="249"/>
        <v>0</v>
      </c>
      <c r="DH100" s="223">
        <f t="shared" si="250"/>
        <v>0</v>
      </c>
      <c r="DI100" s="223">
        <f t="shared" si="251"/>
        <v>0</v>
      </c>
      <c r="DM100" s="224"/>
    </row>
    <row r="101" spans="1:117" ht="15.75" x14ac:dyDescent="0.25">
      <c r="A101" s="136">
        <f t="shared" si="277"/>
        <v>8578</v>
      </c>
      <c r="B101" s="136" t="str">
        <f t="shared" si="278"/>
        <v>NGSA</v>
      </c>
      <c r="C101" s="42"/>
      <c r="D101" s="39"/>
      <c r="E101" s="25"/>
      <c r="F101" s="25"/>
      <c r="G101" s="145"/>
      <c r="I101" s="33">
        <v>8578</v>
      </c>
      <c r="J101" s="130" t="s">
        <v>27</v>
      </c>
      <c r="K101" s="103" t="str">
        <f t="shared" si="184"/>
        <v xml:space="preserve"> </v>
      </c>
      <c r="L101" s="103" t="str">
        <f t="shared" si="185"/>
        <v xml:space="preserve"> </v>
      </c>
      <c r="M101" s="103">
        <f t="shared" si="186"/>
        <v>0</v>
      </c>
      <c r="N101" s="103">
        <f t="shared" si="187"/>
        <v>0</v>
      </c>
      <c r="O101" s="103">
        <f t="shared" si="188"/>
        <v>0</v>
      </c>
      <c r="P101" s="103">
        <f t="shared" si="189"/>
        <v>0</v>
      </c>
      <c r="Q101" s="103">
        <f t="shared" si="190"/>
        <v>0</v>
      </c>
      <c r="R101" s="103">
        <f t="shared" si="191"/>
        <v>0</v>
      </c>
      <c r="S101" s="103">
        <f t="shared" si="192"/>
        <v>0</v>
      </c>
      <c r="T101" s="103">
        <f t="shared" si="193"/>
        <v>0</v>
      </c>
      <c r="U101" s="103">
        <f t="shared" si="194"/>
        <v>0</v>
      </c>
      <c r="V101" s="103">
        <f t="shared" si="195"/>
        <v>0</v>
      </c>
      <c r="W101" s="103"/>
      <c r="X101" s="103"/>
      <c r="Y101" s="103"/>
      <c r="Z101" s="112"/>
      <c r="AA101" s="123"/>
      <c r="AB101" s="103" t="str">
        <f t="shared" si="197"/>
        <v xml:space="preserve"> </v>
      </c>
      <c r="AC101" s="103" t="str">
        <f t="shared" si="198"/>
        <v xml:space="preserve"> </v>
      </c>
      <c r="AD101" s="103" t="str">
        <f t="shared" si="199"/>
        <v xml:space="preserve"> </v>
      </c>
      <c r="AE101" s="103" t="str">
        <f t="shared" si="200"/>
        <v xml:space="preserve"> </v>
      </c>
      <c r="AF101" s="103" t="str">
        <f t="shared" si="201"/>
        <v xml:space="preserve"> </v>
      </c>
      <c r="AG101" s="103" t="str">
        <f t="shared" si="202"/>
        <v xml:space="preserve"> </v>
      </c>
      <c r="AH101" s="103" t="str">
        <f t="shared" si="203"/>
        <v xml:space="preserve"> </v>
      </c>
      <c r="AI101" s="103" t="str">
        <f t="shared" si="204"/>
        <v xml:space="preserve"> </v>
      </c>
      <c r="AJ101" s="103" t="str">
        <f t="shared" si="205"/>
        <v xml:space="preserve"> </v>
      </c>
      <c r="AK101" s="103" t="str">
        <f t="shared" si="206"/>
        <v xml:space="preserve"> </v>
      </c>
      <c r="AL101" s="103" t="str">
        <f t="shared" si="207"/>
        <v xml:space="preserve"> </v>
      </c>
      <c r="AM101" s="103" t="str">
        <f t="shared" si="208"/>
        <v xml:space="preserve"> </v>
      </c>
      <c r="AN101" s="103"/>
      <c r="AO101" s="103"/>
      <c r="AP101" s="103"/>
      <c r="AQ101" s="112" t="str">
        <f t="shared" si="267"/>
        <v xml:space="preserve"> </v>
      </c>
      <c r="AR101" s="123"/>
      <c r="AS101" s="101">
        <f t="shared" si="254"/>
        <v>8578</v>
      </c>
      <c r="AT101" s="133" t="str">
        <f t="shared" si="255"/>
        <v>NGSA</v>
      </c>
      <c r="AU101" s="103" t="str">
        <f t="shared" si="210"/>
        <v xml:space="preserve"> </v>
      </c>
      <c r="AV101" s="103" t="str">
        <f t="shared" si="211"/>
        <v xml:space="preserve"> </v>
      </c>
      <c r="AW101" s="103" t="str">
        <f t="shared" si="212"/>
        <v xml:space="preserve"> </v>
      </c>
      <c r="AX101" s="103" t="str">
        <f t="shared" si="213"/>
        <v xml:space="preserve"> </v>
      </c>
      <c r="AY101" s="103" t="str">
        <f t="shared" si="214"/>
        <v xml:space="preserve"> </v>
      </c>
      <c r="AZ101" s="103" t="str">
        <f t="shared" si="215"/>
        <v xml:space="preserve"> </v>
      </c>
      <c r="BA101" s="103" t="str">
        <f t="shared" si="216"/>
        <v xml:space="preserve"> </v>
      </c>
      <c r="BB101" s="103" t="str">
        <f t="shared" si="217"/>
        <v xml:space="preserve"> </v>
      </c>
      <c r="BC101" s="103" t="str">
        <f t="shared" si="218"/>
        <v xml:space="preserve"> </v>
      </c>
      <c r="BD101" s="103" t="str">
        <f t="shared" si="219"/>
        <v xml:space="preserve"> </v>
      </c>
      <c r="BE101" s="103" t="str">
        <f t="shared" si="220"/>
        <v xml:space="preserve"> </v>
      </c>
      <c r="BF101" s="103" t="str">
        <f t="shared" si="221"/>
        <v xml:space="preserve"> </v>
      </c>
      <c r="BG101" s="103"/>
      <c r="BH101" s="103"/>
      <c r="BI101" s="103"/>
      <c r="BJ101" s="112" t="str">
        <f t="shared" si="222"/>
        <v xml:space="preserve"> </v>
      </c>
      <c r="BK101" s="123"/>
      <c r="BL101" s="103" t="str">
        <f t="shared" si="223"/>
        <v xml:space="preserve"> </v>
      </c>
      <c r="BM101" s="103" t="str">
        <f t="shared" si="224"/>
        <v xml:space="preserve"> </v>
      </c>
      <c r="BN101" s="103" t="str">
        <f t="shared" si="225"/>
        <v xml:space="preserve"> </v>
      </c>
      <c r="BO101" s="103" t="str">
        <f t="shared" si="226"/>
        <v xml:space="preserve"> </v>
      </c>
      <c r="BP101" s="103" t="str">
        <f t="shared" si="227"/>
        <v xml:space="preserve"> </v>
      </c>
      <c r="BQ101" s="103" t="str">
        <f t="shared" si="228"/>
        <v xml:space="preserve"> </v>
      </c>
      <c r="BR101" s="103" t="str">
        <f t="shared" si="229"/>
        <v xml:space="preserve"> </v>
      </c>
      <c r="BS101" s="103" t="str">
        <f t="shared" si="230"/>
        <v xml:space="preserve"> </v>
      </c>
      <c r="BT101" s="103" t="str">
        <f t="shared" si="231"/>
        <v xml:space="preserve"> </v>
      </c>
      <c r="BU101" s="103">
        <f t="shared" si="232"/>
        <v>0</v>
      </c>
      <c r="BV101" s="103">
        <f t="shared" si="233"/>
        <v>0</v>
      </c>
      <c r="BW101" s="103">
        <f t="shared" si="234"/>
        <v>0</v>
      </c>
      <c r="BX101" s="103"/>
      <c r="BY101" s="103"/>
      <c r="BZ101" s="103"/>
      <c r="CA101" s="112" t="str">
        <f t="shared" si="235"/>
        <v xml:space="preserve"> </v>
      </c>
      <c r="CB101" s="123"/>
      <c r="CC101" s="101">
        <f t="shared" si="261"/>
        <v>8578</v>
      </c>
      <c r="CD101" s="133" t="str">
        <f t="shared" si="262"/>
        <v>NGSA</v>
      </c>
      <c r="CE101" s="103" t="str">
        <f t="shared" si="236"/>
        <v xml:space="preserve"> </v>
      </c>
      <c r="CF101" s="103" t="str">
        <f t="shared" si="237"/>
        <v xml:space="preserve"> </v>
      </c>
      <c r="CG101" s="103" t="str">
        <f t="shared" si="238"/>
        <v xml:space="preserve"> </v>
      </c>
      <c r="CH101" s="103" t="str">
        <f t="shared" si="239"/>
        <v xml:space="preserve"> </v>
      </c>
      <c r="CI101" s="103" t="str">
        <f t="shared" si="240"/>
        <v xml:space="preserve"> </v>
      </c>
      <c r="CJ101" s="103" t="str">
        <f t="shared" si="241"/>
        <v xml:space="preserve"> </v>
      </c>
      <c r="CK101" s="103" t="str">
        <f t="shared" si="242"/>
        <v xml:space="preserve"> </v>
      </c>
      <c r="CL101" s="103" t="str">
        <f t="shared" si="243"/>
        <v xml:space="preserve"> </v>
      </c>
      <c r="CM101" s="103" t="str">
        <f t="shared" si="244"/>
        <v xml:space="preserve"> </v>
      </c>
      <c r="CN101" s="103">
        <f t="shared" si="245"/>
        <v>0</v>
      </c>
      <c r="CO101" s="103">
        <f t="shared" si="246"/>
        <v>0</v>
      </c>
      <c r="CP101" s="103">
        <f t="shared" si="247"/>
        <v>0</v>
      </c>
      <c r="CQ101" s="103"/>
      <c r="CR101" s="103"/>
      <c r="CS101" s="103"/>
      <c r="CT101" s="112" t="str">
        <f t="shared" si="248"/>
        <v xml:space="preserve"> </v>
      </c>
      <c r="CU101" s="127"/>
      <c r="CV101" s="101">
        <f t="shared" si="263"/>
        <v>8578</v>
      </c>
      <c r="CW101" s="133" t="str">
        <f t="shared" si="264"/>
        <v>NGSA</v>
      </c>
      <c r="CX101" s="223">
        <f>VLOOKUP($I101,ngsa0705,13,FALSE)</f>
        <v>0</v>
      </c>
      <c r="CY101" s="223">
        <f>VLOOKUP($I101,ngsa0706,13,FALSE)</f>
        <v>0</v>
      </c>
      <c r="CZ101" s="223">
        <f>VLOOKUP($I101,ngsa0707,13,FALSE)</f>
        <v>0</v>
      </c>
      <c r="DA101" s="223">
        <f>VLOOKUP($I101,ngsa0708,13,FALSE)</f>
        <v>0</v>
      </c>
      <c r="DB101" s="223">
        <f>VLOOKUP($I101,ngsa0721,13,FALSE)</f>
        <v>0</v>
      </c>
      <c r="DC101" s="223">
        <f>VLOOKUP($I101,ngsa0725,13,FALSE)</f>
        <v>0</v>
      </c>
      <c r="DD101" s="223">
        <f>VLOOKUP($I101,ngsa0829,13,FALSE)</f>
        <v>0</v>
      </c>
      <c r="DE101" s="223">
        <f>VLOOKUP($I101,ngsa0830,13,FALSE)</f>
        <v>0</v>
      </c>
      <c r="DF101" s="223">
        <f>VLOOKUP($I101,ngsa0910,13,FALSE)</f>
        <v>0</v>
      </c>
      <c r="DG101" s="223">
        <f t="shared" si="249"/>
        <v>0</v>
      </c>
      <c r="DH101" s="223">
        <f t="shared" si="250"/>
        <v>0</v>
      </c>
      <c r="DI101" s="223">
        <f t="shared" si="251"/>
        <v>0</v>
      </c>
      <c r="DM101" s="224"/>
    </row>
    <row r="102" spans="1:117" ht="15.75" x14ac:dyDescent="0.25">
      <c r="A102" s="136">
        <f t="shared" si="277"/>
        <v>8579</v>
      </c>
      <c r="B102" s="136" t="str">
        <f t="shared" si="278"/>
        <v>NGSA</v>
      </c>
      <c r="C102" s="42"/>
      <c r="D102" s="39"/>
      <c r="E102" s="25"/>
      <c r="F102" s="25"/>
      <c r="G102" s="145"/>
      <c r="I102" s="33">
        <v>8579</v>
      </c>
      <c r="J102" s="130" t="s">
        <v>27</v>
      </c>
      <c r="K102" s="103" t="str">
        <f t="shared" si="184"/>
        <v xml:space="preserve"> </v>
      </c>
      <c r="L102" s="103" t="str">
        <f t="shared" si="185"/>
        <v xml:space="preserve"> </v>
      </c>
      <c r="M102" s="103">
        <f t="shared" si="186"/>
        <v>0</v>
      </c>
      <c r="N102" s="103">
        <f t="shared" si="187"/>
        <v>0</v>
      </c>
      <c r="O102" s="103">
        <f t="shared" si="188"/>
        <v>0</v>
      </c>
      <c r="P102" s="103">
        <f t="shared" si="189"/>
        <v>0</v>
      </c>
      <c r="Q102" s="103">
        <f t="shared" si="190"/>
        <v>0</v>
      </c>
      <c r="R102" s="103">
        <f t="shared" si="191"/>
        <v>0</v>
      </c>
      <c r="S102" s="103">
        <f t="shared" si="192"/>
        <v>0</v>
      </c>
      <c r="T102" s="103">
        <f t="shared" si="193"/>
        <v>0</v>
      </c>
      <c r="U102" s="103">
        <f t="shared" si="194"/>
        <v>0</v>
      </c>
      <c r="V102" s="103">
        <f t="shared" si="195"/>
        <v>0</v>
      </c>
      <c r="W102" s="103"/>
      <c r="X102" s="103"/>
      <c r="Y102" s="103"/>
      <c r="Z102" s="112"/>
      <c r="AA102" s="123"/>
      <c r="AB102" s="103" t="str">
        <f t="shared" si="197"/>
        <v xml:space="preserve"> </v>
      </c>
      <c r="AC102" s="103" t="str">
        <f t="shared" si="198"/>
        <v xml:space="preserve"> </v>
      </c>
      <c r="AD102" s="103" t="str">
        <f t="shared" si="199"/>
        <v xml:space="preserve"> </v>
      </c>
      <c r="AE102" s="103" t="str">
        <f t="shared" si="200"/>
        <v xml:space="preserve"> </v>
      </c>
      <c r="AF102" s="103" t="str">
        <f t="shared" si="201"/>
        <v xml:space="preserve"> </v>
      </c>
      <c r="AG102" s="103" t="str">
        <f t="shared" si="202"/>
        <v xml:space="preserve"> </v>
      </c>
      <c r="AH102" s="103" t="str">
        <f t="shared" si="203"/>
        <v xml:space="preserve"> </v>
      </c>
      <c r="AI102" s="103" t="str">
        <f t="shared" si="204"/>
        <v xml:space="preserve"> </v>
      </c>
      <c r="AJ102" s="103" t="str">
        <f t="shared" si="205"/>
        <v xml:space="preserve"> </v>
      </c>
      <c r="AK102" s="103" t="str">
        <f t="shared" si="206"/>
        <v xml:space="preserve"> </v>
      </c>
      <c r="AL102" s="103" t="str">
        <f t="shared" si="207"/>
        <v xml:space="preserve"> </v>
      </c>
      <c r="AM102" s="103" t="str">
        <f t="shared" si="208"/>
        <v xml:space="preserve"> </v>
      </c>
      <c r="AN102" s="103"/>
      <c r="AO102" s="103"/>
      <c r="AP102" s="103"/>
      <c r="AQ102" s="112" t="str">
        <f t="shared" si="267"/>
        <v xml:space="preserve"> </v>
      </c>
      <c r="AR102" s="123"/>
      <c r="AS102" s="101">
        <f t="shared" si="254"/>
        <v>8579</v>
      </c>
      <c r="AT102" s="133" t="str">
        <f t="shared" si="255"/>
        <v>NGSA</v>
      </c>
      <c r="AU102" s="103" t="str">
        <f t="shared" si="210"/>
        <v xml:space="preserve"> </v>
      </c>
      <c r="AV102" s="103" t="str">
        <f t="shared" si="211"/>
        <v xml:space="preserve"> </v>
      </c>
      <c r="AW102" s="103" t="str">
        <f t="shared" si="212"/>
        <v xml:space="preserve"> </v>
      </c>
      <c r="AX102" s="103" t="str">
        <f t="shared" si="213"/>
        <v xml:space="preserve"> </v>
      </c>
      <c r="AY102" s="103" t="str">
        <f t="shared" si="214"/>
        <v xml:space="preserve"> </v>
      </c>
      <c r="AZ102" s="103" t="str">
        <f t="shared" si="215"/>
        <v xml:space="preserve"> </v>
      </c>
      <c r="BA102" s="103" t="str">
        <f t="shared" si="216"/>
        <v xml:space="preserve"> </v>
      </c>
      <c r="BB102" s="103" t="str">
        <f t="shared" si="217"/>
        <v xml:space="preserve"> </v>
      </c>
      <c r="BC102" s="103" t="str">
        <f t="shared" si="218"/>
        <v xml:space="preserve"> </v>
      </c>
      <c r="BD102" s="103" t="str">
        <f t="shared" si="219"/>
        <v xml:space="preserve"> </v>
      </c>
      <c r="BE102" s="103" t="str">
        <f t="shared" si="220"/>
        <v xml:space="preserve"> </v>
      </c>
      <c r="BF102" s="103" t="str">
        <f t="shared" si="221"/>
        <v xml:space="preserve"> </v>
      </c>
      <c r="BG102" s="103"/>
      <c r="BH102" s="103"/>
      <c r="BI102" s="103"/>
      <c r="BJ102" s="112" t="str">
        <f t="shared" si="222"/>
        <v xml:space="preserve"> </v>
      </c>
      <c r="BK102" s="123"/>
      <c r="BL102" s="103" t="str">
        <f t="shared" si="223"/>
        <v xml:space="preserve"> </v>
      </c>
      <c r="BM102" s="103" t="str">
        <f t="shared" si="224"/>
        <v xml:space="preserve"> </v>
      </c>
      <c r="BN102" s="103" t="str">
        <f t="shared" si="225"/>
        <v xml:space="preserve"> </v>
      </c>
      <c r="BO102" s="103" t="str">
        <f t="shared" si="226"/>
        <v xml:space="preserve"> </v>
      </c>
      <c r="BP102" s="103" t="str">
        <f t="shared" si="227"/>
        <v xml:space="preserve"> </v>
      </c>
      <c r="BQ102" s="103" t="str">
        <f t="shared" si="228"/>
        <v xml:space="preserve"> </v>
      </c>
      <c r="BR102" s="103" t="str">
        <f t="shared" si="229"/>
        <v xml:space="preserve"> </v>
      </c>
      <c r="BS102" s="103" t="str">
        <f t="shared" si="230"/>
        <v xml:space="preserve"> </v>
      </c>
      <c r="BT102" s="103" t="str">
        <f t="shared" si="231"/>
        <v xml:space="preserve"> </v>
      </c>
      <c r="BU102" s="103">
        <f t="shared" si="232"/>
        <v>0</v>
      </c>
      <c r="BV102" s="103">
        <f t="shared" si="233"/>
        <v>0</v>
      </c>
      <c r="BW102" s="103">
        <f t="shared" si="234"/>
        <v>0</v>
      </c>
      <c r="BX102" s="103"/>
      <c r="BY102" s="103"/>
      <c r="BZ102" s="103"/>
      <c r="CA102" s="112" t="str">
        <f t="shared" si="235"/>
        <v xml:space="preserve"> </v>
      </c>
      <c r="CB102" s="123"/>
      <c r="CC102" s="101">
        <f t="shared" si="261"/>
        <v>8579</v>
      </c>
      <c r="CD102" s="133" t="str">
        <f t="shared" si="262"/>
        <v>NGSA</v>
      </c>
      <c r="CE102" s="103" t="str">
        <f t="shared" si="236"/>
        <v xml:space="preserve"> </v>
      </c>
      <c r="CF102" s="103" t="str">
        <f t="shared" si="237"/>
        <v xml:space="preserve"> </v>
      </c>
      <c r="CG102" s="103" t="str">
        <f t="shared" si="238"/>
        <v xml:space="preserve"> </v>
      </c>
      <c r="CH102" s="103" t="str">
        <f t="shared" si="239"/>
        <v xml:space="preserve"> </v>
      </c>
      <c r="CI102" s="103" t="str">
        <f t="shared" si="240"/>
        <v xml:space="preserve"> </v>
      </c>
      <c r="CJ102" s="103" t="str">
        <f t="shared" si="241"/>
        <v xml:space="preserve"> </v>
      </c>
      <c r="CK102" s="103" t="str">
        <f t="shared" si="242"/>
        <v xml:space="preserve"> </v>
      </c>
      <c r="CL102" s="103" t="str">
        <f t="shared" si="243"/>
        <v xml:space="preserve"> </v>
      </c>
      <c r="CM102" s="103" t="str">
        <f t="shared" si="244"/>
        <v xml:space="preserve"> </v>
      </c>
      <c r="CN102" s="103">
        <f t="shared" si="245"/>
        <v>0</v>
      </c>
      <c r="CO102" s="103">
        <f t="shared" si="246"/>
        <v>0</v>
      </c>
      <c r="CP102" s="103">
        <f t="shared" si="247"/>
        <v>0</v>
      </c>
      <c r="CQ102" s="103"/>
      <c r="CR102" s="103"/>
      <c r="CS102" s="103"/>
      <c r="CT102" s="112" t="str">
        <f t="shared" si="248"/>
        <v xml:space="preserve"> </v>
      </c>
      <c r="CU102" s="127"/>
      <c r="CV102" s="101">
        <f t="shared" si="263"/>
        <v>8579</v>
      </c>
      <c r="CW102" s="133" t="str">
        <f t="shared" si="264"/>
        <v>NGSA</v>
      </c>
      <c r="CX102" s="223">
        <f>VLOOKUP($I102,ngsa0705,13,FALSE)</f>
        <v>0</v>
      </c>
      <c r="CY102" s="223">
        <f>VLOOKUP($I102,ngsa0706,13,FALSE)</f>
        <v>0</v>
      </c>
      <c r="CZ102" s="223">
        <f>VLOOKUP($I102,ngsa0707,13,FALSE)</f>
        <v>0</v>
      </c>
      <c r="DA102" s="223">
        <f>VLOOKUP($I102,ngsa0708,13,FALSE)</f>
        <v>0</v>
      </c>
      <c r="DB102" s="223">
        <f>VLOOKUP($I102,ngsa0721,13,FALSE)</f>
        <v>0</v>
      </c>
      <c r="DC102" s="223">
        <f>VLOOKUP($I102,ngsa0725,13,FALSE)</f>
        <v>0</v>
      </c>
      <c r="DD102" s="223">
        <f>VLOOKUP($I102,ngsa0829,13,FALSE)</f>
        <v>0</v>
      </c>
      <c r="DE102" s="223">
        <f>VLOOKUP($I102,ngsa0830,13,FALSE)</f>
        <v>0</v>
      </c>
      <c r="DF102" s="223">
        <f>VLOOKUP($I102,ngsa0910,13,FALSE)</f>
        <v>0</v>
      </c>
      <c r="DG102" s="223">
        <f t="shared" si="249"/>
        <v>0</v>
      </c>
      <c r="DH102" s="223">
        <f t="shared" si="250"/>
        <v>0</v>
      </c>
      <c r="DI102" s="223">
        <f t="shared" si="251"/>
        <v>0</v>
      </c>
      <c r="DM102" s="224"/>
    </row>
    <row r="103" spans="1:117" ht="15.75" x14ac:dyDescent="0.25">
      <c r="A103" s="136">
        <f t="shared" si="277"/>
        <v>8580</v>
      </c>
      <c r="B103" s="136" t="str">
        <f t="shared" si="278"/>
        <v>NGSA</v>
      </c>
      <c r="C103" s="42"/>
      <c r="D103" s="39"/>
      <c r="E103" s="25"/>
      <c r="F103" s="25"/>
      <c r="G103" s="145"/>
      <c r="I103" s="33">
        <v>8580</v>
      </c>
      <c r="J103" s="130" t="s">
        <v>27</v>
      </c>
      <c r="K103" s="103" t="str">
        <f t="shared" si="184"/>
        <v xml:space="preserve"> </v>
      </c>
      <c r="L103" s="103" t="str">
        <f t="shared" si="185"/>
        <v xml:space="preserve"> </v>
      </c>
      <c r="M103" s="103">
        <f t="shared" si="186"/>
        <v>0</v>
      </c>
      <c r="N103" s="103">
        <f t="shared" si="187"/>
        <v>0</v>
      </c>
      <c r="O103" s="103">
        <f t="shared" si="188"/>
        <v>0</v>
      </c>
      <c r="P103" s="103">
        <f t="shared" si="189"/>
        <v>0</v>
      </c>
      <c r="Q103" s="103">
        <f t="shared" si="190"/>
        <v>0</v>
      </c>
      <c r="R103" s="103">
        <f t="shared" si="191"/>
        <v>0</v>
      </c>
      <c r="S103" s="103">
        <f t="shared" si="192"/>
        <v>0</v>
      </c>
      <c r="T103" s="103">
        <f t="shared" si="193"/>
        <v>0</v>
      </c>
      <c r="U103" s="103">
        <f t="shared" si="194"/>
        <v>0</v>
      </c>
      <c r="V103" s="103">
        <f t="shared" si="195"/>
        <v>0</v>
      </c>
      <c r="W103" s="103"/>
      <c r="X103" s="103"/>
      <c r="Y103" s="103"/>
      <c r="Z103" s="112"/>
      <c r="AA103" s="123"/>
      <c r="AB103" s="103" t="str">
        <f t="shared" si="197"/>
        <v xml:space="preserve"> </v>
      </c>
      <c r="AC103" s="103" t="str">
        <f t="shared" si="198"/>
        <v xml:space="preserve"> </v>
      </c>
      <c r="AD103" s="103" t="str">
        <f t="shared" si="199"/>
        <v xml:space="preserve"> </v>
      </c>
      <c r="AE103" s="103" t="str">
        <f t="shared" si="200"/>
        <v xml:space="preserve"> </v>
      </c>
      <c r="AF103" s="103" t="str">
        <f t="shared" si="201"/>
        <v xml:space="preserve"> </v>
      </c>
      <c r="AG103" s="103" t="str">
        <f t="shared" si="202"/>
        <v xml:space="preserve"> </v>
      </c>
      <c r="AH103" s="103" t="str">
        <f t="shared" si="203"/>
        <v xml:space="preserve"> </v>
      </c>
      <c r="AI103" s="103" t="str">
        <f t="shared" si="204"/>
        <v xml:space="preserve"> </v>
      </c>
      <c r="AJ103" s="103" t="str">
        <f t="shared" si="205"/>
        <v xml:space="preserve"> </v>
      </c>
      <c r="AK103" s="103" t="str">
        <f t="shared" si="206"/>
        <v xml:space="preserve"> </v>
      </c>
      <c r="AL103" s="103" t="str">
        <f t="shared" si="207"/>
        <v xml:space="preserve"> </v>
      </c>
      <c r="AM103" s="103" t="str">
        <f t="shared" si="208"/>
        <v xml:space="preserve"> </v>
      </c>
      <c r="AN103" s="103"/>
      <c r="AO103" s="103"/>
      <c r="AP103" s="103"/>
      <c r="AQ103" s="112" t="str">
        <f t="shared" si="267"/>
        <v xml:space="preserve"> </v>
      </c>
      <c r="AR103" s="123"/>
      <c r="AS103" s="101">
        <f t="shared" si="254"/>
        <v>8580</v>
      </c>
      <c r="AT103" s="133" t="str">
        <f t="shared" si="255"/>
        <v>NGSA</v>
      </c>
      <c r="AU103" s="103" t="str">
        <f t="shared" si="210"/>
        <v xml:space="preserve"> </v>
      </c>
      <c r="AV103" s="103" t="str">
        <f t="shared" si="211"/>
        <v xml:space="preserve"> </v>
      </c>
      <c r="AW103" s="103" t="str">
        <f t="shared" si="212"/>
        <v xml:space="preserve"> </v>
      </c>
      <c r="AX103" s="103" t="str">
        <f t="shared" si="213"/>
        <v xml:space="preserve"> </v>
      </c>
      <c r="AY103" s="103" t="str">
        <f t="shared" si="214"/>
        <v xml:space="preserve"> </v>
      </c>
      <c r="AZ103" s="103" t="str">
        <f t="shared" si="215"/>
        <v xml:space="preserve"> </v>
      </c>
      <c r="BA103" s="103" t="str">
        <f t="shared" si="216"/>
        <v xml:space="preserve"> </v>
      </c>
      <c r="BB103" s="103" t="str">
        <f t="shared" si="217"/>
        <v xml:space="preserve"> </v>
      </c>
      <c r="BC103" s="103" t="str">
        <f t="shared" si="218"/>
        <v xml:space="preserve"> </v>
      </c>
      <c r="BD103" s="103" t="str">
        <f t="shared" si="219"/>
        <v xml:space="preserve"> </v>
      </c>
      <c r="BE103" s="103" t="str">
        <f t="shared" si="220"/>
        <v xml:space="preserve"> </v>
      </c>
      <c r="BF103" s="103" t="str">
        <f t="shared" si="221"/>
        <v xml:space="preserve"> </v>
      </c>
      <c r="BG103" s="103"/>
      <c r="BH103" s="103"/>
      <c r="BI103" s="103"/>
      <c r="BJ103" s="112" t="str">
        <f t="shared" si="222"/>
        <v xml:space="preserve"> </v>
      </c>
      <c r="BK103" s="123"/>
      <c r="BL103" s="103" t="str">
        <f t="shared" si="223"/>
        <v xml:space="preserve"> </v>
      </c>
      <c r="BM103" s="103" t="str">
        <f t="shared" si="224"/>
        <v xml:space="preserve"> </v>
      </c>
      <c r="BN103" s="103" t="str">
        <f t="shared" si="225"/>
        <v xml:space="preserve"> </v>
      </c>
      <c r="BO103" s="103" t="str">
        <f t="shared" si="226"/>
        <v xml:space="preserve"> </v>
      </c>
      <c r="BP103" s="103" t="str">
        <f t="shared" si="227"/>
        <v xml:space="preserve"> </v>
      </c>
      <c r="BQ103" s="103" t="str">
        <f t="shared" si="228"/>
        <v xml:space="preserve"> </v>
      </c>
      <c r="BR103" s="103" t="str">
        <f t="shared" si="229"/>
        <v xml:space="preserve"> </v>
      </c>
      <c r="BS103" s="103" t="str">
        <f t="shared" si="230"/>
        <v xml:space="preserve"> </v>
      </c>
      <c r="BT103" s="103" t="str">
        <f t="shared" si="231"/>
        <v xml:space="preserve"> </v>
      </c>
      <c r="BU103" s="103">
        <f t="shared" si="232"/>
        <v>0</v>
      </c>
      <c r="BV103" s="103">
        <f t="shared" si="233"/>
        <v>0</v>
      </c>
      <c r="BW103" s="103">
        <f t="shared" si="234"/>
        <v>0</v>
      </c>
      <c r="BX103" s="103"/>
      <c r="BY103" s="103"/>
      <c r="BZ103" s="103"/>
      <c r="CA103" s="112" t="str">
        <f t="shared" si="235"/>
        <v xml:space="preserve"> </v>
      </c>
      <c r="CB103" s="123"/>
      <c r="CC103" s="101">
        <f t="shared" si="261"/>
        <v>8580</v>
      </c>
      <c r="CD103" s="133" t="str">
        <f t="shared" si="262"/>
        <v>NGSA</v>
      </c>
      <c r="CE103" s="103" t="str">
        <f t="shared" si="236"/>
        <v xml:space="preserve"> </v>
      </c>
      <c r="CF103" s="103" t="str">
        <f t="shared" si="237"/>
        <v xml:space="preserve"> </v>
      </c>
      <c r="CG103" s="103" t="str">
        <f t="shared" si="238"/>
        <v xml:space="preserve"> </v>
      </c>
      <c r="CH103" s="103" t="str">
        <f t="shared" si="239"/>
        <v xml:space="preserve"> </v>
      </c>
      <c r="CI103" s="103" t="str">
        <f t="shared" si="240"/>
        <v xml:space="preserve"> </v>
      </c>
      <c r="CJ103" s="103" t="str">
        <f t="shared" si="241"/>
        <v xml:space="preserve"> </v>
      </c>
      <c r="CK103" s="103" t="str">
        <f t="shared" si="242"/>
        <v xml:space="preserve"> </v>
      </c>
      <c r="CL103" s="103" t="str">
        <f t="shared" si="243"/>
        <v xml:space="preserve"> </v>
      </c>
      <c r="CM103" s="103" t="str">
        <f t="shared" si="244"/>
        <v xml:space="preserve"> </v>
      </c>
      <c r="CN103" s="103">
        <f t="shared" si="245"/>
        <v>0</v>
      </c>
      <c r="CO103" s="103">
        <f t="shared" si="246"/>
        <v>0</v>
      </c>
      <c r="CP103" s="103">
        <f t="shared" si="247"/>
        <v>0</v>
      </c>
      <c r="CQ103" s="103"/>
      <c r="CR103" s="103"/>
      <c r="CS103" s="103"/>
      <c r="CT103" s="112" t="str">
        <f t="shared" si="248"/>
        <v xml:space="preserve"> </v>
      </c>
      <c r="CU103" s="127"/>
      <c r="CV103" s="101">
        <f t="shared" si="263"/>
        <v>8580</v>
      </c>
      <c r="CW103" s="133" t="str">
        <f t="shared" si="264"/>
        <v>NGSA</v>
      </c>
      <c r="CX103" s="223">
        <f>VLOOKUP($I103,ngsa0705,13,FALSE)</f>
        <v>0</v>
      </c>
      <c r="CY103" s="223">
        <f>VLOOKUP($I103,ngsa0706,13,FALSE)</f>
        <v>0</v>
      </c>
      <c r="CZ103" s="223">
        <f>VLOOKUP($I103,ngsa0707,13,FALSE)</f>
        <v>0</v>
      </c>
      <c r="DA103" s="223">
        <f>VLOOKUP($I103,ngsa0708,13,FALSE)</f>
        <v>0</v>
      </c>
      <c r="DB103" s="223">
        <f>VLOOKUP($I103,ngsa0721,13,FALSE)</f>
        <v>0</v>
      </c>
      <c r="DC103" s="223">
        <f>VLOOKUP($I103,ngsa0725,13,FALSE)</f>
        <v>0</v>
      </c>
      <c r="DD103" s="223">
        <f>VLOOKUP($I103,ngsa0829,13,FALSE)</f>
        <v>0</v>
      </c>
      <c r="DE103" s="223">
        <f>VLOOKUP($I103,ngsa0830,13,FALSE)</f>
        <v>0</v>
      </c>
      <c r="DF103" s="223">
        <f>VLOOKUP($I103,ngsa0910,13,FALSE)</f>
        <v>0</v>
      </c>
      <c r="DG103" s="223">
        <f t="shared" si="249"/>
        <v>0</v>
      </c>
      <c r="DH103" s="223">
        <f t="shared" si="250"/>
        <v>0</v>
      </c>
      <c r="DI103" s="223">
        <f t="shared" si="251"/>
        <v>0</v>
      </c>
      <c r="DM103" s="224"/>
    </row>
    <row r="104" spans="1:117" ht="15.75" x14ac:dyDescent="0.25">
      <c r="A104" s="136">
        <f t="shared" si="277"/>
        <v>11396</v>
      </c>
      <c r="B104" s="136" t="str">
        <f t="shared" si="278"/>
        <v>NGSA</v>
      </c>
      <c r="C104" s="42"/>
      <c r="D104" s="39"/>
      <c r="E104" s="25"/>
      <c r="F104" s="25"/>
      <c r="G104" s="145"/>
      <c r="I104" s="33">
        <v>11396</v>
      </c>
      <c r="J104" s="130" t="s">
        <v>27</v>
      </c>
      <c r="K104" s="103" t="e">
        <f t="shared" si="184"/>
        <v>#N/A</v>
      </c>
      <c r="L104" s="103" t="e">
        <f t="shared" si="185"/>
        <v>#N/A</v>
      </c>
      <c r="M104" s="103" t="e">
        <f t="shared" si="186"/>
        <v>#N/A</v>
      </c>
      <c r="N104" s="103" t="e">
        <f t="shared" si="187"/>
        <v>#N/A</v>
      </c>
      <c r="O104" s="103" t="e">
        <f t="shared" si="188"/>
        <v>#N/A</v>
      </c>
      <c r="P104" s="103" t="e">
        <f t="shared" si="189"/>
        <v>#N/A</v>
      </c>
      <c r="Q104" s="103" t="e">
        <f t="shared" si="190"/>
        <v>#N/A</v>
      </c>
      <c r="R104" s="103" t="e">
        <f t="shared" si="191"/>
        <v>#N/A</v>
      </c>
      <c r="S104" s="103" t="e">
        <f t="shared" si="192"/>
        <v>#N/A</v>
      </c>
      <c r="T104" s="103">
        <f t="shared" si="193"/>
        <v>0</v>
      </c>
      <c r="U104" s="103">
        <f t="shared" si="194"/>
        <v>0</v>
      </c>
      <c r="V104" s="103">
        <f t="shared" si="195"/>
        <v>0</v>
      </c>
      <c r="W104" s="103"/>
      <c r="X104" s="103"/>
      <c r="Y104" s="103"/>
      <c r="Z104" s="112"/>
      <c r="AA104" s="123"/>
      <c r="AB104" s="103" t="e">
        <f t="shared" si="197"/>
        <v>#N/A</v>
      </c>
      <c r="AC104" s="103" t="e">
        <f t="shared" si="198"/>
        <v>#N/A</v>
      </c>
      <c r="AD104" s="103" t="e">
        <f t="shared" si="199"/>
        <v>#N/A</v>
      </c>
      <c r="AE104" s="103" t="e">
        <f t="shared" si="200"/>
        <v>#N/A</v>
      </c>
      <c r="AF104" s="103" t="e">
        <f t="shared" si="201"/>
        <v>#N/A</v>
      </c>
      <c r="AG104" s="103" t="e">
        <f t="shared" si="202"/>
        <v>#N/A</v>
      </c>
      <c r="AH104" s="103" t="e">
        <f t="shared" si="203"/>
        <v>#N/A</v>
      </c>
      <c r="AI104" s="103" t="e">
        <f t="shared" si="204"/>
        <v>#N/A</v>
      </c>
      <c r="AJ104" s="103" t="e">
        <f t="shared" si="205"/>
        <v>#N/A</v>
      </c>
      <c r="AK104" s="103" t="str">
        <f t="shared" si="206"/>
        <v xml:space="preserve"> </v>
      </c>
      <c r="AL104" s="103" t="str">
        <f t="shared" si="207"/>
        <v xml:space="preserve"> </v>
      </c>
      <c r="AM104" s="103" t="str">
        <f t="shared" si="208"/>
        <v xml:space="preserve"> </v>
      </c>
      <c r="AN104" s="103"/>
      <c r="AO104" s="103"/>
      <c r="AP104" s="103"/>
      <c r="AQ104" s="112" t="str">
        <f t="shared" si="267"/>
        <v xml:space="preserve"> </v>
      </c>
      <c r="AR104" s="123"/>
      <c r="AS104" s="101">
        <f t="shared" si="254"/>
        <v>11396</v>
      </c>
      <c r="AT104" s="133" t="str">
        <f t="shared" si="255"/>
        <v>NGSA</v>
      </c>
      <c r="AU104" s="103" t="e">
        <f t="shared" si="210"/>
        <v>#N/A</v>
      </c>
      <c r="AV104" s="103" t="e">
        <f t="shared" si="211"/>
        <v>#N/A</v>
      </c>
      <c r="AW104" s="103" t="e">
        <f t="shared" si="212"/>
        <v>#N/A</v>
      </c>
      <c r="AX104" s="103" t="e">
        <f t="shared" si="213"/>
        <v>#N/A</v>
      </c>
      <c r="AY104" s="103" t="e">
        <f t="shared" si="214"/>
        <v>#N/A</v>
      </c>
      <c r="AZ104" s="103" t="e">
        <f t="shared" si="215"/>
        <v>#N/A</v>
      </c>
      <c r="BA104" s="103" t="e">
        <f t="shared" si="216"/>
        <v>#N/A</v>
      </c>
      <c r="BB104" s="103" t="e">
        <f t="shared" si="217"/>
        <v>#N/A</v>
      </c>
      <c r="BC104" s="103" t="e">
        <f t="shared" si="218"/>
        <v>#N/A</v>
      </c>
      <c r="BD104" s="103" t="str">
        <f t="shared" si="219"/>
        <v xml:space="preserve"> </v>
      </c>
      <c r="BE104" s="103" t="str">
        <f t="shared" si="220"/>
        <v xml:space="preserve"> </v>
      </c>
      <c r="BF104" s="103" t="str">
        <f t="shared" si="221"/>
        <v xml:space="preserve"> </v>
      </c>
      <c r="BG104" s="103"/>
      <c r="BH104" s="103"/>
      <c r="BI104" s="103"/>
      <c r="BJ104" s="112" t="str">
        <f t="shared" si="222"/>
        <v xml:space="preserve"> </v>
      </c>
      <c r="BK104" s="123"/>
      <c r="BL104" s="103" t="e">
        <f t="shared" si="223"/>
        <v>#N/A</v>
      </c>
      <c r="BM104" s="103" t="e">
        <f t="shared" si="224"/>
        <v>#N/A</v>
      </c>
      <c r="BN104" s="103" t="e">
        <f t="shared" si="225"/>
        <v>#N/A</v>
      </c>
      <c r="BO104" s="103" t="e">
        <f t="shared" si="226"/>
        <v>#N/A</v>
      </c>
      <c r="BP104" s="103" t="e">
        <f t="shared" si="227"/>
        <v>#N/A</v>
      </c>
      <c r="BQ104" s="103" t="e">
        <f t="shared" si="228"/>
        <v>#N/A</v>
      </c>
      <c r="BR104" s="103" t="e">
        <f t="shared" si="229"/>
        <v>#N/A</v>
      </c>
      <c r="BS104" s="103" t="e">
        <f t="shared" si="230"/>
        <v>#N/A</v>
      </c>
      <c r="BT104" s="103" t="e">
        <f t="shared" si="231"/>
        <v>#N/A</v>
      </c>
      <c r="BU104" s="103">
        <f t="shared" si="232"/>
        <v>0</v>
      </c>
      <c r="BV104" s="103">
        <f t="shared" si="233"/>
        <v>0</v>
      </c>
      <c r="BW104" s="103">
        <f t="shared" si="234"/>
        <v>0</v>
      </c>
      <c r="BX104" s="103"/>
      <c r="BY104" s="103"/>
      <c r="BZ104" s="103"/>
      <c r="CA104" s="112" t="str">
        <f t="shared" si="235"/>
        <v xml:space="preserve"> </v>
      </c>
      <c r="CB104" s="123"/>
      <c r="CC104" s="101">
        <f t="shared" si="261"/>
        <v>11396</v>
      </c>
      <c r="CD104" s="133" t="str">
        <f t="shared" si="262"/>
        <v>NGSA</v>
      </c>
      <c r="CE104" s="103" t="e">
        <f t="shared" si="236"/>
        <v>#N/A</v>
      </c>
      <c r="CF104" s="103" t="e">
        <f t="shared" si="237"/>
        <v>#N/A</v>
      </c>
      <c r="CG104" s="103" t="e">
        <f t="shared" si="238"/>
        <v>#N/A</v>
      </c>
      <c r="CH104" s="103" t="e">
        <f t="shared" si="239"/>
        <v>#N/A</v>
      </c>
      <c r="CI104" s="103" t="e">
        <f t="shared" si="240"/>
        <v>#N/A</v>
      </c>
      <c r="CJ104" s="103" t="e">
        <f t="shared" si="241"/>
        <v>#N/A</v>
      </c>
      <c r="CK104" s="103" t="e">
        <f t="shared" si="242"/>
        <v>#N/A</v>
      </c>
      <c r="CL104" s="103" t="e">
        <f t="shared" si="243"/>
        <v>#N/A</v>
      </c>
      <c r="CM104" s="103" t="e">
        <f t="shared" si="244"/>
        <v>#N/A</v>
      </c>
      <c r="CN104" s="103">
        <f t="shared" si="245"/>
        <v>0</v>
      </c>
      <c r="CO104" s="103">
        <f t="shared" si="246"/>
        <v>0</v>
      </c>
      <c r="CP104" s="103">
        <f t="shared" si="247"/>
        <v>0</v>
      </c>
      <c r="CQ104" s="103"/>
      <c r="CR104" s="103"/>
      <c r="CS104" s="103"/>
      <c r="CT104" s="112" t="str">
        <f t="shared" si="248"/>
        <v xml:space="preserve"> </v>
      </c>
      <c r="CU104" s="127"/>
      <c r="CV104" s="101">
        <f t="shared" si="263"/>
        <v>11396</v>
      </c>
      <c r="CW104" s="133" t="str">
        <f t="shared" si="264"/>
        <v>NGSA</v>
      </c>
      <c r="CX104" s="223"/>
      <c r="CY104" s="223"/>
      <c r="CZ104" s="223"/>
      <c r="DA104" s="223"/>
      <c r="DB104" s="223"/>
      <c r="DC104" s="223"/>
      <c r="DD104" s="223"/>
      <c r="DE104" s="223"/>
      <c r="DF104" s="223"/>
      <c r="DG104" s="223">
        <f t="shared" si="249"/>
        <v>449</v>
      </c>
      <c r="DH104" s="223">
        <f t="shared" si="250"/>
        <v>57</v>
      </c>
      <c r="DI104" s="223">
        <f t="shared" si="251"/>
        <v>480</v>
      </c>
      <c r="DM104" s="224">
        <f t="shared" si="265"/>
        <v>328.66666666666669</v>
      </c>
    </row>
    <row r="105" spans="1:117" ht="15.75" x14ac:dyDescent="0.25">
      <c r="A105" s="136">
        <f t="shared" si="277"/>
        <v>12376</v>
      </c>
      <c r="B105" s="136" t="str">
        <f t="shared" si="278"/>
        <v>NGSA</v>
      </c>
      <c r="C105" s="42"/>
      <c r="D105" s="39"/>
      <c r="E105" s="25"/>
      <c r="F105" s="25"/>
      <c r="G105" s="145"/>
      <c r="I105" s="33">
        <v>12376</v>
      </c>
      <c r="J105" s="130" t="s">
        <v>27</v>
      </c>
      <c r="K105" s="103" t="e">
        <f t="shared" si="184"/>
        <v>#N/A</v>
      </c>
      <c r="L105" s="103" t="e">
        <f t="shared" si="185"/>
        <v>#N/A</v>
      </c>
      <c r="M105" s="103" t="e">
        <f t="shared" si="186"/>
        <v>#N/A</v>
      </c>
      <c r="N105" s="103" t="e">
        <f t="shared" si="187"/>
        <v>#N/A</v>
      </c>
      <c r="O105" s="103" t="e">
        <f t="shared" si="188"/>
        <v>#N/A</v>
      </c>
      <c r="P105" s="103" t="e">
        <f t="shared" si="189"/>
        <v>#N/A</v>
      </c>
      <c r="Q105" s="103" t="e">
        <f t="shared" si="190"/>
        <v>#N/A</v>
      </c>
      <c r="R105" s="103" t="e">
        <f t="shared" si="191"/>
        <v>#N/A</v>
      </c>
      <c r="S105" s="103" t="e">
        <f t="shared" si="192"/>
        <v>#N/A</v>
      </c>
      <c r="T105" s="103">
        <f t="shared" si="193"/>
        <v>0</v>
      </c>
      <c r="U105" s="103">
        <f t="shared" si="194"/>
        <v>0</v>
      </c>
      <c r="V105" s="103">
        <f t="shared" si="195"/>
        <v>0</v>
      </c>
      <c r="W105" s="103"/>
      <c r="X105" s="103"/>
      <c r="Y105" s="103"/>
      <c r="Z105" s="112"/>
      <c r="AA105" s="123"/>
      <c r="AB105" s="103" t="e">
        <f t="shared" si="197"/>
        <v>#N/A</v>
      </c>
      <c r="AC105" s="103" t="e">
        <f t="shared" si="198"/>
        <v>#N/A</v>
      </c>
      <c r="AD105" s="103" t="e">
        <f t="shared" si="199"/>
        <v>#N/A</v>
      </c>
      <c r="AE105" s="103" t="e">
        <f t="shared" si="200"/>
        <v>#N/A</v>
      </c>
      <c r="AF105" s="103" t="e">
        <f t="shared" si="201"/>
        <v>#N/A</v>
      </c>
      <c r="AG105" s="103" t="e">
        <f t="shared" si="202"/>
        <v>#N/A</v>
      </c>
      <c r="AH105" s="103" t="e">
        <f t="shared" si="203"/>
        <v>#N/A</v>
      </c>
      <c r="AI105" s="103" t="e">
        <f t="shared" si="204"/>
        <v>#N/A</v>
      </c>
      <c r="AJ105" s="103" t="e">
        <f t="shared" si="205"/>
        <v>#N/A</v>
      </c>
      <c r="AK105" s="103" t="str">
        <f t="shared" si="206"/>
        <v xml:space="preserve"> </v>
      </c>
      <c r="AL105" s="103" t="str">
        <f t="shared" si="207"/>
        <v xml:space="preserve"> </v>
      </c>
      <c r="AM105" s="103" t="str">
        <f t="shared" si="208"/>
        <v xml:space="preserve"> </v>
      </c>
      <c r="AN105" s="103"/>
      <c r="AO105" s="103"/>
      <c r="AP105" s="103"/>
      <c r="AQ105" s="112" t="str">
        <f t="shared" si="267"/>
        <v xml:space="preserve"> </v>
      </c>
      <c r="AR105" s="123"/>
      <c r="AS105" s="101">
        <f t="shared" si="254"/>
        <v>12376</v>
      </c>
      <c r="AT105" s="133" t="str">
        <f t="shared" si="255"/>
        <v>NGSA</v>
      </c>
      <c r="AU105" s="103" t="e">
        <f t="shared" si="210"/>
        <v>#N/A</v>
      </c>
      <c r="AV105" s="103" t="e">
        <f t="shared" si="211"/>
        <v>#N/A</v>
      </c>
      <c r="AW105" s="103" t="e">
        <f t="shared" si="212"/>
        <v>#N/A</v>
      </c>
      <c r="AX105" s="103" t="e">
        <f t="shared" si="213"/>
        <v>#N/A</v>
      </c>
      <c r="AY105" s="103" t="e">
        <f t="shared" si="214"/>
        <v>#N/A</v>
      </c>
      <c r="AZ105" s="103" t="e">
        <f t="shared" si="215"/>
        <v>#N/A</v>
      </c>
      <c r="BA105" s="103" t="e">
        <f t="shared" si="216"/>
        <v>#N/A</v>
      </c>
      <c r="BB105" s="103" t="e">
        <f t="shared" si="217"/>
        <v>#N/A</v>
      </c>
      <c r="BC105" s="103" t="e">
        <f t="shared" si="218"/>
        <v>#N/A</v>
      </c>
      <c r="BD105" s="103" t="str">
        <f t="shared" si="219"/>
        <v xml:space="preserve"> </v>
      </c>
      <c r="BE105" s="103" t="str">
        <f t="shared" si="220"/>
        <v xml:space="preserve"> </v>
      </c>
      <c r="BF105" s="103" t="str">
        <f t="shared" si="221"/>
        <v xml:space="preserve"> </v>
      </c>
      <c r="BG105" s="103"/>
      <c r="BH105" s="103"/>
      <c r="BI105" s="103"/>
      <c r="BJ105" s="112" t="str">
        <f t="shared" si="222"/>
        <v xml:space="preserve"> </v>
      </c>
      <c r="BK105" s="123"/>
      <c r="BL105" s="103" t="e">
        <f t="shared" si="223"/>
        <v>#N/A</v>
      </c>
      <c r="BM105" s="103" t="e">
        <f t="shared" si="224"/>
        <v>#N/A</v>
      </c>
      <c r="BN105" s="103" t="e">
        <f t="shared" si="225"/>
        <v>#N/A</v>
      </c>
      <c r="BO105" s="103" t="e">
        <f t="shared" si="226"/>
        <v>#N/A</v>
      </c>
      <c r="BP105" s="103" t="e">
        <f t="shared" si="227"/>
        <v>#N/A</v>
      </c>
      <c r="BQ105" s="103" t="e">
        <f t="shared" si="228"/>
        <v>#N/A</v>
      </c>
      <c r="BR105" s="103" t="e">
        <f t="shared" si="229"/>
        <v>#N/A</v>
      </c>
      <c r="BS105" s="103" t="e">
        <f t="shared" si="230"/>
        <v>#N/A</v>
      </c>
      <c r="BT105" s="103" t="e">
        <f t="shared" si="231"/>
        <v>#N/A</v>
      </c>
      <c r="BU105" s="103">
        <f t="shared" si="232"/>
        <v>0</v>
      </c>
      <c r="BV105" s="103">
        <f t="shared" si="233"/>
        <v>0</v>
      </c>
      <c r="BW105" s="103">
        <f t="shared" si="234"/>
        <v>0</v>
      </c>
      <c r="BX105" s="103"/>
      <c r="BY105" s="103"/>
      <c r="BZ105" s="103"/>
      <c r="CA105" s="112" t="str">
        <f t="shared" si="235"/>
        <v xml:space="preserve"> </v>
      </c>
      <c r="CB105" s="123"/>
      <c r="CC105" s="101">
        <f t="shared" si="261"/>
        <v>12376</v>
      </c>
      <c r="CD105" s="133" t="str">
        <f t="shared" si="262"/>
        <v>NGSA</v>
      </c>
      <c r="CE105" s="103" t="e">
        <f t="shared" si="236"/>
        <v>#N/A</v>
      </c>
      <c r="CF105" s="103" t="e">
        <f t="shared" si="237"/>
        <v>#N/A</v>
      </c>
      <c r="CG105" s="103" t="e">
        <f t="shared" si="238"/>
        <v>#N/A</v>
      </c>
      <c r="CH105" s="103" t="e">
        <f t="shared" si="239"/>
        <v>#N/A</v>
      </c>
      <c r="CI105" s="103" t="e">
        <f t="shared" si="240"/>
        <v>#N/A</v>
      </c>
      <c r="CJ105" s="103" t="e">
        <f t="shared" si="241"/>
        <v>#N/A</v>
      </c>
      <c r="CK105" s="103" t="e">
        <f t="shared" si="242"/>
        <v>#N/A</v>
      </c>
      <c r="CL105" s="103" t="e">
        <f t="shared" si="243"/>
        <v>#N/A</v>
      </c>
      <c r="CM105" s="103" t="e">
        <f t="shared" si="244"/>
        <v>#N/A</v>
      </c>
      <c r="CN105" s="103">
        <f t="shared" si="245"/>
        <v>0</v>
      </c>
      <c r="CO105" s="103">
        <f t="shared" si="246"/>
        <v>0</v>
      </c>
      <c r="CP105" s="103">
        <f t="shared" si="247"/>
        <v>0</v>
      </c>
      <c r="CQ105" s="103"/>
      <c r="CR105" s="103"/>
      <c r="CS105" s="103"/>
      <c r="CT105" s="112" t="str">
        <f t="shared" si="248"/>
        <v xml:space="preserve"> </v>
      </c>
      <c r="CU105" s="127"/>
      <c r="CV105" s="101">
        <f t="shared" si="263"/>
        <v>12376</v>
      </c>
      <c r="CW105" s="133" t="str">
        <f t="shared" si="264"/>
        <v>NGSA</v>
      </c>
      <c r="CX105" s="223"/>
      <c r="CY105" s="223"/>
      <c r="CZ105" s="223"/>
      <c r="DA105" s="223"/>
      <c r="DB105" s="223"/>
      <c r="DC105" s="223"/>
      <c r="DD105" s="223"/>
      <c r="DE105" s="223"/>
      <c r="DF105" s="223"/>
      <c r="DG105" s="223">
        <f t="shared" si="249"/>
        <v>126</v>
      </c>
      <c r="DH105" s="223">
        <f t="shared" si="250"/>
        <v>144</v>
      </c>
      <c r="DI105" s="223">
        <f t="shared" si="251"/>
        <v>166</v>
      </c>
      <c r="DM105" s="224">
        <f t="shared" si="265"/>
        <v>145.33333333333334</v>
      </c>
    </row>
    <row r="106" spans="1:117" ht="15.75" x14ac:dyDescent="0.25">
      <c r="A106" s="136">
        <f t="shared" si="277"/>
        <v>13636</v>
      </c>
      <c r="B106" s="136" t="str">
        <f t="shared" si="278"/>
        <v>NGSA</v>
      </c>
      <c r="C106" s="42"/>
      <c r="D106" s="39"/>
      <c r="E106" s="25"/>
      <c r="F106" s="25"/>
      <c r="G106" s="145"/>
      <c r="I106" s="33">
        <v>13636</v>
      </c>
      <c r="J106" s="130" t="s">
        <v>27</v>
      </c>
      <c r="K106" s="103" t="str">
        <f t="shared" si="184"/>
        <v xml:space="preserve"> </v>
      </c>
      <c r="L106" s="103" t="str">
        <f t="shared" si="185"/>
        <v xml:space="preserve"> </v>
      </c>
      <c r="M106" s="103">
        <f t="shared" si="186"/>
        <v>0</v>
      </c>
      <c r="N106" s="103">
        <f t="shared" si="187"/>
        <v>0</v>
      </c>
      <c r="O106" s="103">
        <f t="shared" si="188"/>
        <v>0</v>
      </c>
      <c r="P106" s="103">
        <f t="shared" si="189"/>
        <v>0</v>
      </c>
      <c r="Q106" s="103">
        <f t="shared" si="190"/>
        <v>0</v>
      </c>
      <c r="R106" s="103">
        <f t="shared" si="191"/>
        <v>0</v>
      </c>
      <c r="S106" s="103">
        <f t="shared" si="192"/>
        <v>0</v>
      </c>
      <c r="T106" s="103">
        <f t="shared" si="193"/>
        <v>0</v>
      </c>
      <c r="U106" s="103">
        <f t="shared" si="194"/>
        <v>0</v>
      </c>
      <c r="V106" s="103">
        <f t="shared" si="195"/>
        <v>0</v>
      </c>
      <c r="W106" s="103"/>
      <c r="X106" s="103"/>
      <c r="Y106" s="103"/>
      <c r="Z106" s="112"/>
      <c r="AA106" s="123"/>
      <c r="AB106" s="103" t="str">
        <f t="shared" si="197"/>
        <v xml:space="preserve"> </v>
      </c>
      <c r="AC106" s="103" t="str">
        <f t="shared" si="198"/>
        <v xml:space="preserve"> </v>
      </c>
      <c r="AD106" s="103" t="str">
        <f t="shared" si="199"/>
        <v xml:space="preserve"> </v>
      </c>
      <c r="AE106" s="103" t="str">
        <f t="shared" si="200"/>
        <v xml:space="preserve"> </v>
      </c>
      <c r="AF106" s="103" t="str">
        <f t="shared" si="201"/>
        <v xml:space="preserve"> </v>
      </c>
      <c r="AG106" s="103" t="str">
        <f t="shared" si="202"/>
        <v xml:space="preserve"> </v>
      </c>
      <c r="AH106" s="103" t="str">
        <f t="shared" si="203"/>
        <v xml:space="preserve"> </v>
      </c>
      <c r="AI106" s="103" t="str">
        <f t="shared" si="204"/>
        <v xml:space="preserve"> </v>
      </c>
      <c r="AJ106" s="103" t="str">
        <f t="shared" si="205"/>
        <v xml:space="preserve"> </v>
      </c>
      <c r="AK106" s="103" t="str">
        <f t="shared" si="206"/>
        <v xml:space="preserve"> </v>
      </c>
      <c r="AL106" s="103" t="str">
        <f t="shared" si="207"/>
        <v xml:space="preserve"> </v>
      </c>
      <c r="AM106" s="103" t="str">
        <f t="shared" si="208"/>
        <v xml:space="preserve"> </v>
      </c>
      <c r="AN106" s="103"/>
      <c r="AO106" s="103"/>
      <c r="AP106" s="103"/>
      <c r="AQ106" s="112" t="str">
        <f t="shared" si="267"/>
        <v xml:space="preserve"> </v>
      </c>
      <c r="AR106" s="123"/>
      <c r="AS106" s="101">
        <f t="shared" si="254"/>
        <v>13636</v>
      </c>
      <c r="AT106" s="133" t="str">
        <f t="shared" si="255"/>
        <v>NGSA</v>
      </c>
      <c r="AU106" s="103" t="str">
        <f t="shared" si="210"/>
        <v xml:space="preserve"> </v>
      </c>
      <c r="AV106" s="103" t="str">
        <f t="shared" si="211"/>
        <v xml:space="preserve"> </v>
      </c>
      <c r="AW106" s="103" t="str">
        <f t="shared" si="212"/>
        <v xml:space="preserve"> </v>
      </c>
      <c r="AX106" s="103" t="str">
        <f t="shared" si="213"/>
        <v xml:space="preserve"> </v>
      </c>
      <c r="AY106" s="103" t="str">
        <f t="shared" si="214"/>
        <v xml:space="preserve"> </v>
      </c>
      <c r="AZ106" s="103" t="str">
        <f t="shared" si="215"/>
        <v xml:space="preserve"> </v>
      </c>
      <c r="BA106" s="103" t="str">
        <f t="shared" si="216"/>
        <v xml:space="preserve"> </v>
      </c>
      <c r="BB106" s="103" t="str">
        <f t="shared" si="217"/>
        <v xml:space="preserve"> </v>
      </c>
      <c r="BC106" s="103" t="str">
        <f t="shared" si="218"/>
        <v xml:space="preserve"> </v>
      </c>
      <c r="BD106" s="103" t="str">
        <f t="shared" si="219"/>
        <v xml:space="preserve"> </v>
      </c>
      <c r="BE106" s="103" t="str">
        <f t="shared" si="220"/>
        <v xml:space="preserve"> </v>
      </c>
      <c r="BF106" s="103" t="str">
        <f t="shared" si="221"/>
        <v xml:space="preserve"> </v>
      </c>
      <c r="BG106" s="103"/>
      <c r="BH106" s="103"/>
      <c r="BI106" s="103"/>
      <c r="BJ106" s="112" t="str">
        <f t="shared" si="222"/>
        <v xml:space="preserve"> </v>
      </c>
      <c r="BK106" s="123"/>
      <c r="BL106" s="103" t="str">
        <f t="shared" si="223"/>
        <v xml:space="preserve"> </v>
      </c>
      <c r="BM106" s="103" t="str">
        <f t="shared" si="224"/>
        <v xml:space="preserve"> </v>
      </c>
      <c r="BN106" s="103" t="str">
        <f t="shared" si="225"/>
        <v xml:space="preserve"> </v>
      </c>
      <c r="BO106" s="103" t="str">
        <f t="shared" si="226"/>
        <v xml:space="preserve"> </v>
      </c>
      <c r="BP106" s="103" t="str">
        <f t="shared" si="227"/>
        <v xml:space="preserve"> </v>
      </c>
      <c r="BQ106" s="103" t="str">
        <f t="shared" si="228"/>
        <v xml:space="preserve"> </v>
      </c>
      <c r="BR106" s="103" t="str">
        <f t="shared" si="229"/>
        <v xml:space="preserve"> </v>
      </c>
      <c r="BS106" s="103" t="str">
        <f t="shared" si="230"/>
        <v xml:space="preserve"> </v>
      </c>
      <c r="BT106" s="103" t="str">
        <f t="shared" si="231"/>
        <v xml:space="preserve"> </v>
      </c>
      <c r="BU106" s="103">
        <f t="shared" si="232"/>
        <v>0</v>
      </c>
      <c r="BV106" s="103">
        <f t="shared" si="233"/>
        <v>0</v>
      </c>
      <c r="BW106" s="103">
        <f t="shared" si="234"/>
        <v>0</v>
      </c>
      <c r="BX106" s="103"/>
      <c r="BY106" s="103"/>
      <c r="BZ106" s="103"/>
      <c r="CA106" s="112" t="str">
        <f t="shared" si="235"/>
        <v xml:space="preserve"> </v>
      </c>
      <c r="CB106" s="123"/>
      <c r="CC106" s="101">
        <f t="shared" si="261"/>
        <v>13636</v>
      </c>
      <c r="CD106" s="133" t="str">
        <f t="shared" si="262"/>
        <v>NGSA</v>
      </c>
      <c r="CE106" s="103" t="str">
        <f t="shared" si="236"/>
        <v>X</v>
      </c>
      <c r="CF106" s="103" t="str">
        <f t="shared" si="237"/>
        <v>X</v>
      </c>
      <c r="CG106" s="103" t="str">
        <f t="shared" si="238"/>
        <v>X</v>
      </c>
      <c r="CH106" s="103" t="str">
        <f t="shared" si="239"/>
        <v>X</v>
      </c>
      <c r="CI106" s="103" t="str">
        <f t="shared" si="240"/>
        <v xml:space="preserve"> </v>
      </c>
      <c r="CJ106" s="103" t="str">
        <f t="shared" si="241"/>
        <v xml:space="preserve"> </v>
      </c>
      <c r="CK106" s="103" t="str">
        <f t="shared" si="242"/>
        <v xml:space="preserve"> </v>
      </c>
      <c r="CL106" s="103" t="str">
        <f t="shared" si="243"/>
        <v xml:space="preserve"> </v>
      </c>
      <c r="CM106" s="103" t="str">
        <f t="shared" si="244"/>
        <v xml:space="preserve"> </v>
      </c>
      <c r="CN106" s="103">
        <f t="shared" si="245"/>
        <v>0</v>
      </c>
      <c r="CO106" s="103">
        <f t="shared" si="246"/>
        <v>0</v>
      </c>
      <c r="CP106" s="103">
        <f t="shared" si="247"/>
        <v>0</v>
      </c>
      <c r="CQ106" s="103"/>
      <c r="CR106" s="103"/>
      <c r="CS106" s="103"/>
      <c r="CT106" s="112">
        <f t="shared" si="248"/>
        <v>4</v>
      </c>
      <c r="CU106" s="127"/>
      <c r="CV106" s="101">
        <f t="shared" si="263"/>
        <v>13636</v>
      </c>
      <c r="CW106" s="133" t="str">
        <f t="shared" si="264"/>
        <v>NGSA</v>
      </c>
      <c r="CX106" s="223"/>
      <c r="CY106" s="223"/>
      <c r="CZ106" s="223"/>
      <c r="DA106" s="223"/>
      <c r="DB106" s="223"/>
      <c r="DC106" s="223"/>
      <c r="DD106" s="223"/>
      <c r="DE106" s="223"/>
      <c r="DF106" s="223"/>
      <c r="DG106" s="223">
        <f t="shared" si="249"/>
        <v>0</v>
      </c>
      <c r="DH106" s="223">
        <f t="shared" si="250"/>
        <v>0</v>
      </c>
      <c r="DI106" s="223">
        <f t="shared" si="251"/>
        <v>3</v>
      </c>
      <c r="DM106" s="224">
        <f t="shared" si="265"/>
        <v>1</v>
      </c>
    </row>
    <row r="107" spans="1:117" ht="15.75" x14ac:dyDescent="0.25">
      <c r="A107" s="136">
        <f t="shared" si="277"/>
        <v>13836</v>
      </c>
      <c r="B107" s="136" t="str">
        <f t="shared" si="278"/>
        <v>NGSA</v>
      </c>
      <c r="C107" s="42"/>
      <c r="D107" s="39"/>
      <c r="E107" s="25"/>
      <c r="F107" s="25"/>
      <c r="G107" s="145"/>
      <c r="I107" s="33">
        <v>13836</v>
      </c>
      <c r="J107" s="130" t="s">
        <v>27</v>
      </c>
      <c r="K107" s="103" t="e">
        <f t="shared" si="184"/>
        <v>#N/A</v>
      </c>
      <c r="L107" s="103" t="e">
        <f t="shared" si="185"/>
        <v>#N/A</v>
      </c>
      <c r="M107" s="103" t="e">
        <f t="shared" si="186"/>
        <v>#N/A</v>
      </c>
      <c r="N107" s="103" t="e">
        <f t="shared" si="187"/>
        <v>#N/A</v>
      </c>
      <c r="O107" s="103" t="e">
        <f t="shared" si="188"/>
        <v>#N/A</v>
      </c>
      <c r="P107" s="103" t="e">
        <f t="shared" si="189"/>
        <v>#N/A</v>
      </c>
      <c r="Q107" s="103" t="e">
        <f t="shared" si="190"/>
        <v>#N/A</v>
      </c>
      <c r="R107" s="103" t="e">
        <f t="shared" si="191"/>
        <v>#N/A</v>
      </c>
      <c r="S107" s="103" t="e">
        <f t="shared" si="192"/>
        <v>#N/A</v>
      </c>
      <c r="T107" s="103">
        <f t="shared" si="193"/>
        <v>0</v>
      </c>
      <c r="U107" s="103">
        <f t="shared" si="194"/>
        <v>0</v>
      </c>
      <c r="V107" s="103">
        <f t="shared" si="195"/>
        <v>0</v>
      </c>
      <c r="W107" s="103"/>
      <c r="X107" s="103"/>
      <c r="Y107" s="103"/>
      <c r="Z107" s="112"/>
      <c r="AA107" s="123"/>
      <c r="AB107" s="103" t="e">
        <f t="shared" si="197"/>
        <v>#N/A</v>
      </c>
      <c r="AC107" s="103" t="e">
        <f t="shared" si="198"/>
        <v>#N/A</v>
      </c>
      <c r="AD107" s="103" t="e">
        <f t="shared" si="199"/>
        <v>#N/A</v>
      </c>
      <c r="AE107" s="103" t="e">
        <f t="shared" si="200"/>
        <v>#N/A</v>
      </c>
      <c r="AF107" s="103" t="e">
        <f t="shared" si="201"/>
        <v>#N/A</v>
      </c>
      <c r="AG107" s="103" t="e">
        <f t="shared" si="202"/>
        <v>#N/A</v>
      </c>
      <c r="AH107" s="103" t="e">
        <f t="shared" si="203"/>
        <v>#N/A</v>
      </c>
      <c r="AI107" s="103" t="e">
        <f t="shared" si="204"/>
        <v>#N/A</v>
      </c>
      <c r="AJ107" s="103" t="e">
        <f t="shared" si="205"/>
        <v>#N/A</v>
      </c>
      <c r="AK107" s="103" t="str">
        <f t="shared" si="206"/>
        <v xml:space="preserve"> </v>
      </c>
      <c r="AL107" s="103" t="str">
        <f t="shared" si="207"/>
        <v xml:space="preserve"> </v>
      </c>
      <c r="AM107" s="103" t="str">
        <f t="shared" si="208"/>
        <v xml:space="preserve"> </v>
      </c>
      <c r="AN107" s="103"/>
      <c r="AO107" s="103"/>
      <c r="AP107" s="103"/>
      <c r="AQ107" s="112" t="str">
        <f t="shared" si="267"/>
        <v xml:space="preserve"> </v>
      </c>
      <c r="AR107" s="123"/>
      <c r="AS107" s="101">
        <f t="shared" si="254"/>
        <v>13836</v>
      </c>
      <c r="AT107" s="133" t="str">
        <f t="shared" si="255"/>
        <v>NGSA</v>
      </c>
      <c r="AU107" s="103" t="e">
        <f t="shared" si="210"/>
        <v>#N/A</v>
      </c>
      <c r="AV107" s="103" t="e">
        <f t="shared" si="211"/>
        <v>#N/A</v>
      </c>
      <c r="AW107" s="103" t="e">
        <f t="shared" si="212"/>
        <v>#N/A</v>
      </c>
      <c r="AX107" s="103" t="e">
        <f t="shared" si="213"/>
        <v>#N/A</v>
      </c>
      <c r="AY107" s="103" t="e">
        <f t="shared" si="214"/>
        <v>#N/A</v>
      </c>
      <c r="AZ107" s="103" t="e">
        <f t="shared" si="215"/>
        <v>#N/A</v>
      </c>
      <c r="BA107" s="103" t="e">
        <f t="shared" si="216"/>
        <v>#N/A</v>
      </c>
      <c r="BB107" s="103" t="e">
        <f t="shared" si="217"/>
        <v>#N/A</v>
      </c>
      <c r="BC107" s="103" t="e">
        <f t="shared" si="218"/>
        <v>#N/A</v>
      </c>
      <c r="BD107" s="103" t="str">
        <f t="shared" si="219"/>
        <v xml:space="preserve"> </v>
      </c>
      <c r="BE107" s="103" t="str">
        <f t="shared" si="220"/>
        <v xml:space="preserve"> </v>
      </c>
      <c r="BF107" s="103" t="str">
        <f t="shared" si="221"/>
        <v xml:space="preserve"> </v>
      </c>
      <c r="BG107" s="103"/>
      <c r="BH107" s="103"/>
      <c r="BI107" s="103"/>
      <c r="BJ107" s="112" t="str">
        <f t="shared" si="222"/>
        <v xml:space="preserve"> </v>
      </c>
      <c r="BK107" s="123"/>
      <c r="BL107" s="103" t="e">
        <f t="shared" si="223"/>
        <v>#N/A</v>
      </c>
      <c r="BM107" s="103" t="e">
        <f t="shared" si="224"/>
        <v>#N/A</v>
      </c>
      <c r="BN107" s="103" t="e">
        <f t="shared" si="225"/>
        <v>#N/A</v>
      </c>
      <c r="BO107" s="103" t="e">
        <f t="shared" si="226"/>
        <v>#N/A</v>
      </c>
      <c r="BP107" s="103" t="e">
        <f t="shared" si="227"/>
        <v>#N/A</v>
      </c>
      <c r="BQ107" s="103" t="e">
        <f t="shared" si="228"/>
        <v>#N/A</v>
      </c>
      <c r="BR107" s="103" t="e">
        <f t="shared" si="229"/>
        <v>#N/A</v>
      </c>
      <c r="BS107" s="103" t="e">
        <f t="shared" si="230"/>
        <v>#N/A</v>
      </c>
      <c r="BT107" s="103" t="e">
        <f t="shared" si="231"/>
        <v>#N/A</v>
      </c>
      <c r="BU107" s="103">
        <f t="shared" si="232"/>
        <v>0</v>
      </c>
      <c r="BV107" s="103">
        <f t="shared" si="233"/>
        <v>0</v>
      </c>
      <c r="BW107" s="103">
        <f t="shared" si="234"/>
        <v>0</v>
      </c>
      <c r="BX107" s="103"/>
      <c r="BY107" s="103"/>
      <c r="BZ107" s="103"/>
      <c r="CA107" s="112" t="str">
        <f t="shared" si="235"/>
        <v xml:space="preserve"> </v>
      </c>
      <c r="CB107" s="123"/>
      <c r="CC107" s="101">
        <f t="shared" si="261"/>
        <v>13836</v>
      </c>
      <c r="CD107" s="133" t="str">
        <f t="shared" si="262"/>
        <v>NGSA</v>
      </c>
      <c r="CE107" s="103" t="e">
        <f t="shared" si="236"/>
        <v>#N/A</v>
      </c>
      <c r="CF107" s="103" t="e">
        <f t="shared" si="237"/>
        <v>#N/A</v>
      </c>
      <c r="CG107" s="103" t="e">
        <f t="shared" si="238"/>
        <v>#N/A</v>
      </c>
      <c r="CH107" s="103" t="e">
        <f t="shared" si="239"/>
        <v>#N/A</v>
      </c>
      <c r="CI107" s="103" t="e">
        <f t="shared" si="240"/>
        <v>#N/A</v>
      </c>
      <c r="CJ107" s="103" t="e">
        <f t="shared" si="241"/>
        <v>#N/A</v>
      </c>
      <c r="CK107" s="103" t="e">
        <f t="shared" si="242"/>
        <v>#N/A</v>
      </c>
      <c r="CL107" s="103" t="e">
        <f t="shared" si="243"/>
        <v>#N/A</v>
      </c>
      <c r="CM107" s="103" t="e">
        <f t="shared" si="244"/>
        <v>#N/A</v>
      </c>
      <c r="CN107" s="103">
        <f t="shared" si="245"/>
        <v>0</v>
      </c>
      <c r="CO107" s="103">
        <f t="shared" si="246"/>
        <v>0</v>
      </c>
      <c r="CP107" s="103">
        <f t="shared" si="247"/>
        <v>0</v>
      </c>
      <c r="CQ107" s="103"/>
      <c r="CR107" s="103"/>
      <c r="CS107" s="103"/>
      <c r="CT107" s="112" t="str">
        <f t="shared" si="248"/>
        <v xml:space="preserve"> </v>
      </c>
      <c r="CU107" s="127"/>
      <c r="CV107" s="101">
        <f t="shared" si="263"/>
        <v>13836</v>
      </c>
      <c r="CW107" s="133" t="str">
        <f t="shared" si="264"/>
        <v>NGSA</v>
      </c>
      <c r="CX107" s="223"/>
      <c r="CY107" s="223"/>
      <c r="CZ107" s="223"/>
      <c r="DA107" s="223"/>
      <c r="DB107" s="223"/>
      <c r="DC107" s="223"/>
      <c r="DD107" s="223"/>
      <c r="DE107" s="223"/>
      <c r="DF107" s="223"/>
      <c r="DG107" s="223">
        <f t="shared" si="249"/>
        <v>20</v>
      </c>
      <c r="DH107" s="223">
        <f t="shared" si="250"/>
        <v>24</v>
      </c>
      <c r="DI107" s="223">
        <f t="shared" si="251"/>
        <v>28</v>
      </c>
      <c r="DM107" s="224">
        <f t="shared" si="265"/>
        <v>24</v>
      </c>
    </row>
    <row r="108" spans="1:117" ht="15.75" x14ac:dyDescent="0.25">
      <c r="A108" s="136">
        <f t="shared" si="277"/>
        <v>18287</v>
      </c>
      <c r="B108" s="136" t="str">
        <f t="shared" si="278"/>
        <v>NGSA</v>
      </c>
      <c r="C108" s="42"/>
      <c r="D108" s="39"/>
      <c r="E108" s="25"/>
      <c r="F108" s="25"/>
      <c r="G108" s="145"/>
      <c r="I108" s="33">
        <v>18287</v>
      </c>
      <c r="J108" s="130" t="s">
        <v>27</v>
      </c>
      <c r="K108" s="103" t="str">
        <f t="shared" si="184"/>
        <v xml:space="preserve"> </v>
      </c>
      <c r="L108" s="103" t="str">
        <f t="shared" si="185"/>
        <v xml:space="preserve"> </v>
      </c>
      <c r="M108" s="103">
        <f t="shared" si="186"/>
        <v>0</v>
      </c>
      <c r="N108" s="103">
        <f t="shared" si="187"/>
        <v>0</v>
      </c>
      <c r="O108" s="103">
        <f t="shared" si="188"/>
        <v>0</v>
      </c>
      <c r="P108" s="103">
        <f t="shared" si="189"/>
        <v>0</v>
      </c>
      <c r="Q108" s="103">
        <f t="shared" si="190"/>
        <v>0</v>
      </c>
      <c r="R108" s="103">
        <f t="shared" si="191"/>
        <v>0</v>
      </c>
      <c r="S108" s="103">
        <f t="shared" si="192"/>
        <v>0</v>
      </c>
      <c r="T108" s="103">
        <f t="shared" si="193"/>
        <v>0</v>
      </c>
      <c r="U108" s="103">
        <f t="shared" si="194"/>
        <v>0</v>
      </c>
      <c r="V108" s="103">
        <f t="shared" si="195"/>
        <v>0</v>
      </c>
      <c r="W108" s="103"/>
      <c r="X108" s="103"/>
      <c r="Y108" s="103"/>
      <c r="Z108" s="112"/>
      <c r="AA108" s="123"/>
      <c r="AB108" s="103" t="str">
        <f t="shared" si="197"/>
        <v xml:space="preserve"> </v>
      </c>
      <c r="AC108" s="103" t="str">
        <f t="shared" si="198"/>
        <v xml:space="preserve"> </v>
      </c>
      <c r="AD108" s="103" t="str">
        <f t="shared" si="199"/>
        <v xml:space="preserve"> </v>
      </c>
      <c r="AE108" s="103" t="str">
        <f t="shared" si="200"/>
        <v xml:space="preserve"> </v>
      </c>
      <c r="AF108" s="103" t="str">
        <f t="shared" si="201"/>
        <v xml:space="preserve"> </v>
      </c>
      <c r="AG108" s="103" t="str">
        <f t="shared" si="202"/>
        <v xml:space="preserve"> </v>
      </c>
      <c r="AH108" s="103" t="str">
        <f t="shared" si="203"/>
        <v xml:space="preserve"> </v>
      </c>
      <c r="AI108" s="103" t="str">
        <f t="shared" si="204"/>
        <v xml:space="preserve"> </v>
      </c>
      <c r="AJ108" s="103" t="str">
        <f t="shared" si="205"/>
        <v xml:space="preserve"> </v>
      </c>
      <c r="AK108" s="103" t="str">
        <f t="shared" si="206"/>
        <v xml:space="preserve"> </v>
      </c>
      <c r="AL108" s="103" t="str">
        <f t="shared" si="207"/>
        <v xml:space="preserve"> </v>
      </c>
      <c r="AM108" s="103" t="str">
        <f t="shared" si="208"/>
        <v xml:space="preserve"> </v>
      </c>
      <c r="AN108" s="103"/>
      <c r="AO108" s="103"/>
      <c r="AP108" s="103"/>
      <c r="AQ108" s="112" t="str">
        <f t="shared" si="267"/>
        <v xml:space="preserve"> </v>
      </c>
      <c r="AR108" s="123"/>
      <c r="AS108" s="101">
        <f t="shared" si="254"/>
        <v>18287</v>
      </c>
      <c r="AT108" s="133" t="str">
        <f t="shared" si="255"/>
        <v>NGSA</v>
      </c>
      <c r="AU108" s="103" t="str">
        <f t="shared" si="210"/>
        <v xml:space="preserve"> </v>
      </c>
      <c r="AV108" s="103" t="str">
        <f t="shared" si="211"/>
        <v xml:space="preserve"> </v>
      </c>
      <c r="AW108" s="103" t="str">
        <f t="shared" si="212"/>
        <v xml:space="preserve"> </v>
      </c>
      <c r="AX108" s="103" t="str">
        <f t="shared" si="213"/>
        <v xml:space="preserve"> </v>
      </c>
      <c r="AY108" s="103" t="str">
        <f t="shared" si="214"/>
        <v xml:space="preserve"> </v>
      </c>
      <c r="AZ108" s="103" t="str">
        <f t="shared" si="215"/>
        <v xml:space="preserve"> </v>
      </c>
      <c r="BA108" s="103" t="str">
        <f t="shared" si="216"/>
        <v xml:space="preserve"> </v>
      </c>
      <c r="BB108" s="103" t="str">
        <f t="shared" si="217"/>
        <v xml:space="preserve"> </v>
      </c>
      <c r="BC108" s="103" t="str">
        <f t="shared" si="218"/>
        <v xml:space="preserve"> </v>
      </c>
      <c r="BD108" s="103" t="str">
        <f t="shared" si="219"/>
        <v xml:space="preserve"> </v>
      </c>
      <c r="BE108" s="103" t="str">
        <f t="shared" si="220"/>
        <v xml:space="preserve"> </v>
      </c>
      <c r="BF108" s="103" t="str">
        <f t="shared" si="221"/>
        <v xml:space="preserve"> </v>
      </c>
      <c r="BG108" s="103"/>
      <c r="BH108" s="103"/>
      <c r="BI108" s="103"/>
      <c r="BJ108" s="112" t="str">
        <f t="shared" si="222"/>
        <v xml:space="preserve"> </v>
      </c>
      <c r="BK108" s="123"/>
      <c r="BL108" s="103" t="str">
        <f t="shared" si="223"/>
        <v xml:space="preserve"> </v>
      </c>
      <c r="BM108" s="103" t="str">
        <f t="shared" si="224"/>
        <v xml:space="preserve"> </v>
      </c>
      <c r="BN108" s="103" t="str">
        <f t="shared" si="225"/>
        <v xml:space="preserve"> </v>
      </c>
      <c r="BO108" s="103" t="str">
        <f t="shared" si="226"/>
        <v xml:space="preserve"> </v>
      </c>
      <c r="BP108" s="103" t="str">
        <f t="shared" si="227"/>
        <v xml:space="preserve"> </v>
      </c>
      <c r="BQ108" s="103" t="str">
        <f t="shared" si="228"/>
        <v xml:space="preserve"> </v>
      </c>
      <c r="BR108" s="103" t="str">
        <f t="shared" si="229"/>
        <v xml:space="preserve"> </v>
      </c>
      <c r="BS108" s="103" t="str">
        <f t="shared" si="230"/>
        <v xml:space="preserve"> </v>
      </c>
      <c r="BT108" s="103" t="str">
        <f t="shared" si="231"/>
        <v xml:space="preserve"> </v>
      </c>
      <c r="BU108" s="103">
        <f t="shared" si="232"/>
        <v>0</v>
      </c>
      <c r="BV108" s="103">
        <f t="shared" si="233"/>
        <v>0</v>
      </c>
      <c r="BW108" s="103">
        <f t="shared" si="234"/>
        <v>0</v>
      </c>
      <c r="BX108" s="103"/>
      <c r="BY108" s="103"/>
      <c r="BZ108" s="103"/>
      <c r="CA108" s="112" t="str">
        <f t="shared" si="235"/>
        <v xml:space="preserve"> </v>
      </c>
      <c r="CB108" s="123"/>
      <c r="CC108" s="101">
        <f t="shared" si="261"/>
        <v>18287</v>
      </c>
      <c r="CD108" s="133" t="str">
        <f t="shared" si="262"/>
        <v>NGSA</v>
      </c>
      <c r="CE108" s="103" t="str">
        <f t="shared" si="236"/>
        <v xml:space="preserve"> </v>
      </c>
      <c r="CF108" s="103" t="str">
        <f t="shared" si="237"/>
        <v xml:space="preserve"> </v>
      </c>
      <c r="CG108" s="103" t="str">
        <f t="shared" si="238"/>
        <v xml:space="preserve"> </v>
      </c>
      <c r="CH108" s="103" t="str">
        <f t="shared" si="239"/>
        <v xml:space="preserve"> </v>
      </c>
      <c r="CI108" s="103" t="str">
        <f t="shared" si="240"/>
        <v xml:space="preserve"> </v>
      </c>
      <c r="CJ108" s="103" t="str">
        <f t="shared" si="241"/>
        <v>X</v>
      </c>
      <c r="CK108" s="103" t="str">
        <f t="shared" si="242"/>
        <v xml:space="preserve"> </v>
      </c>
      <c r="CL108" s="103" t="str">
        <f t="shared" si="243"/>
        <v>X</v>
      </c>
      <c r="CM108" s="103" t="str">
        <f t="shared" si="244"/>
        <v xml:space="preserve"> </v>
      </c>
      <c r="CN108" s="103">
        <f t="shared" si="245"/>
        <v>0</v>
      </c>
      <c r="CO108" s="103">
        <f t="shared" si="246"/>
        <v>0</v>
      </c>
      <c r="CP108" s="103">
        <f t="shared" si="247"/>
        <v>0</v>
      </c>
      <c r="CQ108" s="103"/>
      <c r="CR108" s="103"/>
      <c r="CS108" s="103"/>
      <c r="CT108" s="112">
        <f t="shared" si="248"/>
        <v>2</v>
      </c>
      <c r="CU108" s="127"/>
      <c r="CV108" s="101">
        <f t="shared" si="263"/>
        <v>18287</v>
      </c>
      <c r="CW108" s="133" t="str">
        <f t="shared" si="264"/>
        <v>NGSA</v>
      </c>
      <c r="CX108" s="223">
        <f>VLOOKUP($I108,ngsa0705,13,FALSE)</f>
        <v>0</v>
      </c>
      <c r="CY108" s="223">
        <f>VLOOKUP($I108,ngsa0706,13,FALSE)</f>
        <v>0</v>
      </c>
      <c r="CZ108" s="223">
        <f>VLOOKUP($I108,ngsa0707,13,FALSE)</f>
        <v>0</v>
      </c>
      <c r="DA108" s="223">
        <f>VLOOKUP($I108,ngsa0708,13,FALSE)</f>
        <v>0</v>
      </c>
      <c r="DB108" s="223">
        <f>VLOOKUP($I108,ngsa0721,13,FALSE)</f>
        <v>0</v>
      </c>
      <c r="DC108" s="223">
        <f>VLOOKUP($I108,ngsa0725,13,FALSE)</f>
        <v>0</v>
      </c>
      <c r="DD108" s="223">
        <f>VLOOKUP($I108,ngsa0829,13,FALSE)</f>
        <v>1</v>
      </c>
      <c r="DE108" s="223">
        <f>VLOOKUP($I108,ngsa0830,13,FALSE)</f>
        <v>0</v>
      </c>
      <c r="DF108" s="223">
        <f>VLOOKUP($I108,ngsa0910,13,FALSE)</f>
        <v>0</v>
      </c>
      <c r="DG108" s="223">
        <f t="shared" si="249"/>
        <v>1</v>
      </c>
      <c r="DH108" s="223">
        <f t="shared" si="250"/>
        <v>0</v>
      </c>
      <c r="DI108" s="223">
        <f t="shared" si="251"/>
        <v>0</v>
      </c>
      <c r="DM108" s="224">
        <f>AVERAGE(CX108:DL108)</f>
        <v>0.16666666666666666</v>
      </c>
    </row>
    <row r="109" spans="1:117" ht="15.75" x14ac:dyDescent="0.25">
      <c r="A109" s="136">
        <f t="shared" si="277"/>
        <v>20566</v>
      </c>
      <c r="B109" s="136" t="str">
        <f t="shared" si="278"/>
        <v>NGSA</v>
      </c>
      <c r="C109" s="42"/>
      <c r="D109" s="39"/>
      <c r="E109" s="25"/>
      <c r="F109" s="25"/>
      <c r="G109" s="145"/>
      <c r="I109" s="33">
        <v>20566</v>
      </c>
      <c r="J109" s="130" t="s">
        <v>27</v>
      </c>
      <c r="K109" s="103" t="str">
        <f t="shared" si="184"/>
        <v xml:space="preserve"> </v>
      </c>
      <c r="L109" s="103" t="str">
        <f t="shared" si="185"/>
        <v xml:space="preserve"> </v>
      </c>
      <c r="M109" s="103">
        <f t="shared" si="186"/>
        <v>0</v>
      </c>
      <c r="N109" s="103">
        <f t="shared" si="187"/>
        <v>0</v>
      </c>
      <c r="O109" s="103">
        <f t="shared" si="188"/>
        <v>0</v>
      </c>
      <c r="P109" s="103">
        <f t="shared" si="189"/>
        <v>0</v>
      </c>
      <c r="Q109" s="103">
        <f t="shared" si="190"/>
        <v>0</v>
      </c>
      <c r="R109" s="103">
        <f t="shared" si="191"/>
        <v>0</v>
      </c>
      <c r="S109" s="103">
        <f t="shared" si="192"/>
        <v>0</v>
      </c>
      <c r="T109" s="103">
        <f t="shared" si="193"/>
        <v>0</v>
      </c>
      <c r="U109" s="103">
        <f t="shared" si="194"/>
        <v>0</v>
      </c>
      <c r="V109" s="103">
        <f t="shared" si="195"/>
        <v>0</v>
      </c>
      <c r="W109" s="103"/>
      <c r="X109" s="103"/>
      <c r="Y109" s="103"/>
      <c r="Z109" s="112"/>
      <c r="AA109" s="123"/>
      <c r="AB109" s="103" t="str">
        <f t="shared" si="197"/>
        <v xml:space="preserve"> </v>
      </c>
      <c r="AC109" s="103" t="str">
        <f t="shared" si="198"/>
        <v xml:space="preserve"> </v>
      </c>
      <c r="AD109" s="103" t="str">
        <f t="shared" si="199"/>
        <v xml:space="preserve"> </v>
      </c>
      <c r="AE109" s="103" t="str">
        <f t="shared" si="200"/>
        <v xml:space="preserve"> </v>
      </c>
      <c r="AF109" s="103" t="str">
        <f t="shared" si="201"/>
        <v xml:space="preserve"> </v>
      </c>
      <c r="AG109" s="103" t="str">
        <f t="shared" si="202"/>
        <v xml:space="preserve"> </v>
      </c>
      <c r="AH109" s="103" t="str">
        <f t="shared" si="203"/>
        <v xml:space="preserve"> </v>
      </c>
      <c r="AI109" s="103" t="str">
        <f t="shared" si="204"/>
        <v xml:space="preserve"> </v>
      </c>
      <c r="AJ109" s="103" t="str">
        <f t="shared" si="205"/>
        <v xml:space="preserve"> </v>
      </c>
      <c r="AK109" s="103" t="str">
        <f t="shared" si="206"/>
        <v xml:space="preserve"> </v>
      </c>
      <c r="AL109" s="103" t="str">
        <f t="shared" si="207"/>
        <v xml:space="preserve"> </v>
      </c>
      <c r="AM109" s="103" t="str">
        <f t="shared" si="208"/>
        <v xml:space="preserve"> </v>
      </c>
      <c r="AN109" s="103"/>
      <c r="AO109" s="103"/>
      <c r="AP109" s="103"/>
      <c r="AQ109" s="112" t="str">
        <f t="shared" si="267"/>
        <v xml:space="preserve"> </v>
      </c>
      <c r="AR109" s="123"/>
      <c r="AS109" s="101">
        <f t="shared" si="254"/>
        <v>20566</v>
      </c>
      <c r="AT109" s="133" t="str">
        <f t="shared" si="255"/>
        <v>NGSA</v>
      </c>
      <c r="AU109" s="103" t="str">
        <f t="shared" si="210"/>
        <v xml:space="preserve"> </v>
      </c>
      <c r="AV109" s="103" t="str">
        <f t="shared" si="211"/>
        <v xml:space="preserve"> </v>
      </c>
      <c r="AW109" s="103" t="str">
        <f t="shared" si="212"/>
        <v xml:space="preserve"> </v>
      </c>
      <c r="AX109" s="103" t="str">
        <f t="shared" si="213"/>
        <v xml:space="preserve"> </v>
      </c>
      <c r="AY109" s="103" t="str">
        <f t="shared" si="214"/>
        <v xml:space="preserve"> </v>
      </c>
      <c r="AZ109" s="103" t="str">
        <f t="shared" si="215"/>
        <v xml:space="preserve"> </v>
      </c>
      <c r="BA109" s="103" t="str">
        <f t="shared" si="216"/>
        <v xml:space="preserve"> </v>
      </c>
      <c r="BB109" s="103" t="str">
        <f t="shared" si="217"/>
        <v xml:space="preserve"> </v>
      </c>
      <c r="BC109" s="103" t="str">
        <f t="shared" si="218"/>
        <v xml:space="preserve"> </v>
      </c>
      <c r="BD109" s="103" t="str">
        <f t="shared" si="219"/>
        <v xml:space="preserve"> </v>
      </c>
      <c r="BE109" s="103" t="str">
        <f t="shared" si="220"/>
        <v xml:space="preserve"> </v>
      </c>
      <c r="BF109" s="103" t="str">
        <f t="shared" si="221"/>
        <v xml:space="preserve"> </v>
      </c>
      <c r="BG109" s="103"/>
      <c r="BH109" s="103"/>
      <c r="BI109" s="103"/>
      <c r="BJ109" s="112" t="str">
        <f t="shared" si="222"/>
        <v xml:space="preserve"> </v>
      </c>
      <c r="BK109" s="123"/>
      <c r="BL109" s="103" t="str">
        <f t="shared" si="223"/>
        <v xml:space="preserve"> </v>
      </c>
      <c r="BM109" s="103" t="str">
        <f t="shared" si="224"/>
        <v xml:space="preserve"> </v>
      </c>
      <c r="BN109" s="103" t="str">
        <f t="shared" si="225"/>
        <v xml:space="preserve"> </v>
      </c>
      <c r="BO109" s="103" t="str">
        <f t="shared" si="226"/>
        <v xml:space="preserve"> </v>
      </c>
      <c r="BP109" s="103" t="str">
        <f t="shared" si="227"/>
        <v xml:space="preserve"> </v>
      </c>
      <c r="BQ109" s="103" t="str">
        <f t="shared" si="228"/>
        <v xml:space="preserve"> </v>
      </c>
      <c r="BR109" s="103" t="str">
        <f t="shared" si="229"/>
        <v xml:space="preserve"> </v>
      </c>
      <c r="BS109" s="103" t="str">
        <f t="shared" si="230"/>
        <v xml:space="preserve"> </v>
      </c>
      <c r="BT109" s="103" t="str">
        <f t="shared" si="231"/>
        <v xml:space="preserve"> </v>
      </c>
      <c r="BU109" s="103">
        <f t="shared" si="232"/>
        <v>0</v>
      </c>
      <c r="BV109" s="103">
        <f t="shared" si="233"/>
        <v>0</v>
      </c>
      <c r="BW109" s="103">
        <f t="shared" si="234"/>
        <v>0</v>
      </c>
      <c r="BX109" s="103"/>
      <c r="BY109" s="103"/>
      <c r="BZ109" s="103"/>
      <c r="CA109" s="112" t="str">
        <f t="shared" si="235"/>
        <v xml:space="preserve"> </v>
      </c>
      <c r="CB109" s="123"/>
      <c r="CC109" s="101">
        <f t="shared" si="261"/>
        <v>20566</v>
      </c>
      <c r="CD109" s="133" t="str">
        <f t="shared" si="262"/>
        <v>NGSA</v>
      </c>
      <c r="CE109" s="103" t="str">
        <f t="shared" si="236"/>
        <v xml:space="preserve"> </v>
      </c>
      <c r="CF109" s="103" t="str">
        <f t="shared" si="237"/>
        <v xml:space="preserve"> </v>
      </c>
      <c r="CG109" s="103" t="str">
        <f t="shared" si="238"/>
        <v xml:space="preserve"> </v>
      </c>
      <c r="CH109" s="103" t="str">
        <f t="shared" si="239"/>
        <v xml:space="preserve"> </v>
      </c>
      <c r="CI109" s="103" t="str">
        <f t="shared" si="240"/>
        <v xml:space="preserve"> </v>
      </c>
      <c r="CJ109" s="103" t="str">
        <f t="shared" si="241"/>
        <v xml:space="preserve"> </v>
      </c>
      <c r="CK109" s="103" t="str">
        <f t="shared" si="242"/>
        <v xml:space="preserve"> </v>
      </c>
      <c r="CL109" s="103" t="str">
        <f t="shared" si="243"/>
        <v xml:space="preserve"> </v>
      </c>
      <c r="CM109" s="103" t="str">
        <f t="shared" si="244"/>
        <v xml:space="preserve"> </v>
      </c>
      <c r="CN109" s="103">
        <f t="shared" si="245"/>
        <v>0</v>
      </c>
      <c r="CO109" s="103">
        <f t="shared" si="246"/>
        <v>0</v>
      </c>
      <c r="CP109" s="103">
        <f t="shared" si="247"/>
        <v>0</v>
      </c>
      <c r="CQ109" s="103"/>
      <c r="CR109" s="103"/>
      <c r="CS109" s="103"/>
      <c r="CT109" s="112" t="str">
        <f t="shared" si="248"/>
        <v xml:space="preserve"> </v>
      </c>
      <c r="CU109" s="127"/>
      <c r="CV109" s="101">
        <f t="shared" si="263"/>
        <v>20566</v>
      </c>
      <c r="CW109" s="133" t="str">
        <f t="shared" si="264"/>
        <v>NGSA</v>
      </c>
      <c r="CX109" s="223">
        <f>VLOOKUP($I109,ngsa0705,13,FALSE)</f>
        <v>0</v>
      </c>
      <c r="CY109" s="223">
        <f>VLOOKUP($I109,ngsa0706,13,FALSE)</f>
        <v>0</v>
      </c>
      <c r="CZ109" s="223">
        <f>VLOOKUP($I109,ngsa0707,13,FALSE)</f>
        <v>0</v>
      </c>
      <c r="DA109" s="223">
        <f>VLOOKUP($I109,ngsa0708,13,FALSE)</f>
        <v>0</v>
      </c>
      <c r="DB109" s="223">
        <f>VLOOKUP($I109,ngsa0721,13,FALSE)</f>
        <v>0</v>
      </c>
      <c r="DC109" s="223">
        <f>VLOOKUP($I109,ngsa0725,13,FALSE)</f>
        <v>0</v>
      </c>
      <c r="DD109" s="223">
        <f>VLOOKUP($I109,ngsa0829,13,FALSE)</f>
        <v>0</v>
      </c>
      <c r="DE109" s="223">
        <f>VLOOKUP($I109,ngsa0830,13,FALSE)</f>
        <v>0</v>
      </c>
      <c r="DF109" s="223">
        <f>VLOOKUP($I109,ngsa0910,13,FALSE)</f>
        <v>0</v>
      </c>
      <c r="DG109" s="223">
        <f t="shared" si="249"/>
        <v>0</v>
      </c>
      <c r="DH109" s="223">
        <f t="shared" si="250"/>
        <v>0</v>
      </c>
      <c r="DI109" s="223">
        <f t="shared" si="251"/>
        <v>0</v>
      </c>
      <c r="DM109" s="224"/>
    </row>
    <row r="110" spans="1:117" ht="15.75" x14ac:dyDescent="0.25">
      <c r="A110" s="136">
        <f t="shared" si="277"/>
        <v>22256</v>
      </c>
      <c r="B110" s="136" t="str">
        <f t="shared" si="278"/>
        <v>NGSA</v>
      </c>
      <c r="C110" s="42"/>
      <c r="D110" s="39"/>
      <c r="E110" s="25"/>
      <c r="F110" s="25"/>
      <c r="G110" s="145"/>
      <c r="I110" s="33">
        <v>22256</v>
      </c>
      <c r="J110" s="130" t="s">
        <v>27</v>
      </c>
      <c r="K110" s="103" t="e">
        <f t="shared" si="184"/>
        <v>#N/A</v>
      </c>
      <c r="L110" s="103" t="e">
        <f t="shared" si="185"/>
        <v>#N/A</v>
      </c>
      <c r="M110" s="103" t="e">
        <f t="shared" si="186"/>
        <v>#N/A</v>
      </c>
      <c r="N110" s="103" t="e">
        <f t="shared" si="187"/>
        <v>#N/A</v>
      </c>
      <c r="O110" s="103" t="e">
        <f t="shared" si="188"/>
        <v>#N/A</v>
      </c>
      <c r="P110" s="103" t="e">
        <f t="shared" si="189"/>
        <v>#N/A</v>
      </c>
      <c r="Q110" s="103" t="e">
        <f t="shared" si="190"/>
        <v>#N/A</v>
      </c>
      <c r="R110" s="103" t="e">
        <f t="shared" si="191"/>
        <v>#N/A</v>
      </c>
      <c r="S110" s="103" t="e">
        <f t="shared" si="192"/>
        <v>#N/A</v>
      </c>
      <c r="T110" s="103">
        <f t="shared" si="193"/>
        <v>0</v>
      </c>
      <c r="U110" s="103">
        <f t="shared" si="194"/>
        <v>0</v>
      </c>
      <c r="V110" s="103">
        <f t="shared" si="195"/>
        <v>0</v>
      </c>
      <c r="W110" s="103"/>
      <c r="X110" s="103"/>
      <c r="Y110" s="103"/>
      <c r="Z110" s="112"/>
      <c r="AA110" s="123"/>
      <c r="AB110" s="103" t="e">
        <f t="shared" si="197"/>
        <v>#N/A</v>
      </c>
      <c r="AC110" s="103" t="e">
        <f t="shared" si="198"/>
        <v>#N/A</v>
      </c>
      <c r="AD110" s="103" t="e">
        <f t="shared" si="199"/>
        <v>#N/A</v>
      </c>
      <c r="AE110" s="103" t="e">
        <f t="shared" si="200"/>
        <v>#N/A</v>
      </c>
      <c r="AF110" s="103" t="e">
        <f t="shared" si="201"/>
        <v>#N/A</v>
      </c>
      <c r="AG110" s="103" t="e">
        <f t="shared" si="202"/>
        <v>#N/A</v>
      </c>
      <c r="AH110" s="103" t="e">
        <f t="shared" si="203"/>
        <v>#N/A</v>
      </c>
      <c r="AI110" s="103" t="e">
        <f t="shared" si="204"/>
        <v>#N/A</v>
      </c>
      <c r="AJ110" s="103" t="e">
        <f t="shared" si="205"/>
        <v>#N/A</v>
      </c>
      <c r="AK110" s="103" t="str">
        <f t="shared" si="206"/>
        <v xml:space="preserve"> </v>
      </c>
      <c r="AL110" s="103" t="str">
        <f t="shared" si="207"/>
        <v xml:space="preserve"> </v>
      </c>
      <c r="AM110" s="103" t="str">
        <f t="shared" si="208"/>
        <v xml:space="preserve"> </v>
      </c>
      <c r="AN110" s="103"/>
      <c r="AO110" s="103"/>
      <c r="AP110" s="103"/>
      <c r="AQ110" s="112" t="str">
        <f t="shared" si="267"/>
        <v xml:space="preserve"> </v>
      </c>
      <c r="AR110" s="123"/>
      <c r="AS110" s="101">
        <f t="shared" si="254"/>
        <v>22256</v>
      </c>
      <c r="AT110" s="133" t="str">
        <f t="shared" si="255"/>
        <v>NGSA</v>
      </c>
      <c r="AU110" s="103" t="e">
        <f t="shared" si="210"/>
        <v>#N/A</v>
      </c>
      <c r="AV110" s="103" t="e">
        <f t="shared" si="211"/>
        <v>#N/A</v>
      </c>
      <c r="AW110" s="103" t="e">
        <f t="shared" si="212"/>
        <v>#N/A</v>
      </c>
      <c r="AX110" s="103" t="e">
        <f t="shared" si="213"/>
        <v>#N/A</v>
      </c>
      <c r="AY110" s="103" t="e">
        <f t="shared" si="214"/>
        <v>#N/A</v>
      </c>
      <c r="AZ110" s="103" t="e">
        <f t="shared" si="215"/>
        <v>#N/A</v>
      </c>
      <c r="BA110" s="103" t="e">
        <f t="shared" si="216"/>
        <v>#N/A</v>
      </c>
      <c r="BB110" s="103" t="e">
        <f t="shared" si="217"/>
        <v>#N/A</v>
      </c>
      <c r="BC110" s="103" t="e">
        <f t="shared" si="218"/>
        <v>#N/A</v>
      </c>
      <c r="BD110" s="103" t="str">
        <f t="shared" si="219"/>
        <v xml:space="preserve"> </v>
      </c>
      <c r="BE110" s="103" t="str">
        <f t="shared" si="220"/>
        <v xml:space="preserve"> </v>
      </c>
      <c r="BF110" s="103" t="str">
        <f t="shared" si="221"/>
        <v xml:space="preserve"> </v>
      </c>
      <c r="BG110" s="103"/>
      <c r="BH110" s="103"/>
      <c r="BI110" s="103"/>
      <c r="BJ110" s="112" t="str">
        <f t="shared" si="222"/>
        <v xml:space="preserve"> </v>
      </c>
      <c r="BK110" s="123"/>
      <c r="BL110" s="103" t="e">
        <f t="shared" si="223"/>
        <v>#N/A</v>
      </c>
      <c r="BM110" s="103" t="e">
        <f t="shared" si="224"/>
        <v>#N/A</v>
      </c>
      <c r="BN110" s="103" t="e">
        <f t="shared" si="225"/>
        <v>#N/A</v>
      </c>
      <c r="BO110" s="103" t="e">
        <f t="shared" si="226"/>
        <v>#N/A</v>
      </c>
      <c r="BP110" s="103" t="e">
        <f t="shared" si="227"/>
        <v>#N/A</v>
      </c>
      <c r="BQ110" s="103" t="e">
        <f t="shared" si="228"/>
        <v>#N/A</v>
      </c>
      <c r="BR110" s="103" t="e">
        <f t="shared" si="229"/>
        <v>#N/A</v>
      </c>
      <c r="BS110" s="103" t="e">
        <f t="shared" si="230"/>
        <v>#N/A</v>
      </c>
      <c r="BT110" s="103" t="e">
        <f t="shared" si="231"/>
        <v>#N/A</v>
      </c>
      <c r="BU110" s="103">
        <f t="shared" si="232"/>
        <v>0</v>
      </c>
      <c r="BV110" s="103">
        <f t="shared" si="233"/>
        <v>0</v>
      </c>
      <c r="BW110" s="103">
        <f t="shared" si="234"/>
        <v>0</v>
      </c>
      <c r="BX110" s="103"/>
      <c r="BY110" s="103"/>
      <c r="BZ110" s="103"/>
      <c r="CA110" s="112" t="str">
        <f t="shared" si="235"/>
        <v xml:space="preserve"> </v>
      </c>
      <c r="CB110" s="123"/>
      <c r="CC110" s="101">
        <f t="shared" si="261"/>
        <v>22256</v>
      </c>
      <c r="CD110" s="133" t="str">
        <f t="shared" si="262"/>
        <v>NGSA</v>
      </c>
      <c r="CE110" s="103" t="e">
        <f t="shared" si="236"/>
        <v>#N/A</v>
      </c>
      <c r="CF110" s="103" t="e">
        <f t="shared" si="237"/>
        <v>#N/A</v>
      </c>
      <c r="CG110" s="103" t="e">
        <f t="shared" si="238"/>
        <v>#N/A</v>
      </c>
      <c r="CH110" s="103" t="e">
        <f t="shared" si="239"/>
        <v>#N/A</v>
      </c>
      <c r="CI110" s="103" t="e">
        <f t="shared" si="240"/>
        <v>#N/A</v>
      </c>
      <c r="CJ110" s="103" t="e">
        <f t="shared" si="241"/>
        <v>#N/A</v>
      </c>
      <c r="CK110" s="103" t="e">
        <f t="shared" si="242"/>
        <v>#N/A</v>
      </c>
      <c r="CL110" s="103" t="e">
        <f t="shared" si="243"/>
        <v>#N/A</v>
      </c>
      <c r="CM110" s="103" t="e">
        <f t="shared" si="244"/>
        <v>#N/A</v>
      </c>
      <c r="CN110" s="103">
        <f t="shared" si="245"/>
        <v>0</v>
      </c>
      <c r="CO110" s="103">
        <f t="shared" si="246"/>
        <v>0</v>
      </c>
      <c r="CP110" s="103">
        <f t="shared" si="247"/>
        <v>0</v>
      </c>
      <c r="CQ110" s="103"/>
      <c r="CR110" s="103"/>
      <c r="CS110" s="103"/>
      <c r="CT110" s="112" t="str">
        <f t="shared" si="248"/>
        <v xml:space="preserve"> </v>
      </c>
      <c r="CU110" s="127"/>
      <c r="CV110" s="101">
        <f t="shared" si="263"/>
        <v>22256</v>
      </c>
      <c r="CW110" s="133" t="str">
        <f t="shared" si="264"/>
        <v>NGSA</v>
      </c>
      <c r="CX110" s="223"/>
      <c r="CY110" s="223"/>
      <c r="CZ110" s="223"/>
      <c r="DA110" s="223"/>
      <c r="DB110" s="223"/>
      <c r="DC110" s="223"/>
      <c r="DD110" s="223"/>
      <c r="DE110" s="223"/>
      <c r="DF110" s="223"/>
      <c r="DG110" s="223">
        <f t="shared" si="249"/>
        <v>0</v>
      </c>
      <c r="DH110" s="223">
        <f t="shared" si="250"/>
        <v>0</v>
      </c>
      <c r="DI110" s="223">
        <f t="shared" si="251"/>
        <v>0</v>
      </c>
      <c r="DM110" s="224"/>
    </row>
    <row r="111" spans="1:117" ht="15.75" x14ac:dyDescent="0.25">
      <c r="A111" s="136">
        <f t="shared" si="277"/>
        <v>23159</v>
      </c>
      <c r="B111" s="136" t="str">
        <f t="shared" si="278"/>
        <v>NGSA</v>
      </c>
      <c r="C111" s="42" t="str">
        <f t="shared" si="256"/>
        <v xml:space="preserve"> </v>
      </c>
      <c r="D111" s="39" t="str">
        <f t="shared" si="257"/>
        <v xml:space="preserve"> </v>
      </c>
      <c r="E111" s="25" t="str">
        <f t="shared" si="258"/>
        <v xml:space="preserve"> </v>
      </c>
      <c r="F111" s="25" t="str">
        <f t="shared" si="259"/>
        <v xml:space="preserve"> </v>
      </c>
      <c r="G111" s="145" t="str">
        <f t="shared" si="260"/>
        <v xml:space="preserve"> </v>
      </c>
      <c r="I111" s="33">
        <v>23159</v>
      </c>
      <c r="J111" s="130" t="s">
        <v>27</v>
      </c>
      <c r="K111" s="103" t="e">
        <f t="shared" si="184"/>
        <v>#N/A</v>
      </c>
      <c r="L111" s="103" t="e">
        <f t="shared" si="185"/>
        <v>#N/A</v>
      </c>
      <c r="M111" s="103" t="e">
        <f t="shared" si="186"/>
        <v>#N/A</v>
      </c>
      <c r="N111" s="103" t="e">
        <f t="shared" si="187"/>
        <v>#N/A</v>
      </c>
      <c r="O111" s="103" t="e">
        <f t="shared" si="188"/>
        <v>#N/A</v>
      </c>
      <c r="P111" s="103" t="e">
        <f t="shared" si="189"/>
        <v>#N/A</v>
      </c>
      <c r="Q111" s="103" t="e">
        <f t="shared" si="190"/>
        <v>#N/A</v>
      </c>
      <c r="R111" s="103" t="e">
        <f t="shared" si="191"/>
        <v>#N/A</v>
      </c>
      <c r="S111" s="103" t="e">
        <f t="shared" si="192"/>
        <v>#N/A</v>
      </c>
      <c r="T111" s="103">
        <f t="shared" si="193"/>
        <v>0</v>
      </c>
      <c r="U111" s="103">
        <f t="shared" si="194"/>
        <v>0</v>
      </c>
      <c r="V111" s="103">
        <f t="shared" si="195"/>
        <v>0</v>
      </c>
      <c r="W111" s="103"/>
      <c r="X111" s="103"/>
      <c r="Y111" s="103"/>
      <c r="Z111" s="112" t="str">
        <f t="shared" ref="Z111:Z116" si="279">IF(COUNTIF(K111:Y111,"x")=0," ",COUNTIF(K111:Y111,"x"))</f>
        <v xml:space="preserve"> </v>
      </c>
      <c r="AA111" s="123"/>
      <c r="AB111" s="103" t="e">
        <f t="shared" si="197"/>
        <v>#N/A</v>
      </c>
      <c r="AC111" s="103" t="e">
        <f t="shared" si="198"/>
        <v>#N/A</v>
      </c>
      <c r="AD111" s="103" t="e">
        <f t="shared" si="199"/>
        <v>#N/A</v>
      </c>
      <c r="AE111" s="103" t="e">
        <f t="shared" si="200"/>
        <v>#N/A</v>
      </c>
      <c r="AF111" s="103" t="e">
        <f t="shared" si="201"/>
        <v>#N/A</v>
      </c>
      <c r="AG111" s="103" t="e">
        <f t="shared" si="202"/>
        <v>#N/A</v>
      </c>
      <c r="AH111" s="103" t="e">
        <f t="shared" si="203"/>
        <v>#N/A</v>
      </c>
      <c r="AI111" s="103" t="e">
        <f t="shared" si="204"/>
        <v>#N/A</v>
      </c>
      <c r="AJ111" s="103" t="e">
        <f t="shared" si="205"/>
        <v>#N/A</v>
      </c>
      <c r="AK111" s="103" t="str">
        <f t="shared" si="206"/>
        <v xml:space="preserve"> </v>
      </c>
      <c r="AL111" s="103" t="str">
        <f t="shared" si="207"/>
        <v xml:space="preserve"> </v>
      </c>
      <c r="AM111" s="103" t="str">
        <f t="shared" si="208"/>
        <v xml:space="preserve"> </v>
      </c>
      <c r="AN111" s="103"/>
      <c r="AO111" s="103"/>
      <c r="AP111" s="103"/>
      <c r="AQ111" s="112" t="str">
        <f t="shared" si="267"/>
        <v xml:space="preserve"> </v>
      </c>
      <c r="AR111" s="123"/>
      <c r="AS111" s="101">
        <f t="shared" si="254"/>
        <v>23159</v>
      </c>
      <c r="AT111" s="133" t="str">
        <f t="shared" si="255"/>
        <v>NGSA</v>
      </c>
      <c r="AU111" s="103" t="e">
        <f t="shared" si="210"/>
        <v>#N/A</v>
      </c>
      <c r="AV111" s="103" t="e">
        <f t="shared" si="211"/>
        <v>#N/A</v>
      </c>
      <c r="AW111" s="103" t="e">
        <f t="shared" si="212"/>
        <v>#N/A</v>
      </c>
      <c r="AX111" s="103" t="e">
        <f t="shared" si="213"/>
        <v>#N/A</v>
      </c>
      <c r="AY111" s="103" t="e">
        <f t="shared" si="214"/>
        <v>#N/A</v>
      </c>
      <c r="AZ111" s="103" t="e">
        <f t="shared" si="215"/>
        <v>#N/A</v>
      </c>
      <c r="BA111" s="103" t="e">
        <f t="shared" si="216"/>
        <v>#N/A</v>
      </c>
      <c r="BB111" s="103" t="e">
        <f t="shared" si="217"/>
        <v>#N/A</v>
      </c>
      <c r="BC111" s="103" t="e">
        <f t="shared" si="218"/>
        <v>#N/A</v>
      </c>
      <c r="BD111" s="103" t="str">
        <f t="shared" si="219"/>
        <v xml:space="preserve"> </v>
      </c>
      <c r="BE111" s="103" t="str">
        <f t="shared" si="220"/>
        <v xml:space="preserve"> </v>
      </c>
      <c r="BF111" s="103" t="str">
        <f t="shared" si="221"/>
        <v xml:space="preserve"> </v>
      </c>
      <c r="BG111" s="103"/>
      <c r="BH111" s="103"/>
      <c r="BI111" s="103"/>
      <c r="BJ111" s="112" t="str">
        <f t="shared" si="222"/>
        <v xml:space="preserve"> </v>
      </c>
      <c r="BK111" s="123"/>
      <c r="BL111" s="103" t="e">
        <f t="shared" si="223"/>
        <v>#N/A</v>
      </c>
      <c r="BM111" s="103" t="e">
        <f t="shared" si="224"/>
        <v>#N/A</v>
      </c>
      <c r="BN111" s="103" t="e">
        <f t="shared" si="225"/>
        <v>#N/A</v>
      </c>
      <c r="BO111" s="103" t="e">
        <f t="shared" si="226"/>
        <v>#N/A</v>
      </c>
      <c r="BP111" s="103" t="e">
        <f t="shared" si="227"/>
        <v>#N/A</v>
      </c>
      <c r="BQ111" s="103" t="e">
        <f t="shared" si="228"/>
        <v>#N/A</v>
      </c>
      <c r="BR111" s="103" t="e">
        <f t="shared" si="229"/>
        <v>#N/A</v>
      </c>
      <c r="BS111" s="103" t="e">
        <f t="shared" si="230"/>
        <v>#N/A</v>
      </c>
      <c r="BT111" s="103" t="e">
        <f t="shared" si="231"/>
        <v>#N/A</v>
      </c>
      <c r="BU111" s="103">
        <f t="shared" si="232"/>
        <v>0</v>
      </c>
      <c r="BV111" s="103">
        <f t="shared" si="233"/>
        <v>0</v>
      </c>
      <c r="BW111" s="103">
        <f t="shared" si="234"/>
        <v>0</v>
      </c>
      <c r="BX111" s="103"/>
      <c r="BY111" s="103"/>
      <c r="BZ111" s="103"/>
      <c r="CA111" s="112" t="str">
        <f t="shared" si="235"/>
        <v xml:space="preserve"> </v>
      </c>
      <c r="CB111" s="123"/>
      <c r="CC111" s="101">
        <f t="shared" si="261"/>
        <v>23159</v>
      </c>
      <c r="CD111" s="133" t="str">
        <f t="shared" si="262"/>
        <v>NGSA</v>
      </c>
      <c r="CE111" s="103" t="e">
        <f t="shared" si="236"/>
        <v>#N/A</v>
      </c>
      <c r="CF111" s="103" t="e">
        <f t="shared" si="237"/>
        <v>#N/A</v>
      </c>
      <c r="CG111" s="103" t="e">
        <f t="shared" si="238"/>
        <v>#N/A</v>
      </c>
      <c r="CH111" s="103" t="e">
        <f t="shared" si="239"/>
        <v>#N/A</v>
      </c>
      <c r="CI111" s="103" t="e">
        <f t="shared" si="240"/>
        <v>#N/A</v>
      </c>
      <c r="CJ111" s="103" t="e">
        <f t="shared" si="241"/>
        <v>#N/A</v>
      </c>
      <c r="CK111" s="103" t="e">
        <f t="shared" si="242"/>
        <v>#N/A</v>
      </c>
      <c r="CL111" s="103" t="e">
        <f t="shared" si="243"/>
        <v>#N/A</v>
      </c>
      <c r="CM111" s="103" t="e">
        <f t="shared" si="244"/>
        <v>#N/A</v>
      </c>
      <c r="CN111" s="103">
        <f t="shared" si="245"/>
        <v>0</v>
      </c>
      <c r="CO111" s="103">
        <f t="shared" si="246"/>
        <v>0</v>
      </c>
      <c r="CP111" s="103">
        <f t="shared" si="247"/>
        <v>0</v>
      </c>
      <c r="CQ111" s="103"/>
      <c r="CR111" s="103"/>
      <c r="CS111" s="103"/>
      <c r="CT111" s="112" t="str">
        <f t="shared" si="248"/>
        <v xml:space="preserve"> </v>
      </c>
      <c r="CU111" s="127"/>
      <c r="CV111" s="101">
        <f t="shared" si="263"/>
        <v>23159</v>
      </c>
      <c r="CW111" s="133" t="str">
        <f t="shared" si="264"/>
        <v>NGSA</v>
      </c>
      <c r="CX111" s="223"/>
      <c r="CY111" s="223"/>
      <c r="CZ111" s="223"/>
      <c r="DA111" s="223"/>
      <c r="DB111" s="223"/>
      <c r="DC111" s="223"/>
      <c r="DD111" s="223"/>
      <c r="DE111" s="223"/>
      <c r="DF111" s="223"/>
      <c r="DG111" s="223">
        <f t="shared" si="249"/>
        <v>75</v>
      </c>
      <c r="DH111" s="223">
        <f t="shared" si="250"/>
        <v>76</v>
      </c>
      <c r="DI111" s="223">
        <f t="shared" si="251"/>
        <v>61</v>
      </c>
      <c r="DM111" s="224">
        <f t="shared" si="265"/>
        <v>70.666666666666671</v>
      </c>
    </row>
    <row r="112" spans="1:117" ht="15.75" x14ac:dyDescent="0.25">
      <c r="A112" s="136">
        <f t="shared" si="277"/>
        <v>30149</v>
      </c>
      <c r="B112" s="136" t="str">
        <f t="shared" si="278"/>
        <v>NGSA</v>
      </c>
      <c r="C112" s="42" t="str">
        <f t="shared" si="256"/>
        <v xml:space="preserve"> </v>
      </c>
      <c r="D112" s="39" t="str">
        <f t="shared" si="257"/>
        <v xml:space="preserve"> </v>
      </c>
      <c r="E112" s="25" t="str">
        <f t="shared" si="258"/>
        <v xml:space="preserve"> </v>
      </c>
      <c r="F112" s="25" t="str">
        <f t="shared" si="259"/>
        <v xml:space="preserve"> </v>
      </c>
      <c r="G112" s="145" t="str">
        <f t="shared" si="260"/>
        <v xml:space="preserve"> </v>
      </c>
      <c r="I112" s="33">
        <v>30149</v>
      </c>
      <c r="J112" s="130" t="s">
        <v>27</v>
      </c>
      <c r="K112" s="103" t="str">
        <f t="shared" si="184"/>
        <v xml:space="preserve"> </v>
      </c>
      <c r="L112" s="103" t="str">
        <f t="shared" si="185"/>
        <v xml:space="preserve"> </v>
      </c>
      <c r="M112" s="103">
        <f t="shared" si="186"/>
        <v>0</v>
      </c>
      <c r="N112" s="103">
        <f t="shared" si="187"/>
        <v>0</v>
      </c>
      <c r="O112" s="103">
        <f t="shared" si="188"/>
        <v>0</v>
      </c>
      <c r="P112" s="103">
        <f t="shared" si="189"/>
        <v>0</v>
      </c>
      <c r="Q112" s="103">
        <f t="shared" si="190"/>
        <v>0</v>
      </c>
      <c r="R112" s="103">
        <f t="shared" si="191"/>
        <v>0</v>
      </c>
      <c r="S112" s="103">
        <f t="shared" si="192"/>
        <v>0</v>
      </c>
      <c r="T112" s="103">
        <f t="shared" si="193"/>
        <v>0</v>
      </c>
      <c r="U112" s="103">
        <f t="shared" si="194"/>
        <v>0</v>
      </c>
      <c r="V112" s="103">
        <f t="shared" si="195"/>
        <v>0</v>
      </c>
      <c r="W112" s="103"/>
      <c r="X112" s="103"/>
      <c r="Y112" s="103"/>
      <c r="Z112" s="112" t="str">
        <f t="shared" si="279"/>
        <v xml:space="preserve"> </v>
      </c>
      <c r="AA112" s="123"/>
      <c r="AB112" s="103" t="str">
        <f t="shared" si="197"/>
        <v xml:space="preserve"> </v>
      </c>
      <c r="AC112" s="103" t="str">
        <f t="shared" si="198"/>
        <v xml:space="preserve"> </v>
      </c>
      <c r="AD112" s="103" t="str">
        <f t="shared" si="199"/>
        <v xml:space="preserve"> </v>
      </c>
      <c r="AE112" s="103" t="str">
        <f t="shared" si="200"/>
        <v xml:space="preserve"> </v>
      </c>
      <c r="AF112" s="103" t="str">
        <f t="shared" si="201"/>
        <v xml:space="preserve"> </v>
      </c>
      <c r="AG112" s="103" t="str">
        <f t="shared" si="202"/>
        <v xml:space="preserve"> </v>
      </c>
      <c r="AH112" s="103" t="str">
        <f t="shared" si="203"/>
        <v xml:space="preserve"> </v>
      </c>
      <c r="AI112" s="103" t="str">
        <f t="shared" si="204"/>
        <v xml:space="preserve"> </v>
      </c>
      <c r="AJ112" s="103" t="str">
        <f t="shared" si="205"/>
        <v xml:space="preserve"> </v>
      </c>
      <c r="AK112" s="103" t="str">
        <f t="shared" si="206"/>
        <v xml:space="preserve"> </v>
      </c>
      <c r="AL112" s="103" t="str">
        <f t="shared" si="207"/>
        <v xml:space="preserve"> </v>
      </c>
      <c r="AM112" s="103" t="str">
        <f t="shared" si="208"/>
        <v xml:space="preserve"> </v>
      </c>
      <c r="AN112" s="103"/>
      <c r="AO112" s="103"/>
      <c r="AP112" s="103"/>
      <c r="AQ112" s="112" t="str">
        <f t="shared" si="267"/>
        <v xml:space="preserve"> </v>
      </c>
      <c r="AR112" s="123"/>
      <c r="AS112" s="101">
        <f t="shared" si="254"/>
        <v>30149</v>
      </c>
      <c r="AT112" s="133" t="str">
        <f t="shared" si="255"/>
        <v>NGSA</v>
      </c>
      <c r="AU112" s="103" t="str">
        <f t="shared" si="210"/>
        <v xml:space="preserve"> </v>
      </c>
      <c r="AV112" s="103" t="str">
        <f t="shared" si="211"/>
        <v xml:space="preserve"> </v>
      </c>
      <c r="AW112" s="103" t="str">
        <f t="shared" si="212"/>
        <v xml:space="preserve"> </v>
      </c>
      <c r="AX112" s="103" t="str">
        <f t="shared" si="213"/>
        <v xml:space="preserve"> </v>
      </c>
      <c r="AY112" s="103" t="str">
        <f t="shared" si="214"/>
        <v xml:space="preserve"> </v>
      </c>
      <c r="AZ112" s="103" t="str">
        <f t="shared" si="215"/>
        <v xml:space="preserve"> </v>
      </c>
      <c r="BA112" s="103" t="str">
        <f t="shared" si="216"/>
        <v xml:space="preserve"> </v>
      </c>
      <c r="BB112" s="103" t="str">
        <f t="shared" si="217"/>
        <v xml:space="preserve"> </v>
      </c>
      <c r="BC112" s="103" t="str">
        <f t="shared" si="218"/>
        <v xml:space="preserve"> </v>
      </c>
      <c r="BD112" s="103" t="str">
        <f t="shared" si="219"/>
        <v xml:space="preserve"> </v>
      </c>
      <c r="BE112" s="103" t="str">
        <f t="shared" si="220"/>
        <v xml:space="preserve"> </v>
      </c>
      <c r="BF112" s="103" t="str">
        <f t="shared" si="221"/>
        <v xml:space="preserve"> </v>
      </c>
      <c r="BG112" s="103"/>
      <c r="BH112" s="103"/>
      <c r="BI112" s="103"/>
      <c r="BJ112" s="112" t="str">
        <f t="shared" si="222"/>
        <v xml:space="preserve"> </v>
      </c>
      <c r="BK112" s="123"/>
      <c r="BL112" s="103" t="str">
        <f t="shared" si="223"/>
        <v xml:space="preserve"> </v>
      </c>
      <c r="BM112" s="103" t="str">
        <f t="shared" si="224"/>
        <v xml:space="preserve"> </v>
      </c>
      <c r="BN112" s="103" t="str">
        <f t="shared" si="225"/>
        <v xml:space="preserve"> </v>
      </c>
      <c r="BO112" s="103" t="str">
        <f t="shared" si="226"/>
        <v xml:space="preserve"> </v>
      </c>
      <c r="BP112" s="103" t="str">
        <f t="shared" si="227"/>
        <v xml:space="preserve"> </v>
      </c>
      <c r="BQ112" s="103" t="str">
        <f t="shared" si="228"/>
        <v xml:space="preserve"> </v>
      </c>
      <c r="BR112" s="103">
        <f>VLOOKUP($I112,ngsa0829,20,FALSE)</f>
        <v>10</v>
      </c>
      <c r="BS112" s="103">
        <f t="shared" si="230"/>
        <v>13</v>
      </c>
      <c r="BT112" s="103" t="str">
        <f t="shared" si="231"/>
        <v xml:space="preserve"> </v>
      </c>
      <c r="BU112" s="103">
        <f t="shared" si="232"/>
        <v>0</v>
      </c>
      <c r="BV112" s="103">
        <f t="shared" si="233"/>
        <v>0</v>
      </c>
      <c r="BW112" s="103">
        <f t="shared" si="234"/>
        <v>0</v>
      </c>
      <c r="BX112" s="103"/>
      <c r="BY112" s="103"/>
      <c r="BZ112" s="103"/>
      <c r="CA112" s="112" t="str">
        <f t="shared" si="235"/>
        <v xml:space="preserve"> </v>
      </c>
      <c r="CB112" s="123"/>
      <c r="CC112" s="101">
        <f t="shared" si="261"/>
        <v>30149</v>
      </c>
      <c r="CD112" s="133" t="str">
        <f t="shared" si="262"/>
        <v>NGSA</v>
      </c>
      <c r="CE112" s="103" t="str">
        <f t="shared" si="236"/>
        <v xml:space="preserve"> </v>
      </c>
      <c r="CF112" s="103" t="str">
        <f t="shared" si="237"/>
        <v xml:space="preserve"> </v>
      </c>
      <c r="CG112" s="103" t="str">
        <f t="shared" si="238"/>
        <v xml:space="preserve"> </v>
      </c>
      <c r="CH112" s="103" t="str">
        <f t="shared" si="239"/>
        <v xml:space="preserve"> </v>
      </c>
      <c r="CI112" s="103" t="str">
        <f t="shared" si="240"/>
        <v xml:space="preserve"> </v>
      </c>
      <c r="CJ112" s="103" t="str">
        <f t="shared" si="241"/>
        <v xml:space="preserve"> </v>
      </c>
      <c r="CK112" s="103">
        <f t="shared" si="242"/>
        <v>24</v>
      </c>
      <c r="CL112" s="103">
        <f t="shared" si="243"/>
        <v>23</v>
      </c>
      <c r="CM112" s="103" t="str">
        <f t="shared" si="244"/>
        <v xml:space="preserve"> </v>
      </c>
      <c r="CN112" s="103">
        <f t="shared" si="245"/>
        <v>0</v>
      </c>
      <c r="CO112" s="103">
        <f t="shared" si="246"/>
        <v>0</v>
      </c>
      <c r="CP112" s="103">
        <f t="shared" si="247"/>
        <v>0</v>
      </c>
      <c r="CQ112" s="103"/>
      <c r="CR112" s="103"/>
      <c r="CS112" s="103"/>
      <c r="CT112" s="112" t="str">
        <f t="shared" si="248"/>
        <v xml:space="preserve"> </v>
      </c>
      <c r="CU112" s="127"/>
      <c r="CV112" s="101">
        <f t="shared" si="263"/>
        <v>30149</v>
      </c>
      <c r="CW112" s="133" t="str">
        <f t="shared" si="264"/>
        <v>NGSA</v>
      </c>
      <c r="CX112" s="223">
        <f>VLOOKUP($I112,ngsa0705,13,FALSE)</f>
        <v>0</v>
      </c>
      <c r="CY112" s="223">
        <f>VLOOKUP($I112,ngsa0706,13,FALSE)</f>
        <v>1</v>
      </c>
      <c r="CZ112" s="223">
        <f>VLOOKUP($I112,ngsa0707,13,FALSE)</f>
        <v>0</v>
      </c>
      <c r="DA112" s="223">
        <f>VLOOKUP($I112,ngsa0708,13,FALSE)</f>
        <v>0</v>
      </c>
      <c r="DB112" s="223">
        <f>VLOOKUP($I112,ngsa0721,13,FALSE)</f>
        <v>0</v>
      </c>
      <c r="DC112" s="223">
        <f>VLOOKUP($I112,ngsa0725,13,FALSE)</f>
        <v>0</v>
      </c>
      <c r="DD112" s="223">
        <f>VLOOKUP($I112,ngsa0829,13,FALSE)</f>
        <v>0</v>
      </c>
      <c r="DE112" s="223">
        <f>VLOOKUP($I112,ngsa0830,13,FALSE)</f>
        <v>0</v>
      </c>
      <c r="DF112" s="223">
        <f>VLOOKUP($I112,ngsa0910,13,FALSE)</f>
        <v>0</v>
      </c>
      <c r="DG112" s="223">
        <f t="shared" si="249"/>
        <v>0</v>
      </c>
      <c r="DH112" s="223">
        <f t="shared" si="250"/>
        <v>0</v>
      </c>
      <c r="DI112" s="223">
        <f t="shared" si="251"/>
        <v>0</v>
      </c>
      <c r="DM112" s="224">
        <f t="shared" si="265"/>
        <v>8.3333333333333329E-2</v>
      </c>
    </row>
    <row r="113" spans="1:118" ht="15.75" x14ac:dyDescent="0.25">
      <c r="A113" s="136">
        <f t="shared" si="277"/>
        <v>30511</v>
      </c>
      <c r="B113" s="136" t="str">
        <f t="shared" si="278"/>
        <v>NGSA</v>
      </c>
      <c r="C113" s="42" t="str">
        <f t="shared" si="256"/>
        <v xml:space="preserve"> </v>
      </c>
      <c r="D113" s="39" t="str">
        <f t="shared" si="257"/>
        <v xml:space="preserve"> </v>
      </c>
      <c r="E113" s="25" t="str">
        <f t="shared" si="258"/>
        <v xml:space="preserve"> </v>
      </c>
      <c r="F113" s="25">
        <f t="shared" si="259"/>
        <v>1</v>
      </c>
      <c r="G113" s="145" t="str">
        <f t="shared" si="260"/>
        <v xml:space="preserve"> </v>
      </c>
      <c r="I113" s="33">
        <v>30511</v>
      </c>
      <c r="J113" s="130" t="s">
        <v>27</v>
      </c>
      <c r="K113" s="103" t="e">
        <f t="shared" si="184"/>
        <v>#N/A</v>
      </c>
      <c r="L113" s="103" t="e">
        <f t="shared" si="185"/>
        <v>#N/A</v>
      </c>
      <c r="M113" s="103" t="e">
        <f t="shared" si="186"/>
        <v>#N/A</v>
      </c>
      <c r="N113" s="103" t="e">
        <f t="shared" si="187"/>
        <v>#N/A</v>
      </c>
      <c r="O113" s="103">
        <f t="shared" si="188"/>
        <v>0</v>
      </c>
      <c r="P113" s="103">
        <f t="shared" si="189"/>
        <v>0</v>
      </c>
      <c r="Q113" s="103">
        <f t="shared" si="190"/>
        <v>0</v>
      </c>
      <c r="R113" s="103">
        <f t="shared" si="191"/>
        <v>0</v>
      </c>
      <c r="S113" s="103">
        <f t="shared" si="192"/>
        <v>0</v>
      </c>
      <c r="T113" s="103">
        <f t="shared" si="193"/>
        <v>0</v>
      </c>
      <c r="U113" s="103">
        <f t="shared" si="194"/>
        <v>0</v>
      </c>
      <c r="V113" s="103">
        <f t="shared" si="195"/>
        <v>0</v>
      </c>
      <c r="W113" s="103"/>
      <c r="X113" s="103"/>
      <c r="Y113" s="103"/>
      <c r="Z113" s="112" t="str">
        <f t="shared" si="279"/>
        <v xml:space="preserve"> </v>
      </c>
      <c r="AA113" s="123"/>
      <c r="AB113" s="103" t="e">
        <f t="shared" si="197"/>
        <v>#N/A</v>
      </c>
      <c r="AC113" s="103" t="e">
        <f t="shared" si="198"/>
        <v>#N/A</v>
      </c>
      <c r="AD113" s="103" t="e">
        <f t="shared" si="199"/>
        <v>#N/A</v>
      </c>
      <c r="AE113" s="103" t="e">
        <f t="shared" si="200"/>
        <v>#N/A</v>
      </c>
      <c r="AF113" s="103" t="str">
        <f t="shared" si="201"/>
        <v xml:space="preserve"> </v>
      </c>
      <c r="AG113" s="103" t="str">
        <f t="shared" si="202"/>
        <v xml:space="preserve"> </v>
      </c>
      <c r="AH113" s="103" t="str">
        <f t="shared" si="203"/>
        <v xml:space="preserve"> </v>
      </c>
      <c r="AI113" s="103" t="str">
        <f t="shared" si="204"/>
        <v xml:space="preserve"> </v>
      </c>
      <c r="AJ113" s="103" t="str">
        <f t="shared" si="205"/>
        <v xml:space="preserve"> </v>
      </c>
      <c r="AK113" s="103" t="str">
        <f t="shared" si="206"/>
        <v xml:space="preserve"> </v>
      </c>
      <c r="AL113" s="103" t="str">
        <f t="shared" si="207"/>
        <v xml:space="preserve"> </v>
      </c>
      <c r="AM113" s="103" t="str">
        <f t="shared" si="208"/>
        <v xml:space="preserve"> </v>
      </c>
      <c r="AN113" s="103"/>
      <c r="AO113" s="103"/>
      <c r="AP113" s="103"/>
      <c r="AQ113" s="112" t="str">
        <f t="shared" si="267"/>
        <v xml:space="preserve"> </v>
      </c>
      <c r="AR113" s="123"/>
      <c r="AS113" s="101">
        <f t="shared" si="254"/>
        <v>30511</v>
      </c>
      <c r="AT113" s="133" t="str">
        <f t="shared" si="255"/>
        <v>NGSA</v>
      </c>
      <c r="AU113" s="103" t="e">
        <f t="shared" si="210"/>
        <v>#N/A</v>
      </c>
      <c r="AV113" s="103" t="e">
        <f t="shared" si="211"/>
        <v>#N/A</v>
      </c>
      <c r="AW113" s="103" t="e">
        <f t="shared" si="212"/>
        <v>#N/A</v>
      </c>
      <c r="AX113" s="103" t="e">
        <f t="shared" si="213"/>
        <v>#N/A</v>
      </c>
      <c r="AY113" s="103" t="str">
        <f t="shared" si="214"/>
        <v xml:space="preserve"> </v>
      </c>
      <c r="AZ113" s="103" t="str">
        <f t="shared" si="215"/>
        <v xml:space="preserve"> </v>
      </c>
      <c r="BA113" s="103" t="str">
        <f t="shared" si="216"/>
        <v xml:space="preserve"> </v>
      </c>
      <c r="BB113" s="103" t="str">
        <f t="shared" si="217"/>
        <v xml:space="preserve"> </v>
      </c>
      <c r="BC113" s="103" t="str">
        <f t="shared" si="218"/>
        <v xml:space="preserve"> </v>
      </c>
      <c r="BD113" s="103" t="str">
        <f t="shared" si="219"/>
        <v xml:space="preserve"> </v>
      </c>
      <c r="BE113" s="103" t="str">
        <f t="shared" si="220"/>
        <v xml:space="preserve"> </v>
      </c>
      <c r="BF113" s="103" t="str">
        <f t="shared" si="221"/>
        <v xml:space="preserve"> </v>
      </c>
      <c r="BG113" s="103"/>
      <c r="BH113" s="103"/>
      <c r="BI113" s="103"/>
      <c r="BJ113" s="112" t="str">
        <f t="shared" si="222"/>
        <v xml:space="preserve"> </v>
      </c>
      <c r="BK113" s="123"/>
      <c r="BL113" s="103" t="e">
        <f t="shared" si="223"/>
        <v>#N/A</v>
      </c>
      <c r="BM113" s="103" t="e">
        <f t="shared" si="224"/>
        <v>#N/A</v>
      </c>
      <c r="BN113" s="103" t="e">
        <f t="shared" si="225"/>
        <v>#N/A</v>
      </c>
      <c r="BO113" s="103" t="e">
        <f t="shared" si="226"/>
        <v>#N/A</v>
      </c>
      <c r="BP113" s="103" t="str">
        <f t="shared" si="227"/>
        <v xml:space="preserve"> </v>
      </c>
      <c r="BQ113" s="103" t="str">
        <f t="shared" si="228"/>
        <v xml:space="preserve"> </v>
      </c>
      <c r="BR113" s="103">
        <f t="shared" si="229"/>
        <v>0</v>
      </c>
      <c r="BS113" s="103">
        <f t="shared" si="230"/>
        <v>0</v>
      </c>
      <c r="BT113" s="103" t="str">
        <f t="shared" si="231"/>
        <v xml:space="preserve"> </v>
      </c>
      <c r="BU113" s="103">
        <f t="shared" si="232"/>
        <v>0</v>
      </c>
      <c r="BV113" s="103">
        <f t="shared" si="233"/>
        <v>0</v>
      </c>
      <c r="BW113" s="103">
        <f t="shared" si="234"/>
        <v>0</v>
      </c>
      <c r="BX113" s="103"/>
      <c r="BY113" s="103"/>
      <c r="BZ113" s="103"/>
      <c r="CA113" s="112" t="str">
        <f t="shared" si="235"/>
        <v xml:space="preserve"> </v>
      </c>
      <c r="CB113" s="123"/>
      <c r="CC113" s="101">
        <f t="shared" si="261"/>
        <v>30511</v>
      </c>
      <c r="CD113" s="133" t="str">
        <f t="shared" si="262"/>
        <v>NGSA</v>
      </c>
      <c r="CE113" s="103" t="e">
        <f t="shared" si="236"/>
        <v>#N/A</v>
      </c>
      <c r="CF113" s="103" t="e">
        <f t="shared" si="237"/>
        <v>#N/A</v>
      </c>
      <c r="CG113" s="103" t="e">
        <f t="shared" si="238"/>
        <v>#N/A</v>
      </c>
      <c r="CH113" s="103" t="e">
        <f t="shared" si="239"/>
        <v>#N/A</v>
      </c>
      <c r="CI113" s="103" t="str">
        <f t="shared" si="240"/>
        <v xml:space="preserve"> </v>
      </c>
      <c r="CJ113" s="103" t="str">
        <f t="shared" si="241"/>
        <v xml:space="preserve"> </v>
      </c>
      <c r="CK113" s="103">
        <f t="shared" si="242"/>
        <v>0</v>
      </c>
      <c r="CL113" s="103">
        <f t="shared" si="243"/>
        <v>0</v>
      </c>
      <c r="CM113" s="103" t="str">
        <f t="shared" si="244"/>
        <v>X</v>
      </c>
      <c r="CN113" s="103">
        <f t="shared" si="245"/>
        <v>0</v>
      </c>
      <c r="CO113" s="103">
        <f t="shared" si="246"/>
        <v>0</v>
      </c>
      <c r="CP113" s="103">
        <f t="shared" si="247"/>
        <v>0</v>
      </c>
      <c r="CQ113" s="103"/>
      <c r="CR113" s="103"/>
      <c r="CS113" s="103"/>
      <c r="CT113" s="112">
        <f t="shared" si="248"/>
        <v>1</v>
      </c>
      <c r="CU113" s="127"/>
      <c r="CV113" s="101">
        <f t="shared" si="263"/>
        <v>30511</v>
      </c>
      <c r="CW113" s="133" t="str">
        <f t="shared" si="264"/>
        <v>NGSA</v>
      </c>
      <c r="CX113" s="223"/>
      <c r="CY113" s="223"/>
      <c r="CZ113" s="223"/>
      <c r="DA113" s="223"/>
      <c r="DB113" s="223">
        <f>VLOOKUP($I113,ngsa0721,13,FALSE)</f>
        <v>4</v>
      </c>
      <c r="DC113" s="223">
        <f>VLOOKUP($I113,ngsa0725,13,FALSE)</f>
        <v>4</v>
      </c>
      <c r="DD113" s="223">
        <f>VLOOKUP($I113,ngsa0829,13,FALSE)</f>
        <v>47</v>
      </c>
      <c r="DE113" s="223">
        <f>VLOOKUP($I113,ngsa0830,13,FALSE)</f>
        <v>47</v>
      </c>
      <c r="DF113" s="223">
        <f>VLOOKUP($I113,ngsa0910,13,FALSE)</f>
        <v>124</v>
      </c>
      <c r="DG113" s="223">
        <f t="shared" si="249"/>
        <v>0</v>
      </c>
      <c r="DH113" s="223">
        <f t="shared" si="250"/>
        <v>0</v>
      </c>
      <c r="DI113" s="223">
        <f t="shared" si="251"/>
        <v>0</v>
      </c>
      <c r="DM113" s="224">
        <f t="shared" si="265"/>
        <v>28.25</v>
      </c>
    </row>
    <row r="114" spans="1:118" ht="15.75" x14ac:dyDescent="0.25">
      <c r="A114" s="136">
        <f t="shared" si="277"/>
        <v>32593</v>
      </c>
      <c r="B114" s="136" t="str">
        <f t="shared" si="278"/>
        <v>NGSA</v>
      </c>
      <c r="C114" s="42">
        <f t="shared" si="256"/>
        <v>3</v>
      </c>
      <c r="D114" s="39">
        <f t="shared" si="257"/>
        <v>2</v>
      </c>
      <c r="E114" s="25">
        <f t="shared" si="258"/>
        <v>1</v>
      </c>
      <c r="F114" s="25">
        <f t="shared" si="259"/>
        <v>1</v>
      </c>
      <c r="G114" s="145" t="str">
        <f t="shared" si="260"/>
        <v xml:space="preserve"> </v>
      </c>
      <c r="I114" s="33">
        <v>32593</v>
      </c>
      <c r="J114" s="130" t="s">
        <v>27</v>
      </c>
      <c r="K114" s="103" t="e">
        <f>VLOOKUP($I114,ngsa0705,17,FALSE)</f>
        <v>#N/A</v>
      </c>
      <c r="L114" s="103" t="e">
        <f>VLOOKUP($I114,ngsa0706,17,FALSE)</f>
        <v>#N/A</v>
      </c>
      <c r="M114" s="103" t="e">
        <f>VLOOKUP($I114,ngsa0707,17,FALSE)</f>
        <v>#N/A</v>
      </c>
      <c r="N114" s="103" t="e">
        <f>VLOOKUP($I114,ngsa0708,17,FALSE)</f>
        <v>#N/A</v>
      </c>
      <c r="O114" s="103" t="e">
        <f>VLOOKUP($I114,ngsa0721,17,FALSE)</f>
        <v>#N/A</v>
      </c>
      <c r="P114" s="103" t="e">
        <f>VLOOKUP($I114,ngsa0725,17,FALSE)</f>
        <v>#N/A</v>
      </c>
      <c r="Q114" s="103" t="e">
        <f>VLOOKUP($I114,ngsa0829,17,FALSE)</f>
        <v>#N/A</v>
      </c>
      <c r="R114" s="103" t="e">
        <f>VLOOKUP($I114,ngsa0830,17,FALSE)</f>
        <v>#N/A</v>
      </c>
      <c r="S114" s="103" t="str">
        <f>VLOOKUP($I114,ngsa0910,17,FALSE)</f>
        <v>X</v>
      </c>
      <c r="T114" s="103" t="str">
        <f>VLOOKUP($I114,ngsa0922,17,FALSE)</f>
        <v>X</v>
      </c>
      <c r="U114" s="103">
        <f>VLOOKUP($I114,ngsa0923,17,FALSE)</f>
        <v>0</v>
      </c>
      <c r="V114" s="103" t="str">
        <f>VLOOKUP($I114,ngsa0929,17,FALSE)</f>
        <v>X</v>
      </c>
      <c r="W114" s="103"/>
      <c r="X114" s="103"/>
      <c r="Y114" s="103"/>
      <c r="Z114" s="112">
        <f t="shared" si="279"/>
        <v>3</v>
      </c>
      <c r="AA114" s="123"/>
      <c r="AB114" s="103" t="e">
        <f>VLOOKUP($I114,ngsa0705,18,FALSE)</f>
        <v>#N/A</v>
      </c>
      <c r="AC114" s="103" t="e">
        <f>VLOOKUP($I114,ngsa0706,18,FALSE)</f>
        <v>#N/A</v>
      </c>
      <c r="AD114" s="103" t="e">
        <f>VLOOKUP($I114,ngsa0707,18,FALSE)</f>
        <v>#N/A</v>
      </c>
      <c r="AE114" s="103" t="e">
        <f>VLOOKUP($I114,ngsa0708,18,FALSE)</f>
        <v>#N/A</v>
      </c>
      <c r="AF114" s="103" t="e">
        <f>VLOOKUP($I114,ngsa0721,18,FALSE)</f>
        <v>#N/A</v>
      </c>
      <c r="AG114" s="103" t="e">
        <f>VLOOKUP($I114,ngsa0725,18,FALSE)</f>
        <v>#N/A</v>
      </c>
      <c r="AH114" s="103" t="e">
        <f>VLOOKUP($I114,ngsa0829,18,FALSE)</f>
        <v>#N/A</v>
      </c>
      <c r="AI114" s="103" t="e">
        <f>VLOOKUP($I114,ngsa0830,18,FALSE)</f>
        <v>#N/A</v>
      </c>
      <c r="AJ114" s="103" t="str">
        <f>VLOOKUP($I114,ngsa0910,18,FALSE)</f>
        <v>X</v>
      </c>
      <c r="AK114" s="103" t="str">
        <f>VLOOKUP($I114,ngsa0922,18,FALSE)</f>
        <v xml:space="preserve"> </v>
      </c>
      <c r="AL114" s="103" t="str">
        <f>VLOOKUP($I114,ngsa0923,18,FALSE)</f>
        <v xml:space="preserve"> </v>
      </c>
      <c r="AM114" s="103" t="str">
        <f>VLOOKUP($I114,ngsa0929,18,FALSE)</f>
        <v>X</v>
      </c>
      <c r="AN114" s="103"/>
      <c r="AO114" s="103"/>
      <c r="AP114" s="103"/>
      <c r="AQ114" s="112">
        <f t="shared" si="267"/>
        <v>2</v>
      </c>
      <c r="AR114" s="123"/>
      <c r="AS114" s="101">
        <f t="shared" si="254"/>
        <v>32593</v>
      </c>
      <c r="AT114" s="133" t="str">
        <f t="shared" si="255"/>
        <v>NGSA</v>
      </c>
      <c r="AU114" s="103" t="e">
        <f>VLOOKUP($I114,ngsa0705,19,FALSE)</f>
        <v>#N/A</v>
      </c>
      <c r="AV114" s="103" t="e">
        <f>VLOOKUP($I114,ngsa0706,19,FALSE)</f>
        <v>#N/A</v>
      </c>
      <c r="AW114" s="103" t="e">
        <f>VLOOKUP($I114,ngsa0707,19,FALSE)</f>
        <v>#N/A</v>
      </c>
      <c r="AX114" s="103" t="e">
        <f>VLOOKUP($I114,ngsa0708,19,FALSE)</f>
        <v>#N/A</v>
      </c>
      <c r="AY114" s="103" t="e">
        <f>VLOOKUP($I114,ngsa0721,19,FALSE)</f>
        <v>#N/A</v>
      </c>
      <c r="AZ114" s="103" t="e">
        <f>VLOOKUP($I114,ngsa0725,19,FALSE)</f>
        <v>#N/A</v>
      </c>
      <c r="BA114" s="103" t="e">
        <f>VLOOKUP($I114,ngsa0829,19,FALSE)</f>
        <v>#N/A</v>
      </c>
      <c r="BB114" s="103" t="e">
        <f>VLOOKUP($I114,ngsa0830,19,FALSE)</f>
        <v>#N/A</v>
      </c>
      <c r="BC114" s="103" t="str">
        <f>VLOOKUP($I114,ngsa0910,19,FALSE)</f>
        <v xml:space="preserve"> </v>
      </c>
      <c r="BD114" s="103" t="str">
        <f>VLOOKUP($I114,ngsa0922,19,FALSE)</f>
        <v xml:space="preserve"> </v>
      </c>
      <c r="BE114" s="103" t="str">
        <f>VLOOKUP($I114,ngsa0923,19,FALSE)</f>
        <v xml:space="preserve"> </v>
      </c>
      <c r="BF114" s="103" t="str">
        <f>VLOOKUP($I114,ngsa0929,19,FALSE)</f>
        <v xml:space="preserve"> </v>
      </c>
      <c r="BG114" s="103"/>
      <c r="BH114" s="103"/>
      <c r="BI114" s="103"/>
      <c r="BJ114" s="112" t="str">
        <f>IF(COUNTIF(AU114:BI114,"x")=0," ",COUNTIF(AU114:BI114,"x"))</f>
        <v xml:space="preserve"> </v>
      </c>
      <c r="BK114" s="123"/>
      <c r="BL114" s="103" t="e">
        <f>VLOOKUP($I114,ngsa0705,20,FALSE)</f>
        <v>#N/A</v>
      </c>
      <c r="BM114" s="103" t="e">
        <f>VLOOKUP($I114,ngsa0706,20,FALSE)</f>
        <v>#N/A</v>
      </c>
      <c r="BN114" s="103" t="e">
        <f>VLOOKUP($I114,ngsa0707,20,FALSE)</f>
        <v>#N/A</v>
      </c>
      <c r="BO114" s="103" t="e">
        <f>VLOOKUP($I114,ngsa0708,20,FALSE)</f>
        <v>#N/A</v>
      </c>
      <c r="BP114" s="103" t="e">
        <f>VLOOKUP($I114,ngsa0721,20,FALSE)</f>
        <v>#N/A</v>
      </c>
      <c r="BQ114" s="103" t="e">
        <f>VLOOKUP($I114,ngsa0725,20,FALSE)</f>
        <v>#N/A</v>
      </c>
      <c r="BR114" s="103" t="e">
        <f>VLOOKUP($I114,ngsa0829,20,FALSE)</f>
        <v>#N/A</v>
      </c>
      <c r="BS114" s="103" t="e">
        <f>VLOOKUP($I114,ngsa0830,20,FALSE)</f>
        <v>#N/A</v>
      </c>
      <c r="BT114" s="103" t="str">
        <f>VLOOKUP($I114,ngsa0910,20,FALSE)</f>
        <v>X</v>
      </c>
      <c r="BU114" s="103">
        <f>VLOOKUP($I114,ngsa0922,20,FALSE)</f>
        <v>0</v>
      </c>
      <c r="BV114" s="103">
        <f>VLOOKUP($I114,ngsa0923,20,FALSE)</f>
        <v>0</v>
      </c>
      <c r="BW114" s="103">
        <f>VLOOKUP($I114,ngsa0929,20,FALSE)</f>
        <v>0</v>
      </c>
      <c r="BX114" s="103"/>
      <c r="BY114" s="103"/>
      <c r="BZ114" s="103"/>
      <c r="CA114" s="112">
        <f>IF(COUNTIF(BL114:BZ114,"x")=0," ",COUNTIF(BL114:BZ114,"x"))</f>
        <v>1</v>
      </c>
      <c r="CB114" s="123"/>
      <c r="CC114" s="101">
        <f t="shared" si="261"/>
        <v>32593</v>
      </c>
      <c r="CD114" s="133" t="str">
        <f t="shared" si="262"/>
        <v>NGSA</v>
      </c>
      <c r="CE114" s="103" t="e">
        <f>VLOOKUP($I114,ngsa0705,21,FALSE)</f>
        <v>#N/A</v>
      </c>
      <c r="CF114" s="103" t="e">
        <f>VLOOKUP($I114,ngsa0706,21,FALSE)</f>
        <v>#N/A</v>
      </c>
      <c r="CG114" s="103" t="e">
        <f>VLOOKUP($I114,ngsa0707,21,FALSE)</f>
        <v>#N/A</v>
      </c>
      <c r="CH114" s="103" t="e">
        <f>VLOOKUP($I114,ngsa0708,21,FALSE)</f>
        <v>#N/A</v>
      </c>
      <c r="CI114" s="103" t="e">
        <f>VLOOKUP($I114,ngsa0721,21,FALSE)</f>
        <v>#N/A</v>
      </c>
      <c r="CJ114" s="103" t="e">
        <f>VLOOKUP($I114,ngsa0725,21,FALSE)</f>
        <v>#N/A</v>
      </c>
      <c r="CK114" s="103" t="e">
        <f>VLOOKUP($I114,ngsa0829,21,FALSE)</f>
        <v>#N/A</v>
      </c>
      <c r="CL114" s="103" t="e">
        <f>VLOOKUP($I114,ngsa0830,21,FALSE)</f>
        <v>#N/A</v>
      </c>
      <c r="CM114" s="103" t="str">
        <f>VLOOKUP($I114,ngsa0910,21,FALSE)</f>
        <v>X</v>
      </c>
      <c r="CN114" s="103">
        <f>VLOOKUP($I114,ngsa0922,21,FALSE)</f>
        <v>0</v>
      </c>
      <c r="CO114" s="103">
        <f>VLOOKUP($I114,ngsa0923,21,FALSE)</f>
        <v>0</v>
      </c>
      <c r="CP114" s="103">
        <f>VLOOKUP($I114,ngsa0929,21,FALSE)</f>
        <v>0</v>
      </c>
      <c r="CQ114" s="103"/>
      <c r="CR114" s="103"/>
      <c r="CS114" s="103"/>
      <c r="CT114" s="112">
        <f>IF(COUNTIF(CE114:CS114,"x")=0," ",COUNTIF(CE114:CS114,"x"))</f>
        <v>1</v>
      </c>
      <c r="CU114" s="127"/>
      <c r="CV114" s="101">
        <f t="shared" si="263"/>
        <v>32593</v>
      </c>
      <c r="CW114" s="133" t="str">
        <f t="shared" si="264"/>
        <v>NGSA</v>
      </c>
      <c r="CX114" s="223"/>
      <c r="CY114" s="223"/>
      <c r="CZ114" s="223"/>
      <c r="DA114" s="223"/>
      <c r="DB114" s="223"/>
      <c r="DC114" s="223"/>
      <c r="DD114" s="223"/>
      <c r="DE114" s="223"/>
      <c r="DF114" s="223">
        <f>VLOOKUP($I114,ngsa0910,13,FALSE)</f>
        <v>48603</v>
      </c>
      <c r="DG114" s="223">
        <f>VLOOKUP($I114,ngsa0922,13,FALSE)</f>
        <v>52382</v>
      </c>
      <c r="DH114" s="223">
        <f>VLOOKUP($I114,ngsa0923,13,FALSE)</f>
        <v>50868</v>
      </c>
      <c r="DI114" s="223">
        <f>VLOOKUP($I114,ngsa0929,13,FALSE)</f>
        <v>49839</v>
      </c>
      <c r="DM114" s="224">
        <f t="shared" si="265"/>
        <v>50423</v>
      </c>
    </row>
    <row r="115" spans="1:118" ht="15.75" x14ac:dyDescent="0.25">
      <c r="A115" s="136">
        <f t="shared" si="277"/>
        <v>33353</v>
      </c>
      <c r="B115" s="136" t="str">
        <f t="shared" si="278"/>
        <v>NGSA</v>
      </c>
      <c r="C115" s="42">
        <f t="shared" si="256"/>
        <v>2</v>
      </c>
      <c r="D115" s="39" t="str">
        <f t="shared" si="257"/>
        <v xml:space="preserve"> </v>
      </c>
      <c r="E115" s="25" t="str">
        <f t="shared" si="258"/>
        <v xml:space="preserve"> </v>
      </c>
      <c r="F115" s="25" t="str">
        <f t="shared" si="259"/>
        <v xml:space="preserve"> </v>
      </c>
      <c r="G115" s="145">
        <f t="shared" si="260"/>
        <v>1</v>
      </c>
      <c r="I115" s="33">
        <v>33353</v>
      </c>
      <c r="J115" s="130" t="s">
        <v>27</v>
      </c>
      <c r="K115" s="103" t="e">
        <f>VLOOKUP($I115,ngsa0705,17,FALSE)</f>
        <v>#N/A</v>
      </c>
      <c r="L115" s="103" t="e">
        <f>VLOOKUP($I115,ngsa0706,17,FALSE)</f>
        <v>#N/A</v>
      </c>
      <c r="M115" s="103" t="e">
        <f>VLOOKUP($I115,ngsa0707,17,FALSE)</f>
        <v>#N/A</v>
      </c>
      <c r="N115" s="103" t="e">
        <f>VLOOKUP($I115,ngsa0708,17,FALSE)</f>
        <v>#N/A</v>
      </c>
      <c r="O115" s="103" t="e">
        <f>VLOOKUP($I115,ngsa0721,17,FALSE)</f>
        <v>#N/A</v>
      </c>
      <c r="P115" s="103" t="e">
        <f>VLOOKUP($I115,ngsa0725,17,FALSE)</f>
        <v>#N/A</v>
      </c>
      <c r="Q115" s="103" t="e">
        <f>VLOOKUP($I115,ngsa0829,17,FALSE)</f>
        <v>#N/A</v>
      </c>
      <c r="R115" s="103" t="e">
        <f>VLOOKUP($I115,ngsa0830,17,FALSE)</f>
        <v>#N/A</v>
      </c>
      <c r="S115" s="103" t="e">
        <f>VLOOKUP($I115,ngsa0910,17,FALSE)</f>
        <v>#N/A</v>
      </c>
      <c r="T115" s="103" t="str">
        <f>VLOOKUP($I115,ngsa0922,17,FALSE)</f>
        <v>X</v>
      </c>
      <c r="U115" s="103">
        <f>VLOOKUP($I115,ngsa0923,17,FALSE)</f>
        <v>0</v>
      </c>
      <c r="V115" s="103" t="str">
        <f>VLOOKUP($I115,ngsa0929,17,FALSE)</f>
        <v>X</v>
      </c>
      <c r="W115" s="103"/>
      <c r="X115" s="103"/>
      <c r="Y115" s="103"/>
      <c r="Z115" s="112">
        <f t="shared" si="279"/>
        <v>2</v>
      </c>
      <c r="AA115" s="123"/>
      <c r="AB115" s="103" t="e">
        <f>VLOOKUP($I115,ngsa0705,18,FALSE)</f>
        <v>#N/A</v>
      </c>
      <c r="AC115" s="103" t="e">
        <f>VLOOKUP($I115,ngsa0706,18,FALSE)</f>
        <v>#N/A</v>
      </c>
      <c r="AD115" s="103" t="e">
        <f>VLOOKUP($I115,ngsa0707,18,FALSE)</f>
        <v>#N/A</v>
      </c>
      <c r="AE115" s="103" t="e">
        <f>VLOOKUP($I115,ngsa0708,18,FALSE)</f>
        <v>#N/A</v>
      </c>
      <c r="AF115" s="103" t="e">
        <f>VLOOKUP($I115,ngsa0721,18,FALSE)</f>
        <v>#N/A</v>
      </c>
      <c r="AG115" s="103" t="e">
        <f>VLOOKUP($I115,ngsa0725,18,FALSE)</f>
        <v>#N/A</v>
      </c>
      <c r="AH115" s="103" t="e">
        <f>VLOOKUP($I115,ngsa0829,18,FALSE)</f>
        <v>#N/A</v>
      </c>
      <c r="AI115" s="103" t="e">
        <f>VLOOKUP($I115,ngsa0830,18,FALSE)</f>
        <v>#N/A</v>
      </c>
      <c r="AJ115" s="103" t="e">
        <f>VLOOKUP($I115,ngsa0910,18,FALSE)</f>
        <v>#N/A</v>
      </c>
      <c r="AK115" s="103" t="str">
        <f>VLOOKUP($I115,ngsa0922,18,FALSE)</f>
        <v xml:space="preserve"> </v>
      </c>
      <c r="AL115" s="103" t="str">
        <f>VLOOKUP($I115,ngsa0923,18,FALSE)</f>
        <v xml:space="preserve"> </v>
      </c>
      <c r="AM115" s="103" t="str">
        <f>VLOOKUP($I115,ngsa0929,18,FALSE)</f>
        <v xml:space="preserve"> </v>
      </c>
      <c r="AN115" s="103"/>
      <c r="AO115" s="103"/>
      <c r="AP115" s="103"/>
      <c r="AQ115" s="112" t="str">
        <f t="shared" si="267"/>
        <v xml:space="preserve"> </v>
      </c>
      <c r="AR115" s="123"/>
      <c r="AS115" s="101">
        <f t="shared" si="254"/>
        <v>33353</v>
      </c>
      <c r="AT115" s="133" t="str">
        <f t="shared" si="255"/>
        <v>NGSA</v>
      </c>
      <c r="AU115" s="103" t="e">
        <f>VLOOKUP($I115,ngsa0705,19,FALSE)</f>
        <v>#N/A</v>
      </c>
      <c r="AV115" s="103" t="e">
        <f>VLOOKUP($I115,ngsa0706,19,FALSE)</f>
        <v>#N/A</v>
      </c>
      <c r="AW115" s="103" t="e">
        <f>VLOOKUP($I115,ngsa0707,19,FALSE)</f>
        <v>#N/A</v>
      </c>
      <c r="AX115" s="103" t="e">
        <f>VLOOKUP($I115,ngsa0708,19,FALSE)</f>
        <v>#N/A</v>
      </c>
      <c r="AY115" s="103" t="e">
        <f>VLOOKUP($I115,ngsa0721,19,FALSE)</f>
        <v>#N/A</v>
      </c>
      <c r="AZ115" s="103" t="e">
        <f>VLOOKUP($I115,ngsa0725,19,FALSE)</f>
        <v>#N/A</v>
      </c>
      <c r="BA115" s="103" t="e">
        <f>VLOOKUP($I115,ngsa0829,19,FALSE)</f>
        <v>#N/A</v>
      </c>
      <c r="BB115" s="103" t="e">
        <f>VLOOKUP($I115,ngsa0830,19,FALSE)</f>
        <v>#N/A</v>
      </c>
      <c r="BC115" s="103" t="e">
        <f>VLOOKUP($I115,ngsa0910,19,FALSE)</f>
        <v>#N/A</v>
      </c>
      <c r="BD115" s="103" t="str">
        <f>VLOOKUP($I115,ngsa0922,19,FALSE)</f>
        <v xml:space="preserve"> </v>
      </c>
      <c r="BE115" s="103" t="str">
        <f>VLOOKUP($I115,ngsa0923,19,FALSE)</f>
        <v xml:space="preserve"> </v>
      </c>
      <c r="BF115" s="103" t="str">
        <f>VLOOKUP($I115,ngsa0929,19,FALSE)</f>
        <v>X</v>
      </c>
      <c r="BG115" s="103"/>
      <c r="BH115" s="103"/>
      <c r="BI115" s="103"/>
      <c r="BJ115" s="112">
        <f>IF(COUNTIF(AU115:BI115,"x")=0," ",COUNTIF(AU115:BI115,"x"))</f>
        <v>1</v>
      </c>
      <c r="BK115" s="123"/>
      <c r="BL115" s="103" t="e">
        <f>VLOOKUP($I115,ngsa0705,20,FALSE)</f>
        <v>#N/A</v>
      </c>
      <c r="BM115" s="103" t="e">
        <f>VLOOKUP($I115,ngsa0706,20,FALSE)</f>
        <v>#N/A</v>
      </c>
      <c r="BN115" s="103" t="e">
        <f>VLOOKUP($I115,ngsa0707,20,FALSE)</f>
        <v>#N/A</v>
      </c>
      <c r="BO115" s="103" t="e">
        <f>VLOOKUP($I115,ngsa0708,20,FALSE)</f>
        <v>#N/A</v>
      </c>
      <c r="BP115" s="103" t="e">
        <f>VLOOKUP($I115,ngsa0721,20,FALSE)</f>
        <v>#N/A</v>
      </c>
      <c r="BQ115" s="103" t="e">
        <f>VLOOKUP($I115,ngsa0725,20,FALSE)</f>
        <v>#N/A</v>
      </c>
      <c r="BR115" s="103" t="e">
        <f>VLOOKUP($I115,ngsa0829,20,FALSE)</f>
        <v>#N/A</v>
      </c>
      <c r="BS115" s="103" t="e">
        <f>VLOOKUP($I115,ngsa0830,20,FALSE)</f>
        <v>#N/A</v>
      </c>
      <c r="BT115" s="103" t="e">
        <f>VLOOKUP($I115,ngsa0910,20,FALSE)</f>
        <v>#N/A</v>
      </c>
      <c r="BU115" s="103">
        <f>VLOOKUP($I115,ngsa0922,20,FALSE)</f>
        <v>0</v>
      </c>
      <c r="BV115" s="103">
        <f>VLOOKUP($I115,ngsa0923,20,FALSE)</f>
        <v>0</v>
      </c>
      <c r="BW115" s="103">
        <f>VLOOKUP($I115,ngsa0929,20,FALSE)</f>
        <v>0</v>
      </c>
      <c r="BX115" s="103"/>
      <c r="BY115" s="103"/>
      <c r="BZ115" s="103"/>
      <c r="CA115" s="112" t="str">
        <f>IF(COUNTIF(BL115:BZ115,"x")=0," ",COUNTIF(BL115:BZ115,"x"))</f>
        <v xml:space="preserve"> </v>
      </c>
      <c r="CB115" s="123"/>
      <c r="CC115" s="101">
        <f t="shared" si="261"/>
        <v>33353</v>
      </c>
      <c r="CD115" s="133" t="str">
        <f t="shared" si="262"/>
        <v>NGSA</v>
      </c>
      <c r="CE115" s="103" t="e">
        <f>VLOOKUP($I115,ngsa0705,21,FALSE)</f>
        <v>#N/A</v>
      </c>
      <c r="CF115" s="103" t="e">
        <f>VLOOKUP($I115,ngsa0706,21,FALSE)</f>
        <v>#N/A</v>
      </c>
      <c r="CG115" s="103" t="e">
        <f>VLOOKUP($I115,ngsa0707,21,FALSE)</f>
        <v>#N/A</v>
      </c>
      <c r="CH115" s="103" t="e">
        <f>VLOOKUP($I115,ngsa0708,21,FALSE)</f>
        <v>#N/A</v>
      </c>
      <c r="CI115" s="103" t="e">
        <f>VLOOKUP($I115,ngsa0721,21,FALSE)</f>
        <v>#N/A</v>
      </c>
      <c r="CJ115" s="103" t="e">
        <f>VLOOKUP($I115,ngsa0725,21,FALSE)</f>
        <v>#N/A</v>
      </c>
      <c r="CK115" s="103" t="e">
        <f>VLOOKUP($I115,ngsa0829,21,FALSE)</f>
        <v>#N/A</v>
      </c>
      <c r="CL115" s="103" t="e">
        <f>VLOOKUP($I115,ngsa0830,21,FALSE)</f>
        <v>#N/A</v>
      </c>
      <c r="CM115" s="103" t="e">
        <f>VLOOKUP($I115,ngsa0910,21,FALSE)</f>
        <v>#N/A</v>
      </c>
      <c r="CN115" s="103">
        <f>VLOOKUP($I115,ngsa0922,21,FALSE)</f>
        <v>0</v>
      </c>
      <c r="CO115" s="103">
        <f>VLOOKUP($I115,ngsa0923,21,FALSE)</f>
        <v>0</v>
      </c>
      <c r="CP115" s="103">
        <f>VLOOKUP($I115,ngsa0929,21,FALSE)</f>
        <v>0</v>
      </c>
      <c r="CQ115" s="103"/>
      <c r="CR115" s="103"/>
      <c r="CS115" s="103"/>
      <c r="CT115" s="112" t="str">
        <f>IF(COUNTIF(CE115:CS115,"x")=0," ",COUNTIF(CE115:CS115,"x"))</f>
        <v xml:space="preserve"> </v>
      </c>
      <c r="CU115" s="127"/>
      <c r="CV115" s="101">
        <f t="shared" si="263"/>
        <v>33353</v>
      </c>
      <c r="CW115" s="133" t="str">
        <f t="shared" si="264"/>
        <v>NGSA</v>
      </c>
      <c r="CX115" s="223"/>
      <c r="CY115" s="223"/>
      <c r="CZ115" s="223"/>
      <c r="DA115" s="223"/>
      <c r="DB115" s="223"/>
      <c r="DC115" s="223"/>
      <c r="DD115" s="223"/>
      <c r="DE115" s="223"/>
      <c r="DF115" s="223"/>
      <c r="DG115" s="223">
        <f>VLOOKUP($I115,ngsa0922,13,FALSE)</f>
        <v>16651</v>
      </c>
      <c r="DH115" s="223">
        <f>VLOOKUP($I115,ngsa0923,13,FALSE)</f>
        <v>16827</v>
      </c>
      <c r="DI115" s="223">
        <f>VLOOKUP($I115,ngsa0929,13,FALSE)</f>
        <v>15726</v>
      </c>
      <c r="DM115" s="224">
        <f t="shared" si="265"/>
        <v>16401.333333333332</v>
      </c>
      <c r="DN115" s="224">
        <f>SUM(DM49:DM115)</f>
        <v>190687.50000000003</v>
      </c>
    </row>
    <row r="116" spans="1:118" ht="16.5" customHeight="1" thickBot="1" x14ac:dyDescent="0.3">
      <c r="A116" s="136"/>
      <c r="B116" s="136"/>
      <c r="C116" s="42" t="str">
        <f t="shared" si="256"/>
        <v xml:space="preserve"> </v>
      </c>
      <c r="D116" s="39">
        <f t="shared" si="257"/>
        <v>0</v>
      </c>
      <c r="E116" s="25" t="str">
        <f t="shared" si="258"/>
        <v xml:space="preserve"> </v>
      </c>
      <c r="F116" s="25" t="str">
        <f t="shared" si="259"/>
        <v xml:space="preserve"> </v>
      </c>
      <c r="G116" s="145" t="str">
        <f t="shared" si="260"/>
        <v xml:space="preserve"> </v>
      </c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13" t="str">
        <f t="shared" si="279"/>
        <v xml:space="preserve"> </v>
      </c>
      <c r="AA116" s="123"/>
      <c r="AB116" s="117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13"/>
      <c r="AR116" s="123"/>
      <c r="AS116" s="101">
        <f t="shared" si="254"/>
        <v>0</v>
      </c>
      <c r="AT116" s="133">
        <f t="shared" si="255"/>
        <v>0</v>
      </c>
      <c r="AU116" s="117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  <c r="BI116" s="108"/>
      <c r="BJ116" s="113" t="str">
        <f>IF(COUNTIF(AU116:BI116,"x")=0," ",COUNTIF(AU116:BI116,"x"))</f>
        <v xml:space="preserve"> </v>
      </c>
      <c r="BK116" s="12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3"/>
      <c r="BZ116" s="103"/>
      <c r="CA116" s="112" t="str">
        <f>IF(COUNTIF(BL116:BZ116,"x")=0," ",COUNTIF(BL116:BZ116,"x"))</f>
        <v xml:space="preserve"> </v>
      </c>
      <c r="CB116" s="123"/>
      <c r="CC116" s="101">
        <f t="shared" si="261"/>
        <v>0</v>
      </c>
      <c r="CD116" s="133">
        <f t="shared" si="262"/>
        <v>0</v>
      </c>
      <c r="CE116" s="117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8"/>
      <c r="CS116" s="108"/>
      <c r="CT116" s="113" t="str">
        <f>IF(COUNTIF(CE116:CS116,"x")=0," ",COUNTIF(CE116:CS116,"x"))</f>
        <v xml:space="preserve"> </v>
      </c>
      <c r="CU116" s="127"/>
      <c r="DM116" s="224"/>
    </row>
    <row r="117" spans="1:118" s="3" customFormat="1" ht="22.5" customHeight="1" thickTop="1" x14ac:dyDescent="0.25">
      <c r="A117" s="53" t="s">
        <v>28</v>
      </c>
      <c r="B117" s="54"/>
      <c r="C117" s="55">
        <f>SUM(C7:C116)</f>
        <v>35</v>
      </c>
      <c r="D117" s="137">
        <f>SUM(D7:D116)</f>
        <v>102</v>
      </c>
      <c r="E117" s="138">
        <f>SUM(E7:E116)</f>
        <v>132</v>
      </c>
      <c r="F117" s="138">
        <f>SUM(F7:F116)</f>
        <v>186</v>
      </c>
      <c r="G117" s="139">
        <f>SUM(G7:G116)</f>
        <v>23</v>
      </c>
      <c r="K117" s="220">
        <f t="shared" ref="K117:Y117" si="280">COUNTIF(K7:K116,"x")</f>
        <v>0</v>
      </c>
      <c r="L117" s="118">
        <f t="shared" si="280"/>
        <v>5</v>
      </c>
      <c r="M117" s="118">
        <f t="shared" si="280"/>
        <v>0</v>
      </c>
      <c r="N117" s="118">
        <f t="shared" si="280"/>
        <v>0</v>
      </c>
      <c r="O117" s="118">
        <f t="shared" si="280"/>
        <v>0</v>
      </c>
      <c r="P117" s="118">
        <f t="shared" si="280"/>
        <v>0</v>
      </c>
      <c r="Q117" s="118">
        <f t="shared" si="280"/>
        <v>9</v>
      </c>
      <c r="R117" s="118">
        <f t="shared" si="280"/>
        <v>0</v>
      </c>
      <c r="S117" s="118">
        <f t="shared" si="280"/>
        <v>7</v>
      </c>
      <c r="T117" s="118">
        <f t="shared" si="280"/>
        <v>6</v>
      </c>
      <c r="U117" s="118">
        <f t="shared" si="280"/>
        <v>0</v>
      </c>
      <c r="V117" s="118">
        <f t="shared" si="280"/>
        <v>10</v>
      </c>
      <c r="W117" s="118">
        <f t="shared" si="280"/>
        <v>0</v>
      </c>
      <c r="X117" s="118">
        <f t="shared" si="280"/>
        <v>0</v>
      </c>
      <c r="Y117" s="118">
        <f t="shared" si="280"/>
        <v>0</v>
      </c>
      <c r="Z117" s="114">
        <f>SUM(K117:Y117)</f>
        <v>37</v>
      </c>
      <c r="AA117" s="123"/>
      <c r="AB117" s="118">
        <f t="shared" ref="AB117:AP117" si="281">COUNTIF(AB7:AB116,"x")</f>
        <v>15</v>
      </c>
      <c r="AC117" s="107">
        <f t="shared" si="281"/>
        <v>10</v>
      </c>
      <c r="AD117" s="107">
        <f t="shared" si="281"/>
        <v>11</v>
      </c>
      <c r="AE117" s="107">
        <f t="shared" si="281"/>
        <v>6</v>
      </c>
      <c r="AF117" s="107">
        <f t="shared" si="281"/>
        <v>9</v>
      </c>
      <c r="AG117" s="107">
        <f t="shared" si="281"/>
        <v>6</v>
      </c>
      <c r="AH117" s="107">
        <f t="shared" si="281"/>
        <v>9</v>
      </c>
      <c r="AI117" s="118">
        <f>COUNTIF(AI7:AI116,"x")</f>
        <v>6</v>
      </c>
      <c r="AJ117" s="118">
        <f>COUNTIF(AJ7:AJ116,"x")</f>
        <v>9</v>
      </c>
      <c r="AK117" s="118">
        <f>COUNTIF(AK7:AK116,"x")</f>
        <v>7</v>
      </c>
      <c r="AL117" s="118">
        <f>COUNTIF(AL7:AL116,"x")</f>
        <v>8</v>
      </c>
      <c r="AM117" s="107">
        <f t="shared" si="281"/>
        <v>16</v>
      </c>
      <c r="AN117" s="107">
        <f t="shared" si="281"/>
        <v>0</v>
      </c>
      <c r="AO117" s="107">
        <f t="shared" si="281"/>
        <v>0</v>
      </c>
      <c r="AP117" s="107">
        <f t="shared" si="281"/>
        <v>0</v>
      </c>
      <c r="AQ117" s="114">
        <f>SUM(AB117:AP117)</f>
        <v>112</v>
      </c>
      <c r="AR117" s="123"/>
      <c r="AS117" s="106" t="s">
        <v>28</v>
      </c>
      <c r="AT117" s="134"/>
      <c r="AU117" s="118">
        <f t="shared" ref="AU117:BI117" si="282">COUNTIF(AU7:AU116,"x")</f>
        <v>1</v>
      </c>
      <c r="AV117" s="118">
        <f t="shared" si="282"/>
        <v>5</v>
      </c>
      <c r="AW117" s="118">
        <f t="shared" si="282"/>
        <v>1</v>
      </c>
      <c r="AX117" s="118">
        <f t="shared" si="282"/>
        <v>1</v>
      </c>
      <c r="AY117" s="118">
        <f t="shared" si="282"/>
        <v>0</v>
      </c>
      <c r="AZ117" s="118">
        <f t="shared" si="282"/>
        <v>0</v>
      </c>
      <c r="BA117" s="118">
        <f t="shared" si="282"/>
        <v>4</v>
      </c>
      <c r="BB117" s="118">
        <f t="shared" si="282"/>
        <v>0</v>
      </c>
      <c r="BC117" s="118">
        <f t="shared" si="282"/>
        <v>0</v>
      </c>
      <c r="BD117" s="118">
        <f t="shared" si="282"/>
        <v>5</v>
      </c>
      <c r="BE117" s="118">
        <f t="shared" si="282"/>
        <v>1</v>
      </c>
      <c r="BF117" s="118">
        <f t="shared" si="282"/>
        <v>5</v>
      </c>
      <c r="BG117" s="118">
        <f t="shared" si="282"/>
        <v>0</v>
      </c>
      <c r="BH117" s="118">
        <f t="shared" si="282"/>
        <v>0</v>
      </c>
      <c r="BI117" s="118">
        <f t="shared" si="282"/>
        <v>0</v>
      </c>
      <c r="BJ117" s="114">
        <f>SUM(AU117:BI117)</f>
        <v>23</v>
      </c>
      <c r="BK117" s="123"/>
      <c r="BL117" s="118">
        <f t="shared" ref="BL117:BR117" si="283">COUNTIF(BL7:BL116,"x")</f>
        <v>17</v>
      </c>
      <c r="BM117" s="107">
        <f t="shared" si="283"/>
        <v>12</v>
      </c>
      <c r="BN117" s="107">
        <f t="shared" si="283"/>
        <v>14</v>
      </c>
      <c r="BO117" s="107">
        <f t="shared" si="283"/>
        <v>8</v>
      </c>
      <c r="BP117" s="107">
        <f t="shared" si="283"/>
        <v>11</v>
      </c>
      <c r="BQ117" s="107">
        <f t="shared" si="283"/>
        <v>9</v>
      </c>
      <c r="BR117" s="107">
        <f t="shared" si="283"/>
        <v>10</v>
      </c>
      <c r="BS117" s="118">
        <f t="shared" ref="BS117:BZ117" si="284">COUNTIF(BS7:BS116,"x")</f>
        <v>13</v>
      </c>
      <c r="BT117" s="118">
        <f t="shared" si="284"/>
        <v>13</v>
      </c>
      <c r="BU117" s="118">
        <f t="shared" si="284"/>
        <v>12</v>
      </c>
      <c r="BV117" s="118">
        <f t="shared" si="284"/>
        <v>11</v>
      </c>
      <c r="BW117" s="118">
        <f t="shared" si="284"/>
        <v>14</v>
      </c>
      <c r="BX117" s="118">
        <f t="shared" si="284"/>
        <v>0</v>
      </c>
      <c r="BY117" s="118">
        <f t="shared" si="284"/>
        <v>0</v>
      </c>
      <c r="BZ117" s="118">
        <f t="shared" si="284"/>
        <v>0</v>
      </c>
      <c r="CA117" s="114">
        <f>SUM(BL117:BZ117)</f>
        <v>144</v>
      </c>
      <c r="CB117" s="123"/>
      <c r="CC117" s="106" t="s">
        <v>28</v>
      </c>
      <c r="CD117" s="134"/>
      <c r="CE117" s="118">
        <f t="shared" ref="CE117:CS117" si="285">COUNTIF(CE7:CE116,"x")</f>
        <v>21</v>
      </c>
      <c r="CF117" s="107">
        <f t="shared" si="285"/>
        <v>18</v>
      </c>
      <c r="CG117" s="107">
        <f t="shared" si="285"/>
        <v>20</v>
      </c>
      <c r="CH117" s="107">
        <f t="shared" si="285"/>
        <v>8</v>
      </c>
      <c r="CI117" s="107">
        <f t="shared" si="285"/>
        <v>27</v>
      </c>
      <c r="CJ117" s="107">
        <f t="shared" si="285"/>
        <v>15</v>
      </c>
      <c r="CK117" s="107">
        <f t="shared" si="285"/>
        <v>21</v>
      </c>
      <c r="CL117" s="107"/>
      <c r="CM117" s="107"/>
      <c r="CN117" s="107"/>
      <c r="CO117" s="107"/>
      <c r="CP117" s="107">
        <f t="shared" si="285"/>
        <v>19</v>
      </c>
      <c r="CQ117" s="107">
        <f t="shared" si="285"/>
        <v>0</v>
      </c>
      <c r="CR117" s="107">
        <f t="shared" si="285"/>
        <v>0</v>
      </c>
      <c r="CS117" s="107">
        <f t="shared" si="285"/>
        <v>0</v>
      </c>
      <c r="CT117" s="114">
        <f>SUM(CE117:CS117)</f>
        <v>149</v>
      </c>
      <c r="CU117" s="125"/>
      <c r="DM117" s="225"/>
    </row>
    <row r="118" spans="1:118" s="15" customFormat="1" ht="20.25" customHeight="1" x14ac:dyDescent="0.2">
      <c r="A118" s="33"/>
      <c r="B118" s="33"/>
      <c r="C118" s="17"/>
      <c r="D118" s="17"/>
      <c r="E118" s="17"/>
      <c r="F118" s="17"/>
      <c r="G118" s="17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20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20"/>
      <c r="AS118" s="102"/>
      <c r="AT118" s="133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20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20"/>
      <c r="CC118" s="102"/>
      <c r="CD118" s="133"/>
      <c r="CE118" s="102"/>
      <c r="CF118" s="102"/>
      <c r="CG118" s="102"/>
      <c r="CH118" s="102"/>
      <c r="CI118" s="102"/>
      <c r="CJ118" s="102"/>
      <c r="CK118" s="102"/>
      <c r="CL118" s="102"/>
      <c r="CM118" s="102"/>
      <c r="CN118" s="102"/>
      <c r="CO118" s="102"/>
      <c r="CP118" s="102"/>
      <c r="CQ118" s="102"/>
      <c r="CR118" s="102"/>
      <c r="CS118" s="102"/>
      <c r="CT118" s="102"/>
      <c r="DM118" s="226"/>
    </row>
    <row r="119" spans="1:118" s="15" customFormat="1" ht="24.75" customHeight="1" x14ac:dyDescent="0.2">
      <c r="A119" s="228" t="s">
        <v>69</v>
      </c>
      <c r="B119" s="228"/>
      <c r="C119" s="228"/>
      <c r="D119" s="228"/>
      <c r="E119" s="228"/>
      <c r="F119" s="228"/>
      <c r="G119" s="228"/>
      <c r="AT119" s="130"/>
      <c r="CD119" s="130"/>
    </row>
    <row r="120" spans="1:118" s="15" customFormat="1" ht="30.75" customHeight="1" x14ac:dyDescent="0.2">
      <c r="A120" s="228" t="s">
        <v>70</v>
      </c>
      <c r="B120" s="228"/>
      <c r="C120" s="228"/>
      <c r="D120" s="228"/>
      <c r="E120" s="228"/>
      <c r="F120" s="228"/>
      <c r="G120" s="228"/>
      <c r="AT120" s="130"/>
      <c r="CD120" s="130"/>
    </row>
    <row r="121" spans="1:118" s="15" customFormat="1" x14ac:dyDescent="0.2">
      <c r="A121" s="33"/>
      <c r="B121" s="33"/>
      <c r="C121" s="17"/>
      <c r="D121" s="17"/>
      <c r="E121" s="17"/>
      <c r="F121" s="17"/>
      <c r="G121" s="17"/>
      <c r="AT121" s="130"/>
      <c r="CD121" s="130"/>
    </row>
    <row r="122" spans="1:118" s="15" customFormat="1" hidden="1" x14ac:dyDescent="0.2">
      <c r="A122" s="33">
        <v>7603</v>
      </c>
      <c r="B122" s="33" t="s">
        <v>27</v>
      </c>
      <c r="C122" s="17"/>
      <c r="D122" s="17"/>
      <c r="E122" s="17"/>
      <c r="F122" s="17"/>
      <c r="G122" s="17"/>
      <c r="AT122" s="130"/>
      <c r="CD122" s="130"/>
    </row>
    <row r="123" spans="1:118" s="15" customFormat="1" hidden="1" x14ac:dyDescent="0.2">
      <c r="A123" s="33">
        <v>16926</v>
      </c>
      <c r="B123" s="33" t="s">
        <v>27</v>
      </c>
      <c r="C123" s="17"/>
      <c r="D123" s="17"/>
      <c r="E123" s="17"/>
      <c r="F123" s="17"/>
      <c r="G123" s="17"/>
      <c r="AT123" s="130"/>
      <c r="CD123" s="130"/>
    </row>
    <row r="124" spans="1:118" s="15" customFormat="1" hidden="1" x14ac:dyDescent="0.2">
      <c r="A124" s="33">
        <v>7606</v>
      </c>
      <c r="B124" s="33" t="s">
        <v>27</v>
      </c>
      <c r="C124" s="17"/>
      <c r="D124" s="17"/>
      <c r="E124" s="17"/>
      <c r="F124" s="17"/>
      <c r="G124" s="17"/>
      <c r="AT124" s="130"/>
      <c r="CD124" s="130"/>
    </row>
    <row r="125" spans="1:118" s="15" customFormat="1" x14ac:dyDescent="0.2">
      <c r="A125" s="33"/>
      <c r="B125" s="33"/>
      <c r="C125" s="17"/>
      <c r="D125" s="17"/>
      <c r="E125" s="17"/>
      <c r="F125" s="17"/>
      <c r="G125" s="17"/>
      <c r="AT125" s="130"/>
      <c r="CD125" s="130"/>
    </row>
    <row r="126" spans="1:118" s="15" customFormat="1" ht="18" customHeight="1" x14ac:dyDescent="0.25">
      <c r="A126" s="33"/>
      <c r="B126" s="34" t="s">
        <v>29</v>
      </c>
      <c r="C126" s="32"/>
      <c r="D126" s="32"/>
      <c r="E126" s="17"/>
      <c r="F126" s="17"/>
      <c r="G126" s="17"/>
      <c r="AT126" s="130"/>
      <c r="CD126" s="130"/>
    </row>
    <row r="127" spans="1:118" s="15" customFormat="1" ht="18" customHeight="1" x14ac:dyDescent="0.2">
      <c r="A127" s="33"/>
      <c r="B127" s="32" t="s">
        <v>30</v>
      </c>
      <c r="C127" s="32"/>
      <c r="D127" s="32"/>
      <c r="E127" s="17"/>
      <c r="F127" s="17"/>
      <c r="G127" s="17"/>
      <c r="AT127" s="130"/>
      <c r="CD127" s="130"/>
    </row>
    <row r="128" spans="1:118" s="15" customFormat="1" ht="18" customHeight="1" x14ac:dyDescent="0.2">
      <c r="A128" s="33"/>
      <c r="B128" s="32" t="s">
        <v>31</v>
      </c>
      <c r="C128" s="35">
        <v>5000</v>
      </c>
      <c r="D128" s="32"/>
      <c r="E128" s="17"/>
      <c r="F128" s="17"/>
      <c r="G128" s="17"/>
      <c r="AT128" s="130"/>
      <c r="CD128" s="130"/>
    </row>
    <row r="129" spans="1:97" s="15" customFormat="1" ht="18" customHeight="1" x14ac:dyDescent="0.2">
      <c r="A129" s="33"/>
      <c r="B129" s="32" t="s">
        <v>32</v>
      </c>
      <c r="C129" s="36">
        <v>0.1</v>
      </c>
      <c r="D129" s="32"/>
      <c r="E129" s="17"/>
      <c r="F129" s="17"/>
      <c r="G129" s="17"/>
      <c r="AT129" s="130"/>
      <c r="CD129" s="130"/>
    </row>
    <row r="130" spans="1:97" s="15" customFormat="1" ht="18" customHeight="1" x14ac:dyDescent="0.2">
      <c r="A130" s="33"/>
      <c r="B130" s="32"/>
      <c r="C130" s="32"/>
      <c r="D130" s="32"/>
      <c r="E130" s="17"/>
      <c r="F130" s="17"/>
      <c r="G130" s="17"/>
      <c r="AT130" s="130"/>
      <c r="CD130" s="130"/>
    </row>
    <row r="131" spans="1:97" s="15" customFormat="1" ht="18" customHeight="1" x14ac:dyDescent="0.2">
      <c r="A131" s="33"/>
      <c r="B131" s="32" t="s">
        <v>33</v>
      </c>
      <c r="C131" s="32"/>
      <c r="D131" s="32"/>
      <c r="E131" s="17"/>
      <c r="F131" s="17"/>
      <c r="G131" s="17"/>
      <c r="AT131" s="130"/>
      <c r="CD131" s="130"/>
    </row>
    <row r="132" spans="1:97" s="15" customFormat="1" ht="18" customHeight="1" x14ac:dyDescent="0.2">
      <c r="A132" s="33"/>
      <c r="B132" s="32" t="s">
        <v>31</v>
      </c>
      <c r="C132" s="35">
        <v>5000</v>
      </c>
      <c r="D132" s="32"/>
      <c r="E132" s="17"/>
      <c r="F132" s="17"/>
      <c r="G132" s="17"/>
      <c r="AT132" s="130"/>
      <c r="CD132" s="130"/>
    </row>
    <row r="133" spans="1:97" s="15" customFormat="1" x14ac:dyDescent="0.2">
      <c r="A133" s="33"/>
      <c r="B133" s="33"/>
      <c r="C133" s="17"/>
      <c r="D133" s="17"/>
      <c r="E133" s="17"/>
      <c r="F133" s="17"/>
      <c r="G133" s="17"/>
      <c r="AT133" s="130"/>
      <c r="CD133" s="130"/>
    </row>
    <row r="134" spans="1:97" s="15" customFormat="1" x14ac:dyDescent="0.2">
      <c r="A134" s="33"/>
      <c r="B134" s="33"/>
      <c r="C134" s="17"/>
      <c r="D134" s="17"/>
      <c r="E134" s="17"/>
      <c r="F134" s="17"/>
      <c r="G134" s="17"/>
      <c r="AT134" s="130"/>
      <c r="CD134" s="130"/>
    </row>
    <row r="135" spans="1:97" s="15" customFormat="1" x14ac:dyDescent="0.2">
      <c r="A135" s="33"/>
      <c r="B135" s="33"/>
      <c r="C135" s="17"/>
      <c r="D135" s="17"/>
      <c r="E135" s="17"/>
      <c r="F135" s="17"/>
      <c r="G135" s="17"/>
      <c r="AT135" s="130"/>
      <c r="CD135" s="130"/>
    </row>
    <row r="136" spans="1:97" s="15" customFormat="1" ht="15.75" customHeight="1" x14ac:dyDescent="0.2">
      <c r="A136" s="33"/>
      <c r="B136" s="33"/>
      <c r="C136" s="17"/>
      <c r="D136" s="17"/>
      <c r="E136" s="17"/>
      <c r="F136" s="17"/>
      <c r="G136" s="17"/>
      <c r="J136" s="130"/>
      <c r="AT136" s="130"/>
      <c r="CD136" s="130"/>
    </row>
    <row r="137" spans="1:97" s="15" customFormat="1" x14ac:dyDescent="0.2">
      <c r="A137" s="33"/>
      <c r="B137" s="33"/>
      <c r="C137" s="17"/>
      <c r="D137" s="17"/>
      <c r="E137" s="17"/>
      <c r="F137" s="17"/>
      <c r="G137" s="17"/>
      <c r="J137" s="130"/>
      <c r="AT137" s="130"/>
      <c r="CD137" s="130"/>
    </row>
    <row r="138" spans="1:97" s="15" customFormat="1" x14ac:dyDescent="0.2">
      <c r="A138" s="33"/>
      <c r="B138" s="33"/>
      <c r="C138" s="17"/>
      <c r="D138" s="17"/>
      <c r="J138" s="130"/>
      <c r="AT138" s="130"/>
      <c r="CD138" s="130"/>
    </row>
    <row r="139" spans="1:97" s="15" customFormat="1" ht="49.5" customHeight="1" x14ac:dyDescent="0.2">
      <c r="A139" s="33"/>
      <c r="B139" s="33"/>
      <c r="C139" s="17"/>
      <c r="D139" s="17"/>
      <c r="J139" s="130"/>
      <c r="AT139" s="130"/>
      <c r="CD139" s="130"/>
      <c r="CS139" s="49"/>
    </row>
    <row r="140" spans="1:97" s="15" customFormat="1" x14ac:dyDescent="0.2">
      <c r="A140" s="33"/>
      <c r="B140" s="33"/>
      <c r="C140" s="17"/>
      <c r="D140" s="17"/>
      <c r="J140" s="130"/>
      <c r="AT140" s="130"/>
      <c r="CD140" s="130"/>
      <c r="CS140" s="50"/>
    </row>
    <row r="141" spans="1:97" s="15" customFormat="1" x14ac:dyDescent="0.2">
      <c r="A141" s="33"/>
      <c r="B141" s="33"/>
      <c r="C141" s="17"/>
      <c r="D141" s="17"/>
      <c r="J141" s="130"/>
      <c r="AT141" s="130"/>
      <c r="CD141" s="130"/>
      <c r="CS141" s="50"/>
    </row>
    <row r="142" spans="1:97" s="15" customFormat="1" x14ac:dyDescent="0.2">
      <c r="A142" s="33"/>
      <c r="B142" s="33"/>
      <c r="C142" s="17"/>
      <c r="D142" s="17"/>
      <c r="J142" s="130"/>
      <c r="AT142" s="130"/>
      <c r="CD142" s="130"/>
      <c r="CS142" s="50"/>
    </row>
    <row r="143" spans="1:97" s="15" customFormat="1" x14ac:dyDescent="0.2">
      <c r="A143" s="33"/>
      <c r="B143" s="33"/>
      <c r="C143" s="17"/>
      <c r="D143" s="17"/>
      <c r="E143" s="17"/>
      <c r="F143" s="17"/>
      <c r="G143" s="17"/>
      <c r="J143" s="130"/>
      <c r="AT143" s="130"/>
      <c r="CD143" s="130"/>
      <c r="CS143" s="50"/>
    </row>
    <row r="144" spans="1:97" s="15" customFormat="1" x14ac:dyDescent="0.2">
      <c r="A144" s="33"/>
      <c r="B144" s="33"/>
      <c r="C144" s="17"/>
      <c r="D144" s="17"/>
      <c r="E144" s="17"/>
      <c r="F144" s="17"/>
      <c r="G144" s="17"/>
      <c r="J144" s="130"/>
      <c r="AT144" s="130"/>
      <c r="CD144" s="130"/>
      <c r="CS144" s="50"/>
    </row>
    <row r="145" spans="1:97" s="15" customFormat="1" x14ac:dyDescent="0.2">
      <c r="A145" s="33"/>
      <c r="B145" s="33"/>
      <c r="C145" s="17"/>
      <c r="D145" s="17"/>
      <c r="E145" s="17"/>
      <c r="F145" s="17"/>
      <c r="G145" s="17"/>
      <c r="J145" s="130"/>
      <c r="AT145" s="130"/>
      <c r="CD145" s="130"/>
      <c r="CS145" s="50"/>
    </row>
    <row r="146" spans="1:97" s="15" customFormat="1" x14ac:dyDescent="0.2">
      <c r="A146" s="33"/>
      <c r="B146" s="33"/>
      <c r="C146" s="17"/>
      <c r="D146" s="17"/>
      <c r="E146" s="17"/>
      <c r="F146" s="17"/>
      <c r="G146" s="17"/>
      <c r="J146" s="130"/>
      <c r="AT146" s="130"/>
      <c r="CD146" s="130"/>
      <c r="CS146" s="50"/>
    </row>
    <row r="147" spans="1:97" s="15" customFormat="1" x14ac:dyDescent="0.2">
      <c r="A147" s="33"/>
      <c r="B147" s="33"/>
      <c r="C147" s="17"/>
      <c r="D147" s="17"/>
      <c r="E147" s="17"/>
      <c r="F147" s="17"/>
      <c r="G147" s="17"/>
      <c r="J147" s="130"/>
      <c r="AT147" s="130"/>
      <c r="CD147" s="130"/>
      <c r="CS147" s="50"/>
    </row>
    <row r="148" spans="1:97" s="15" customFormat="1" x14ac:dyDescent="0.2">
      <c r="A148" s="33"/>
      <c r="B148" s="33"/>
      <c r="C148" s="17"/>
      <c r="D148" s="17"/>
      <c r="E148" s="17"/>
      <c r="F148" s="17"/>
      <c r="G148" s="17"/>
      <c r="J148" s="130"/>
      <c r="AT148" s="130"/>
      <c r="CD148" s="130"/>
      <c r="CS148" s="50"/>
    </row>
    <row r="149" spans="1:97" s="15" customFormat="1" x14ac:dyDescent="0.2">
      <c r="A149" s="33"/>
      <c r="B149" s="33"/>
      <c r="C149" s="17"/>
      <c r="D149" s="17"/>
      <c r="E149" s="17"/>
      <c r="F149" s="17"/>
      <c r="G149" s="17"/>
      <c r="J149" s="130"/>
      <c r="AT149" s="130"/>
      <c r="CD149" s="130"/>
      <c r="CS149" s="50"/>
    </row>
    <row r="150" spans="1:97" s="15" customFormat="1" x14ac:dyDescent="0.2">
      <c r="A150" s="33"/>
      <c r="B150" s="33"/>
      <c r="C150" s="17"/>
      <c r="D150" s="17"/>
      <c r="E150" s="17"/>
      <c r="F150" s="17"/>
      <c r="G150" s="17"/>
      <c r="J150" s="130"/>
      <c r="AT150" s="130"/>
      <c r="CD150" s="130"/>
      <c r="CS150" s="50"/>
    </row>
    <row r="151" spans="1:97" s="15" customFormat="1" x14ac:dyDescent="0.2">
      <c r="A151" s="33"/>
      <c r="B151" s="33"/>
      <c r="C151" s="17"/>
      <c r="D151" s="17"/>
      <c r="E151" s="17"/>
      <c r="F151" s="17"/>
      <c r="G151" s="17"/>
      <c r="J151" s="130"/>
      <c r="AT151" s="130"/>
      <c r="CD151" s="130"/>
      <c r="CS151" s="50"/>
    </row>
    <row r="152" spans="1:97" s="15" customFormat="1" x14ac:dyDescent="0.2">
      <c r="A152" s="33"/>
      <c r="B152" s="33"/>
      <c r="C152" s="17"/>
      <c r="D152" s="17"/>
      <c r="E152" s="17"/>
      <c r="F152" s="17"/>
      <c r="G152" s="17"/>
      <c r="J152" s="130"/>
      <c r="AT152" s="130"/>
      <c r="CD152" s="130"/>
      <c r="CS152" s="50"/>
    </row>
    <row r="153" spans="1:97" s="15" customFormat="1" x14ac:dyDescent="0.2">
      <c r="A153" s="33"/>
      <c r="B153" s="33"/>
      <c r="C153" s="17"/>
      <c r="D153" s="17"/>
      <c r="E153" s="17"/>
      <c r="F153" s="17"/>
      <c r="G153" s="17"/>
      <c r="J153" s="130"/>
      <c r="AT153" s="130"/>
      <c r="CD153" s="130"/>
      <c r="CS153" s="50"/>
    </row>
    <row r="154" spans="1:97" s="15" customFormat="1" x14ac:dyDescent="0.2">
      <c r="A154" s="33"/>
      <c r="B154" s="33"/>
      <c r="C154" s="17"/>
      <c r="D154" s="17"/>
      <c r="E154" s="17"/>
      <c r="F154" s="17"/>
      <c r="G154" s="17"/>
      <c r="J154" s="130"/>
      <c r="AT154" s="130"/>
      <c r="CD154" s="130"/>
      <c r="CS154" s="50"/>
    </row>
    <row r="155" spans="1:97" s="15" customFormat="1" x14ac:dyDescent="0.2">
      <c r="A155" s="33"/>
      <c r="B155" s="33"/>
      <c r="C155" s="17"/>
      <c r="D155" s="17"/>
      <c r="E155" s="17"/>
      <c r="F155" s="17"/>
      <c r="G155" s="17"/>
      <c r="J155" s="130"/>
      <c r="AT155" s="130"/>
      <c r="CD155" s="130"/>
      <c r="CS155" s="50"/>
    </row>
    <row r="156" spans="1:97" s="15" customFormat="1" x14ac:dyDescent="0.2">
      <c r="A156" s="33"/>
      <c r="B156" s="33"/>
      <c r="C156" s="17"/>
      <c r="D156" s="17"/>
      <c r="E156" s="17"/>
      <c r="F156" s="17"/>
      <c r="G156" s="17"/>
      <c r="J156" s="130"/>
      <c r="AT156" s="130"/>
      <c r="CD156" s="130"/>
      <c r="CS156" s="50"/>
    </row>
    <row r="157" spans="1:97" s="15" customFormat="1" x14ac:dyDescent="0.2">
      <c r="A157" s="33"/>
      <c r="B157" s="33"/>
      <c r="C157" s="17"/>
      <c r="D157" s="17"/>
      <c r="E157" s="17"/>
      <c r="F157" s="17"/>
      <c r="G157" s="17"/>
      <c r="J157" s="130"/>
      <c r="AT157" s="130"/>
      <c r="CD157" s="130"/>
      <c r="CS157" s="50"/>
    </row>
    <row r="158" spans="1:97" s="15" customFormat="1" x14ac:dyDescent="0.2">
      <c r="A158" s="33"/>
      <c r="B158" s="33"/>
      <c r="C158" s="17"/>
      <c r="D158" s="17"/>
      <c r="E158" s="17"/>
      <c r="F158" s="17"/>
      <c r="G158" s="17"/>
      <c r="J158" s="130"/>
      <c r="AT158" s="130"/>
      <c r="CD158" s="130"/>
      <c r="CS158" s="50"/>
    </row>
    <row r="159" spans="1:97" s="15" customFormat="1" x14ac:dyDescent="0.2">
      <c r="A159" s="33"/>
      <c r="B159" s="33"/>
      <c r="C159" s="17"/>
      <c r="D159" s="17"/>
      <c r="E159" s="17"/>
      <c r="F159" s="17"/>
      <c r="G159" s="17"/>
      <c r="J159" s="130"/>
      <c r="AT159" s="130"/>
      <c r="CD159" s="130"/>
      <c r="CS159" s="50"/>
    </row>
    <row r="160" spans="1:97" s="15" customFormat="1" x14ac:dyDescent="0.2">
      <c r="A160" s="33"/>
      <c r="B160" s="33"/>
      <c r="C160" s="17"/>
      <c r="D160" s="17"/>
      <c r="E160" s="17"/>
      <c r="F160" s="17"/>
      <c r="G160" s="17"/>
      <c r="J160" s="130"/>
      <c r="AT160" s="130"/>
      <c r="CD160" s="130"/>
      <c r="CS160" s="50"/>
    </row>
    <row r="161" spans="1:97" s="15" customFormat="1" x14ac:dyDescent="0.2">
      <c r="A161" s="33"/>
      <c r="B161" s="33"/>
      <c r="C161" s="17"/>
      <c r="D161" s="17"/>
      <c r="E161" s="17"/>
      <c r="F161" s="17"/>
      <c r="G161" s="17"/>
      <c r="J161" s="130"/>
      <c r="AT161" s="130"/>
      <c r="CD161" s="130"/>
      <c r="CS161" s="50"/>
    </row>
    <row r="162" spans="1:97" s="15" customFormat="1" x14ac:dyDescent="0.2">
      <c r="A162" s="33"/>
      <c r="B162" s="33"/>
      <c r="C162" s="17"/>
      <c r="D162" s="17"/>
      <c r="E162" s="17"/>
      <c r="F162" s="17"/>
      <c r="G162" s="17"/>
      <c r="J162" s="130"/>
      <c r="AT162" s="130"/>
      <c r="CD162" s="130"/>
      <c r="CS162" s="50"/>
    </row>
    <row r="163" spans="1:97" s="15" customFormat="1" x14ac:dyDescent="0.2">
      <c r="A163" s="33"/>
      <c r="B163" s="33"/>
      <c r="C163" s="17"/>
      <c r="D163" s="17"/>
      <c r="E163" s="17"/>
      <c r="F163" s="17"/>
      <c r="G163" s="17"/>
      <c r="J163" s="130"/>
      <c r="AT163" s="130"/>
      <c r="CD163" s="130"/>
      <c r="CS163" s="50"/>
    </row>
    <row r="164" spans="1:97" s="15" customFormat="1" x14ac:dyDescent="0.2">
      <c r="A164" s="33"/>
      <c r="B164" s="33"/>
      <c r="C164" s="17"/>
      <c r="D164" s="17"/>
      <c r="E164" s="17"/>
      <c r="F164" s="17"/>
      <c r="G164" s="17"/>
      <c r="J164" s="130"/>
      <c r="AT164" s="130"/>
      <c r="CD164" s="130"/>
      <c r="CS164" s="50"/>
    </row>
    <row r="165" spans="1:97" s="15" customFormat="1" x14ac:dyDescent="0.2">
      <c r="A165" s="33"/>
      <c r="B165" s="33"/>
      <c r="C165" s="17"/>
      <c r="D165" s="17"/>
      <c r="E165" s="17"/>
      <c r="F165" s="17"/>
      <c r="G165" s="17"/>
      <c r="J165" s="130"/>
      <c r="AT165" s="130"/>
      <c r="CD165" s="130"/>
      <c r="CS165" s="50"/>
    </row>
    <row r="166" spans="1:97" s="15" customFormat="1" x14ac:dyDescent="0.2">
      <c r="A166" s="33"/>
      <c r="B166" s="33"/>
      <c r="C166" s="17"/>
      <c r="D166" s="17"/>
      <c r="E166" s="17"/>
      <c r="F166" s="17"/>
      <c r="G166" s="17"/>
      <c r="J166" s="130"/>
      <c r="AT166" s="130"/>
      <c r="CD166" s="130"/>
      <c r="CS166" s="50"/>
    </row>
    <row r="167" spans="1:97" s="15" customFormat="1" x14ac:dyDescent="0.2">
      <c r="A167" s="33"/>
      <c r="B167" s="33"/>
      <c r="C167" s="17"/>
      <c r="D167" s="17"/>
      <c r="E167" s="17"/>
      <c r="F167" s="17"/>
      <c r="G167" s="17"/>
      <c r="J167" s="130"/>
      <c r="AT167" s="130"/>
      <c r="CD167" s="130"/>
      <c r="CS167" s="50"/>
    </row>
    <row r="168" spans="1:97" s="15" customFormat="1" x14ac:dyDescent="0.2">
      <c r="A168" s="33"/>
      <c r="B168" s="33"/>
      <c r="C168" s="17"/>
      <c r="D168" s="17"/>
      <c r="E168" s="17"/>
      <c r="F168" s="17"/>
      <c r="G168" s="17"/>
      <c r="J168" s="130"/>
      <c r="AT168" s="130"/>
      <c r="CD168" s="130"/>
      <c r="CS168" s="50"/>
    </row>
    <row r="169" spans="1:97" s="15" customFormat="1" x14ac:dyDescent="0.2">
      <c r="A169" s="33"/>
      <c r="B169" s="33"/>
      <c r="C169" s="17"/>
      <c r="D169" s="17"/>
      <c r="E169" s="17"/>
      <c r="F169" s="17"/>
      <c r="G169" s="17"/>
      <c r="J169" s="130"/>
      <c r="AT169" s="130"/>
      <c r="CD169" s="130"/>
      <c r="CS169" s="50"/>
    </row>
    <row r="170" spans="1:97" s="15" customFormat="1" x14ac:dyDescent="0.2">
      <c r="A170" s="33"/>
      <c r="B170" s="33"/>
      <c r="C170" s="17"/>
      <c r="D170" s="17"/>
      <c r="E170" s="17"/>
      <c r="F170" s="17"/>
      <c r="G170" s="17"/>
      <c r="J170" s="130"/>
      <c r="AT170" s="130"/>
      <c r="CD170" s="130"/>
      <c r="CS170" s="50"/>
    </row>
    <row r="171" spans="1:97" s="15" customFormat="1" x14ac:dyDescent="0.2">
      <c r="A171" s="33"/>
      <c r="B171" s="33"/>
      <c r="C171" s="17"/>
      <c r="D171" s="17"/>
      <c r="E171" s="17"/>
      <c r="F171" s="17"/>
      <c r="G171" s="17"/>
      <c r="J171" s="130"/>
      <c r="AT171" s="130"/>
      <c r="CD171" s="130"/>
      <c r="CS171" s="50"/>
    </row>
    <row r="172" spans="1:97" s="15" customFormat="1" x14ac:dyDescent="0.2">
      <c r="A172" s="33"/>
      <c r="B172" s="33"/>
      <c r="C172" s="17"/>
      <c r="D172" s="17"/>
      <c r="E172" s="17"/>
      <c r="F172" s="17"/>
      <c r="G172" s="17"/>
      <c r="J172" s="130"/>
      <c r="AT172" s="130"/>
      <c r="CD172" s="130"/>
      <c r="CS172" s="50"/>
    </row>
    <row r="173" spans="1:97" s="15" customFormat="1" x14ac:dyDescent="0.2">
      <c r="A173" s="33"/>
      <c r="B173" s="33"/>
      <c r="C173" s="17"/>
      <c r="D173" s="17"/>
      <c r="E173" s="17"/>
      <c r="F173" s="17"/>
      <c r="G173" s="17"/>
      <c r="J173" s="130"/>
      <c r="AT173" s="130"/>
      <c r="CD173" s="130"/>
      <c r="CS173" s="50"/>
    </row>
    <row r="174" spans="1:97" s="15" customFormat="1" x14ac:dyDescent="0.2">
      <c r="A174" s="33"/>
      <c r="B174" s="33"/>
      <c r="C174" s="17"/>
      <c r="D174" s="17"/>
      <c r="E174" s="17"/>
      <c r="F174" s="17"/>
      <c r="G174" s="17"/>
      <c r="J174" s="130"/>
      <c r="AT174" s="130"/>
      <c r="CD174" s="130"/>
      <c r="CS174" s="50"/>
    </row>
    <row r="175" spans="1:97" s="15" customFormat="1" x14ac:dyDescent="0.2">
      <c r="A175" s="33"/>
      <c r="B175" s="33"/>
      <c r="C175" s="17"/>
      <c r="D175" s="17"/>
      <c r="E175" s="17"/>
      <c r="F175" s="17"/>
      <c r="G175" s="17"/>
      <c r="J175" s="130"/>
      <c r="AT175" s="130"/>
      <c r="CD175" s="130"/>
      <c r="CS175" s="50"/>
    </row>
    <row r="176" spans="1:97" s="15" customFormat="1" x14ac:dyDescent="0.2">
      <c r="A176" s="33"/>
      <c r="B176" s="33"/>
      <c r="C176" s="17"/>
      <c r="D176" s="17"/>
      <c r="E176" s="17"/>
      <c r="F176" s="17"/>
      <c r="G176" s="17"/>
      <c r="J176" s="130"/>
      <c r="AT176" s="130"/>
      <c r="CD176" s="130"/>
      <c r="CS176" s="50"/>
    </row>
    <row r="177" spans="1:97" s="15" customFormat="1" x14ac:dyDescent="0.2">
      <c r="A177" s="33"/>
      <c r="B177" s="33"/>
      <c r="C177" s="17"/>
      <c r="D177" s="17"/>
      <c r="E177" s="17"/>
      <c r="F177" s="17"/>
      <c r="G177" s="17"/>
      <c r="J177" s="130"/>
      <c r="AT177" s="130"/>
      <c r="CD177" s="130"/>
      <c r="CS177" s="50"/>
    </row>
    <row r="178" spans="1:97" s="15" customFormat="1" x14ac:dyDescent="0.2">
      <c r="A178" s="33"/>
      <c r="B178" s="33"/>
      <c r="C178" s="17"/>
      <c r="D178" s="17"/>
      <c r="E178" s="17"/>
      <c r="F178" s="17"/>
      <c r="G178" s="17"/>
      <c r="J178" s="130"/>
      <c r="AT178" s="130"/>
      <c r="CD178" s="130"/>
      <c r="CS178" s="50"/>
    </row>
    <row r="179" spans="1:97" s="15" customFormat="1" x14ac:dyDescent="0.2">
      <c r="A179" s="33"/>
      <c r="B179" s="33"/>
      <c r="C179" s="17"/>
      <c r="D179" s="17"/>
      <c r="E179" s="17"/>
      <c r="F179" s="17"/>
      <c r="G179" s="17"/>
      <c r="J179" s="130"/>
      <c r="AT179" s="130"/>
      <c r="CD179" s="130"/>
      <c r="CS179" s="50"/>
    </row>
    <row r="180" spans="1:97" s="15" customFormat="1" x14ac:dyDescent="0.2">
      <c r="A180" s="33"/>
      <c r="B180" s="33"/>
      <c r="C180" s="17"/>
      <c r="D180" s="17"/>
      <c r="E180" s="17"/>
      <c r="F180" s="17"/>
      <c r="G180" s="17"/>
      <c r="J180" s="130"/>
      <c r="AT180" s="130"/>
      <c r="CD180" s="130"/>
      <c r="CS180" s="50"/>
    </row>
    <row r="181" spans="1:97" s="15" customFormat="1" x14ac:dyDescent="0.2">
      <c r="A181" s="33"/>
      <c r="B181" s="33"/>
      <c r="C181" s="17"/>
      <c r="D181" s="17"/>
      <c r="E181" s="17"/>
      <c r="F181" s="17"/>
      <c r="G181" s="17"/>
      <c r="J181" s="130"/>
      <c r="AT181" s="130"/>
      <c r="CD181" s="130"/>
      <c r="CS181" s="50"/>
    </row>
    <row r="182" spans="1:97" s="15" customFormat="1" x14ac:dyDescent="0.2">
      <c r="A182" s="33"/>
      <c r="B182" s="33"/>
      <c r="C182" s="17"/>
      <c r="D182" s="17"/>
      <c r="E182" s="17"/>
      <c r="F182" s="17"/>
      <c r="G182" s="17"/>
      <c r="J182" s="130"/>
      <c r="AT182" s="130"/>
      <c r="CD182" s="130"/>
      <c r="CS182" s="50"/>
    </row>
    <row r="183" spans="1:97" s="15" customFormat="1" x14ac:dyDescent="0.2">
      <c r="A183" s="33"/>
      <c r="B183" s="33"/>
      <c r="C183" s="17"/>
      <c r="D183" s="17"/>
      <c r="E183" s="17"/>
      <c r="F183" s="17"/>
      <c r="G183" s="17"/>
      <c r="J183" s="130"/>
      <c r="AT183" s="130"/>
      <c r="CD183" s="130"/>
      <c r="CS183" s="50"/>
    </row>
    <row r="184" spans="1:97" s="15" customFormat="1" x14ac:dyDescent="0.2">
      <c r="A184" s="33"/>
      <c r="B184" s="33"/>
      <c r="C184" s="17"/>
      <c r="D184" s="17"/>
      <c r="E184" s="17"/>
      <c r="F184" s="17"/>
      <c r="G184" s="17"/>
      <c r="J184" s="130"/>
      <c r="AT184" s="130"/>
      <c r="CD184" s="130"/>
      <c r="CS184" s="50"/>
    </row>
    <row r="185" spans="1:97" s="15" customFormat="1" x14ac:dyDescent="0.2">
      <c r="A185" s="33"/>
      <c r="B185" s="33"/>
      <c r="C185" s="17"/>
      <c r="D185" s="17"/>
      <c r="E185" s="17"/>
      <c r="F185" s="17"/>
      <c r="G185" s="17"/>
      <c r="J185" s="130"/>
      <c r="AT185" s="130"/>
      <c r="CD185" s="130"/>
      <c r="CS185" s="50"/>
    </row>
    <row r="186" spans="1:97" s="15" customFormat="1" x14ac:dyDescent="0.2">
      <c r="A186" s="33"/>
      <c r="B186" s="33"/>
      <c r="C186" s="17"/>
      <c r="D186" s="17"/>
      <c r="E186" s="17"/>
      <c r="F186" s="17"/>
      <c r="G186" s="17"/>
      <c r="J186" s="130"/>
      <c r="AT186" s="130"/>
      <c r="CD186" s="130"/>
      <c r="CS186" s="50"/>
    </row>
    <row r="187" spans="1:97" s="15" customFormat="1" x14ac:dyDescent="0.2">
      <c r="A187" s="33"/>
      <c r="B187" s="33"/>
      <c r="C187" s="17"/>
      <c r="D187" s="17"/>
      <c r="E187" s="17"/>
      <c r="F187" s="17"/>
      <c r="G187" s="17"/>
      <c r="J187" s="130"/>
      <c r="AT187" s="130"/>
      <c r="CD187" s="130"/>
      <c r="CS187" s="50"/>
    </row>
    <row r="188" spans="1:97" s="15" customFormat="1" x14ac:dyDescent="0.2">
      <c r="A188" s="33"/>
      <c r="B188" s="33"/>
      <c r="C188" s="17"/>
      <c r="D188" s="17"/>
      <c r="E188" s="17"/>
      <c r="F188" s="17"/>
      <c r="G188" s="17"/>
      <c r="J188" s="130"/>
      <c r="AT188" s="130"/>
      <c r="CD188" s="130"/>
      <c r="CS188" s="50"/>
    </row>
    <row r="189" spans="1:97" s="15" customFormat="1" x14ac:dyDescent="0.2">
      <c r="A189" s="33"/>
      <c r="B189" s="33"/>
      <c r="C189" s="17"/>
      <c r="D189" s="17"/>
      <c r="E189" s="17"/>
      <c r="F189" s="17"/>
      <c r="G189" s="17"/>
      <c r="J189" s="130"/>
      <c r="AT189" s="130"/>
      <c r="CD189" s="130"/>
      <c r="CS189" s="50"/>
    </row>
    <row r="190" spans="1:97" s="15" customFormat="1" x14ac:dyDescent="0.2">
      <c r="A190" s="33"/>
      <c r="B190" s="33"/>
      <c r="C190" s="17"/>
      <c r="D190" s="17"/>
      <c r="E190" s="17"/>
      <c r="F190" s="17"/>
      <c r="G190" s="17"/>
      <c r="J190" s="130"/>
      <c r="AT190" s="130"/>
      <c r="CD190" s="130"/>
      <c r="CS190" s="50"/>
    </row>
    <row r="191" spans="1:97" s="15" customFormat="1" x14ac:dyDescent="0.2">
      <c r="A191" s="33"/>
      <c r="B191" s="33"/>
      <c r="C191" s="17"/>
      <c r="D191" s="17"/>
      <c r="E191" s="17"/>
      <c r="F191" s="17"/>
      <c r="G191" s="17"/>
      <c r="J191" s="130"/>
      <c r="AT191" s="130"/>
      <c r="CD191" s="130"/>
      <c r="CS191" s="50"/>
    </row>
    <row r="192" spans="1:97" s="15" customFormat="1" x14ac:dyDescent="0.2">
      <c r="A192" s="33"/>
      <c r="B192" s="33"/>
      <c r="C192" s="17"/>
      <c r="D192" s="17"/>
      <c r="E192" s="17"/>
      <c r="F192" s="17"/>
      <c r="G192" s="17"/>
      <c r="J192" s="130"/>
      <c r="AT192" s="130"/>
      <c r="CD192" s="130"/>
      <c r="CS192" s="50"/>
    </row>
    <row r="193" spans="1:97" s="15" customFormat="1" x14ac:dyDescent="0.2">
      <c r="A193" s="33"/>
      <c r="B193" s="33"/>
      <c r="C193" s="17"/>
      <c r="D193" s="17"/>
      <c r="E193" s="17"/>
      <c r="F193" s="17"/>
      <c r="G193" s="17"/>
      <c r="J193" s="130"/>
      <c r="AT193" s="130"/>
      <c r="CD193" s="130"/>
      <c r="CS193" s="50"/>
    </row>
    <row r="194" spans="1:97" s="15" customFormat="1" x14ac:dyDescent="0.2">
      <c r="A194" s="33"/>
      <c r="B194" s="33"/>
      <c r="C194" s="17"/>
      <c r="D194" s="17"/>
      <c r="E194" s="17"/>
      <c r="F194" s="17"/>
      <c r="G194" s="17"/>
      <c r="J194" s="130"/>
      <c r="AT194" s="130"/>
      <c r="CD194" s="130"/>
      <c r="CS194" s="50"/>
    </row>
    <row r="195" spans="1:97" s="15" customFormat="1" x14ac:dyDescent="0.2">
      <c r="A195" s="33"/>
      <c r="B195" s="33"/>
      <c r="C195" s="17"/>
      <c r="D195" s="17"/>
      <c r="E195" s="17"/>
      <c r="F195" s="17"/>
      <c r="G195" s="17"/>
      <c r="J195" s="130"/>
      <c r="AT195" s="130"/>
      <c r="CD195" s="130"/>
      <c r="CS195" s="50"/>
    </row>
    <row r="196" spans="1:97" s="15" customFormat="1" x14ac:dyDescent="0.2">
      <c r="A196" s="33"/>
      <c r="B196" s="33"/>
      <c r="C196" s="17"/>
      <c r="D196" s="17"/>
      <c r="E196" s="17"/>
      <c r="F196" s="17"/>
      <c r="G196" s="17"/>
      <c r="J196" s="130"/>
      <c r="AT196" s="130"/>
      <c r="CD196" s="130"/>
      <c r="CS196" s="50"/>
    </row>
    <row r="197" spans="1:97" s="15" customFormat="1" x14ac:dyDescent="0.2">
      <c r="A197" s="33"/>
      <c r="B197" s="33"/>
      <c r="C197" s="17"/>
      <c r="D197" s="17"/>
      <c r="E197" s="17"/>
      <c r="F197" s="17"/>
      <c r="G197" s="17"/>
      <c r="J197" s="130"/>
      <c r="AT197" s="130"/>
      <c r="CD197" s="130"/>
      <c r="CS197" s="50"/>
    </row>
    <row r="198" spans="1:97" s="15" customFormat="1" x14ac:dyDescent="0.2">
      <c r="A198" s="33"/>
      <c r="B198" s="33"/>
      <c r="C198" s="17"/>
      <c r="D198" s="17"/>
      <c r="E198" s="17"/>
      <c r="F198" s="17"/>
      <c r="G198" s="17"/>
      <c r="J198" s="130"/>
      <c r="AT198" s="130"/>
      <c r="CD198" s="130"/>
      <c r="CS198" s="50"/>
    </row>
    <row r="199" spans="1:97" s="15" customFormat="1" x14ac:dyDescent="0.2">
      <c r="A199" s="33"/>
      <c r="B199" s="33"/>
      <c r="C199" s="17"/>
      <c r="D199" s="17"/>
      <c r="E199" s="17"/>
      <c r="F199" s="17"/>
      <c r="G199" s="17"/>
      <c r="J199" s="130"/>
      <c r="AT199" s="130"/>
      <c r="CD199" s="130"/>
      <c r="CS199" s="50"/>
    </row>
    <row r="200" spans="1:97" s="15" customFormat="1" x14ac:dyDescent="0.2">
      <c r="A200" s="33"/>
      <c r="B200" s="33"/>
      <c r="C200" s="17"/>
      <c r="D200" s="17"/>
      <c r="E200" s="17"/>
      <c r="F200" s="17"/>
      <c r="G200" s="17"/>
      <c r="J200" s="130"/>
      <c r="AT200" s="130"/>
      <c r="CD200" s="130"/>
      <c r="CS200" s="50"/>
    </row>
    <row r="201" spans="1:97" s="15" customFormat="1" x14ac:dyDescent="0.2">
      <c r="A201" s="33"/>
      <c r="B201" s="33"/>
      <c r="C201" s="17"/>
      <c r="D201" s="17"/>
      <c r="E201" s="17"/>
      <c r="F201" s="17"/>
      <c r="G201" s="17"/>
      <c r="J201" s="130"/>
      <c r="AT201" s="130"/>
      <c r="CD201" s="130"/>
      <c r="CS201" s="50"/>
    </row>
    <row r="202" spans="1:97" s="15" customFormat="1" x14ac:dyDescent="0.2">
      <c r="A202" s="33"/>
      <c r="B202" s="33"/>
      <c r="C202" s="17"/>
      <c r="D202" s="17"/>
      <c r="E202" s="17"/>
      <c r="F202" s="17"/>
      <c r="G202" s="17"/>
      <c r="J202" s="130"/>
      <c r="AT202" s="130"/>
      <c r="CD202" s="130"/>
      <c r="CS202" s="50"/>
    </row>
    <row r="203" spans="1:97" s="15" customFormat="1" x14ac:dyDescent="0.2">
      <c r="A203" s="33"/>
      <c r="B203" s="33"/>
      <c r="C203" s="17"/>
      <c r="D203" s="17"/>
      <c r="E203" s="17"/>
      <c r="F203" s="17"/>
      <c r="G203" s="17"/>
      <c r="J203" s="130"/>
      <c r="AT203" s="130"/>
      <c r="CD203" s="130"/>
      <c r="CS203" s="50"/>
    </row>
    <row r="204" spans="1:97" s="15" customFormat="1" x14ac:dyDescent="0.2">
      <c r="A204" s="33"/>
      <c r="B204" s="33"/>
      <c r="C204" s="17"/>
      <c r="D204" s="17"/>
      <c r="E204" s="17"/>
      <c r="F204" s="17"/>
      <c r="G204" s="17"/>
      <c r="J204" s="130"/>
      <c r="AT204" s="130"/>
      <c r="CD204" s="130"/>
      <c r="CS204" s="50"/>
    </row>
    <row r="205" spans="1:97" s="15" customFormat="1" x14ac:dyDescent="0.2">
      <c r="A205" s="33"/>
      <c r="B205" s="33"/>
      <c r="C205" s="17"/>
      <c r="D205" s="17"/>
      <c r="E205" s="17"/>
      <c r="F205" s="17"/>
      <c r="G205" s="17"/>
      <c r="J205" s="130"/>
      <c r="AT205" s="130"/>
      <c r="CD205" s="130"/>
      <c r="CS205" s="50"/>
    </row>
    <row r="206" spans="1:97" s="15" customFormat="1" x14ac:dyDescent="0.2">
      <c r="A206" s="33"/>
      <c r="B206" s="33"/>
      <c r="C206" s="17"/>
      <c r="D206" s="17"/>
      <c r="E206" s="17"/>
      <c r="F206" s="17"/>
      <c r="G206" s="17"/>
      <c r="J206" s="130"/>
      <c r="AT206" s="130"/>
      <c r="CD206" s="130"/>
      <c r="CS206" s="50"/>
    </row>
    <row r="207" spans="1:97" s="15" customFormat="1" x14ac:dyDescent="0.2">
      <c r="A207" s="33"/>
      <c r="B207" s="33"/>
      <c r="C207" s="17"/>
      <c r="D207" s="17"/>
      <c r="E207" s="17"/>
      <c r="F207" s="17"/>
      <c r="G207" s="17"/>
      <c r="J207" s="130"/>
      <c r="AT207" s="130"/>
      <c r="CD207" s="130"/>
      <c r="CS207" s="50"/>
    </row>
    <row r="208" spans="1:97" s="15" customFormat="1" x14ac:dyDescent="0.2">
      <c r="A208" s="33"/>
      <c r="B208" s="33"/>
      <c r="C208" s="17"/>
      <c r="D208" s="17"/>
      <c r="E208" s="17"/>
      <c r="F208" s="17"/>
      <c r="G208" s="17"/>
      <c r="J208" s="130"/>
      <c r="AT208" s="130"/>
      <c r="CD208" s="130"/>
      <c r="CS208" s="50"/>
    </row>
    <row r="209" spans="1:97" s="15" customFormat="1" x14ac:dyDescent="0.2">
      <c r="A209" s="33"/>
      <c r="B209" s="33"/>
      <c r="C209" s="17"/>
      <c r="D209" s="17"/>
      <c r="E209" s="17"/>
      <c r="F209" s="17"/>
      <c r="G209" s="17"/>
      <c r="J209" s="130"/>
      <c r="AT209" s="130"/>
      <c r="CD209" s="130"/>
      <c r="CS209" s="50"/>
    </row>
    <row r="210" spans="1:97" s="15" customFormat="1" x14ac:dyDescent="0.2">
      <c r="A210" s="33"/>
      <c r="B210" s="33"/>
      <c r="C210" s="17"/>
      <c r="D210" s="17"/>
      <c r="E210" s="17"/>
      <c r="F210" s="17"/>
      <c r="G210" s="17"/>
      <c r="J210" s="130"/>
      <c r="AT210" s="130"/>
      <c r="CD210" s="130"/>
      <c r="CS210" s="50"/>
    </row>
    <row r="211" spans="1:97" s="15" customFormat="1" x14ac:dyDescent="0.2">
      <c r="A211" s="33"/>
      <c r="B211" s="33"/>
      <c r="C211" s="17"/>
      <c r="D211" s="17"/>
      <c r="E211" s="17"/>
      <c r="F211" s="17"/>
      <c r="G211" s="17"/>
      <c r="J211" s="130"/>
      <c r="AT211" s="130"/>
      <c r="CD211" s="130"/>
      <c r="CS211" s="50"/>
    </row>
    <row r="212" spans="1:97" s="15" customFormat="1" x14ac:dyDescent="0.2">
      <c r="A212" s="33"/>
      <c r="B212" s="33"/>
      <c r="C212" s="17"/>
      <c r="D212" s="17"/>
      <c r="E212" s="17"/>
      <c r="F212" s="17"/>
      <c r="G212" s="17"/>
      <c r="J212" s="130"/>
      <c r="AT212" s="130"/>
      <c r="CD212" s="130"/>
      <c r="CS212" s="50"/>
    </row>
    <row r="213" spans="1:97" s="15" customFormat="1" x14ac:dyDescent="0.2">
      <c r="A213" s="33"/>
      <c r="B213" s="33"/>
      <c r="C213" s="17"/>
      <c r="D213" s="17"/>
      <c r="E213" s="17"/>
      <c r="F213" s="17"/>
      <c r="G213" s="17"/>
      <c r="J213" s="130"/>
      <c r="AT213" s="130"/>
      <c r="CD213" s="130"/>
      <c r="CS213" s="50"/>
    </row>
    <row r="214" spans="1:97" s="15" customFormat="1" x14ac:dyDescent="0.2">
      <c r="A214" s="33"/>
      <c r="B214" s="33"/>
      <c r="C214" s="17"/>
      <c r="D214" s="17"/>
      <c r="E214" s="17"/>
      <c r="F214" s="17"/>
      <c r="G214" s="17"/>
      <c r="J214" s="130"/>
      <c r="AT214" s="130"/>
      <c r="CD214" s="130"/>
      <c r="CS214" s="50"/>
    </row>
    <row r="215" spans="1:97" s="15" customFormat="1" x14ac:dyDescent="0.2">
      <c r="A215" s="33"/>
      <c r="B215" s="33"/>
      <c r="C215" s="17"/>
      <c r="D215" s="17"/>
      <c r="E215" s="17"/>
      <c r="F215" s="17"/>
      <c r="G215" s="17"/>
      <c r="J215" s="130"/>
      <c r="AT215" s="130"/>
      <c r="CD215" s="130"/>
      <c r="CS215" s="50"/>
    </row>
    <row r="216" spans="1:97" s="15" customFormat="1" x14ac:dyDescent="0.2">
      <c r="A216" s="33"/>
      <c r="B216" s="33"/>
      <c r="C216" s="17"/>
      <c r="D216" s="17"/>
      <c r="E216" s="17"/>
      <c r="F216" s="17"/>
      <c r="G216" s="17"/>
      <c r="J216" s="130"/>
      <c r="AT216" s="130"/>
      <c r="CD216" s="130"/>
      <c r="CS216" s="50"/>
    </row>
    <row r="217" spans="1:97" s="15" customFormat="1" x14ac:dyDescent="0.2">
      <c r="A217" s="33"/>
      <c r="B217" s="33"/>
      <c r="C217" s="17"/>
      <c r="D217" s="17"/>
      <c r="E217" s="17"/>
      <c r="F217" s="17"/>
      <c r="G217" s="17"/>
      <c r="J217" s="130"/>
      <c r="AT217" s="130"/>
      <c r="CD217" s="130"/>
      <c r="CS217" s="50"/>
    </row>
    <row r="218" spans="1:97" s="15" customFormat="1" x14ac:dyDescent="0.2">
      <c r="A218" s="33"/>
      <c r="B218" s="33"/>
      <c r="C218" s="17"/>
      <c r="D218" s="17"/>
      <c r="E218" s="17"/>
      <c r="F218" s="17"/>
      <c r="G218" s="17"/>
      <c r="I218" s="17"/>
      <c r="J218" s="135"/>
      <c r="AT218" s="130"/>
      <c r="CD218" s="130"/>
      <c r="CS218" s="50"/>
    </row>
    <row r="219" spans="1:97" s="15" customFormat="1" x14ac:dyDescent="0.2">
      <c r="A219" s="33"/>
      <c r="B219" s="33"/>
      <c r="C219" s="17"/>
      <c r="D219" s="17"/>
      <c r="E219" s="17"/>
      <c r="F219" s="17"/>
      <c r="G219" s="17"/>
      <c r="I219" s="17"/>
      <c r="J219" s="135"/>
      <c r="AT219" s="130"/>
      <c r="CD219" s="130"/>
      <c r="CS219" s="50"/>
    </row>
    <row r="220" spans="1:97" s="15" customFormat="1" x14ac:dyDescent="0.2">
      <c r="A220" s="33"/>
      <c r="B220" s="33"/>
      <c r="C220" s="17"/>
      <c r="D220" s="17"/>
      <c r="E220" s="17"/>
      <c r="F220" s="17"/>
      <c r="G220" s="17"/>
      <c r="J220" s="130"/>
      <c r="AT220" s="130"/>
      <c r="CD220" s="130"/>
      <c r="CS220" s="50"/>
    </row>
    <row r="221" spans="1:97" s="15" customFormat="1" x14ac:dyDescent="0.2">
      <c r="A221" s="33"/>
      <c r="B221" s="33"/>
      <c r="C221" s="17"/>
      <c r="D221" s="17"/>
      <c r="E221" s="17"/>
      <c r="F221" s="17"/>
      <c r="G221" s="17"/>
      <c r="J221" s="130"/>
      <c r="AT221" s="130"/>
      <c r="CD221" s="130"/>
      <c r="CS221" s="50"/>
    </row>
    <row r="222" spans="1:97" s="15" customFormat="1" x14ac:dyDescent="0.2">
      <c r="A222" s="33"/>
      <c r="B222" s="33"/>
      <c r="C222" s="17"/>
      <c r="D222" s="17"/>
      <c r="E222" s="17"/>
      <c r="F222" s="17"/>
      <c r="G222" s="17"/>
      <c r="J222" s="130"/>
      <c r="AT222" s="130"/>
      <c r="CD222" s="130"/>
      <c r="CS222" s="50"/>
    </row>
    <row r="223" spans="1:97" s="15" customFormat="1" x14ac:dyDescent="0.2">
      <c r="A223" s="33"/>
      <c r="B223" s="33"/>
      <c r="C223" s="17"/>
      <c r="D223" s="17"/>
      <c r="E223" s="17"/>
      <c r="F223" s="17"/>
      <c r="G223" s="17"/>
      <c r="J223" s="130"/>
      <c r="AT223" s="130"/>
      <c r="CD223" s="130"/>
      <c r="CS223" s="50"/>
    </row>
    <row r="224" spans="1:97" s="15" customFormat="1" x14ac:dyDescent="0.2">
      <c r="A224" s="33"/>
      <c r="B224" s="33"/>
      <c r="C224" s="17"/>
      <c r="D224" s="17"/>
      <c r="E224" s="17"/>
      <c r="F224" s="17"/>
      <c r="G224" s="17"/>
      <c r="J224" s="130"/>
      <c r="AT224" s="130"/>
      <c r="CD224" s="130"/>
      <c r="CS224" s="50"/>
    </row>
    <row r="225" spans="1:97" s="15" customFormat="1" ht="19.5" customHeight="1" x14ac:dyDescent="0.2">
      <c r="A225" s="33"/>
      <c r="B225" s="33"/>
      <c r="C225" s="17"/>
      <c r="D225" s="17"/>
      <c r="E225" s="17"/>
      <c r="F225" s="17"/>
      <c r="G225" s="17"/>
      <c r="J225" s="130"/>
      <c r="AT225" s="130"/>
      <c r="CD225" s="130"/>
      <c r="CS225" s="52"/>
    </row>
    <row r="226" spans="1:97" s="15" customFormat="1" x14ac:dyDescent="0.2">
      <c r="A226" s="33"/>
      <c r="B226" s="33"/>
      <c r="C226" s="17"/>
      <c r="D226" s="17"/>
      <c r="E226" s="17"/>
      <c r="F226" s="17"/>
      <c r="G226" s="17"/>
      <c r="J226" s="130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35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35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50"/>
    </row>
    <row r="227" spans="1:97" s="15" customFormat="1" x14ac:dyDescent="0.2">
      <c r="A227" s="33"/>
      <c r="B227" s="33"/>
      <c r="C227" s="17"/>
      <c r="D227" s="17"/>
      <c r="E227" s="17"/>
      <c r="F227" s="17"/>
      <c r="G227" s="17"/>
      <c r="J227" s="130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35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35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50"/>
    </row>
    <row r="228" spans="1:97" s="15" customFormat="1" x14ac:dyDescent="0.2">
      <c r="A228" s="33"/>
      <c r="B228" s="33"/>
      <c r="C228" s="17"/>
      <c r="D228" s="17"/>
      <c r="E228" s="17"/>
      <c r="F228" s="17"/>
      <c r="G228" s="17"/>
      <c r="J228" s="130"/>
      <c r="AT228" s="130"/>
      <c r="CD228" s="130"/>
    </row>
    <row r="229" spans="1:97" s="15" customFormat="1" x14ac:dyDescent="0.2">
      <c r="A229" s="33"/>
      <c r="B229" s="33"/>
      <c r="C229" s="17"/>
      <c r="D229" s="17"/>
      <c r="E229" s="17"/>
      <c r="F229" s="17"/>
      <c r="G229" s="17"/>
      <c r="J229" s="130"/>
      <c r="AT229" s="130"/>
      <c r="CD229" s="130"/>
    </row>
    <row r="230" spans="1:97" s="15" customFormat="1" x14ac:dyDescent="0.2">
      <c r="A230" s="33"/>
      <c r="B230" s="33"/>
      <c r="C230" s="17"/>
      <c r="D230" s="17"/>
      <c r="E230" s="17"/>
      <c r="F230" s="17"/>
      <c r="G230" s="17"/>
      <c r="J230" s="130"/>
      <c r="AT230" s="130"/>
      <c r="CD230" s="130"/>
    </row>
    <row r="231" spans="1:97" s="15" customFormat="1" x14ac:dyDescent="0.2">
      <c r="A231" s="33"/>
      <c r="B231" s="33"/>
      <c r="C231" s="17"/>
      <c r="D231" s="17"/>
      <c r="E231" s="17"/>
      <c r="F231" s="17"/>
      <c r="G231" s="17"/>
      <c r="J231" s="130"/>
      <c r="AT231" s="130"/>
      <c r="CD231" s="130"/>
    </row>
    <row r="232" spans="1:97" s="15" customFormat="1" x14ac:dyDescent="0.2">
      <c r="A232" s="33"/>
      <c r="B232" s="33"/>
      <c r="C232" s="17"/>
      <c r="D232" s="17"/>
      <c r="E232" s="17"/>
      <c r="F232" s="17"/>
      <c r="G232" s="17"/>
      <c r="J232" s="130"/>
      <c r="AT232" s="130"/>
      <c r="CD232" s="130"/>
    </row>
    <row r="233" spans="1:97" s="15" customFormat="1" x14ac:dyDescent="0.2">
      <c r="A233" s="33"/>
      <c r="B233" s="33"/>
      <c r="C233" s="17"/>
      <c r="D233" s="17"/>
      <c r="E233" s="17"/>
      <c r="F233" s="17"/>
      <c r="G233" s="17"/>
      <c r="J233" s="130"/>
      <c r="AT233" s="130"/>
      <c r="CD233" s="130"/>
    </row>
    <row r="234" spans="1:97" s="15" customFormat="1" x14ac:dyDescent="0.2">
      <c r="A234" s="33"/>
      <c r="B234" s="33"/>
      <c r="C234" s="17"/>
      <c r="D234" s="17"/>
      <c r="E234" s="17"/>
      <c r="F234" s="17"/>
      <c r="G234" s="17"/>
      <c r="J234" s="130"/>
      <c r="AT234" s="130"/>
      <c r="CD234" s="130"/>
    </row>
    <row r="235" spans="1:97" s="15" customFormat="1" x14ac:dyDescent="0.2">
      <c r="A235" s="33"/>
      <c r="B235" s="33"/>
      <c r="C235" s="17"/>
      <c r="D235" s="17"/>
      <c r="E235" s="17"/>
      <c r="F235" s="17"/>
      <c r="G235" s="17"/>
      <c r="J235" s="130"/>
      <c r="AT235" s="130"/>
      <c r="CD235" s="130"/>
    </row>
    <row r="236" spans="1:97" s="15" customFormat="1" x14ac:dyDescent="0.2">
      <c r="A236" s="33"/>
      <c r="B236" s="33"/>
      <c r="C236" s="17"/>
      <c r="D236" s="17"/>
      <c r="E236" s="17"/>
      <c r="F236" s="17"/>
      <c r="G236" s="17"/>
      <c r="J236" s="130"/>
      <c r="AT236" s="130"/>
      <c r="CD236" s="130"/>
    </row>
    <row r="237" spans="1:97" s="15" customFormat="1" x14ac:dyDescent="0.2">
      <c r="A237" s="33"/>
      <c r="B237" s="33"/>
      <c r="C237" s="17"/>
      <c r="D237" s="17"/>
      <c r="E237" s="17"/>
      <c r="F237" s="17"/>
      <c r="G237" s="17"/>
      <c r="J237" s="130"/>
      <c r="AT237" s="130"/>
      <c r="CD237" s="130"/>
    </row>
    <row r="238" spans="1:97" s="15" customFormat="1" x14ac:dyDescent="0.2">
      <c r="A238" s="33"/>
      <c r="B238" s="33"/>
      <c r="C238" s="17"/>
      <c r="D238" s="17"/>
      <c r="E238" s="17"/>
      <c r="F238" s="17"/>
      <c r="G238" s="17"/>
      <c r="J238" s="130"/>
      <c r="AT238" s="130"/>
      <c r="CD238" s="130"/>
    </row>
    <row r="239" spans="1:97" s="15" customFormat="1" x14ac:dyDescent="0.2">
      <c r="A239" s="33"/>
      <c r="B239" s="33"/>
      <c r="C239" s="17"/>
      <c r="D239" s="17"/>
      <c r="E239" s="17"/>
      <c r="F239" s="17"/>
      <c r="G239" s="17"/>
      <c r="J239" s="130"/>
      <c r="AT239" s="130"/>
      <c r="CD239" s="130"/>
    </row>
    <row r="240" spans="1:97" s="15" customFormat="1" x14ac:dyDescent="0.2">
      <c r="A240" s="33"/>
      <c r="B240" s="33"/>
      <c r="C240" s="17"/>
      <c r="D240" s="17"/>
      <c r="E240" s="17"/>
      <c r="F240" s="17"/>
      <c r="G240" s="17"/>
      <c r="J240" s="130"/>
      <c r="AT240" s="130"/>
      <c r="CD240" s="130"/>
    </row>
    <row r="241" spans="1:82" s="15" customFormat="1" x14ac:dyDescent="0.2">
      <c r="A241" s="33"/>
      <c r="B241" s="33"/>
      <c r="C241" s="17"/>
      <c r="D241" s="17"/>
      <c r="E241" s="17"/>
      <c r="F241" s="17"/>
      <c r="G241" s="17"/>
      <c r="J241" s="130"/>
      <c r="AT241" s="130"/>
      <c r="CD241" s="130"/>
    </row>
    <row r="242" spans="1:82" s="15" customFormat="1" x14ac:dyDescent="0.2">
      <c r="A242" s="33"/>
      <c r="B242" s="33"/>
      <c r="C242" s="17"/>
      <c r="D242" s="17"/>
      <c r="E242" s="17"/>
      <c r="F242" s="17"/>
      <c r="G242" s="17"/>
      <c r="J242" s="130"/>
      <c r="AT242" s="130"/>
      <c r="CD242" s="130"/>
    </row>
    <row r="243" spans="1:82" s="15" customFormat="1" x14ac:dyDescent="0.2">
      <c r="A243" s="33"/>
      <c r="B243" s="33"/>
      <c r="C243" s="17"/>
      <c r="D243" s="17"/>
      <c r="E243" s="17"/>
      <c r="F243" s="17"/>
      <c r="G243" s="17"/>
      <c r="J243" s="130"/>
      <c r="AT243" s="130"/>
      <c r="CD243" s="130"/>
    </row>
    <row r="244" spans="1:82" s="15" customFormat="1" x14ac:dyDescent="0.2">
      <c r="A244" s="33"/>
      <c r="B244" s="33"/>
      <c r="C244" s="17"/>
      <c r="D244" s="17"/>
      <c r="E244" s="17"/>
      <c r="F244" s="17"/>
      <c r="G244" s="17"/>
      <c r="J244" s="130"/>
      <c r="AT244" s="130"/>
      <c r="CD244" s="130"/>
    </row>
    <row r="245" spans="1:82" s="15" customFormat="1" x14ac:dyDescent="0.2">
      <c r="A245" s="33"/>
      <c r="B245" s="33"/>
      <c r="C245" s="17"/>
      <c r="D245" s="17"/>
      <c r="E245" s="17"/>
      <c r="F245" s="17"/>
      <c r="G245" s="17"/>
      <c r="J245" s="130"/>
      <c r="AT245" s="130"/>
      <c r="CD245" s="130"/>
    </row>
    <row r="246" spans="1:82" s="15" customFormat="1" x14ac:dyDescent="0.2">
      <c r="A246" s="33"/>
      <c r="B246" s="33"/>
      <c r="C246" s="17"/>
      <c r="D246" s="17"/>
      <c r="E246" s="17"/>
      <c r="F246" s="17"/>
      <c r="G246" s="17"/>
      <c r="J246" s="130"/>
      <c r="AT246" s="130"/>
      <c r="CD246" s="130"/>
    </row>
    <row r="247" spans="1:82" s="15" customFormat="1" x14ac:dyDescent="0.2">
      <c r="A247" s="33"/>
      <c r="B247" s="33"/>
      <c r="C247" s="17"/>
      <c r="D247" s="17"/>
      <c r="E247" s="17"/>
      <c r="F247" s="17"/>
      <c r="G247" s="17"/>
      <c r="J247" s="130"/>
      <c r="AT247" s="130"/>
      <c r="CD247" s="130"/>
    </row>
    <row r="248" spans="1:82" s="15" customFormat="1" x14ac:dyDescent="0.2">
      <c r="A248" s="33"/>
      <c r="B248" s="33"/>
      <c r="C248" s="17"/>
      <c r="D248" s="17"/>
      <c r="E248" s="17"/>
      <c r="F248" s="17"/>
      <c r="G248" s="17"/>
      <c r="J248" s="130"/>
      <c r="AT248" s="130"/>
      <c r="CD248" s="130"/>
    </row>
    <row r="249" spans="1:82" s="15" customFormat="1" x14ac:dyDescent="0.2">
      <c r="A249" s="33"/>
      <c r="B249" s="33"/>
      <c r="C249" s="17"/>
      <c r="D249" s="17"/>
      <c r="E249" s="17"/>
      <c r="F249" s="17"/>
      <c r="G249" s="17"/>
      <c r="J249" s="130"/>
      <c r="AT249" s="130"/>
      <c r="CD249" s="130"/>
    </row>
    <row r="250" spans="1:82" s="15" customFormat="1" x14ac:dyDescent="0.2">
      <c r="A250" s="33"/>
      <c r="B250" s="33"/>
      <c r="C250" s="17"/>
      <c r="D250" s="17"/>
      <c r="E250" s="17"/>
      <c r="F250" s="17"/>
      <c r="G250" s="17"/>
      <c r="J250" s="130"/>
      <c r="AT250" s="130"/>
      <c r="CD250" s="130"/>
    </row>
    <row r="251" spans="1:82" s="15" customFormat="1" x14ac:dyDescent="0.2">
      <c r="A251" s="33"/>
      <c r="B251" s="33"/>
      <c r="C251" s="17"/>
      <c r="D251" s="17"/>
      <c r="E251" s="17"/>
      <c r="F251" s="17"/>
      <c r="G251" s="17"/>
      <c r="J251" s="130"/>
      <c r="AT251" s="130"/>
      <c r="CD251" s="130"/>
    </row>
    <row r="252" spans="1:82" s="15" customFormat="1" x14ac:dyDescent="0.2">
      <c r="A252" s="33"/>
      <c r="B252" s="33"/>
      <c r="C252" s="17"/>
      <c r="D252" s="17"/>
      <c r="E252" s="17"/>
      <c r="F252" s="17"/>
      <c r="G252" s="17"/>
      <c r="J252" s="130"/>
      <c r="AT252" s="130"/>
      <c r="CD252" s="130"/>
    </row>
    <row r="253" spans="1:82" s="15" customFormat="1" x14ac:dyDescent="0.2">
      <c r="A253" s="33"/>
      <c r="B253" s="33"/>
      <c r="C253" s="17"/>
      <c r="D253" s="17"/>
      <c r="E253" s="17"/>
      <c r="F253" s="17"/>
      <c r="G253" s="17"/>
      <c r="J253" s="130"/>
      <c r="AT253" s="130"/>
      <c r="CD253" s="130"/>
    </row>
    <row r="254" spans="1:82" s="15" customFormat="1" x14ac:dyDescent="0.2">
      <c r="A254" s="33"/>
      <c r="B254" s="33"/>
      <c r="C254" s="17"/>
      <c r="D254" s="17"/>
      <c r="E254" s="17"/>
      <c r="F254" s="17"/>
      <c r="G254" s="17"/>
      <c r="J254" s="130"/>
      <c r="AT254" s="130"/>
      <c r="CD254" s="130"/>
    </row>
    <row r="255" spans="1:82" s="15" customFormat="1" x14ac:dyDescent="0.2">
      <c r="A255" s="33"/>
      <c r="B255" s="33"/>
      <c r="C255" s="17"/>
      <c r="D255" s="17"/>
      <c r="E255" s="17"/>
      <c r="F255" s="17"/>
      <c r="G255" s="17"/>
      <c r="J255" s="130"/>
      <c r="AT255" s="130"/>
      <c r="CD255" s="130"/>
    </row>
    <row r="256" spans="1:82" s="15" customFormat="1" x14ac:dyDescent="0.2">
      <c r="A256" s="33"/>
      <c r="B256" s="33"/>
      <c r="C256" s="17"/>
      <c r="D256" s="17"/>
      <c r="E256" s="17"/>
      <c r="F256" s="17"/>
      <c r="G256" s="17"/>
      <c r="J256" s="130"/>
      <c r="AT256" s="130"/>
      <c r="CD256" s="130"/>
    </row>
    <row r="257" spans="1:82" s="15" customFormat="1" x14ac:dyDescent="0.2">
      <c r="A257" s="33"/>
      <c r="B257" s="33"/>
      <c r="C257" s="17"/>
      <c r="D257" s="17"/>
      <c r="E257" s="17"/>
      <c r="F257" s="17"/>
      <c r="G257" s="17"/>
      <c r="J257" s="130"/>
      <c r="AT257" s="130"/>
      <c r="CD257" s="130"/>
    </row>
    <row r="258" spans="1:82" s="15" customFormat="1" x14ac:dyDescent="0.2">
      <c r="A258" s="33"/>
      <c r="B258" s="33"/>
      <c r="C258" s="17"/>
      <c r="D258" s="17"/>
      <c r="E258" s="17"/>
      <c r="F258" s="17"/>
      <c r="G258" s="17"/>
      <c r="J258" s="130"/>
      <c r="AT258" s="130"/>
      <c r="CD258" s="130"/>
    </row>
    <row r="259" spans="1:82" s="15" customFormat="1" x14ac:dyDescent="0.2">
      <c r="A259" s="33"/>
      <c r="B259" s="33"/>
      <c r="C259" s="17"/>
      <c r="D259" s="17"/>
      <c r="E259" s="17"/>
      <c r="F259" s="17"/>
      <c r="G259" s="17"/>
      <c r="J259" s="130"/>
      <c r="AT259" s="130"/>
      <c r="CD259" s="130"/>
    </row>
    <row r="260" spans="1:82" s="15" customFormat="1" x14ac:dyDescent="0.2">
      <c r="A260" s="33"/>
      <c r="B260" s="33"/>
      <c r="C260" s="17"/>
      <c r="D260" s="17"/>
      <c r="E260" s="17"/>
      <c r="F260" s="17"/>
      <c r="G260" s="17"/>
      <c r="I260"/>
      <c r="J260" s="129"/>
      <c r="AT260" s="130"/>
      <c r="CD260" s="130"/>
    </row>
    <row r="261" spans="1:82" s="15" customFormat="1" x14ac:dyDescent="0.2">
      <c r="A261" s="33"/>
      <c r="B261" s="33"/>
      <c r="C261" s="17"/>
      <c r="D261" s="17"/>
      <c r="E261" s="17"/>
      <c r="F261" s="17"/>
      <c r="G261" s="17"/>
      <c r="I261"/>
      <c r="J261" s="129"/>
      <c r="AT261" s="130"/>
      <c r="CD261" s="130"/>
    </row>
    <row r="262" spans="1:82" s="15" customFormat="1" x14ac:dyDescent="0.2">
      <c r="A262" s="33"/>
      <c r="B262" s="33"/>
      <c r="C262" s="17"/>
      <c r="D262" s="17"/>
      <c r="E262" s="17"/>
      <c r="F262" s="17"/>
      <c r="G262" s="17"/>
      <c r="I262"/>
      <c r="J262" s="129"/>
      <c r="AT262" s="130"/>
      <c r="CD262" s="130"/>
    </row>
    <row r="263" spans="1:82" s="15" customFormat="1" x14ac:dyDescent="0.2">
      <c r="A263" s="33"/>
      <c r="B263" s="33"/>
      <c r="C263" s="17"/>
      <c r="D263" s="17"/>
      <c r="E263" s="17"/>
      <c r="F263" s="17"/>
      <c r="G263" s="17"/>
      <c r="I263"/>
      <c r="J263" s="129"/>
      <c r="AT263" s="130"/>
      <c r="CD263" s="130"/>
    </row>
    <row r="264" spans="1:82" s="15" customFormat="1" x14ac:dyDescent="0.2">
      <c r="A264" s="33"/>
      <c r="B264" s="33"/>
      <c r="C264" s="17"/>
      <c r="D264" s="17"/>
      <c r="E264" s="17"/>
      <c r="F264" s="17"/>
      <c r="G264" s="17"/>
      <c r="I264"/>
      <c r="J264" s="129"/>
      <c r="AT264" s="130"/>
      <c r="CD264" s="130"/>
    </row>
    <row r="265" spans="1:82" s="15" customFormat="1" x14ac:dyDescent="0.2">
      <c r="A265" s="33"/>
      <c r="B265" s="33"/>
      <c r="C265" s="17"/>
      <c r="D265" s="17"/>
      <c r="E265" s="17"/>
      <c r="F265" s="17"/>
      <c r="G265" s="17"/>
      <c r="I265"/>
      <c r="J265" s="129"/>
      <c r="AT265" s="130"/>
      <c r="CD265" s="130"/>
    </row>
    <row r="266" spans="1:82" s="15" customFormat="1" x14ac:dyDescent="0.2">
      <c r="A266" s="33"/>
      <c r="B266" s="33"/>
      <c r="C266" s="17"/>
      <c r="D266" s="17"/>
      <c r="E266" s="17"/>
      <c r="F266" s="17"/>
      <c r="G266" s="17"/>
      <c r="I266"/>
      <c r="J266" s="129"/>
      <c r="AT266" s="130"/>
      <c r="CD266" s="130"/>
    </row>
    <row r="267" spans="1:82" s="15" customFormat="1" x14ac:dyDescent="0.2">
      <c r="A267" s="33"/>
      <c r="B267" s="33"/>
      <c r="C267" s="17"/>
      <c r="D267" s="17"/>
      <c r="E267" s="17"/>
      <c r="F267" s="17"/>
      <c r="G267" s="17"/>
      <c r="I267"/>
      <c r="J267" s="129"/>
      <c r="AT267" s="130"/>
      <c r="CD267" s="130"/>
    </row>
  </sheetData>
  <mergeCells count="2">
    <mergeCell ref="A120:G120"/>
    <mergeCell ref="A119:G119"/>
  </mergeCells>
  <phoneticPr fontId="0" type="noConversion"/>
  <pageMargins left="1.24" right="0.3" top="0.42" bottom="0.55000000000000004" header="0.37" footer="0.33"/>
  <pageSetup scale="80" orientation="portrait" horizontalDpi="300" verticalDpi="300" r:id="rId1"/>
  <headerFooter alignWithMargins="0">
    <oddHeader>&amp;L&amp;"Arial,Bold"&amp;12July - September, 2000</oddHeader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9"/>
  <sheetViews>
    <sheetView zoomScale="75" workbookViewId="0">
      <pane xSplit="1" ySplit="9" topLeftCell="B24" activePane="bottomRight" state="frozen"/>
      <selection pane="topRight" activeCell="C1" sqref="C1"/>
      <selection pane="bottomLeft" activeCell="A10" sqref="A10"/>
      <selection pane="bottomRight" activeCell="A6" sqref="A6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36779</v>
      </c>
      <c r="D3" s="9"/>
    </row>
    <row r="4" spans="1:42" ht="15.75" x14ac:dyDescent="0.25">
      <c r="A4" s="58" t="s">
        <v>36</v>
      </c>
      <c r="C4" s="4" t="s">
        <v>37</v>
      </c>
      <c r="E4" s="97" t="s">
        <v>57</v>
      </c>
      <c r="G4" s="4" t="s">
        <v>65</v>
      </c>
    </row>
    <row r="5" spans="1:42" ht="16.5" thickBot="1" x14ac:dyDescent="0.3">
      <c r="A5" s="58" t="s">
        <v>39</v>
      </c>
      <c r="C5" s="4" t="s">
        <v>58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36776</v>
      </c>
      <c r="D8" s="180"/>
      <c r="E8" s="181" t="str">
        <f>TEXT(WEEKDAY(C8),"dddd")</f>
        <v>Thursday</v>
      </c>
      <c r="F8" s="182">
        <f>F9</f>
        <v>36777</v>
      </c>
      <c r="G8" s="180"/>
      <c r="H8" s="181" t="str">
        <f>TEXT(WEEKDAY(F8),"dddd")</f>
        <v>Friday</v>
      </c>
      <c r="I8" s="182">
        <f>I9</f>
        <v>36778</v>
      </c>
      <c r="J8" s="180"/>
      <c r="K8" s="181" t="str">
        <f>TEXT(WEEKDAY(I8),"dddd")</f>
        <v>Saturday</v>
      </c>
      <c r="L8" s="182">
        <f>L9</f>
        <v>36779</v>
      </c>
      <c r="M8" s="180"/>
      <c r="N8" s="181" t="str">
        <f>TEXT(WEEKDAY(L8),"dddd")</f>
        <v>Sunday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36776</v>
      </c>
      <c r="D9" s="157">
        <v>36776</v>
      </c>
      <c r="E9" s="157">
        <v>36776</v>
      </c>
      <c r="F9" s="158">
        <v>36777</v>
      </c>
      <c r="G9" s="157">
        <v>36777</v>
      </c>
      <c r="H9" s="157">
        <v>36777</v>
      </c>
      <c r="I9" s="158">
        <v>36778</v>
      </c>
      <c r="J9" s="157">
        <v>36778</v>
      </c>
      <c r="K9" s="157">
        <v>36778</v>
      </c>
      <c r="L9" s="158">
        <v>36779</v>
      </c>
      <c r="M9" s="157">
        <v>36779</v>
      </c>
      <c r="N9" s="157">
        <v>36779</v>
      </c>
      <c r="O9" s="6">
        <f t="shared" ref="O9:O37" si="0">K9+H9+E9</f>
        <v>110331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8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8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250</v>
      </c>
      <c r="D11" s="5">
        <v>271</v>
      </c>
      <c r="E11" s="5">
        <v>-21</v>
      </c>
      <c r="F11" s="6">
        <v>250</v>
      </c>
      <c r="G11" s="5">
        <v>255</v>
      </c>
      <c r="H11" s="5">
        <v>-5</v>
      </c>
      <c r="I11" s="6">
        <v>250</v>
      </c>
      <c r="J11" s="5">
        <v>250</v>
      </c>
      <c r="K11" s="5">
        <v>0</v>
      </c>
      <c r="L11" s="6">
        <v>250</v>
      </c>
      <c r="M11" s="5">
        <v>269</v>
      </c>
      <c r="N11" s="5">
        <v>-19</v>
      </c>
      <c r="O11" s="6">
        <f t="shared" si="0"/>
        <v>-26</v>
      </c>
      <c r="P11" s="72">
        <f t="shared" si="1"/>
        <v>-3.3462033462033462E-2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406</v>
      </c>
      <c r="E12" s="5">
        <v>-406</v>
      </c>
      <c r="F12" s="6">
        <v>0</v>
      </c>
      <c r="G12" s="5">
        <v>382</v>
      </c>
      <c r="H12" s="5">
        <v>-382</v>
      </c>
      <c r="I12" s="6">
        <v>0</v>
      </c>
      <c r="J12" s="5">
        <v>380</v>
      </c>
      <c r="K12" s="5">
        <v>-380</v>
      </c>
      <c r="L12" s="6">
        <v>0</v>
      </c>
      <c r="M12" s="5">
        <v>389</v>
      </c>
      <c r="N12" s="5">
        <v>-389</v>
      </c>
      <c r="O12" s="6">
        <f t="shared" si="0"/>
        <v>-1168</v>
      </c>
      <c r="P12" s="72">
        <f t="shared" si="1"/>
        <v>-0.99914456800684348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119</v>
      </c>
      <c r="E13" s="5">
        <v>-19</v>
      </c>
      <c r="F13" s="6">
        <v>100</v>
      </c>
      <c r="G13" s="5">
        <v>112</v>
      </c>
      <c r="H13" s="5">
        <v>-12</v>
      </c>
      <c r="I13" s="6">
        <v>100</v>
      </c>
      <c r="J13" s="5">
        <v>109</v>
      </c>
      <c r="K13" s="5">
        <v>-9</v>
      </c>
      <c r="L13" s="6">
        <v>100</v>
      </c>
      <c r="M13" s="5">
        <v>118</v>
      </c>
      <c r="N13" s="5">
        <v>-18</v>
      </c>
      <c r="O13" s="6">
        <f t="shared" si="0"/>
        <v>-40</v>
      </c>
      <c r="P13" s="72">
        <f t="shared" si="1"/>
        <v>-0.11730205278592376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1127</v>
      </c>
      <c r="D14" s="5">
        <v>991</v>
      </c>
      <c r="E14" s="5">
        <v>136</v>
      </c>
      <c r="F14" s="6">
        <v>1127</v>
      </c>
      <c r="G14" s="5">
        <v>933</v>
      </c>
      <c r="H14" s="5">
        <v>194</v>
      </c>
      <c r="I14" s="6">
        <v>1020</v>
      </c>
      <c r="J14" s="5">
        <v>912</v>
      </c>
      <c r="K14" s="5">
        <v>108</v>
      </c>
      <c r="L14" s="6">
        <v>1020</v>
      </c>
      <c r="M14" s="5">
        <v>985</v>
      </c>
      <c r="N14" s="5">
        <v>35</v>
      </c>
      <c r="O14" s="6">
        <f t="shared" si="0"/>
        <v>438</v>
      </c>
      <c r="P14" s="72">
        <f t="shared" si="1"/>
        <v>0.15438843849136411</v>
      </c>
      <c r="Q14" s="193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42" x14ac:dyDescent="0.2">
      <c r="A15" s="28">
        <v>2280</v>
      </c>
      <c r="B15" s="56" t="s">
        <v>25</v>
      </c>
      <c r="C15" s="6">
        <v>693</v>
      </c>
      <c r="D15" s="5">
        <v>502</v>
      </c>
      <c r="E15" s="5">
        <v>191</v>
      </c>
      <c r="F15" s="6">
        <v>695</v>
      </c>
      <c r="G15" s="5">
        <v>473</v>
      </c>
      <c r="H15" s="5">
        <v>222</v>
      </c>
      <c r="I15" s="6">
        <v>695</v>
      </c>
      <c r="J15" s="5">
        <v>462</v>
      </c>
      <c r="K15" s="5">
        <v>233</v>
      </c>
      <c r="L15" s="6">
        <v>695</v>
      </c>
      <c r="M15" s="5">
        <v>499</v>
      </c>
      <c r="N15" s="5">
        <v>196</v>
      </c>
      <c r="O15" s="6">
        <f t="shared" si="0"/>
        <v>646</v>
      </c>
      <c r="P15" s="72">
        <f t="shared" si="1"/>
        <v>0.44923504867872044</v>
      </c>
      <c r="Q15" s="193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>X</v>
      </c>
    </row>
    <row r="16" spans="1:42" x14ac:dyDescent="0.2">
      <c r="A16" s="28">
        <v>2584</v>
      </c>
      <c r="B16" s="56" t="s">
        <v>25</v>
      </c>
      <c r="C16" s="6">
        <v>2345</v>
      </c>
      <c r="D16" s="5">
        <v>2900</v>
      </c>
      <c r="E16" s="5">
        <v>-555</v>
      </c>
      <c r="F16" s="6">
        <v>2345</v>
      </c>
      <c r="G16" s="5">
        <v>2729</v>
      </c>
      <c r="H16" s="5">
        <v>-384</v>
      </c>
      <c r="I16" s="6">
        <v>3000</v>
      </c>
      <c r="J16" s="5">
        <v>2669</v>
      </c>
      <c r="K16" s="5">
        <v>331</v>
      </c>
      <c r="L16" s="6">
        <v>3000</v>
      </c>
      <c r="M16" s="5">
        <v>2882</v>
      </c>
      <c r="N16" s="5">
        <v>118</v>
      </c>
      <c r="O16" s="6">
        <f t="shared" si="0"/>
        <v>-608</v>
      </c>
      <c r="P16" s="72">
        <f t="shared" si="1"/>
        <v>-7.3261838775756122E-2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3736</v>
      </c>
      <c r="D17" s="5">
        <v>6460</v>
      </c>
      <c r="E17" s="5">
        <v>-2724</v>
      </c>
      <c r="F17" s="6">
        <v>3737</v>
      </c>
      <c r="G17" s="5">
        <v>6081</v>
      </c>
      <c r="H17" s="5">
        <v>-2344</v>
      </c>
      <c r="I17" s="6">
        <v>3737</v>
      </c>
      <c r="J17" s="5">
        <v>5952</v>
      </c>
      <c r="K17" s="5">
        <v>-2215</v>
      </c>
      <c r="L17" s="6">
        <v>3737</v>
      </c>
      <c r="M17" s="5">
        <v>6411</v>
      </c>
      <c r="N17" s="5">
        <v>-2674</v>
      </c>
      <c r="O17" s="6">
        <f t="shared" si="0"/>
        <v>-7283</v>
      </c>
      <c r="P17" s="72">
        <f t="shared" si="1"/>
        <v>-0.39380339569590139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 t="str">
        <f t="shared" si="2"/>
        <v xml:space="preserve"> 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850</v>
      </c>
      <c r="E18" s="5">
        <v>-50</v>
      </c>
      <c r="F18" s="6">
        <v>800</v>
      </c>
      <c r="G18" s="5">
        <v>801</v>
      </c>
      <c r="H18" s="5">
        <v>-1</v>
      </c>
      <c r="I18" s="6">
        <v>800</v>
      </c>
      <c r="J18" s="5">
        <v>783</v>
      </c>
      <c r="K18" s="5">
        <v>17</v>
      </c>
      <c r="L18" s="6">
        <v>800</v>
      </c>
      <c r="M18" s="5">
        <v>846</v>
      </c>
      <c r="N18" s="5">
        <v>-46</v>
      </c>
      <c r="O18" s="6">
        <f t="shared" si="0"/>
        <v>-34</v>
      </c>
      <c r="P18" s="72">
        <f t="shared" si="1"/>
        <v>-1.3963039014373718E-2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4255</v>
      </c>
      <c r="D19" s="5">
        <v>4498</v>
      </c>
      <c r="E19" s="5">
        <v>-243</v>
      </c>
      <c r="F19" s="6">
        <v>4266</v>
      </c>
      <c r="G19" s="5">
        <v>4234</v>
      </c>
      <c r="H19" s="5">
        <v>32</v>
      </c>
      <c r="I19" s="6">
        <v>3784</v>
      </c>
      <c r="J19" s="5">
        <v>4141</v>
      </c>
      <c r="K19" s="5">
        <v>-357</v>
      </c>
      <c r="L19" s="6">
        <v>4266</v>
      </c>
      <c r="M19" s="5">
        <v>4471</v>
      </c>
      <c r="N19" s="5">
        <v>-205</v>
      </c>
      <c r="O19" s="6">
        <f t="shared" si="0"/>
        <v>-568</v>
      </c>
      <c r="P19" s="72">
        <f t="shared" si="1"/>
        <v>-4.4119931645176323E-2</v>
      </c>
      <c r="Q19" s="193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3152</v>
      </c>
      <c r="B20" s="56" t="s">
        <v>25</v>
      </c>
      <c r="C20" s="6">
        <v>5812</v>
      </c>
      <c r="D20" s="5">
        <v>3894</v>
      </c>
      <c r="E20" s="5">
        <v>1918</v>
      </c>
      <c r="F20" s="6">
        <v>5812</v>
      </c>
      <c r="G20" s="5">
        <v>3665</v>
      </c>
      <c r="H20" s="5">
        <v>2147</v>
      </c>
      <c r="I20" s="6">
        <v>5762</v>
      </c>
      <c r="J20" s="5">
        <v>3589</v>
      </c>
      <c r="K20" s="5">
        <v>2173</v>
      </c>
      <c r="L20" s="6">
        <v>5762</v>
      </c>
      <c r="M20" s="5">
        <v>3860</v>
      </c>
      <c r="N20" s="5">
        <v>1902</v>
      </c>
      <c r="O20" s="6">
        <f t="shared" si="0"/>
        <v>6238</v>
      </c>
      <c r="P20" s="72">
        <f t="shared" si="1"/>
        <v>0.55951206386222985</v>
      </c>
      <c r="Q20" s="193"/>
      <c r="R20" s="67" t="str">
        <f>IF($C$4="High Inventory",IF(AND(O20&gt;=Summary!$C$128,P20&gt;=Summary!$C$129),"X"," "),IF(AND(O20&lt;=-Summary!$C$128,P20&lt;=-Summary!$C$129),"X"," "))</f>
        <v>X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>X</v>
      </c>
      <c r="U20" s="11" t="str">
        <f>IF($C$4="High Inventory",IF(AND($O20&gt;=0,$P20&gt;=Summary!$C$129),"X"," "),IF(AND($O20&lt;=0,$P20&lt;=-Summary!$C$129),"X"," "))</f>
        <v>X</v>
      </c>
      <c r="V20" t="str">
        <f t="shared" si="2"/>
        <v xml:space="preserve"> </v>
      </c>
      <c r="W20" t="str">
        <f>IF($C$4="High Inventory",IF(O20&gt;Summary!$C$128,"X"," "),IF(O20&lt;-Summary!$C$128,"X"," "))</f>
        <v>X</v>
      </c>
      <c r="X20" t="str">
        <f>IF($C$4="High Inventory",IF(P20&gt;Summary!$C$129,"X"," "),IF(P20&lt;-Summary!$C$129,"X"," "))</f>
        <v>X</v>
      </c>
    </row>
    <row r="21" spans="1:24" x14ac:dyDescent="0.2">
      <c r="A21" s="28">
        <v>4303</v>
      </c>
      <c r="B21" s="56" t="s">
        <v>25</v>
      </c>
      <c r="C21" s="6">
        <v>2611</v>
      </c>
      <c r="D21" s="5">
        <v>2331</v>
      </c>
      <c r="E21" s="5">
        <v>280</v>
      </c>
      <c r="F21" s="6">
        <v>2612</v>
      </c>
      <c r="G21" s="5">
        <v>2194</v>
      </c>
      <c r="H21" s="5">
        <v>418</v>
      </c>
      <c r="I21" s="6">
        <v>1612</v>
      </c>
      <c r="J21" s="5">
        <v>2145</v>
      </c>
      <c r="K21" s="5">
        <v>-533</v>
      </c>
      <c r="L21" s="6">
        <v>1612</v>
      </c>
      <c r="M21" s="5">
        <v>2319</v>
      </c>
      <c r="N21" s="5">
        <v>-707</v>
      </c>
      <c r="O21" s="6">
        <f t="shared" si="0"/>
        <v>165</v>
      </c>
      <c r="P21" s="72">
        <f t="shared" si="1"/>
        <v>2.4733922950082445E-2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 xml:space="preserve"> </v>
      </c>
    </row>
    <row r="22" spans="1:24" x14ac:dyDescent="0.2">
      <c r="A22" s="28">
        <v>6500</v>
      </c>
      <c r="B22" s="56" t="s">
        <v>25</v>
      </c>
      <c r="C22" s="6">
        <v>498404</v>
      </c>
      <c r="D22" s="5">
        <v>464802</v>
      </c>
      <c r="E22" s="5">
        <v>33602</v>
      </c>
      <c r="F22" s="6">
        <v>472115</v>
      </c>
      <c r="G22" s="5">
        <v>437543</v>
      </c>
      <c r="H22" s="5">
        <v>34572</v>
      </c>
      <c r="I22" s="6">
        <v>491928</v>
      </c>
      <c r="J22" s="5">
        <v>428062</v>
      </c>
      <c r="K22" s="5">
        <v>63866</v>
      </c>
      <c r="L22" s="6">
        <v>451710</v>
      </c>
      <c r="M22" s="5">
        <v>461762</v>
      </c>
      <c r="N22" s="5">
        <v>-10052</v>
      </c>
      <c r="O22" s="6">
        <f t="shared" si="0"/>
        <v>132040</v>
      </c>
      <c r="P22" s="72">
        <f t="shared" si="1"/>
        <v>9.9247749562540219E-2</v>
      </c>
      <c r="Q22" s="193" t="s">
        <v>59</v>
      </c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>X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>X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10656</v>
      </c>
      <c r="B23" s="56" t="s">
        <v>25</v>
      </c>
      <c r="C23" s="6">
        <v>231</v>
      </c>
      <c r="D23" s="5">
        <v>208</v>
      </c>
      <c r="E23" s="5">
        <v>23</v>
      </c>
      <c r="F23" s="6">
        <v>231</v>
      </c>
      <c r="G23" s="5">
        <v>196</v>
      </c>
      <c r="H23" s="5">
        <v>35</v>
      </c>
      <c r="I23" s="6">
        <v>231</v>
      </c>
      <c r="J23" s="5">
        <v>192</v>
      </c>
      <c r="K23" s="5">
        <v>39</v>
      </c>
      <c r="L23" s="6">
        <v>231</v>
      </c>
      <c r="M23" s="5">
        <v>207</v>
      </c>
      <c r="N23" s="5">
        <v>24</v>
      </c>
      <c r="O23" s="6">
        <f t="shared" si="0"/>
        <v>97</v>
      </c>
      <c r="P23" s="72">
        <f t="shared" si="1"/>
        <v>0.1624790619765494</v>
      </c>
      <c r="Q23" s="194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>X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>X</v>
      </c>
    </row>
    <row r="24" spans="1:24" x14ac:dyDescent="0.2">
      <c r="A24" s="28">
        <v>12296</v>
      </c>
      <c r="B24" s="56" t="s">
        <v>25</v>
      </c>
      <c r="C24" s="6">
        <v>2861</v>
      </c>
      <c r="D24" s="5">
        <v>3201</v>
      </c>
      <c r="E24" s="5">
        <v>-340</v>
      </c>
      <c r="F24" s="6">
        <v>2861</v>
      </c>
      <c r="G24" s="5">
        <v>3014</v>
      </c>
      <c r="H24" s="5">
        <v>-153</v>
      </c>
      <c r="I24" s="6">
        <v>2861</v>
      </c>
      <c r="J24" s="5">
        <v>2946</v>
      </c>
      <c r="K24" s="5">
        <v>-85</v>
      </c>
      <c r="L24" s="6">
        <v>2861</v>
      </c>
      <c r="M24" s="5">
        <v>3184</v>
      </c>
      <c r="N24" s="5">
        <v>-323</v>
      </c>
      <c r="O24" s="6">
        <f t="shared" si="0"/>
        <v>-578</v>
      </c>
      <c r="P24" s="72">
        <f t="shared" si="1"/>
        <v>-6.3086662300807686E-2</v>
      </c>
      <c r="Q24" s="193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16786</v>
      </c>
      <c r="B25" s="56" t="s">
        <v>25</v>
      </c>
      <c r="C25" s="6">
        <v>3999</v>
      </c>
      <c r="D25" s="5">
        <v>3390</v>
      </c>
      <c r="E25" s="5">
        <v>609</v>
      </c>
      <c r="F25" s="6">
        <v>3927</v>
      </c>
      <c r="G25" s="5">
        <v>3191</v>
      </c>
      <c r="H25" s="5">
        <v>736</v>
      </c>
      <c r="I25" s="6">
        <v>2799</v>
      </c>
      <c r="J25" s="5">
        <v>3121</v>
      </c>
      <c r="K25" s="5">
        <v>-322</v>
      </c>
      <c r="L25" s="6">
        <v>2799</v>
      </c>
      <c r="M25" s="5">
        <v>3368</v>
      </c>
      <c r="N25" s="5">
        <v>-569</v>
      </c>
      <c r="O25" s="6">
        <f t="shared" si="0"/>
        <v>1023</v>
      </c>
      <c r="P25" s="72">
        <f t="shared" si="1"/>
        <v>0.10543130990415335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>X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>X</v>
      </c>
    </row>
    <row r="26" spans="1:24" x14ac:dyDescent="0.2">
      <c r="A26" s="28">
        <v>17791</v>
      </c>
      <c r="B26" s="56" t="s">
        <v>25</v>
      </c>
      <c r="C26" s="6">
        <v>200</v>
      </c>
      <c r="D26" s="5">
        <v>246</v>
      </c>
      <c r="E26" s="5">
        <v>-46</v>
      </c>
      <c r="F26" s="6">
        <v>200</v>
      </c>
      <c r="G26" s="5">
        <v>232</v>
      </c>
      <c r="H26" s="5">
        <v>-32</v>
      </c>
      <c r="I26" s="6">
        <v>250</v>
      </c>
      <c r="J26" s="5">
        <v>226</v>
      </c>
      <c r="K26" s="5">
        <v>24</v>
      </c>
      <c r="L26" s="6">
        <v>250</v>
      </c>
      <c r="M26" s="5">
        <v>244</v>
      </c>
      <c r="N26" s="5">
        <v>6</v>
      </c>
      <c r="O26" s="6">
        <f t="shared" si="0"/>
        <v>-54</v>
      </c>
      <c r="P26" s="72">
        <f t="shared" si="1"/>
        <v>-7.6595744680851063E-2</v>
      </c>
      <c r="Q26" s="193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30649</v>
      </c>
      <c r="B27" s="56" t="s">
        <v>25</v>
      </c>
      <c r="C27" s="6">
        <v>1284</v>
      </c>
      <c r="D27" s="5">
        <v>888</v>
      </c>
      <c r="E27" s="5">
        <v>396</v>
      </c>
      <c r="F27" s="6">
        <v>1271</v>
      </c>
      <c r="G27" s="5">
        <v>836</v>
      </c>
      <c r="H27" s="5">
        <v>435</v>
      </c>
      <c r="I27" s="6">
        <v>1274</v>
      </c>
      <c r="J27" s="5">
        <v>817</v>
      </c>
      <c r="K27" s="5">
        <v>457</v>
      </c>
      <c r="L27" s="6">
        <v>1284</v>
      </c>
      <c r="M27" s="5">
        <v>883</v>
      </c>
      <c r="N27" s="5">
        <v>401</v>
      </c>
      <c r="O27" s="6">
        <f t="shared" si="0"/>
        <v>1288</v>
      </c>
      <c r="P27" s="72">
        <f t="shared" si="1"/>
        <v>0.50668764752163653</v>
      </c>
      <c r="Q27" s="193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1117</v>
      </c>
      <c r="B28" s="56" t="s">
        <v>26</v>
      </c>
      <c r="C28" s="6">
        <v>59330</v>
      </c>
      <c r="D28" s="5">
        <v>100256</v>
      </c>
      <c r="E28" s="5">
        <v>-40926</v>
      </c>
      <c r="F28" s="6">
        <v>76975</v>
      </c>
      <c r="G28" s="5">
        <v>100244</v>
      </c>
      <c r="H28" s="5">
        <v>-23269</v>
      </c>
      <c r="I28" s="6">
        <v>88916</v>
      </c>
      <c r="J28" s="5">
        <v>88166</v>
      </c>
      <c r="K28" s="5">
        <v>750</v>
      </c>
      <c r="L28" s="6">
        <v>90739</v>
      </c>
      <c r="M28" s="5">
        <v>86610</v>
      </c>
      <c r="N28" s="5">
        <v>4129</v>
      </c>
      <c r="O28" s="6">
        <f t="shared" si="0"/>
        <v>-63445</v>
      </c>
      <c r="P28" s="72">
        <f t="shared" si="1"/>
        <v>-0.21978612033935296</v>
      </c>
      <c r="Q28" s="195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1126</v>
      </c>
      <c r="B29" s="56" t="s">
        <v>26</v>
      </c>
      <c r="C29" s="6">
        <v>29108</v>
      </c>
      <c r="D29" s="5">
        <v>28301</v>
      </c>
      <c r="E29" s="5">
        <v>807</v>
      </c>
      <c r="F29" s="6">
        <v>29097</v>
      </c>
      <c r="G29" s="5">
        <v>28465</v>
      </c>
      <c r="H29" s="5">
        <v>632</v>
      </c>
      <c r="I29" s="6">
        <v>29109</v>
      </c>
      <c r="J29" s="5">
        <v>26387</v>
      </c>
      <c r="K29" s="5">
        <v>2722</v>
      </c>
      <c r="L29" s="6">
        <v>29109</v>
      </c>
      <c r="M29" s="5">
        <v>25764</v>
      </c>
      <c r="N29" s="5">
        <v>3345</v>
      </c>
      <c r="O29" s="6">
        <f t="shared" si="0"/>
        <v>4161</v>
      </c>
      <c r="P29" s="72">
        <f t="shared" si="1"/>
        <v>5.0039685402987227E-2</v>
      </c>
      <c r="Q29" s="195" t="s">
        <v>59</v>
      </c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129070</v>
      </c>
      <c r="D30" s="5">
        <v>200271</v>
      </c>
      <c r="E30" s="5">
        <v>-71201</v>
      </c>
      <c r="F30" s="6">
        <v>152128</v>
      </c>
      <c r="G30" s="5">
        <v>175123</v>
      </c>
      <c r="H30" s="5">
        <v>-22995</v>
      </c>
      <c r="I30" s="6">
        <v>211660</v>
      </c>
      <c r="J30" s="5">
        <v>152567</v>
      </c>
      <c r="K30" s="5">
        <v>59093</v>
      </c>
      <c r="L30" s="6">
        <v>134453</v>
      </c>
      <c r="M30" s="5">
        <v>139602</v>
      </c>
      <c r="N30" s="5">
        <v>-5149</v>
      </c>
      <c r="O30" s="6">
        <f t="shared" si="0"/>
        <v>-35103</v>
      </c>
      <c r="P30" s="72">
        <f t="shared" si="1"/>
        <v>-6.64877396479292E-2</v>
      </c>
      <c r="Q30" s="195" t="s">
        <v>59</v>
      </c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1281</v>
      </c>
      <c r="B31" s="56" t="s">
        <v>26</v>
      </c>
      <c r="C31" s="6">
        <v>68731</v>
      </c>
      <c r="D31" s="5">
        <v>64912</v>
      </c>
      <c r="E31" s="5">
        <v>3819</v>
      </c>
      <c r="F31" s="6">
        <v>61136</v>
      </c>
      <c r="G31" s="5">
        <v>63751</v>
      </c>
      <c r="H31" s="5">
        <v>-2615</v>
      </c>
      <c r="I31" s="6">
        <v>66352</v>
      </c>
      <c r="J31" s="5">
        <v>53402</v>
      </c>
      <c r="K31" s="5">
        <v>12950</v>
      </c>
      <c r="L31" s="6">
        <v>53229</v>
      </c>
      <c r="M31" s="5">
        <v>56058</v>
      </c>
      <c r="N31" s="5">
        <v>-2829</v>
      </c>
      <c r="O31" s="6">
        <f t="shared" si="0"/>
        <v>14154</v>
      </c>
      <c r="P31" s="72">
        <f t="shared" si="1"/>
        <v>7.7741038963892214E-2</v>
      </c>
      <c r="Q31" s="195" t="s">
        <v>59</v>
      </c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 xml:space="preserve"> </v>
      </c>
    </row>
    <row r="32" spans="1:24" x14ac:dyDescent="0.2">
      <c r="A32" s="28">
        <v>1340</v>
      </c>
      <c r="B32" s="56" t="s">
        <v>26</v>
      </c>
      <c r="C32" s="6">
        <v>5411</v>
      </c>
      <c r="D32" s="5">
        <v>6398</v>
      </c>
      <c r="E32" s="5">
        <v>-987</v>
      </c>
      <c r="F32" s="6">
        <v>6509</v>
      </c>
      <c r="G32" s="5">
        <v>6937</v>
      </c>
      <c r="H32" s="5">
        <v>-428</v>
      </c>
      <c r="I32" s="6">
        <v>4818</v>
      </c>
      <c r="J32" s="5">
        <v>6381</v>
      </c>
      <c r="K32" s="5">
        <v>-1563</v>
      </c>
      <c r="L32" s="6">
        <v>4831</v>
      </c>
      <c r="M32" s="5">
        <v>6419</v>
      </c>
      <c r="N32" s="5">
        <v>-1588</v>
      </c>
      <c r="O32" s="6">
        <f t="shared" si="0"/>
        <v>-2978</v>
      </c>
      <c r="P32" s="72">
        <f t="shared" si="1"/>
        <v>-0.15103717604097985</v>
      </c>
      <c r="Q32" s="193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1377</v>
      </c>
      <c r="B33" s="56" t="s">
        <v>26</v>
      </c>
      <c r="C33" s="6">
        <v>206306</v>
      </c>
      <c r="D33" s="5">
        <v>130575</v>
      </c>
      <c r="E33" s="5">
        <v>75731</v>
      </c>
      <c r="F33" s="6">
        <v>160349</v>
      </c>
      <c r="G33" s="5">
        <v>134145</v>
      </c>
      <c r="H33" s="5">
        <v>26204</v>
      </c>
      <c r="I33" s="6">
        <v>162605</v>
      </c>
      <c r="J33" s="5">
        <v>127353</v>
      </c>
      <c r="K33" s="5">
        <v>35252</v>
      </c>
      <c r="L33" s="6">
        <v>164626</v>
      </c>
      <c r="M33" s="5">
        <v>132047</v>
      </c>
      <c r="N33" s="5">
        <v>32579</v>
      </c>
      <c r="O33" s="6">
        <f t="shared" si="0"/>
        <v>137187</v>
      </c>
      <c r="P33" s="72">
        <f t="shared" si="1"/>
        <v>0.34990078403566671</v>
      </c>
      <c r="Q33" s="195"/>
      <c r="R33" s="67" t="str">
        <f>IF($C$4="High Inventory",IF(AND(O33&gt;=Summary!$C$128,P33&gt;=Summary!$C$129),"X"," "),IF(AND(O33&lt;=-Summary!$C$128,P33&lt;=-Summary!$C$129),"X"," "))</f>
        <v>X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>X</v>
      </c>
      <c r="U33" s="11" t="str">
        <f>IF($C$4="High Inventory",IF(AND($O33&gt;=0,$P33&gt;=Summary!$C$129),"X"," "),IF(AND($O33&lt;=0,$P33&lt;=-Summary!$C$129),"X"," "))</f>
        <v>X</v>
      </c>
      <c r="V33" t="str">
        <f t="shared" si="2"/>
        <v xml:space="preserve"> </v>
      </c>
      <c r="W33" t="str">
        <f>IF($C$4="High Inventory",IF(O33&gt;Summary!$C$128,"X"," "),IF(O33&lt;-Summary!$C$128,"X"," "))</f>
        <v>X</v>
      </c>
      <c r="X33" t="str">
        <f>IF($C$4="High Inventory",IF(P33&gt;Summary!$C$129,"X"," "),IF(P33&lt;-Summary!$C$129,"X"," "))</f>
        <v>X</v>
      </c>
    </row>
    <row r="34" spans="1:24" x14ac:dyDescent="0.2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-3</v>
      </c>
      <c r="P34" s="72">
        <f t="shared" si="1"/>
        <v>-0.75</v>
      </c>
      <c r="Q34" s="193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449166</v>
      </c>
      <c r="D35" s="5">
        <v>513028</v>
      </c>
      <c r="E35" s="5">
        <v>-63862</v>
      </c>
      <c r="F35" s="6">
        <v>521467</v>
      </c>
      <c r="G35" s="5">
        <v>497600</v>
      </c>
      <c r="H35" s="5">
        <v>23867</v>
      </c>
      <c r="I35" s="6">
        <v>382872</v>
      </c>
      <c r="J35" s="5">
        <v>497604</v>
      </c>
      <c r="K35" s="5">
        <v>-114732</v>
      </c>
      <c r="L35" s="6">
        <v>426329</v>
      </c>
      <c r="M35" s="5">
        <v>481387</v>
      </c>
      <c r="N35" s="5">
        <v>-55058</v>
      </c>
      <c r="O35" s="6">
        <f t="shared" si="0"/>
        <v>-154727</v>
      </c>
      <c r="P35" s="72">
        <f t="shared" si="1"/>
        <v>-0.10258826056716701</v>
      </c>
      <c r="Q35" s="193" t="s">
        <v>59</v>
      </c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1922</v>
      </c>
      <c r="B36" s="56" t="s">
        <v>26</v>
      </c>
      <c r="C36" s="6">
        <v>83431</v>
      </c>
      <c r="D36" s="5">
        <v>58842</v>
      </c>
      <c r="E36" s="5">
        <v>24589</v>
      </c>
      <c r="F36" s="6">
        <v>25039</v>
      </c>
      <c r="G36" s="5">
        <v>56447</v>
      </c>
      <c r="H36" s="5">
        <v>-31408</v>
      </c>
      <c r="I36" s="6">
        <v>43308</v>
      </c>
      <c r="J36" s="5">
        <v>50836</v>
      </c>
      <c r="K36" s="5">
        <v>-7528</v>
      </c>
      <c r="L36" s="6">
        <v>48971</v>
      </c>
      <c r="M36" s="5">
        <v>52025</v>
      </c>
      <c r="N36" s="5">
        <v>-3054</v>
      </c>
      <c r="O36" s="6">
        <f t="shared" si="0"/>
        <v>-14347</v>
      </c>
      <c r="P36" s="72">
        <f t="shared" si="1"/>
        <v>-8.6362158843287629E-2</v>
      </c>
      <c r="Q36" s="193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">
      <c r="A37" s="28">
        <v>1928</v>
      </c>
      <c r="B37" s="56" t="s">
        <v>26</v>
      </c>
      <c r="C37" s="6">
        <v>8915</v>
      </c>
      <c r="D37" s="5">
        <v>6351</v>
      </c>
      <c r="E37" s="5">
        <v>2564</v>
      </c>
      <c r="F37" s="6">
        <v>3131</v>
      </c>
      <c r="G37" s="5">
        <v>6475</v>
      </c>
      <c r="H37" s="5">
        <v>-3344</v>
      </c>
      <c r="I37" s="6">
        <v>7918</v>
      </c>
      <c r="J37" s="5">
        <v>4946</v>
      </c>
      <c r="K37" s="5">
        <v>2972</v>
      </c>
      <c r="L37" s="6">
        <v>9817</v>
      </c>
      <c r="M37" s="5">
        <v>5837</v>
      </c>
      <c r="N37" s="5">
        <v>3980</v>
      </c>
      <c r="O37" s="6">
        <f t="shared" si="0"/>
        <v>2192</v>
      </c>
      <c r="P37" s="72">
        <f t="shared" si="1"/>
        <v>0.12333314578292916</v>
      </c>
      <c r="Q37" s="193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>X</v>
      </c>
    </row>
    <row r="38" spans="1:24" x14ac:dyDescent="0.2">
      <c r="A38" s="28">
        <v>2056</v>
      </c>
      <c r="B38" s="56" t="s">
        <v>26</v>
      </c>
      <c r="C38" s="6">
        <v>14486</v>
      </c>
      <c r="D38" s="5">
        <v>24215</v>
      </c>
      <c r="E38" s="5">
        <v>-9729</v>
      </c>
      <c r="F38" s="6">
        <v>24486</v>
      </c>
      <c r="G38" s="5">
        <v>25778</v>
      </c>
      <c r="H38" s="5">
        <v>-1292</v>
      </c>
      <c r="I38" s="6">
        <v>23551</v>
      </c>
      <c r="J38" s="5">
        <v>26429</v>
      </c>
      <c r="K38" s="5">
        <v>-2878</v>
      </c>
      <c r="L38" s="6">
        <v>23551</v>
      </c>
      <c r="M38" s="5">
        <v>26949</v>
      </c>
      <c r="N38" s="5">
        <v>-3398</v>
      </c>
      <c r="O38" s="6">
        <f t="shared" ref="O38:O65" si="3">K38+H38+E38</f>
        <v>-13899</v>
      </c>
      <c r="P38" s="72">
        <f t="shared" si="1"/>
        <v>-0.18186933253078261</v>
      </c>
      <c r="Q38" s="193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si="2"/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15836</v>
      </c>
      <c r="D39" s="5">
        <v>23739</v>
      </c>
      <c r="E39" s="5">
        <v>-7903</v>
      </c>
      <c r="F39" s="6">
        <v>15836</v>
      </c>
      <c r="G39" s="5">
        <v>24387</v>
      </c>
      <c r="H39" s="5">
        <v>-8551</v>
      </c>
      <c r="I39" s="6">
        <v>15836</v>
      </c>
      <c r="J39" s="5">
        <v>19258</v>
      </c>
      <c r="K39" s="5">
        <v>-3422</v>
      </c>
      <c r="L39" s="6">
        <v>15836</v>
      </c>
      <c r="M39" s="5">
        <v>21937</v>
      </c>
      <c r="N39" s="5">
        <v>-6101</v>
      </c>
      <c r="O39" s="6">
        <f t="shared" si="3"/>
        <v>-19876</v>
      </c>
      <c r="P39" s="72">
        <f t="shared" ref="P39:P66" si="4">O39/(J39+G39+D39+1)</f>
        <v>-0.29496178674779255</v>
      </c>
      <c r="Q39" s="193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ref="V39:V66" si="5">IF(S39 = "X",L39-I39," ")</f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">
      <c r="A40" s="28">
        <v>2584</v>
      </c>
      <c r="B40" s="56" t="s">
        <v>26</v>
      </c>
      <c r="C40" s="6">
        <v>87382</v>
      </c>
      <c r="D40" s="5">
        <v>89824</v>
      </c>
      <c r="E40" s="5">
        <v>-2442</v>
      </c>
      <c r="F40" s="6">
        <v>87008</v>
      </c>
      <c r="G40" s="5">
        <v>84299</v>
      </c>
      <c r="H40" s="5">
        <v>2709</v>
      </c>
      <c r="I40" s="6">
        <v>82923</v>
      </c>
      <c r="J40" s="5">
        <v>75979</v>
      </c>
      <c r="K40" s="5">
        <v>6944</v>
      </c>
      <c r="L40" s="6">
        <v>82923</v>
      </c>
      <c r="M40" s="5">
        <v>75790</v>
      </c>
      <c r="N40" s="5">
        <v>7133</v>
      </c>
      <c r="O40" s="6">
        <f t="shared" si="3"/>
        <v>7211</v>
      </c>
      <c r="P40" s="72">
        <f t="shared" si="4"/>
        <v>2.8832121166079576E-2</v>
      </c>
      <c r="Q40" s="193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113283</v>
      </c>
      <c r="D41" s="5">
        <v>98352</v>
      </c>
      <c r="E41" s="5">
        <v>14931</v>
      </c>
      <c r="F41" s="6">
        <v>129783</v>
      </c>
      <c r="G41" s="5">
        <v>83113</v>
      </c>
      <c r="H41" s="5">
        <v>46670</v>
      </c>
      <c r="I41" s="6">
        <v>71240</v>
      </c>
      <c r="J41" s="5">
        <v>67500</v>
      </c>
      <c r="K41" s="5">
        <v>3740</v>
      </c>
      <c r="L41" s="6">
        <v>71240</v>
      </c>
      <c r="M41" s="5">
        <v>60573</v>
      </c>
      <c r="N41" s="5">
        <v>10667</v>
      </c>
      <c r="O41" s="6">
        <f t="shared" si="3"/>
        <v>65341</v>
      </c>
      <c r="P41" s="72">
        <f t="shared" si="4"/>
        <v>0.26244949109516963</v>
      </c>
      <c r="Q41" s="193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2832</v>
      </c>
      <c r="B42" s="56" t="s">
        <v>26</v>
      </c>
      <c r="C42" s="6">
        <v>4789</v>
      </c>
      <c r="D42" s="5">
        <v>2558</v>
      </c>
      <c r="E42" s="5">
        <v>2231</v>
      </c>
      <c r="F42" s="6">
        <v>4791</v>
      </c>
      <c r="G42" s="5">
        <v>1980</v>
      </c>
      <c r="H42" s="5">
        <v>2811</v>
      </c>
      <c r="I42" s="6">
        <v>4791</v>
      </c>
      <c r="J42" s="5">
        <v>1868</v>
      </c>
      <c r="K42" s="5">
        <v>2923</v>
      </c>
      <c r="L42" s="6">
        <v>4791</v>
      </c>
      <c r="M42" s="5">
        <v>2022</v>
      </c>
      <c r="N42" s="5">
        <v>2769</v>
      </c>
      <c r="O42" s="6">
        <f t="shared" si="3"/>
        <v>7965</v>
      </c>
      <c r="P42" s="72">
        <f t="shared" si="4"/>
        <v>1.243171531137818</v>
      </c>
      <c r="Q42" s="195"/>
      <c r="R42" s="67" t="str">
        <f>IF($C$4="High Inventory",IF(AND(O42&gt;=Summary!$C$128,P42&gt;=Summary!$C$129),"X"," "),IF(AND(O42&lt;=-Summary!$C$128,P42&lt;=-Summary!$C$129),"X"," "))</f>
        <v>X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>X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>X</v>
      </c>
      <c r="X42" t="str">
        <f>IF($C$4="High Inventory",IF(P42&gt;Summary!$C$129,"X"," "),IF(P42&lt;-Summary!$C$129,"X"," "))</f>
        <v>X</v>
      </c>
    </row>
    <row r="43" spans="1:24" x14ac:dyDescent="0.2">
      <c r="A43" s="28">
        <v>2892</v>
      </c>
      <c r="B43" s="56" t="s">
        <v>26</v>
      </c>
      <c r="C43" s="6">
        <v>657</v>
      </c>
      <c r="D43" s="5">
        <v>2046</v>
      </c>
      <c r="E43" s="5">
        <v>-1389</v>
      </c>
      <c r="F43" s="6">
        <v>659</v>
      </c>
      <c r="G43" s="5">
        <v>1870</v>
      </c>
      <c r="H43" s="5">
        <v>-1211</v>
      </c>
      <c r="I43" s="6">
        <v>585</v>
      </c>
      <c r="J43" s="5">
        <v>1970</v>
      </c>
      <c r="K43" s="5">
        <v>-1385</v>
      </c>
      <c r="L43" s="6">
        <v>659</v>
      </c>
      <c r="M43" s="5">
        <v>1801</v>
      </c>
      <c r="N43" s="5">
        <v>-1142</v>
      </c>
      <c r="O43" s="6">
        <f t="shared" si="3"/>
        <v>-3985</v>
      </c>
      <c r="P43" s="72">
        <f t="shared" si="4"/>
        <v>-0.67691523696279943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10639</v>
      </c>
      <c r="D44" s="5">
        <v>9892</v>
      </c>
      <c r="E44" s="5">
        <v>747</v>
      </c>
      <c r="F44" s="6">
        <v>10639</v>
      </c>
      <c r="G44" s="5">
        <v>9429</v>
      </c>
      <c r="H44" s="5">
        <v>1210</v>
      </c>
      <c r="I44" s="6">
        <v>10639</v>
      </c>
      <c r="J44" s="5">
        <v>7302</v>
      </c>
      <c r="K44" s="5">
        <v>3337</v>
      </c>
      <c r="L44" s="6">
        <v>10639</v>
      </c>
      <c r="M44" s="5">
        <v>7862</v>
      </c>
      <c r="N44" s="5">
        <v>2777</v>
      </c>
      <c r="O44" s="6">
        <f t="shared" si="3"/>
        <v>5294</v>
      </c>
      <c r="P44" s="72">
        <f t="shared" si="4"/>
        <v>0.19884314903846154</v>
      </c>
      <c r="Q44" s="193"/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">
      <c r="A45" s="28">
        <v>4303</v>
      </c>
      <c r="B45" s="56" t="s">
        <v>26</v>
      </c>
      <c r="C45" s="6">
        <v>1634</v>
      </c>
      <c r="D45" s="5">
        <v>3100</v>
      </c>
      <c r="E45" s="5">
        <v>-1466</v>
      </c>
      <c r="F45" s="6">
        <v>1622</v>
      </c>
      <c r="G45" s="5">
        <v>3216</v>
      </c>
      <c r="H45" s="5">
        <v>-1594</v>
      </c>
      <c r="I45" s="6">
        <v>2624</v>
      </c>
      <c r="J45" s="5">
        <v>2410</v>
      </c>
      <c r="K45" s="5">
        <v>214</v>
      </c>
      <c r="L45" s="6">
        <v>2635</v>
      </c>
      <c r="M45" s="5">
        <v>2083</v>
      </c>
      <c r="N45" s="5">
        <v>552</v>
      </c>
      <c r="O45" s="6">
        <f t="shared" si="3"/>
        <v>-2846</v>
      </c>
      <c r="P45" s="72">
        <f t="shared" si="4"/>
        <v>-0.32611435774034603</v>
      </c>
      <c r="Q45" s="193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193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478043</v>
      </c>
      <c r="D47" s="5">
        <v>497884</v>
      </c>
      <c r="E47" s="5">
        <v>-19841</v>
      </c>
      <c r="F47" s="6">
        <v>478453</v>
      </c>
      <c r="G47" s="5">
        <v>439465</v>
      </c>
      <c r="H47" s="5">
        <v>38988</v>
      </c>
      <c r="I47" s="6">
        <v>408027</v>
      </c>
      <c r="J47" s="5">
        <v>420347</v>
      </c>
      <c r="K47" s="5">
        <v>-12320</v>
      </c>
      <c r="L47" s="6">
        <v>358181</v>
      </c>
      <c r="M47" s="5">
        <v>419982</v>
      </c>
      <c r="N47" s="5">
        <v>-61801</v>
      </c>
      <c r="O47" s="6">
        <f t="shared" si="3"/>
        <v>6827</v>
      </c>
      <c r="P47" s="72">
        <f t="shared" si="4"/>
        <v>5.028367890626554E-3</v>
      </c>
      <c r="Q47" s="193" t="s">
        <v>59</v>
      </c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6084</v>
      </c>
      <c r="B48" s="56" t="s">
        <v>26</v>
      </c>
      <c r="C48" s="6">
        <v>1800</v>
      </c>
      <c r="D48" s="5">
        <v>1826</v>
      </c>
      <c r="E48" s="5">
        <v>-26</v>
      </c>
      <c r="F48" s="6">
        <v>1800</v>
      </c>
      <c r="G48" s="5">
        <v>1795</v>
      </c>
      <c r="H48" s="5">
        <v>5</v>
      </c>
      <c r="I48" s="6">
        <v>1800</v>
      </c>
      <c r="J48" s="5">
        <v>1809</v>
      </c>
      <c r="K48" s="5">
        <v>-9</v>
      </c>
      <c r="L48" s="6">
        <v>1800</v>
      </c>
      <c r="M48" s="5">
        <v>1759</v>
      </c>
      <c r="N48" s="5">
        <v>41</v>
      </c>
      <c r="O48" s="6">
        <f t="shared" si="3"/>
        <v>-30</v>
      </c>
      <c r="P48" s="72">
        <f t="shared" si="4"/>
        <v>-5.5238445958387039E-3</v>
      </c>
      <c r="Q48" s="193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11000</v>
      </c>
      <c r="D49" s="5">
        <v>13353</v>
      </c>
      <c r="E49" s="5">
        <v>-2353</v>
      </c>
      <c r="F49" s="6">
        <v>11000</v>
      </c>
      <c r="G49" s="5">
        <v>11254</v>
      </c>
      <c r="H49" s="5">
        <v>-254</v>
      </c>
      <c r="I49" s="6">
        <v>11000</v>
      </c>
      <c r="J49" s="5">
        <v>11147</v>
      </c>
      <c r="K49" s="5">
        <v>-147</v>
      </c>
      <c r="L49" s="6">
        <v>11000</v>
      </c>
      <c r="M49" s="5">
        <v>11131</v>
      </c>
      <c r="N49" s="5">
        <v>-131</v>
      </c>
      <c r="O49" s="6">
        <f t="shared" si="3"/>
        <v>-2754</v>
      </c>
      <c r="P49" s="72">
        <f t="shared" si="4"/>
        <v>-7.7024192420640472E-2</v>
      </c>
      <c r="Q49" s="193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41725</v>
      </c>
      <c r="D50" s="5">
        <v>43860</v>
      </c>
      <c r="E50" s="5">
        <v>-2135</v>
      </c>
      <c r="F50" s="6">
        <v>42019</v>
      </c>
      <c r="G50" s="5">
        <v>41614</v>
      </c>
      <c r="H50" s="5">
        <v>405</v>
      </c>
      <c r="I50" s="6">
        <v>35157</v>
      </c>
      <c r="J50" s="5">
        <v>35786</v>
      </c>
      <c r="K50" s="5">
        <v>-629</v>
      </c>
      <c r="L50" s="6">
        <v>36320</v>
      </c>
      <c r="M50" s="5">
        <v>36930</v>
      </c>
      <c r="N50" s="5">
        <v>-610</v>
      </c>
      <c r="O50" s="6">
        <f t="shared" si="3"/>
        <v>-2359</v>
      </c>
      <c r="P50" s="72">
        <f t="shared" si="4"/>
        <v>-1.9453905212722968E-2</v>
      </c>
      <c r="Q50" s="193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59741</v>
      </c>
      <c r="D51" s="5">
        <v>57551</v>
      </c>
      <c r="E51" s="5">
        <v>2190</v>
      </c>
      <c r="F51" s="6">
        <v>54666</v>
      </c>
      <c r="G51" s="5">
        <v>58457</v>
      </c>
      <c r="H51" s="5">
        <v>-3791</v>
      </c>
      <c r="I51" s="6">
        <v>54758</v>
      </c>
      <c r="J51" s="5">
        <v>54946</v>
      </c>
      <c r="K51" s="5">
        <v>-188</v>
      </c>
      <c r="L51" s="6">
        <v>54762</v>
      </c>
      <c r="M51" s="5">
        <v>57387</v>
      </c>
      <c r="N51" s="5">
        <v>-2625</v>
      </c>
      <c r="O51" s="6">
        <f t="shared" si="3"/>
        <v>-1789</v>
      </c>
      <c r="P51" s="72">
        <f t="shared" si="4"/>
        <v>-1.0464742183615571E-2</v>
      </c>
      <c r="Q51" s="193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30069</v>
      </c>
      <c r="B52" s="56" t="s">
        <v>26</v>
      </c>
      <c r="C52" s="6">
        <v>11304</v>
      </c>
      <c r="D52" s="5">
        <v>10538</v>
      </c>
      <c r="E52" s="5">
        <v>766</v>
      </c>
      <c r="F52" s="6">
        <v>10594</v>
      </c>
      <c r="G52" s="5">
        <v>9210</v>
      </c>
      <c r="H52" s="5">
        <v>1384</v>
      </c>
      <c r="I52" s="6">
        <v>10132</v>
      </c>
      <c r="J52" s="5">
        <v>9192</v>
      </c>
      <c r="K52" s="5">
        <v>940</v>
      </c>
      <c r="L52" s="6">
        <v>10359</v>
      </c>
      <c r="M52" s="5">
        <v>1388</v>
      </c>
      <c r="N52" s="5">
        <v>8971</v>
      </c>
      <c r="O52" s="6">
        <f t="shared" si="3"/>
        <v>3090</v>
      </c>
      <c r="P52" s="72">
        <f t="shared" si="4"/>
        <v>0.10676894371307143</v>
      </c>
      <c r="Q52" s="193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>X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13146</v>
      </c>
      <c r="D54" s="5">
        <v>10393</v>
      </c>
      <c r="E54" s="5">
        <v>2753</v>
      </c>
      <c r="F54" s="6">
        <v>13146</v>
      </c>
      <c r="G54" s="5">
        <v>9965</v>
      </c>
      <c r="H54" s="5">
        <v>3181</v>
      </c>
      <c r="I54" s="6">
        <v>13146</v>
      </c>
      <c r="J54" s="5">
        <v>7856</v>
      </c>
      <c r="K54" s="5">
        <v>5290</v>
      </c>
      <c r="L54" s="6">
        <v>13146</v>
      </c>
      <c r="M54" s="5">
        <v>6927</v>
      </c>
      <c r="N54" s="5">
        <v>6219</v>
      </c>
      <c r="O54" s="6">
        <f t="shared" si="3"/>
        <v>11224</v>
      </c>
      <c r="P54" s="72">
        <f t="shared" si="4"/>
        <v>0.39780258727627149</v>
      </c>
      <c r="Q54" s="193"/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5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111</v>
      </c>
      <c r="B56" s="56" t="s">
        <v>27</v>
      </c>
      <c r="C56" s="6">
        <v>0</v>
      </c>
      <c r="D56" s="5">
        <v>97</v>
      </c>
      <c r="E56" s="5">
        <v>-97</v>
      </c>
      <c r="F56" s="6">
        <v>0</v>
      </c>
      <c r="G56" s="5">
        <v>93</v>
      </c>
      <c r="H56" s="5">
        <v>-93</v>
      </c>
      <c r="I56" s="6">
        <v>0</v>
      </c>
      <c r="J56" s="5">
        <v>86</v>
      </c>
      <c r="K56" s="5">
        <v>-86</v>
      </c>
      <c r="L56" s="6">
        <v>0</v>
      </c>
      <c r="M56" s="5">
        <v>84</v>
      </c>
      <c r="N56" s="5">
        <v>-84</v>
      </c>
      <c r="O56" s="6">
        <f t="shared" si="3"/>
        <v>-276</v>
      </c>
      <c r="P56" s="72">
        <f t="shared" si="4"/>
        <v>-0.99638989169675085</v>
      </c>
      <c r="Q56" s="193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476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193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512</v>
      </c>
      <c r="B59" s="56" t="s">
        <v>27</v>
      </c>
      <c r="C59" s="6">
        <v>1000</v>
      </c>
      <c r="D59" s="5">
        <v>746</v>
      </c>
      <c r="E59" s="5">
        <v>254</v>
      </c>
      <c r="F59" s="6">
        <v>1000</v>
      </c>
      <c r="G59" s="5">
        <v>738</v>
      </c>
      <c r="H59" s="5">
        <v>262</v>
      </c>
      <c r="I59" s="6">
        <v>1000</v>
      </c>
      <c r="J59" s="5">
        <v>470</v>
      </c>
      <c r="K59" s="5">
        <v>530</v>
      </c>
      <c r="L59" s="6">
        <v>1000</v>
      </c>
      <c r="M59" s="5">
        <v>672</v>
      </c>
      <c r="N59" s="5">
        <v>328</v>
      </c>
      <c r="O59" s="6">
        <f t="shared" si="3"/>
        <v>1046</v>
      </c>
      <c r="P59" s="72">
        <f t="shared" si="4"/>
        <v>0.53503836317135545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>X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>X</v>
      </c>
    </row>
    <row r="60" spans="1:24" x14ac:dyDescent="0.2">
      <c r="A60" s="28">
        <v>757</v>
      </c>
      <c r="B60" s="56" t="s">
        <v>27</v>
      </c>
      <c r="C60" s="6">
        <v>0</v>
      </c>
      <c r="D60" s="5">
        <v>447</v>
      </c>
      <c r="E60" s="5">
        <v>-447</v>
      </c>
      <c r="F60" s="6">
        <v>0</v>
      </c>
      <c r="G60" s="5">
        <v>499</v>
      </c>
      <c r="H60" s="5">
        <v>-499</v>
      </c>
      <c r="I60" s="6">
        <v>0</v>
      </c>
      <c r="J60" s="5">
        <v>527</v>
      </c>
      <c r="K60" s="5">
        <v>-527</v>
      </c>
      <c r="L60" s="6">
        <v>416</v>
      </c>
      <c r="M60" s="5">
        <v>528</v>
      </c>
      <c r="N60" s="5">
        <v>-112</v>
      </c>
      <c r="O60" s="6">
        <f t="shared" si="3"/>
        <v>-1473</v>
      </c>
      <c r="P60" s="72">
        <f t="shared" si="4"/>
        <v>-0.99932157394843957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777</v>
      </c>
      <c r="B61" s="56" t="s">
        <v>27</v>
      </c>
      <c r="C61" s="6">
        <v>600</v>
      </c>
      <c r="D61" s="5">
        <v>1018</v>
      </c>
      <c r="E61" s="5">
        <v>-418</v>
      </c>
      <c r="F61" s="6">
        <v>600</v>
      </c>
      <c r="G61" s="5">
        <v>935</v>
      </c>
      <c r="H61" s="5">
        <v>-335</v>
      </c>
      <c r="I61" s="6">
        <v>600</v>
      </c>
      <c r="J61" s="5">
        <v>2</v>
      </c>
      <c r="K61" s="5">
        <v>598</v>
      </c>
      <c r="L61" s="6">
        <v>600</v>
      </c>
      <c r="M61" s="5">
        <v>68</v>
      </c>
      <c r="N61" s="5">
        <v>532</v>
      </c>
      <c r="O61" s="6">
        <f t="shared" si="3"/>
        <v>-155</v>
      </c>
      <c r="P61" s="72">
        <f t="shared" si="4"/>
        <v>-7.924335378323108E-2</v>
      </c>
      <c r="Q61" s="193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779</v>
      </c>
      <c r="B62" s="56" t="s">
        <v>27</v>
      </c>
      <c r="C62" s="6">
        <v>1095</v>
      </c>
      <c r="D62" s="5">
        <v>1290</v>
      </c>
      <c r="E62" s="5">
        <v>-195</v>
      </c>
      <c r="F62" s="6">
        <v>1100</v>
      </c>
      <c r="G62" s="5">
        <v>1210</v>
      </c>
      <c r="H62" s="5">
        <v>-110</v>
      </c>
      <c r="I62" s="6">
        <v>1100</v>
      </c>
      <c r="J62" s="5">
        <v>887</v>
      </c>
      <c r="K62" s="5">
        <v>213</v>
      </c>
      <c r="L62" s="6">
        <v>1100</v>
      </c>
      <c r="M62" s="5">
        <v>252</v>
      </c>
      <c r="N62" s="5">
        <v>848</v>
      </c>
      <c r="O62" s="6">
        <f t="shared" si="3"/>
        <v>-92</v>
      </c>
      <c r="P62" s="72">
        <f t="shared" si="4"/>
        <v>-2.7154663518299881E-2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3"/>
        <v>0</v>
      </c>
      <c r="P63" s="72">
        <f t="shared" si="4"/>
        <v>0</v>
      </c>
      <c r="Q63" s="193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193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3"/>
        <v>0</v>
      </c>
      <c r="P65" s="72">
        <f t="shared" si="4"/>
        <v>0</v>
      </c>
      <c r="Q65" s="193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190</v>
      </c>
      <c r="D66" s="5">
        <v>334</v>
      </c>
      <c r="E66" s="5">
        <v>-144</v>
      </c>
      <c r="F66" s="6">
        <v>190</v>
      </c>
      <c r="G66" s="5">
        <v>168</v>
      </c>
      <c r="H66" s="5">
        <v>22</v>
      </c>
      <c r="I66" s="6">
        <v>190</v>
      </c>
      <c r="J66" s="5">
        <v>173</v>
      </c>
      <c r="K66" s="5">
        <v>17</v>
      </c>
      <c r="L66" s="6">
        <v>189</v>
      </c>
      <c r="M66" s="5">
        <v>176</v>
      </c>
      <c r="N66" s="5">
        <v>13</v>
      </c>
      <c r="O66" s="6">
        <f t="shared" ref="O66:O86" si="6">K66+H66+E66</f>
        <v>-105</v>
      </c>
      <c r="P66" s="72">
        <f t="shared" si="4"/>
        <v>-0.15532544378698224</v>
      </c>
      <c r="Q66" s="193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si="5"/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997</v>
      </c>
      <c r="B67" s="56" t="s">
        <v>27</v>
      </c>
      <c r="C67" s="6">
        <v>9827</v>
      </c>
      <c r="D67" s="5">
        <v>11040</v>
      </c>
      <c r="E67" s="5">
        <v>-1213</v>
      </c>
      <c r="F67" s="6">
        <v>0</v>
      </c>
      <c r="G67" s="5">
        <v>11006</v>
      </c>
      <c r="H67" s="5">
        <v>-11006</v>
      </c>
      <c r="I67" s="6">
        <v>0</v>
      </c>
      <c r="J67" s="5">
        <v>10552</v>
      </c>
      <c r="K67" s="5">
        <v>-10552</v>
      </c>
      <c r="L67" s="6">
        <v>0</v>
      </c>
      <c r="M67" s="5">
        <v>10596</v>
      </c>
      <c r="N67" s="5">
        <v>-10596</v>
      </c>
      <c r="O67" s="6">
        <f t="shared" si="6"/>
        <v>-22771</v>
      </c>
      <c r="P67" s="72">
        <f t="shared" ref="P67:P86" si="7">O67/(J67+G67+D67+1)</f>
        <v>-0.69851835945887908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ref="V67:V86" si="8">IF(S67 = "X",L67-I67," ")</f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5370</v>
      </c>
      <c r="B68" s="56" t="s">
        <v>27</v>
      </c>
      <c r="C68" s="6">
        <v>210</v>
      </c>
      <c r="D68" s="5">
        <v>16</v>
      </c>
      <c r="E68" s="5">
        <v>194</v>
      </c>
      <c r="F68" s="6">
        <v>210</v>
      </c>
      <c r="G68" s="5">
        <v>17</v>
      </c>
      <c r="H68" s="5">
        <v>193</v>
      </c>
      <c r="I68" s="6">
        <v>210</v>
      </c>
      <c r="J68" s="5">
        <v>20</v>
      </c>
      <c r="K68" s="5">
        <v>190</v>
      </c>
      <c r="L68" s="6">
        <v>210</v>
      </c>
      <c r="M68" s="5">
        <v>17</v>
      </c>
      <c r="N68" s="5">
        <v>193</v>
      </c>
      <c r="O68" s="6">
        <f t="shared" si="6"/>
        <v>577</v>
      </c>
      <c r="P68" s="72">
        <f t="shared" si="7"/>
        <v>10.685185185185185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>X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>X</v>
      </c>
    </row>
    <row r="69" spans="1:24" x14ac:dyDescent="0.2">
      <c r="A69" s="28">
        <v>5379</v>
      </c>
      <c r="B69" s="56" t="s">
        <v>27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72">
        <f t="shared" si="7"/>
        <v>0</v>
      </c>
      <c r="Q69" s="193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6905</v>
      </c>
      <c r="B70" s="56" t="s">
        <v>27</v>
      </c>
      <c r="C70" s="6">
        <v>0</v>
      </c>
      <c r="D70" s="5">
        <v>63</v>
      </c>
      <c r="E70" s="5">
        <v>-63</v>
      </c>
      <c r="F70" s="6">
        <v>0</v>
      </c>
      <c r="G70" s="5">
        <v>81</v>
      </c>
      <c r="H70" s="5">
        <v>-81</v>
      </c>
      <c r="I70" s="6">
        <v>0</v>
      </c>
      <c r="J70" s="5">
        <v>73</v>
      </c>
      <c r="K70" s="5">
        <v>-73</v>
      </c>
      <c r="L70" s="6">
        <v>0</v>
      </c>
      <c r="M70" s="5">
        <v>55</v>
      </c>
      <c r="N70" s="5">
        <v>-55</v>
      </c>
      <c r="O70" s="6">
        <f t="shared" si="6"/>
        <v>-217</v>
      </c>
      <c r="P70" s="72">
        <f t="shared" si="7"/>
        <v>-0.99541284403669728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7602</v>
      </c>
      <c r="B71" s="56" t="s">
        <v>27</v>
      </c>
      <c r="C71" s="6">
        <v>54466</v>
      </c>
      <c r="D71" s="5">
        <v>9880</v>
      </c>
      <c r="E71" s="5">
        <v>44586</v>
      </c>
      <c r="F71" s="6">
        <v>23175</v>
      </c>
      <c r="G71" s="5">
        <v>8243</v>
      </c>
      <c r="H71" s="5">
        <v>14932</v>
      </c>
      <c r="I71" s="6">
        <v>56011</v>
      </c>
      <c r="J71" s="5">
        <v>1191</v>
      </c>
      <c r="K71" s="5">
        <v>54820</v>
      </c>
      <c r="L71" s="6">
        <v>3930</v>
      </c>
      <c r="M71" s="5">
        <v>889</v>
      </c>
      <c r="N71" s="5">
        <v>3041</v>
      </c>
      <c r="O71" s="6">
        <f t="shared" si="6"/>
        <v>114338</v>
      </c>
      <c r="P71" s="72">
        <f t="shared" si="7"/>
        <v>5.9196479420139791</v>
      </c>
      <c r="Q71" s="193"/>
      <c r="R71" s="67" t="str">
        <f>IF($C$4="High Inventory",IF(AND(O71&gt;=Summary!$C$128,P71&gt;=Summary!$C$129),"X"," "),IF(AND(O71&lt;=-Summary!$C$128,P71&lt;=-Summary!$C$129),"X"," "))</f>
        <v>X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>X</v>
      </c>
      <c r="U71" s="11" t="str">
        <f>IF($C$4="High Inventory",IF(AND($O71&gt;=0,$P71&gt;=Summary!$C$129),"X"," "),IF(AND($O71&lt;=0,$P71&lt;=-Summary!$C$129),"X"," "))</f>
        <v>X</v>
      </c>
      <c r="V71" t="str">
        <f t="shared" si="8"/>
        <v xml:space="preserve"> </v>
      </c>
      <c r="W71" t="str">
        <f>IF($C$4="High Inventory",IF(O71&gt;Summary!$C$128,"X"," "),IF(O71&lt;-Summary!$C$128,"X"," "))</f>
        <v>X</v>
      </c>
      <c r="X71" t="str">
        <f>IF($C$4="High Inventory",IF(P71&gt;Summary!$C$129,"X"," "),IF(P71&lt;-Summary!$C$129,"X"," "))</f>
        <v>X</v>
      </c>
    </row>
    <row r="72" spans="1:24" x14ac:dyDescent="0.2">
      <c r="A72" s="28">
        <v>7604</v>
      </c>
      <c r="B72" s="56" t="s">
        <v>27</v>
      </c>
      <c r="C72" s="6">
        <v>96675</v>
      </c>
      <c r="D72" s="5">
        <v>48317</v>
      </c>
      <c r="E72" s="5">
        <v>48358</v>
      </c>
      <c r="F72" s="6">
        <v>65281</v>
      </c>
      <c r="G72" s="5">
        <v>57806</v>
      </c>
      <c r="H72" s="5">
        <v>7475</v>
      </c>
      <c r="I72" s="6">
        <v>69749</v>
      </c>
      <c r="J72" s="5">
        <v>63888</v>
      </c>
      <c r="K72" s="5">
        <v>5861</v>
      </c>
      <c r="L72" s="6">
        <v>73348</v>
      </c>
      <c r="M72" s="5">
        <v>68880</v>
      </c>
      <c r="N72" s="5">
        <v>4468</v>
      </c>
      <c r="O72" s="6">
        <f t="shared" si="6"/>
        <v>61694</v>
      </c>
      <c r="P72" s="72">
        <f t="shared" si="7"/>
        <v>0.36288026727525113</v>
      </c>
      <c r="Q72" s="193"/>
      <c r="R72" s="67" t="str">
        <f>IF($C$4="High Inventory",IF(AND(O72&gt;=Summary!$C$128,P72&gt;=Summary!$C$129),"X"," "),IF(AND(O72&lt;=-Summary!$C$128,P72&lt;=-Summary!$C$129),"X"," "))</f>
        <v>X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>X</v>
      </c>
      <c r="U72" s="11" t="str">
        <f>IF($C$4="High Inventory",IF(AND($O72&gt;=0,$P72&gt;=Summary!$C$129),"X"," "),IF(AND($O72&lt;=0,$P72&lt;=-Summary!$C$129),"X"," "))</f>
        <v>X</v>
      </c>
      <c r="V72" t="str">
        <f t="shared" si="8"/>
        <v xml:space="preserve"> </v>
      </c>
      <c r="W72" t="str">
        <f>IF($C$4="High Inventory",IF(O72&gt;Summary!$C$128,"X"," "),IF(O72&lt;-Summary!$C$128,"X"," "))</f>
        <v>X</v>
      </c>
      <c r="X72" t="str">
        <f>IF($C$4="High Inventory",IF(P72&gt;Summary!$C$129,"X"," "),IF(P72&lt;-Summary!$C$129,"X"," "))</f>
        <v>X</v>
      </c>
    </row>
    <row r="73" spans="1:24" x14ac:dyDescent="0.2">
      <c r="A73" s="28">
        <v>7610</v>
      </c>
      <c r="B73" s="56" t="s">
        <v>27</v>
      </c>
      <c r="C73" s="6">
        <v>230</v>
      </c>
      <c r="D73" s="5">
        <v>0</v>
      </c>
      <c r="E73" s="5">
        <v>230</v>
      </c>
      <c r="F73" s="6">
        <v>230</v>
      </c>
      <c r="G73" s="5">
        <v>0</v>
      </c>
      <c r="H73" s="5">
        <v>230</v>
      </c>
      <c r="I73" s="6">
        <v>230</v>
      </c>
      <c r="J73" s="5">
        <v>0</v>
      </c>
      <c r="K73" s="5">
        <v>230</v>
      </c>
      <c r="L73" s="6">
        <v>230</v>
      </c>
      <c r="M73" s="5">
        <v>0</v>
      </c>
      <c r="N73" s="5">
        <v>230</v>
      </c>
      <c r="O73" s="6">
        <f t="shared" si="6"/>
        <v>690</v>
      </c>
      <c r="P73" s="72">
        <f t="shared" si="7"/>
        <v>690</v>
      </c>
      <c r="Q73" s="193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>X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>X</v>
      </c>
    </row>
    <row r="74" spans="1:24" x14ac:dyDescent="0.2">
      <c r="A74" s="28">
        <v>8576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193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8577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193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8578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8579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193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8580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13636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18287</v>
      </c>
      <c r="B80" s="56" t="s">
        <v>27</v>
      </c>
      <c r="C80" s="6">
        <v>0</v>
      </c>
      <c r="D80" s="5">
        <v>6</v>
      </c>
      <c r="E80" s="5">
        <v>-6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-6</v>
      </c>
      <c r="P80" s="72">
        <f t="shared" si="7"/>
        <v>-0.8571428571428571</v>
      </c>
      <c r="Q80" s="193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20566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30149</v>
      </c>
      <c r="B82" s="56" t="s">
        <v>27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72">
        <f t="shared" si="7"/>
        <v>0</v>
      </c>
      <c r="Q82" s="193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>
        <v>30511</v>
      </c>
      <c r="B83" s="56" t="s">
        <v>27</v>
      </c>
      <c r="C83" s="6">
        <v>840</v>
      </c>
      <c r="D83" s="5">
        <v>450</v>
      </c>
      <c r="E83" s="5">
        <v>390</v>
      </c>
      <c r="F83" s="6">
        <v>840</v>
      </c>
      <c r="G83" s="5">
        <v>215</v>
      </c>
      <c r="H83" s="5">
        <v>625</v>
      </c>
      <c r="I83" s="6">
        <v>840</v>
      </c>
      <c r="J83" s="5">
        <v>0</v>
      </c>
      <c r="K83" s="5">
        <v>840</v>
      </c>
      <c r="L83" s="6">
        <v>840</v>
      </c>
      <c r="M83" s="5">
        <v>124</v>
      </c>
      <c r="N83" s="5">
        <v>716</v>
      </c>
      <c r="O83" s="6">
        <f t="shared" si="6"/>
        <v>1855</v>
      </c>
      <c r="P83" s="72">
        <f t="shared" si="7"/>
        <v>2.7852852852852852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>X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>X</v>
      </c>
    </row>
    <row r="84" spans="1:42" x14ac:dyDescent="0.2">
      <c r="A84" s="28">
        <v>32593</v>
      </c>
      <c r="B84" s="56" t="s">
        <v>27</v>
      </c>
      <c r="C84" s="6">
        <v>60000</v>
      </c>
      <c r="D84" s="5">
        <v>48859</v>
      </c>
      <c r="E84" s="5">
        <v>11141</v>
      </c>
      <c r="F84" s="6">
        <v>60000</v>
      </c>
      <c r="G84" s="5">
        <v>50033</v>
      </c>
      <c r="H84" s="5">
        <v>9967</v>
      </c>
      <c r="I84" s="6">
        <v>50000</v>
      </c>
      <c r="J84" s="5">
        <v>48273</v>
      </c>
      <c r="K84" s="5">
        <v>1727</v>
      </c>
      <c r="L84" s="6">
        <v>50000</v>
      </c>
      <c r="M84" s="5">
        <v>48603</v>
      </c>
      <c r="N84" s="5">
        <v>1397</v>
      </c>
      <c r="O84" s="6">
        <f t="shared" si="6"/>
        <v>22835</v>
      </c>
      <c r="P84" s="72">
        <f t="shared" si="7"/>
        <v>0.15516491580935815</v>
      </c>
      <c r="Q84" s="193" t="s">
        <v>59</v>
      </c>
      <c r="R84" s="67" t="str">
        <f>IF($C$4="High Inventory",IF(AND(O84&gt;=Summary!$C$128,P84&gt;=Summary!$C$129),"X"," "),IF(AND(O84&lt;=-Summary!$C$128,P84&lt;=-Summary!$C$129),"X"," "))</f>
        <v>X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>X</v>
      </c>
      <c r="U84" s="11" t="str">
        <f>IF($C$4="High Inventory",IF(AND($O84&gt;=0,$P84&gt;=Summary!$C$129),"X"," "),IF(AND($O84&lt;=0,$P84&lt;=-Summary!$C$129),"X"," "))</f>
        <v>X</v>
      </c>
      <c r="V84" t="str">
        <f t="shared" si="8"/>
        <v xml:space="preserve"> </v>
      </c>
      <c r="W84" t="str">
        <f>IF($C$4="High Inventory",IF(O84&gt;Summary!$C$128,"X"," "),IF(O84&lt;-Summary!$C$128,"X"," "))</f>
        <v>X</v>
      </c>
      <c r="X84" t="str">
        <f>IF($C$4="High Inventory",IF(P84&gt;Summary!$C$129,"X"," "),IF(P84&lt;-Summary!$C$129,"X"," "))</f>
        <v>X</v>
      </c>
    </row>
    <row r="85" spans="1:42" x14ac:dyDescent="0.2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193"/>
      <c r="R85" s="67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ht="13.5" thickBot="1" x14ac:dyDescent="0.25">
      <c r="A86" s="28"/>
      <c r="B86" s="56"/>
      <c r="C86" s="6"/>
      <c r="D86" s="5"/>
      <c r="E86" s="5"/>
      <c r="F86" s="6"/>
      <c r="G86" s="5"/>
      <c r="H86" s="5"/>
      <c r="I86" s="6"/>
      <c r="J86" s="5"/>
      <c r="K86" s="5"/>
      <c r="L86" s="6"/>
      <c r="M86" s="5"/>
      <c r="N86" s="5"/>
      <c r="O86" s="6">
        <f t="shared" si="6"/>
        <v>0</v>
      </c>
      <c r="P86" s="72">
        <f t="shared" si="7"/>
        <v>0</v>
      </c>
      <c r="Q86" s="91"/>
      <c r="R86" s="92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96" t="str">
        <f>IF($C$4="High Inventory",IF(AND($O86&gt;=Summary!$C$128,$P86&gt;=0%),"X"," "),IF(AND($O86&lt;=-Summary!$C$128,$P86&lt;=0%),"X"," "))</f>
        <v xml:space="preserve"> </v>
      </c>
      <c r="U86" s="13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s="3" customFormat="1" x14ac:dyDescent="0.2">
      <c r="A87" s="2" t="s">
        <v>28</v>
      </c>
      <c r="B87" s="2"/>
      <c r="E87" s="3">
        <f>SUM(E11:E86)</f>
        <v>42188</v>
      </c>
      <c r="H87" s="3">
        <f>SUM(H11:H86)</f>
        <v>104373</v>
      </c>
      <c r="K87" s="3">
        <f>SUM(K11:K86)</f>
        <v>109460</v>
      </c>
      <c r="M87" s="3">
        <f>SUM(M11:M86)</f>
        <v>2343912</v>
      </c>
      <c r="N87" s="3">
        <f>SUM(N11:N86)</f>
        <v>-71726</v>
      </c>
      <c r="P87" s="12"/>
      <c r="Q87" s="2">
        <f>COUNTIF(Q10:Q86,"X")</f>
        <v>7</v>
      </c>
      <c r="R87" s="2">
        <f>COUNTIF(R10:R86,"X")</f>
        <v>9</v>
      </c>
      <c r="S87" s="2">
        <f>COUNTIF(S10:S86,"X")</f>
        <v>0</v>
      </c>
      <c r="T87" s="2">
        <f>COUNTIF(T10:T86,"X")</f>
        <v>13</v>
      </c>
      <c r="U87" s="2">
        <f>COUNTIF(U10:U86,"X")</f>
        <v>20</v>
      </c>
      <c r="V87" t="e">
        <f>SUM(V$53:V$79)+SUM(V$28:V$50)+SUM(V$10:V$26)</f>
        <v>#VALUE!</v>
      </c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</row>
    <row r="88" spans="1:42" x14ac:dyDescent="0.2">
      <c r="M88" s="89" t="s">
        <v>56</v>
      </c>
      <c r="N88" s="90">
        <f>N87/M87</f>
        <v>-3.0600978193720582E-2</v>
      </c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  <row r="89" spans="1:42" x14ac:dyDescent="0.2">
      <c r="P89" s="1"/>
      <c r="R89" s="2" t="str">
        <f>IF(AND(O89&gt;=5000,P89&gt;=10%),"X"," ")</f>
        <v xml:space="preserve"> </v>
      </c>
      <c r="S89" s="2" t="str">
        <f>IF(AND(L89-I89&gt;=5000,N89-K89&gt;5000,N89&gt;0),"X","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0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33" sqref="C33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36791</v>
      </c>
      <c r="D3" s="9"/>
    </row>
    <row r="4" spans="1:42" ht="15.75" x14ac:dyDescent="0.25">
      <c r="A4" s="58" t="s">
        <v>36</v>
      </c>
      <c r="C4" s="4" t="s">
        <v>37</v>
      </c>
      <c r="E4" s="97" t="s">
        <v>62</v>
      </c>
      <c r="G4" s="4" t="s">
        <v>65</v>
      </c>
    </row>
    <row r="5" spans="1:42" ht="16.5" thickBot="1" x14ac:dyDescent="0.3">
      <c r="A5" s="58" t="s">
        <v>39</v>
      </c>
      <c r="C5" s="4" t="s">
        <v>58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36788</v>
      </c>
      <c r="D8" s="180"/>
      <c r="E8" s="181" t="str">
        <f>TEXT(WEEKDAY(C8),"dddd")</f>
        <v>Tuesday</v>
      </c>
      <c r="F8" s="182">
        <f>F9</f>
        <v>36789</v>
      </c>
      <c r="G8" s="180"/>
      <c r="H8" s="181" t="str">
        <f>TEXT(WEEKDAY(F8),"dddd")</f>
        <v>Wednesday</v>
      </c>
      <c r="I8" s="182">
        <f>I9</f>
        <v>36790</v>
      </c>
      <c r="J8" s="180"/>
      <c r="K8" s="181" t="str">
        <f>TEXT(WEEKDAY(I8),"dddd")</f>
        <v>Thursday</v>
      </c>
      <c r="L8" s="182">
        <f>L9</f>
        <v>36791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36788</v>
      </c>
      <c r="D9" s="157">
        <v>36788</v>
      </c>
      <c r="E9" s="157">
        <v>36788</v>
      </c>
      <c r="F9" s="158">
        <v>36789</v>
      </c>
      <c r="G9" s="157">
        <v>36789</v>
      </c>
      <c r="H9" s="157">
        <v>36789</v>
      </c>
      <c r="I9" s="158">
        <v>36790</v>
      </c>
      <c r="J9" s="157">
        <v>36790</v>
      </c>
      <c r="K9" s="157">
        <v>36790</v>
      </c>
      <c r="L9" s="158">
        <v>36791</v>
      </c>
      <c r="M9" s="157">
        <v>36791</v>
      </c>
      <c r="N9" s="157">
        <v>36791</v>
      </c>
      <c r="O9" s="6">
        <f t="shared" ref="O9:O36" si="0">K9+H9+E9</f>
        <v>110367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250</v>
      </c>
      <c r="D11" s="5">
        <v>243</v>
      </c>
      <c r="E11" s="5">
        <v>7</v>
      </c>
      <c r="F11" s="6">
        <v>250</v>
      </c>
      <c r="G11" s="5">
        <v>266</v>
      </c>
      <c r="H11" s="5">
        <v>-16</v>
      </c>
      <c r="I11" s="6">
        <v>250</v>
      </c>
      <c r="J11" s="5">
        <v>288</v>
      </c>
      <c r="K11" s="5">
        <v>-38</v>
      </c>
      <c r="L11" s="6">
        <v>280</v>
      </c>
      <c r="M11" s="5">
        <v>297</v>
      </c>
      <c r="N11" s="5">
        <v>-17</v>
      </c>
      <c r="O11" s="6">
        <f t="shared" si="0"/>
        <v>-47</v>
      </c>
      <c r="P11" s="72">
        <f t="shared" si="1"/>
        <v>-5.889724310776942E-2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338</v>
      </c>
      <c r="E12" s="5">
        <v>-338</v>
      </c>
      <c r="F12" s="6">
        <v>0</v>
      </c>
      <c r="G12" s="5">
        <v>369</v>
      </c>
      <c r="H12" s="5">
        <v>-369</v>
      </c>
      <c r="I12" s="6">
        <v>0</v>
      </c>
      <c r="J12" s="5">
        <v>416</v>
      </c>
      <c r="K12" s="5">
        <v>-416</v>
      </c>
      <c r="L12" s="6">
        <v>0</v>
      </c>
      <c r="M12" s="5">
        <v>446</v>
      </c>
      <c r="N12" s="5">
        <v>-446</v>
      </c>
      <c r="O12" s="6">
        <f t="shared" si="0"/>
        <v>-1123</v>
      </c>
      <c r="P12" s="72">
        <f t="shared" si="1"/>
        <v>-0.99911032028469748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107</v>
      </c>
      <c r="E13" s="5">
        <v>-7</v>
      </c>
      <c r="F13" s="6">
        <v>100</v>
      </c>
      <c r="G13" s="5">
        <v>116</v>
      </c>
      <c r="H13" s="5">
        <v>-16</v>
      </c>
      <c r="I13" s="6">
        <v>100</v>
      </c>
      <c r="J13" s="5">
        <v>126</v>
      </c>
      <c r="K13" s="5">
        <v>-26</v>
      </c>
      <c r="L13" s="6">
        <v>100</v>
      </c>
      <c r="M13" s="5">
        <v>130</v>
      </c>
      <c r="N13" s="5">
        <v>-30</v>
      </c>
      <c r="O13" s="6">
        <f t="shared" si="0"/>
        <v>-49</v>
      </c>
      <c r="P13" s="72">
        <f t="shared" si="1"/>
        <v>-0.14000000000000001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1020</v>
      </c>
      <c r="D14" s="5">
        <v>889</v>
      </c>
      <c r="E14" s="5">
        <v>131</v>
      </c>
      <c r="F14" s="6">
        <v>1020</v>
      </c>
      <c r="G14" s="5">
        <v>971</v>
      </c>
      <c r="H14" s="5">
        <v>49</v>
      </c>
      <c r="I14" s="6">
        <v>1020</v>
      </c>
      <c r="J14" s="5">
        <v>1056</v>
      </c>
      <c r="K14" s="5">
        <v>-36</v>
      </c>
      <c r="L14" s="6">
        <v>1020</v>
      </c>
      <c r="M14" s="5">
        <v>1094</v>
      </c>
      <c r="N14" s="5">
        <v>-74</v>
      </c>
      <c r="O14" s="6">
        <f t="shared" si="0"/>
        <v>144</v>
      </c>
      <c r="P14" s="72">
        <f t="shared" si="1"/>
        <v>4.9365786767226603E-2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695</v>
      </c>
      <c r="D15" s="5">
        <v>451</v>
      </c>
      <c r="E15" s="5">
        <v>244</v>
      </c>
      <c r="F15" s="6">
        <v>9862</v>
      </c>
      <c r="G15" s="5">
        <v>492</v>
      </c>
      <c r="H15" s="5">
        <v>9370</v>
      </c>
      <c r="I15" s="6">
        <v>6016</v>
      </c>
      <c r="J15" s="5">
        <v>532</v>
      </c>
      <c r="K15" s="5">
        <v>5484</v>
      </c>
      <c r="L15" s="6">
        <v>566</v>
      </c>
      <c r="M15" s="5">
        <v>550</v>
      </c>
      <c r="N15" s="5">
        <v>16</v>
      </c>
      <c r="O15" s="6">
        <f t="shared" si="0"/>
        <v>15098</v>
      </c>
      <c r="P15" s="72">
        <f t="shared" si="1"/>
        <v>10.2289972899729</v>
      </c>
      <c r="Q15" s="193" t="s">
        <v>59</v>
      </c>
      <c r="R15" s="67" t="str">
        <f>IF($C$4="High Inventory",IF(AND(O15&gt;=Summary!$C$128,P15&gt;=Summary!$C$129),"X"," "),IF(AND(O15&lt;=-Summary!$C$128,P15&lt;=-Summary!$C$129),"X"," "))</f>
        <v>X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>X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>X</v>
      </c>
      <c r="X15" t="str">
        <f>IF($C$4="High Inventory",IF(P15&gt;Summary!$C$129,"X"," "),IF(P15&lt;-Summary!$C$129,"X"," "))</f>
        <v>X</v>
      </c>
    </row>
    <row r="16" spans="1:42" x14ac:dyDescent="0.2">
      <c r="A16" s="28">
        <v>2584</v>
      </c>
      <c r="B16" s="56" t="s">
        <v>25</v>
      </c>
      <c r="C16" s="6">
        <v>3000</v>
      </c>
      <c r="D16" s="5">
        <v>2599</v>
      </c>
      <c r="E16" s="5">
        <v>401</v>
      </c>
      <c r="F16" s="6">
        <v>3000</v>
      </c>
      <c r="G16" s="5">
        <v>2838</v>
      </c>
      <c r="H16" s="5">
        <v>162</v>
      </c>
      <c r="I16" s="6">
        <v>3000</v>
      </c>
      <c r="J16" s="5">
        <v>3077</v>
      </c>
      <c r="K16" s="5">
        <v>-77</v>
      </c>
      <c r="L16" s="6">
        <v>3355</v>
      </c>
      <c r="M16" s="5">
        <v>3190</v>
      </c>
      <c r="N16" s="5">
        <v>165</v>
      </c>
      <c r="O16" s="6">
        <f t="shared" si="0"/>
        <v>486</v>
      </c>
      <c r="P16" s="72">
        <f t="shared" si="1"/>
        <v>5.7075748678802114E-2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3737</v>
      </c>
      <c r="D17" s="5">
        <v>5768</v>
      </c>
      <c r="E17" s="5">
        <v>-2031</v>
      </c>
      <c r="F17" s="6">
        <v>3737</v>
      </c>
      <c r="G17" s="5">
        <v>6299</v>
      </c>
      <c r="H17" s="5">
        <v>-2562</v>
      </c>
      <c r="I17" s="6">
        <v>3737</v>
      </c>
      <c r="J17" s="5">
        <v>6831</v>
      </c>
      <c r="K17" s="5">
        <v>-3094</v>
      </c>
      <c r="L17" s="6">
        <v>43737</v>
      </c>
      <c r="M17" s="5">
        <v>7097</v>
      </c>
      <c r="N17" s="5">
        <v>36640</v>
      </c>
      <c r="O17" s="6">
        <f t="shared" si="0"/>
        <v>-7687</v>
      </c>
      <c r="P17" s="72">
        <f t="shared" si="1"/>
        <v>-0.40674109741256154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>
        <f t="shared" si="2"/>
        <v>40000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763</v>
      </c>
      <c r="E18" s="5">
        <v>37</v>
      </c>
      <c r="F18" s="6">
        <v>800</v>
      </c>
      <c r="G18" s="5">
        <v>833</v>
      </c>
      <c r="H18" s="5">
        <v>-33</v>
      </c>
      <c r="I18" s="6">
        <v>800</v>
      </c>
      <c r="J18" s="5">
        <v>908</v>
      </c>
      <c r="K18" s="5">
        <v>-108</v>
      </c>
      <c r="L18" s="6">
        <v>800</v>
      </c>
      <c r="M18" s="5">
        <v>940</v>
      </c>
      <c r="N18" s="5">
        <v>-140</v>
      </c>
      <c r="O18" s="6">
        <f t="shared" si="0"/>
        <v>-104</v>
      </c>
      <c r="P18" s="72">
        <f t="shared" si="1"/>
        <v>-4.1516966067864272E-2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4266</v>
      </c>
      <c r="D19" s="5">
        <v>4029</v>
      </c>
      <c r="E19" s="5">
        <v>237</v>
      </c>
      <c r="F19" s="6">
        <v>4266</v>
      </c>
      <c r="G19" s="5">
        <v>4400</v>
      </c>
      <c r="H19" s="5">
        <v>-134</v>
      </c>
      <c r="I19" s="6">
        <v>4266</v>
      </c>
      <c r="J19" s="5">
        <v>4781</v>
      </c>
      <c r="K19" s="5">
        <v>-515</v>
      </c>
      <c r="L19" s="6">
        <v>4266</v>
      </c>
      <c r="M19" s="5">
        <v>4960</v>
      </c>
      <c r="N19" s="5">
        <v>-694</v>
      </c>
      <c r="O19" s="6">
        <f t="shared" si="0"/>
        <v>-412</v>
      </c>
      <c r="P19" s="72">
        <f t="shared" si="1"/>
        <v>-3.1186132768147756E-2</v>
      </c>
      <c r="Q19" s="193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3152</v>
      </c>
      <c r="B20" s="56" t="s">
        <v>25</v>
      </c>
      <c r="C20" s="6">
        <v>0</v>
      </c>
      <c r="D20" s="5">
        <v>3470</v>
      </c>
      <c r="E20" s="5">
        <v>-3470</v>
      </c>
      <c r="F20" s="6">
        <v>5613</v>
      </c>
      <c r="G20" s="5">
        <v>3790</v>
      </c>
      <c r="H20" s="5">
        <v>1823</v>
      </c>
      <c r="I20" s="6">
        <v>5715</v>
      </c>
      <c r="J20" s="5">
        <v>4139</v>
      </c>
      <c r="K20" s="5">
        <v>1576</v>
      </c>
      <c r="L20" s="6">
        <v>5715</v>
      </c>
      <c r="M20" s="5">
        <v>4304</v>
      </c>
      <c r="N20" s="5">
        <v>1411</v>
      </c>
      <c r="O20" s="6">
        <f t="shared" si="0"/>
        <v>-71</v>
      </c>
      <c r="P20" s="72">
        <f t="shared" si="1"/>
        <v>-6.2280701754385964E-3</v>
      </c>
      <c r="Q20" s="193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6500</v>
      </c>
      <c r="B21" s="56" t="s">
        <v>25</v>
      </c>
      <c r="C21" s="6">
        <v>494820</v>
      </c>
      <c r="D21" s="5">
        <v>415864</v>
      </c>
      <c r="E21" s="5">
        <v>78956</v>
      </c>
      <c r="F21" s="6">
        <v>488083</v>
      </c>
      <c r="G21" s="5">
        <v>454117</v>
      </c>
      <c r="H21" s="5">
        <v>33966</v>
      </c>
      <c r="I21" s="6">
        <v>503634</v>
      </c>
      <c r="J21" s="5">
        <v>496644</v>
      </c>
      <c r="K21" s="5">
        <v>6990</v>
      </c>
      <c r="L21" s="6">
        <v>484698</v>
      </c>
      <c r="M21" s="5">
        <v>515542</v>
      </c>
      <c r="N21" s="5">
        <v>-30844</v>
      </c>
      <c r="O21" s="6">
        <f t="shared" si="0"/>
        <v>119912</v>
      </c>
      <c r="P21" s="72">
        <f t="shared" si="1"/>
        <v>8.7743098697083188E-2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 xml:space="preserve"> </v>
      </c>
    </row>
    <row r="22" spans="1:24" x14ac:dyDescent="0.2">
      <c r="A22" s="28">
        <v>10656</v>
      </c>
      <c r="B22" s="56" t="s">
        <v>25</v>
      </c>
      <c r="C22" s="6">
        <v>180</v>
      </c>
      <c r="D22" s="5">
        <v>187</v>
      </c>
      <c r="E22" s="5">
        <v>-7</v>
      </c>
      <c r="F22" s="6">
        <v>180</v>
      </c>
      <c r="G22" s="5">
        <v>204</v>
      </c>
      <c r="H22" s="5">
        <v>-24</v>
      </c>
      <c r="I22" s="6">
        <v>180</v>
      </c>
      <c r="J22" s="5">
        <v>221</v>
      </c>
      <c r="K22" s="5">
        <v>-41</v>
      </c>
      <c r="L22" s="6">
        <v>180</v>
      </c>
      <c r="M22" s="5">
        <v>229</v>
      </c>
      <c r="N22" s="5">
        <v>-49</v>
      </c>
      <c r="O22" s="6">
        <f t="shared" si="0"/>
        <v>-72</v>
      </c>
      <c r="P22" s="72">
        <f t="shared" si="1"/>
        <v>-0.11745513866231648</v>
      </c>
      <c r="Q22" s="193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12296</v>
      </c>
      <c r="B23" s="56" t="s">
        <v>25</v>
      </c>
      <c r="C23" s="6">
        <v>2861</v>
      </c>
      <c r="D23" s="5">
        <v>2872</v>
      </c>
      <c r="E23" s="5">
        <v>-11</v>
      </c>
      <c r="F23" s="6">
        <v>2861</v>
      </c>
      <c r="G23" s="5">
        <v>3136</v>
      </c>
      <c r="H23" s="5">
        <v>-275</v>
      </c>
      <c r="I23" s="6">
        <v>2861</v>
      </c>
      <c r="J23" s="5">
        <v>3392</v>
      </c>
      <c r="K23" s="5">
        <v>-531</v>
      </c>
      <c r="L23" s="6">
        <v>2861</v>
      </c>
      <c r="M23" s="5">
        <v>3516</v>
      </c>
      <c r="N23" s="5">
        <v>-655</v>
      </c>
      <c r="O23" s="6">
        <f t="shared" si="0"/>
        <v>-817</v>
      </c>
      <c r="P23" s="72">
        <f t="shared" si="1"/>
        <v>-8.6905648335283484E-2</v>
      </c>
      <c r="Q23" s="193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16786</v>
      </c>
      <c r="B24" s="56" t="s">
        <v>25</v>
      </c>
      <c r="C24" s="6">
        <v>3999</v>
      </c>
      <c r="D24" s="5">
        <v>3035</v>
      </c>
      <c r="E24" s="5">
        <v>964</v>
      </c>
      <c r="F24" s="6">
        <v>2799</v>
      </c>
      <c r="G24" s="5">
        <v>3314</v>
      </c>
      <c r="H24" s="5">
        <v>-515</v>
      </c>
      <c r="I24" s="6">
        <v>2799</v>
      </c>
      <c r="J24" s="5">
        <v>3601</v>
      </c>
      <c r="K24" s="5">
        <v>-802</v>
      </c>
      <c r="L24" s="6">
        <v>2799</v>
      </c>
      <c r="M24" s="5">
        <v>3736</v>
      </c>
      <c r="N24" s="5">
        <v>-937</v>
      </c>
      <c r="O24" s="6">
        <f t="shared" si="0"/>
        <v>-353</v>
      </c>
      <c r="P24" s="72">
        <f t="shared" si="1"/>
        <v>-3.5473821726459652E-2</v>
      </c>
      <c r="Q24" s="193" t="str">
        <f>" "</f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17791</v>
      </c>
      <c r="B25" s="56" t="s">
        <v>25</v>
      </c>
      <c r="C25" s="6">
        <v>250</v>
      </c>
      <c r="D25" s="5">
        <v>220</v>
      </c>
      <c r="E25" s="5">
        <v>30</v>
      </c>
      <c r="F25" s="6">
        <v>250</v>
      </c>
      <c r="G25" s="5">
        <v>241</v>
      </c>
      <c r="H25" s="5">
        <v>9</v>
      </c>
      <c r="I25" s="6">
        <v>250</v>
      </c>
      <c r="J25" s="5">
        <v>260</v>
      </c>
      <c r="K25" s="5">
        <v>-10</v>
      </c>
      <c r="L25" s="6">
        <v>250</v>
      </c>
      <c r="M25" s="5">
        <v>269</v>
      </c>
      <c r="N25" s="5">
        <v>-19</v>
      </c>
      <c r="O25" s="6">
        <f t="shared" si="0"/>
        <v>29</v>
      </c>
      <c r="P25" s="72">
        <f t="shared" si="1"/>
        <v>4.0166204986149583E-2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30649</v>
      </c>
      <c r="B26" s="56" t="s">
        <v>25</v>
      </c>
      <c r="C26" s="6">
        <v>1284</v>
      </c>
      <c r="D26" s="5">
        <v>797</v>
      </c>
      <c r="E26" s="5">
        <v>487</v>
      </c>
      <c r="F26" s="6">
        <v>1284</v>
      </c>
      <c r="G26" s="5">
        <v>870</v>
      </c>
      <c r="H26" s="5">
        <v>414</v>
      </c>
      <c r="I26" s="6">
        <v>1284</v>
      </c>
      <c r="J26" s="5">
        <v>941</v>
      </c>
      <c r="K26" s="5">
        <v>343</v>
      </c>
      <c r="L26" s="6">
        <v>1284</v>
      </c>
      <c r="M26" s="5">
        <v>975</v>
      </c>
      <c r="N26" s="5">
        <v>309</v>
      </c>
      <c r="O26" s="6">
        <f t="shared" si="0"/>
        <v>1244</v>
      </c>
      <c r="P26" s="72">
        <f t="shared" si="1"/>
        <v>0.47681103871215025</v>
      </c>
      <c r="Q26" s="193"/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>X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>X</v>
      </c>
    </row>
    <row r="27" spans="1:24" x14ac:dyDescent="0.2">
      <c r="A27" s="28">
        <v>1117</v>
      </c>
      <c r="B27" s="56" t="s">
        <v>26</v>
      </c>
      <c r="C27" s="6">
        <v>117432</v>
      </c>
      <c r="D27" s="5">
        <v>82615</v>
      </c>
      <c r="E27" s="5">
        <v>34817</v>
      </c>
      <c r="F27" s="6">
        <v>75651</v>
      </c>
      <c r="G27" s="5">
        <v>85141</v>
      </c>
      <c r="H27" s="5">
        <v>-9490</v>
      </c>
      <c r="I27" s="6">
        <v>38508</v>
      </c>
      <c r="J27" s="5">
        <v>88815</v>
      </c>
      <c r="K27" s="5">
        <v>-50307</v>
      </c>
      <c r="L27" s="6">
        <v>94610</v>
      </c>
      <c r="M27" s="5">
        <v>87511</v>
      </c>
      <c r="N27" s="5">
        <v>7099</v>
      </c>
      <c r="O27" s="6">
        <f t="shared" si="0"/>
        <v>-24980</v>
      </c>
      <c r="P27" s="72">
        <f t="shared" si="1"/>
        <v>-9.7360584943017942E-2</v>
      </c>
      <c r="Q27" s="195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>X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>
        <f t="shared" si="2"/>
        <v>56102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">
      <c r="A28" s="28">
        <v>1126</v>
      </c>
      <c r="B28" s="56" t="s">
        <v>26</v>
      </c>
      <c r="C28" s="6">
        <v>29109</v>
      </c>
      <c r="D28" s="5">
        <v>27296</v>
      </c>
      <c r="E28" s="5">
        <v>1813</v>
      </c>
      <c r="F28" s="6">
        <v>29109</v>
      </c>
      <c r="G28" s="5">
        <v>28379</v>
      </c>
      <c r="H28" s="5">
        <v>730</v>
      </c>
      <c r="I28" s="6">
        <v>29109</v>
      </c>
      <c r="J28" s="5">
        <v>28116</v>
      </c>
      <c r="K28" s="5">
        <v>993</v>
      </c>
      <c r="L28" s="6">
        <v>29109</v>
      </c>
      <c r="M28" s="5">
        <v>28068</v>
      </c>
      <c r="N28" s="5">
        <v>1041</v>
      </c>
      <c r="O28" s="6">
        <f t="shared" si="0"/>
        <v>3536</v>
      </c>
      <c r="P28" s="72">
        <f t="shared" si="1"/>
        <v>4.2199732671376743E-2</v>
      </c>
      <c r="Q28" s="195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1157</v>
      </c>
      <c r="B29" s="56" t="s">
        <v>26</v>
      </c>
      <c r="C29" s="6">
        <v>151582</v>
      </c>
      <c r="D29" s="5">
        <v>174384</v>
      </c>
      <c r="E29" s="5">
        <v>-22802</v>
      </c>
      <c r="F29" s="6">
        <v>159543</v>
      </c>
      <c r="G29" s="5">
        <v>178348</v>
      </c>
      <c r="H29" s="5">
        <v>-18805</v>
      </c>
      <c r="I29" s="6">
        <v>146163</v>
      </c>
      <c r="J29" s="5">
        <v>151900</v>
      </c>
      <c r="K29" s="5">
        <v>-5737</v>
      </c>
      <c r="L29" s="6">
        <v>148582</v>
      </c>
      <c r="M29" s="5">
        <v>147902</v>
      </c>
      <c r="N29" s="5">
        <v>680</v>
      </c>
      <c r="O29" s="6">
        <f t="shared" si="0"/>
        <v>-47344</v>
      </c>
      <c r="P29" s="72">
        <f t="shared" si="1"/>
        <v>-9.3818676146823529E-2</v>
      </c>
      <c r="Q29" s="195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1281</v>
      </c>
      <c r="B30" s="56" t="s">
        <v>26</v>
      </c>
      <c r="C30" s="6">
        <v>66229</v>
      </c>
      <c r="D30" s="5">
        <v>71764</v>
      </c>
      <c r="E30" s="5">
        <v>-5535</v>
      </c>
      <c r="F30" s="6">
        <v>67229</v>
      </c>
      <c r="G30" s="5">
        <v>72167</v>
      </c>
      <c r="H30" s="5">
        <v>-4938</v>
      </c>
      <c r="I30" s="6">
        <v>78812</v>
      </c>
      <c r="J30" s="5">
        <v>66348</v>
      </c>
      <c r="K30" s="5">
        <v>12464</v>
      </c>
      <c r="L30" s="6">
        <v>42229</v>
      </c>
      <c r="M30" s="5">
        <v>67421</v>
      </c>
      <c r="N30" s="5">
        <v>-25192</v>
      </c>
      <c r="O30" s="6">
        <f t="shared" si="0"/>
        <v>1991</v>
      </c>
      <c r="P30" s="72">
        <f t="shared" si="1"/>
        <v>9.4683279436941215E-3</v>
      </c>
      <c r="Q30" s="195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1340</v>
      </c>
      <c r="B31" s="56" t="s">
        <v>26</v>
      </c>
      <c r="C31" s="6">
        <v>4818</v>
      </c>
      <c r="D31" s="5">
        <v>5799</v>
      </c>
      <c r="E31" s="5">
        <v>-981</v>
      </c>
      <c r="F31" s="6">
        <v>4817</v>
      </c>
      <c r="G31" s="5">
        <v>4535</v>
      </c>
      <c r="H31" s="5">
        <v>282</v>
      </c>
      <c r="I31" s="6">
        <v>4840</v>
      </c>
      <c r="J31" s="5">
        <v>6440</v>
      </c>
      <c r="K31" s="5">
        <v>-1600</v>
      </c>
      <c r="L31" s="6">
        <v>4818</v>
      </c>
      <c r="M31" s="5">
        <v>6461</v>
      </c>
      <c r="N31" s="5">
        <v>-1643</v>
      </c>
      <c r="O31" s="6">
        <f t="shared" si="0"/>
        <v>-2299</v>
      </c>
      <c r="P31" s="72">
        <f t="shared" si="1"/>
        <v>-0.13704918032786886</v>
      </c>
      <c r="Q31" s="193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">
      <c r="A32" s="28">
        <v>1377</v>
      </c>
      <c r="B32" s="56" t="s">
        <v>26</v>
      </c>
      <c r="C32" s="6">
        <v>198903</v>
      </c>
      <c r="D32" s="5">
        <v>122611</v>
      </c>
      <c r="E32" s="5">
        <v>76292</v>
      </c>
      <c r="F32" s="6">
        <v>70062</v>
      </c>
      <c r="G32" s="5">
        <v>130851</v>
      </c>
      <c r="H32" s="5">
        <v>-60789</v>
      </c>
      <c r="I32" s="6">
        <v>124782</v>
      </c>
      <c r="J32" s="5">
        <v>124602</v>
      </c>
      <c r="K32" s="5">
        <v>180</v>
      </c>
      <c r="L32" s="6">
        <v>158741</v>
      </c>
      <c r="M32" s="5">
        <v>123231</v>
      </c>
      <c r="N32" s="5">
        <v>35510</v>
      </c>
      <c r="O32" s="6">
        <f t="shared" si="0"/>
        <v>15683</v>
      </c>
      <c r="P32" s="72">
        <f t="shared" si="1"/>
        <v>4.1482284792297618E-2</v>
      </c>
      <c r="Q32" s="195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>X</v>
      </c>
      <c r="T32" s="8" t="str">
        <f>IF($C$4="High Inventory",IF(AND($O32&gt;=Summary!$C$128,$P32&gt;=0%),"X"," "),IF(AND($O32&lt;=-Summary!$C$128,$P32&lt;=0%),"X"," "))</f>
        <v>X</v>
      </c>
      <c r="U32" s="11" t="str">
        <f>IF($C$4="High Inventory",IF(AND($O32&gt;=0,$P32&gt;=Summary!$C$129),"X"," "),IF(AND($O32&lt;=0,$P32&lt;=-Summary!$C$129),"X"," "))</f>
        <v xml:space="preserve"> </v>
      </c>
      <c r="V32">
        <f t="shared" si="2"/>
        <v>33959</v>
      </c>
      <c r="W32" t="str">
        <f>IF($C$4="High Inventory",IF(O32&gt;Summary!$C$128,"X"," "),IF(O32&lt;-Summary!$C$128,"X"," "))</f>
        <v>X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1830</v>
      </c>
      <c r="B33" s="56" t="s">
        <v>26</v>
      </c>
      <c r="C33" s="6">
        <v>3812</v>
      </c>
      <c r="D33" s="5">
        <v>4047</v>
      </c>
      <c r="E33" s="5">
        <v>-235</v>
      </c>
      <c r="F33" s="6">
        <v>0</v>
      </c>
      <c r="G33" s="5">
        <v>3819</v>
      </c>
      <c r="H33" s="5">
        <v>-3819</v>
      </c>
      <c r="I33" s="6">
        <v>4071</v>
      </c>
      <c r="J33" s="5">
        <v>2886</v>
      </c>
      <c r="K33" s="5">
        <v>1185</v>
      </c>
      <c r="L33" s="6">
        <v>3841</v>
      </c>
      <c r="M33" s="5">
        <v>3722</v>
      </c>
      <c r="N33" s="5">
        <v>119</v>
      </c>
      <c r="O33" s="6">
        <f t="shared" si="0"/>
        <v>-2869</v>
      </c>
      <c r="P33" s="72">
        <f t="shared" si="1"/>
        <v>-0.26680926253138659</v>
      </c>
      <c r="Q33" s="193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1864</v>
      </c>
      <c r="B34" s="56" t="s">
        <v>26</v>
      </c>
      <c r="C34" s="6">
        <v>499764</v>
      </c>
      <c r="D34" s="5">
        <v>514663</v>
      </c>
      <c r="E34" s="5">
        <v>-14899</v>
      </c>
      <c r="F34" s="6">
        <v>617137</v>
      </c>
      <c r="G34" s="5">
        <v>512723</v>
      </c>
      <c r="H34" s="5">
        <v>104414</v>
      </c>
      <c r="I34" s="6">
        <v>583216</v>
      </c>
      <c r="J34" s="5">
        <v>488582</v>
      </c>
      <c r="K34" s="5">
        <v>94634</v>
      </c>
      <c r="L34" s="6">
        <v>462681</v>
      </c>
      <c r="M34" s="5">
        <v>483508</v>
      </c>
      <c r="N34" s="5">
        <v>-20827</v>
      </c>
      <c r="O34" s="6">
        <f t="shared" si="0"/>
        <v>184149</v>
      </c>
      <c r="P34" s="72">
        <f t="shared" si="1"/>
        <v>0.12147280056518306</v>
      </c>
      <c r="Q34" s="193" t="s">
        <v>59</v>
      </c>
      <c r="R34" s="67" t="str">
        <f>IF($C$4="High Inventory",IF(AND(O34&gt;=Summary!$C$128,P34&gt;=Summary!$C$129),"X"," "),IF(AND(O34&lt;=-Summary!$C$128,P34&lt;=-Summary!$C$129),"X"," "))</f>
        <v>X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>X</v>
      </c>
      <c r="U34" s="11" t="str">
        <f>IF($C$4="High Inventory",IF(AND($O34&gt;=0,$P34&gt;=Summary!$C$129),"X"," "),IF(AND($O34&lt;=0,$P34&lt;=-Summary!$C$129),"X"," "))</f>
        <v>X</v>
      </c>
      <c r="V34" t="str">
        <f t="shared" si="2"/>
        <v xml:space="preserve"> </v>
      </c>
      <c r="W34" t="str">
        <f>IF($C$4="High Inventory",IF(O34&gt;Summary!$C$128,"X"," "),IF(O34&lt;-Summary!$C$128,"X"," "))</f>
        <v>X</v>
      </c>
      <c r="X34" t="str">
        <f>IF($C$4="High Inventory",IF(P34&gt;Summary!$C$129,"X"," "),IF(P34&lt;-Summary!$C$129,"X"," "))</f>
        <v>X</v>
      </c>
    </row>
    <row r="35" spans="1:24" x14ac:dyDescent="0.2">
      <c r="A35" s="28">
        <v>1922</v>
      </c>
      <c r="B35" s="56" t="s">
        <v>26</v>
      </c>
      <c r="C35" s="6">
        <v>27597</v>
      </c>
      <c r="D35" s="5">
        <v>65865</v>
      </c>
      <c r="E35" s="5">
        <v>-38268</v>
      </c>
      <c r="F35" s="6">
        <v>56011</v>
      </c>
      <c r="G35" s="5">
        <v>65207</v>
      </c>
      <c r="H35" s="5">
        <v>-9196</v>
      </c>
      <c r="I35" s="6">
        <v>56470</v>
      </c>
      <c r="J35" s="5">
        <v>67812</v>
      </c>
      <c r="K35" s="5">
        <v>-11342</v>
      </c>
      <c r="L35" s="6">
        <v>27597</v>
      </c>
      <c r="M35" s="5">
        <v>66480</v>
      </c>
      <c r="N35" s="5">
        <v>-38883</v>
      </c>
      <c r="O35" s="6">
        <f t="shared" si="0"/>
        <v>-58806</v>
      </c>
      <c r="P35" s="72">
        <f t="shared" si="1"/>
        <v>-0.29567840711969229</v>
      </c>
      <c r="Q35" s="193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1928</v>
      </c>
      <c r="B36" s="56" t="s">
        <v>26</v>
      </c>
      <c r="C36" s="6">
        <v>7919</v>
      </c>
      <c r="D36" s="5">
        <v>7375</v>
      </c>
      <c r="E36" s="5">
        <v>544</v>
      </c>
      <c r="F36" s="6">
        <v>7419</v>
      </c>
      <c r="G36" s="5">
        <v>7484</v>
      </c>
      <c r="H36" s="5">
        <v>-65</v>
      </c>
      <c r="I36" s="6">
        <v>2919</v>
      </c>
      <c r="J36" s="5">
        <v>8012</v>
      </c>
      <c r="K36" s="5">
        <v>-5093</v>
      </c>
      <c r="L36" s="6">
        <v>2919</v>
      </c>
      <c r="M36" s="5">
        <v>6339</v>
      </c>
      <c r="N36" s="5">
        <v>-3420</v>
      </c>
      <c r="O36" s="6">
        <f t="shared" si="0"/>
        <v>-4614</v>
      </c>
      <c r="P36" s="72">
        <f t="shared" si="1"/>
        <v>-0.20173137460650578</v>
      </c>
      <c r="Q36" s="193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">
      <c r="A37" s="28">
        <v>2056</v>
      </c>
      <c r="B37" s="56" t="s">
        <v>26</v>
      </c>
      <c r="C37" s="6">
        <v>28252</v>
      </c>
      <c r="D37" s="5">
        <v>23477</v>
      </c>
      <c r="E37" s="5">
        <v>4775</v>
      </c>
      <c r="F37" s="6">
        <v>27740</v>
      </c>
      <c r="G37" s="5">
        <v>24305</v>
      </c>
      <c r="H37" s="5">
        <v>3435</v>
      </c>
      <c r="I37" s="6">
        <v>27740</v>
      </c>
      <c r="J37" s="5">
        <v>24284</v>
      </c>
      <c r="K37" s="5">
        <v>3456</v>
      </c>
      <c r="L37" s="6">
        <v>20632</v>
      </c>
      <c r="M37" s="5">
        <v>24591</v>
      </c>
      <c r="N37" s="5">
        <v>-3959</v>
      </c>
      <c r="O37" s="6">
        <f t="shared" ref="O37:O64" si="3">K37+H37+E37</f>
        <v>11666</v>
      </c>
      <c r="P37" s="72">
        <f t="shared" si="1"/>
        <v>0.16187714210387555</v>
      </c>
      <c r="Q37" s="193"/>
      <c r="R37" s="67" t="str">
        <f>IF($C$4="High Inventory",IF(AND(O37&gt;=Summary!$C$128,P37&gt;=Summary!$C$129),"X"," "),IF(AND(O37&lt;=-Summary!$C$128,P37&lt;=-Summary!$C$129),"X"," "))</f>
        <v>X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>X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>X</v>
      </c>
      <c r="X37" t="str">
        <f>IF($C$4="High Inventory",IF(P37&gt;Summary!$C$129,"X"," "),IF(P37&lt;-Summary!$C$129,"X"," "))</f>
        <v>X</v>
      </c>
    </row>
    <row r="38" spans="1:24" x14ac:dyDescent="0.2">
      <c r="A38" s="28">
        <v>2280</v>
      </c>
      <c r="B38" s="56" t="s">
        <v>26</v>
      </c>
      <c r="C38" s="6">
        <v>15836</v>
      </c>
      <c r="D38" s="5">
        <v>22403</v>
      </c>
      <c r="E38" s="5">
        <v>-6567</v>
      </c>
      <c r="F38" s="6">
        <v>33212</v>
      </c>
      <c r="G38" s="5">
        <v>23425</v>
      </c>
      <c r="H38" s="5">
        <v>9787</v>
      </c>
      <c r="I38" s="6">
        <v>25514</v>
      </c>
      <c r="J38" s="5">
        <v>23315</v>
      </c>
      <c r="K38" s="5">
        <v>2199</v>
      </c>
      <c r="L38" s="6">
        <v>45916</v>
      </c>
      <c r="M38" s="5">
        <v>22187</v>
      </c>
      <c r="N38" s="5">
        <v>23729</v>
      </c>
      <c r="O38" s="6">
        <f t="shared" si="3"/>
        <v>5419</v>
      </c>
      <c r="P38" s="72">
        <f t="shared" ref="P38:P65" si="4">O38/(J38+G38+D38+1)</f>
        <v>7.8372671526090482E-2</v>
      </c>
      <c r="Q38" s="193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>X</v>
      </c>
      <c r="T38" s="8" t="str">
        <f>IF($C$4="High Inventory",IF(AND($O38&gt;=Summary!$C$128,$P38&gt;=0%),"X"," "),IF(AND($O38&lt;=-Summary!$C$128,$P38&lt;=0%),"X"," "))</f>
        <v>X</v>
      </c>
      <c r="U38" s="11" t="str">
        <f>IF($C$4="High Inventory",IF(AND($O38&gt;=0,$P38&gt;=Summary!$C$129),"X"," "),IF(AND($O38&lt;=0,$P38&lt;=-Summary!$C$129),"X"," "))</f>
        <v xml:space="preserve"> </v>
      </c>
      <c r="V38">
        <f t="shared" ref="V38:V65" si="5">IF(S38 = "X",L38-I38," ")</f>
        <v>20402</v>
      </c>
      <c r="W38" t="str">
        <f>IF($C$4="High Inventory",IF(O38&gt;Summary!$C$128,"X"," "),IF(O38&lt;-Summary!$C$128,"X"," "))</f>
        <v>X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2584</v>
      </c>
      <c r="B39" s="56" t="s">
        <v>26</v>
      </c>
      <c r="C39" s="6">
        <v>93685</v>
      </c>
      <c r="D39" s="5">
        <v>82699</v>
      </c>
      <c r="E39" s="5">
        <v>10986</v>
      </c>
      <c r="F39" s="6">
        <v>88976</v>
      </c>
      <c r="G39" s="5">
        <v>77250</v>
      </c>
      <c r="H39" s="5">
        <v>11726</v>
      </c>
      <c r="I39" s="6">
        <v>103855</v>
      </c>
      <c r="J39" s="5">
        <v>77603</v>
      </c>
      <c r="K39" s="5">
        <v>26252</v>
      </c>
      <c r="L39" s="6">
        <v>77630</v>
      </c>
      <c r="M39" s="5">
        <v>79516</v>
      </c>
      <c r="N39" s="5">
        <v>-1886</v>
      </c>
      <c r="O39" s="6">
        <f t="shared" si="3"/>
        <v>48964</v>
      </c>
      <c r="P39" s="72">
        <f t="shared" si="4"/>
        <v>0.20611821361969751</v>
      </c>
      <c r="Q39" s="193" t="s">
        <v>59</v>
      </c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">
      <c r="A40" s="28">
        <v>2771</v>
      </c>
      <c r="B40" s="56" t="s">
        <v>26</v>
      </c>
      <c r="C40" s="6">
        <v>71183</v>
      </c>
      <c r="D40" s="5">
        <v>77728</v>
      </c>
      <c r="E40" s="5">
        <v>-6545</v>
      </c>
      <c r="F40" s="6">
        <v>101603</v>
      </c>
      <c r="G40" s="5">
        <v>75651</v>
      </c>
      <c r="H40" s="5">
        <v>25952</v>
      </c>
      <c r="I40" s="6">
        <v>105845</v>
      </c>
      <c r="J40" s="5">
        <v>75293</v>
      </c>
      <c r="K40" s="5">
        <v>30552</v>
      </c>
      <c r="L40" s="6">
        <v>32729</v>
      </c>
      <c r="M40" s="5">
        <v>80063</v>
      </c>
      <c r="N40" s="5">
        <v>-47334</v>
      </c>
      <c r="O40" s="6">
        <f t="shared" si="3"/>
        <v>49959</v>
      </c>
      <c r="P40" s="72">
        <f t="shared" si="4"/>
        <v>0.21847354082029799</v>
      </c>
      <c r="Q40" s="193" t="s">
        <v>59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">
      <c r="A41" s="28">
        <v>2832</v>
      </c>
      <c r="B41" s="56" t="s">
        <v>26</v>
      </c>
      <c r="C41" s="6">
        <v>4791</v>
      </c>
      <c r="D41" s="5">
        <v>3210</v>
      </c>
      <c r="E41" s="5">
        <v>1581</v>
      </c>
      <c r="F41" s="6">
        <v>4791</v>
      </c>
      <c r="G41" s="5">
        <v>2932</v>
      </c>
      <c r="H41" s="5">
        <v>1859</v>
      </c>
      <c r="I41" s="6">
        <v>4791</v>
      </c>
      <c r="J41" s="5">
        <v>3296</v>
      </c>
      <c r="K41" s="5">
        <v>1495</v>
      </c>
      <c r="L41" s="6">
        <v>4791</v>
      </c>
      <c r="M41" s="5">
        <v>2968</v>
      </c>
      <c r="N41" s="5">
        <v>1823</v>
      </c>
      <c r="O41" s="6">
        <f t="shared" si="3"/>
        <v>4935</v>
      </c>
      <c r="P41" s="72">
        <f t="shared" si="4"/>
        <v>0.52283080834834195</v>
      </c>
      <c r="Q41" s="195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2892</v>
      </c>
      <c r="B42" s="56" t="s">
        <v>26</v>
      </c>
      <c r="C42" s="6">
        <v>659</v>
      </c>
      <c r="D42" s="5">
        <v>130</v>
      </c>
      <c r="E42" s="5">
        <v>529</v>
      </c>
      <c r="F42" s="6">
        <v>659</v>
      </c>
      <c r="G42" s="5">
        <v>144</v>
      </c>
      <c r="H42" s="5">
        <v>515</v>
      </c>
      <c r="I42" s="6">
        <v>659</v>
      </c>
      <c r="J42" s="5">
        <v>155</v>
      </c>
      <c r="K42" s="5">
        <v>504</v>
      </c>
      <c r="L42" s="6">
        <v>659</v>
      </c>
      <c r="M42" s="5">
        <v>171</v>
      </c>
      <c r="N42" s="5">
        <v>488</v>
      </c>
      <c r="O42" s="6">
        <f t="shared" si="3"/>
        <v>1548</v>
      </c>
      <c r="P42" s="72">
        <f t="shared" si="4"/>
        <v>3.6</v>
      </c>
      <c r="Q42" s="193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3015</v>
      </c>
      <c r="B43" s="56" t="s">
        <v>26</v>
      </c>
      <c r="C43" s="6">
        <v>5870</v>
      </c>
      <c r="D43" s="5">
        <v>9269</v>
      </c>
      <c r="E43" s="5">
        <v>-3399</v>
      </c>
      <c r="F43" s="6">
        <v>5881</v>
      </c>
      <c r="G43" s="5">
        <v>9816</v>
      </c>
      <c r="H43" s="5">
        <v>-3935</v>
      </c>
      <c r="I43" s="6">
        <v>11387</v>
      </c>
      <c r="J43" s="5">
        <v>9835</v>
      </c>
      <c r="K43" s="5">
        <v>1552</v>
      </c>
      <c r="L43" s="6">
        <v>5897</v>
      </c>
      <c r="M43" s="5">
        <v>9654</v>
      </c>
      <c r="N43" s="5">
        <v>-3757</v>
      </c>
      <c r="O43" s="6">
        <f t="shared" si="3"/>
        <v>-5782</v>
      </c>
      <c r="P43" s="72">
        <f t="shared" si="4"/>
        <v>-0.19992393070779019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4438</v>
      </c>
      <c r="B44" s="56" t="s">
        <v>26</v>
      </c>
      <c r="C44" s="6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6">
        <v>0</v>
      </c>
      <c r="J44" s="5">
        <v>0</v>
      </c>
      <c r="K44" s="5">
        <v>0</v>
      </c>
      <c r="L44" s="6">
        <v>0</v>
      </c>
      <c r="M44" s="5">
        <v>0</v>
      </c>
      <c r="N44" s="5">
        <v>0</v>
      </c>
      <c r="O44" s="6">
        <f t="shared" si="3"/>
        <v>0</v>
      </c>
      <c r="P44" s="72">
        <f t="shared" si="4"/>
        <v>0</v>
      </c>
      <c r="Q44" s="193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">
      <c r="A45" s="28">
        <v>4760</v>
      </c>
      <c r="B45" s="56" t="s">
        <v>26</v>
      </c>
      <c r="C45" s="6">
        <v>594265</v>
      </c>
      <c r="D45" s="5">
        <v>570590</v>
      </c>
      <c r="E45" s="5">
        <v>23675</v>
      </c>
      <c r="F45" s="6">
        <v>572701</v>
      </c>
      <c r="G45" s="5">
        <v>550436</v>
      </c>
      <c r="H45" s="5">
        <v>22265</v>
      </c>
      <c r="I45" s="6">
        <v>551135</v>
      </c>
      <c r="J45" s="5">
        <v>418870</v>
      </c>
      <c r="K45" s="5">
        <v>132265</v>
      </c>
      <c r="L45" s="6">
        <v>398446</v>
      </c>
      <c r="M45" s="5">
        <v>456770</v>
      </c>
      <c r="N45" s="5">
        <v>-58324</v>
      </c>
      <c r="O45" s="6">
        <f t="shared" si="3"/>
        <v>178205</v>
      </c>
      <c r="P45" s="72">
        <f t="shared" si="4"/>
        <v>0.11572527253446172</v>
      </c>
      <c r="Q45" s="193"/>
      <c r="R45" s="67" t="str">
        <f>IF($C$4="High Inventory",IF(AND(O45&gt;=Summary!$C$128,P45&gt;=Summary!$C$129),"X"," "),IF(AND(O45&lt;=-Summary!$C$128,P45&lt;=-Summary!$C$129),"X"," "))</f>
        <v>X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>X</v>
      </c>
      <c r="U45" s="11" t="str">
        <f>IF($C$4="High Inventory",IF(AND($O45&gt;=0,$P45&gt;=Summary!$C$129),"X"," "),IF(AND($O45&lt;=0,$P45&lt;=-Summary!$C$129),"X"," "))</f>
        <v>X</v>
      </c>
      <c r="V45" t="str">
        <f t="shared" si="5"/>
        <v xml:space="preserve"> </v>
      </c>
      <c r="W45" t="str">
        <f>IF($C$4="High Inventory",IF(O45&gt;Summary!$C$128,"X"," "),IF(O45&lt;-Summary!$C$128,"X"," "))</f>
        <v>X</v>
      </c>
      <c r="X45" t="str">
        <f>IF($C$4="High Inventory",IF(P45&gt;Summary!$C$129,"X"," "),IF(P45&lt;-Summary!$C$129,"X"," "))</f>
        <v>X</v>
      </c>
    </row>
    <row r="46" spans="1:24" x14ac:dyDescent="0.2">
      <c r="A46" s="28">
        <v>6084</v>
      </c>
      <c r="B46" s="56" t="s">
        <v>26</v>
      </c>
      <c r="C46" s="6">
        <v>1800</v>
      </c>
      <c r="D46" s="5">
        <v>1648</v>
      </c>
      <c r="E46" s="5">
        <v>152</v>
      </c>
      <c r="F46" s="6">
        <v>1800</v>
      </c>
      <c r="G46" s="5">
        <v>1582</v>
      </c>
      <c r="H46" s="5">
        <v>218</v>
      </c>
      <c r="I46" s="6">
        <v>1800</v>
      </c>
      <c r="J46" s="5">
        <v>1781</v>
      </c>
      <c r="K46" s="5">
        <v>19</v>
      </c>
      <c r="L46" s="6">
        <v>1800</v>
      </c>
      <c r="M46" s="5">
        <v>1736</v>
      </c>
      <c r="N46" s="5">
        <v>64</v>
      </c>
      <c r="O46" s="6">
        <f t="shared" si="3"/>
        <v>389</v>
      </c>
      <c r="P46" s="72">
        <f t="shared" si="4"/>
        <v>7.7613727055067833E-2</v>
      </c>
      <c r="Q46" s="193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6728</v>
      </c>
      <c r="B47" s="56" t="s">
        <v>26</v>
      </c>
      <c r="C47" s="6">
        <v>11000</v>
      </c>
      <c r="D47" s="5">
        <v>11969</v>
      </c>
      <c r="E47" s="5">
        <v>-969</v>
      </c>
      <c r="F47" s="6">
        <v>11000</v>
      </c>
      <c r="G47" s="5">
        <v>11754</v>
      </c>
      <c r="H47" s="5">
        <v>-754</v>
      </c>
      <c r="I47" s="6">
        <v>11000</v>
      </c>
      <c r="J47" s="5">
        <v>10775</v>
      </c>
      <c r="K47" s="5">
        <v>225</v>
      </c>
      <c r="L47" s="6">
        <v>11000</v>
      </c>
      <c r="M47" s="5">
        <v>9530</v>
      </c>
      <c r="N47" s="5">
        <v>1470</v>
      </c>
      <c r="O47" s="6">
        <f t="shared" si="3"/>
        <v>-1498</v>
      </c>
      <c r="P47" s="72">
        <f t="shared" si="4"/>
        <v>-4.3421548450679727E-2</v>
      </c>
      <c r="Q47" s="193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12296</v>
      </c>
      <c r="B48" s="56" t="s">
        <v>26</v>
      </c>
      <c r="C48" s="6">
        <v>38268</v>
      </c>
      <c r="D48" s="5">
        <v>34821</v>
      </c>
      <c r="E48" s="5">
        <v>3447</v>
      </c>
      <c r="F48" s="6">
        <v>38269</v>
      </c>
      <c r="G48" s="5">
        <v>37023</v>
      </c>
      <c r="H48" s="5">
        <v>1246</v>
      </c>
      <c r="I48" s="6">
        <v>38269</v>
      </c>
      <c r="J48" s="5">
        <v>36929</v>
      </c>
      <c r="K48" s="5">
        <v>1340</v>
      </c>
      <c r="L48" s="6">
        <v>34135</v>
      </c>
      <c r="M48" s="5">
        <v>39097</v>
      </c>
      <c r="N48" s="5">
        <v>-4962</v>
      </c>
      <c r="O48" s="6">
        <f t="shared" si="3"/>
        <v>6033</v>
      </c>
      <c r="P48" s="72">
        <f t="shared" si="4"/>
        <v>5.546362182139114E-2</v>
      </c>
      <c r="Q48" s="193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>X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>X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15966</v>
      </c>
      <c r="B49" s="56" t="s">
        <v>26</v>
      </c>
      <c r="C49" s="6">
        <v>64669</v>
      </c>
      <c r="D49" s="5">
        <v>61854</v>
      </c>
      <c r="E49" s="5">
        <v>2815</v>
      </c>
      <c r="F49" s="6">
        <v>64689</v>
      </c>
      <c r="G49" s="5">
        <v>61222</v>
      </c>
      <c r="H49" s="5">
        <v>3467</v>
      </c>
      <c r="I49" s="6">
        <v>64669</v>
      </c>
      <c r="J49" s="5">
        <v>60321</v>
      </c>
      <c r="K49" s="5">
        <v>4348</v>
      </c>
      <c r="L49" s="6">
        <v>64842</v>
      </c>
      <c r="M49" s="5">
        <v>57937</v>
      </c>
      <c r="N49" s="5">
        <v>6905</v>
      </c>
      <c r="O49" s="6">
        <f t="shared" si="3"/>
        <v>10630</v>
      </c>
      <c r="P49" s="72">
        <f t="shared" si="4"/>
        <v>5.7961373624576061E-2</v>
      </c>
      <c r="Q49" s="193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>X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>X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30069</v>
      </c>
      <c r="B50" s="56" t="s">
        <v>26</v>
      </c>
      <c r="C50" s="6">
        <v>7846</v>
      </c>
      <c r="D50" s="5">
        <v>10043</v>
      </c>
      <c r="E50" s="5">
        <v>-2197</v>
      </c>
      <c r="F50" s="6">
        <v>7875</v>
      </c>
      <c r="G50" s="5">
        <v>10467</v>
      </c>
      <c r="H50" s="5">
        <v>-2592</v>
      </c>
      <c r="I50" s="6">
        <v>9585</v>
      </c>
      <c r="J50" s="5">
        <v>10042</v>
      </c>
      <c r="K50" s="5">
        <v>-457</v>
      </c>
      <c r="L50" s="6">
        <v>8372</v>
      </c>
      <c r="M50" s="5">
        <v>10081</v>
      </c>
      <c r="N50" s="5">
        <v>-1709</v>
      </c>
      <c r="O50" s="6">
        <f t="shared" si="3"/>
        <v>-5246</v>
      </c>
      <c r="P50" s="72">
        <f t="shared" si="4"/>
        <v>-0.17170163322750631</v>
      </c>
      <c r="Q50" s="193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42</v>
      </c>
      <c r="B51" s="56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167">
        <f t="shared" si="3"/>
        <v>0</v>
      </c>
      <c r="P51" s="205">
        <f t="shared" si="4"/>
        <v>0</v>
      </c>
      <c r="Q51" s="195"/>
      <c r="R51" s="5"/>
      <c r="S51" s="215"/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51</v>
      </c>
      <c r="B52" s="56" t="s">
        <v>27</v>
      </c>
      <c r="C52" s="6">
        <v>13146</v>
      </c>
      <c r="D52" s="5">
        <v>7557</v>
      </c>
      <c r="E52" s="5">
        <v>5589</v>
      </c>
      <c r="F52" s="6">
        <v>13146</v>
      </c>
      <c r="G52" s="5">
        <v>7916</v>
      </c>
      <c r="H52" s="5">
        <v>5230</v>
      </c>
      <c r="I52" s="6">
        <v>13146</v>
      </c>
      <c r="J52" s="5">
        <v>8473</v>
      </c>
      <c r="K52" s="5">
        <v>4673</v>
      </c>
      <c r="L52" s="6">
        <v>13146</v>
      </c>
      <c r="M52" s="5">
        <v>8654</v>
      </c>
      <c r="N52" s="5">
        <v>4492</v>
      </c>
      <c r="O52" s="167">
        <f t="shared" si="3"/>
        <v>15492</v>
      </c>
      <c r="P52" s="205">
        <f t="shared" si="4"/>
        <v>0.64692863406689771</v>
      </c>
      <c r="Q52" s="195"/>
      <c r="R52" s="67" t="str">
        <f>IF(AND(O52&gt;=5000,P52&gt;=10%),"X"," ")</f>
        <v>X</v>
      </c>
      <c r="S52" s="85" t="str">
        <f>IF(AND(L52-I52&gt;=5000,N52-K52&gt;5000,N52&gt;0),"X"," ")</f>
        <v xml:space="preserve"> </v>
      </c>
      <c r="T52" s="8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">
      <c r="A53" s="28">
        <v>59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69</v>
      </c>
      <c r="B54" s="56" t="s">
        <v>27</v>
      </c>
      <c r="C54" s="6">
        <v>0</v>
      </c>
      <c r="D54" s="5">
        <v>14</v>
      </c>
      <c r="E54" s="5">
        <v>-14</v>
      </c>
      <c r="F54" s="6">
        <v>0</v>
      </c>
      <c r="G54" s="5">
        <v>14</v>
      </c>
      <c r="H54" s="5">
        <v>-14</v>
      </c>
      <c r="I54" s="6">
        <v>0</v>
      </c>
      <c r="J54" s="5">
        <v>18</v>
      </c>
      <c r="K54" s="5">
        <v>-18</v>
      </c>
      <c r="L54" s="6">
        <v>0</v>
      </c>
      <c r="M54" s="5">
        <v>44</v>
      </c>
      <c r="N54" s="5">
        <v>-44</v>
      </c>
      <c r="O54" s="6">
        <f t="shared" si="3"/>
        <v>-46</v>
      </c>
      <c r="P54" s="72">
        <f t="shared" si="4"/>
        <v>-0.97872340425531912</v>
      </c>
      <c r="Q54" s="193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70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25</v>
      </c>
      <c r="N55" s="5">
        <v>-25</v>
      </c>
      <c r="O55" s="6">
        <f t="shared" si="3"/>
        <v>0</v>
      </c>
      <c r="P55" s="72">
        <f t="shared" si="4"/>
        <v>0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76</v>
      </c>
      <c r="B56" s="56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3"/>
        <v>0</v>
      </c>
      <c r="P56" s="72">
        <f t="shared" si="4"/>
        <v>0</v>
      </c>
      <c r="Q56" s="193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82</v>
      </c>
      <c r="B57" s="56" t="s">
        <v>27</v>
      </c>
      <c r="C57" s="6">
        <v>0</v>
      </c>
      <c r="D57" s="5">
        <v>2</v>
      </c>
      <c r="E57" s="5">
        <v>-2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-2</v>
      </c>
      <c r="P57" s="72">
        <f t="shared" si="4"/>
        <v>-0.66666666666666663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99</v>
      </c>
      <c r="B58" s="56" t="s">
        <v>27</v>
      </c>
      <c r="C58" s="6">
        <v>589</v>
      </c>
      <c r="D58" s="5">
        <v>71</v>
      </c>
      <c r="E58" s="5">
        <v>518</v>
      </c>
      <c r="F58" s="6">
        <v>595</v>
      </c>
      <c r="G58" s="5">
        <v>85</v>
      </c>
      <c r="H58" s="5">
        <v>510</v>
      </c>
      <c r="I58" s="6">
        <v>0</v>
      </c>
      <c r="J58" s="5">
        <v>95</v>
      </c>
      <c r="K58" s="5">
        <v>-95</v>
      </c>
      <c r="L58" s="6">
        <v>0</v>
      </c>
      <c r="M58" s="5">
        <v>77</v>
      </c>
      <c r="N58" s="5">
        <v>-77</v>
      </c>
      <c r="O58" s="167">
        <f t="shared" si="3"/>
        <v>933</v>
      </c>
      <c r="P58" s="205">
        <f t="shared" si="4"/>
        <v>3.7023809523809526</v>
      </c>
      <c r="Q58" s="6"/>
      <c r="R58" s="5"/>
      <c r="S58" s="215"/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">
      <c r="A59" s="28">
        <v>103</v>
      </c>
      <c r="B59" s="56" t="s">
        <v>27</v>
      </c>
      <c r="C59" s="6">
        <v>0</v>
      </c>
      <c r="D59" s="5">
        <v>203</v>
      </c>
      <c r="E59" s="5">
        <v>-203</v>
      </c>
      <c r="F59" s="6">
        <v>0</v>
      </c>
      <c r="G59" s="5">
        <v>200</v>
      </c>
      <c r="H59" s="5">
        <v>-200</v>
      </c>
      <c r="I59" s="6">
        <v>0</v>
      </c>
      <c r="J59" s="5">
        <v>213</v>
      </c>
      <c r="K59" s="5">
        <v>-213</v>
      </c>
      <c r="L59" s="6">
        <v>0</v>
      </c>
      <c r="M59" s="5">
        <v>217</v>
      </c>
      <c r="N59" s="5">
        <v>-217</v>
      </c>
      <c r="O59" s="6">
        <f t="shared" si="3"/>
        <v>-616</v>
      </c>
      <c r="P59" s="72">
        <f t="shared" si="4"/>
        <v>-0.99837925445705022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109</v>
      </c>
      <c r="B60" s="56" t="s">
        <v>27</v>
      </c>
      <c r="C60" s="6">
        <v>0</v>
      </c>
      <c r="D60" s="5">
        <v>105</v>
      </c>
      <c r="E60" s="5">
        <v>-105</v>
      </c>
      <c r="F60" s="6">
        <v>0</v>
      </c>
      <c r="G60" s="5">
        <v>103</v>
      </c>
      <c r="H60" s="5">
        <v>-103</v>
      </c>
      <c r="I60" s="6">
        <v>0</v>
      </c>
      <c r="J60" s="5">
        <v>102</v>
      </c>
      <c r="K60" s="5">
        <v>-102</v>
      </c>
      <c r="L60" s="6">
        <v>0</v>
      </c>
      <c r="M60" s="5">
        <v>85</v>
      </c>
      <c r="N60" s="5">
        <v>-85</v>
      </c>
      <c r="O60" s="6">
        <f t="shared" si="3"/>
        <v>-310</v>
      </c>
      <c r="P60" s="72">
        <f t="shared" si="4"/>
        <v>-0.99678456591639875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111</v>
      </c>
      <c r="B61" s="56" t="s">
        <v>27</v>
      </c>
      <c r="C61" s="6">
        <v>0</v>
      </c>
      <c r="D61" s="5">
        <v>98</v>
      </c>
      <c r="E61" s="5">
        <v>-98</v>
      </c>
      <c r="F61" s="6">
        <v>0</v>
      </c>
      <c r="G61" s="5">
        <v>93</v>
      </c>
      <c r="H61" s="5">
        <v>-93</v>
      </c>
      <c r="I61" s="6">
        <v>0</v>
      </c>
      <c r="J61" s="5">
        <v>100</v>
      </c>
      <c r="K61" s="5">
        <v>-100</v>
      </c>
      <c r="L61" s="6">
        <v>0</v>
      </c>
      <c r="M61" s="5">
        <v>98</v>
      </c>
      <c r="N61" s="5">
        <v>-98</v>
      </c>
      <c r="O61" s="167">
        <f t="shared" si="3"/>
        <v>-291</v>
      </c>
      <c r="P61" s="205">
        <f t="shared" si="4"/>
        <v>-0.99657534246575341</v>
      </c>
      <c r="Q61" s="195"/>
      <c r="R61" s="5"/>
      <c r="S61" s="215"/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118</v>
      </c>
      <c r="B62" s="56" t="s">
        <v>27</v>
      </c>
      <c r="C62" s="6">
        <v>0</v>
      </c>
      <c r="D62" s="5">
        <v>294</v>
      </c>
      <c r="E62" s="5">
        <v>-294</v>
      </c>
      <c r="F62" s="6">
        <v>0</v>
      </c>
      <c r="G62" s="5">
        <v>312</v>
      </c>
      <c r="H62" s="5">
        <v>-312</v>
      </c>
      <c r="I62" s="6">
        <v>0</v>
      </c>
      <c r="J62" s="5">
        <v>320</v>
      </c>
      <c r="K62" s="5">
        <v>-320</v>
      </c>
      <c r="L62" s="6">
        <v>0</v>
      </c>
      <c r="M62" s="5">
        <v>293</v>
      </c>
      <c r="N62" s="5">
        <v>-293</v>
      </c>
      <c r="O62" s="6">
        <f t="shared" si="3"/>
        <v>-926</v>
      </c>
      <c r="P62" s="72">
        <f t="shared" si="4"/>
        <v>-0.99892125134843579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152</v>
      </c>
      <c r="B63" s="56" t="s">
        <v>27</v>
      </c>
      <c r="C63" s="6">
        <v>0</v>
      </c>
      <c r="D63" s="5">
        <v>394</v>
      </c>
      <c r="E63" s="5">
        <v>-394</v>
      </c>
      <c r="F63" s="6">
        <v>56</v>
      </c>
      <c r="G63" s="5">
        <v>393</v>
      </c>
      <c r="H63" s="5">
        <v>-337</v>
      </c>
      <c r="I63" s="6">
        <v>0</v>
      </c>
      <c r="J63" s="5">
        <v>405</v>
      </c>
      <c r="K63" s="5">
        <v>-405</v>
      </c>
      <c r="L63" s="6">
        <v>0</v>
      </c>
      <c r="M63" s="5">
        <v>431</v>
      </c>
      <c r="N63" s="5">
        <v>-431</v>
      </c>
      <c r="O63" s="167">
        <f t="shared" si="3"/>
        <v>-1136</v>
      </c>
      <c r="P63" s="205">
        <f t="shared" si="4"/>
        <v>-0.95222129086336971</v>
      </c>
      <c r="Q63" s="6"/>
      <c r="R63" s="5"/>
      <c r="S63" s="215"/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175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167">
        <f t="shared" si="3"/>
        <v>0</v>
      </c>
      <c r="P64" s="205">
        <f t="shared" si="4"/>
        <v>0</v>
      </c>
      <c r="Q64" s="195"/>
      <c r="R64" s="5"/>
      <c r="S64" s="215"/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176</v>
      </c>
      <c r="B65" s="56" t="s">
        <v>27</v>
      </c>
      <c r="C65" s="6">
        <v>617</v>
      </c>
      <c r="D65" s="5">
        <v>0</v>
      </c>
      <c r="E65" s="5">
        <v>617</v>
      </c>
      <c r="F65" s="6">
        <v>624</v>
      </c>
      <c r="G65" s="5">
        <v>7</v>
      </c>
      <c r="H65" s="5">
        <v>617</v>
      </c>
      <c r="I65" s="6">
        <v>0</v>
      </c>
      <c r="J65" s="5">
        <v>66</v>
      </c>
      <c r="K65" s="5">
        <v>-66</v>
      </c>
      <c r="L65" s="6">
        <v>0</v>
      </c>
      <c r="M65" s="5">
        <v>164</v>
      </c>
      <c r="N65" s="5">
        <v>-164</v>
      </c>
      <c r="O65" s="167">
        <f t="shared" ref="O65:O88" si="6">K65+H65+E65</f>
        <v>1168</v>
      </c>
      <c r="P65" s="205">
        <f t="shared" si="4"/>
        <v>15.783783783783784</v>
      </c>
      <c r="Q65" s="6"/>
      <c r="R65" s="5"/>
      <c r="S65" s="215"/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>X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>X</v>
      </c>
    </row>
    <row r="66" spans="1:24" x14ac:dyDescent="0.2">
      <c r="A66" s="28">
        <v>180</v>
      </c>
      <c r="B66" s="56" t="s">
        <v>27</v>
      </c>
      <c r="C66" s="6">
        <v>0</v>
      </c>
      <c r="D66" s="5">
        <v>40</v>
      </c>
      <c r="E66" s="5">
        <v>-40</v>
      </c>
      <c r="F66" s="6">
        <v>0</v>
      </c>
      <c r="G66" s="5">
        <v>61</v>
      </c>
      <c r="H66" s="5">
        <v>-61</v>
      </c>
      <c r="I66" s="6">
        <v>0</v>
      </c>
      <c r="J66" s="5">
        <v>30</v>
      </c>
      <c r="K66" s="5">
        <v>-30</v>
      </c>
      <c r="L66" s="6">
        <v>0</v>
      </c>
      <c r="M66" s="5">
        <v>79</v>
      </c>
      <c r="N66" s="5">
        <v>-79</v>
      </c>
      <c r="O66" s="167">
        <f t="shared" si="6"/>
        <v>-131</v>
      </c>
      <c r="P66" s="205">
        <f t="shared" ref="P66:P88" si="7">O66/(J66+G66+D66+1)</f>
        <v>-0.99242424242424243</v>
      </c>
      <c r="Q66" s="195"/>
      <c r="R66" s="5"/>
      <c r="S66" s="215"/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8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166">
        <v>219</v>
      </c>
      <c r="B67" s="199" t="s">
        <v>27</v>
      </c>
      <c r="C67" s="167">
        <v>0</v>
      </c>
      <c r="D67" s="168">
        <v>0</v>
      </c>
      <c r="E67" s="168">
        <v>0</v>
      </c>
      <c r="F67" s="167">
        <v>0</v>
      </c>
      <c r="G67" s="168">
        <v>0</v>
      </c>
      <c r="H67" s="168">
        <v>0</v>
      </c>
      <c r="I67" s="167">
        <v>0</v>
      </c>
      <c r="J67" s="168">
        <v>20</v>
      </c>
      <c r="K67" s="168">
        <v>-20</v>
      </c>
      <c r="L67" s="167">
        <v>0</v>
      </c>
      <c r="M67" s="168">
        <v>52</v>
      </c>
      <c r="N67" s="168">
        <v>-52</v>
      </c>
      <c r="O67" s="167">
        <f t="shared" si="6"/>
        <v>-20</v>
      </c>
      <c r="P67" s="205">
        <f t="shared" si="7"/>
        <v>-0.95238095238095233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220</v>
      </c>
      <c r="B68" s="56" t="s">
        <v>27</v>
      </c>
      <c r="C68" s="6">
        <v>0</v>
      </c>
      <c r="D68" s="5">
        <v>23</v>
      </c>
      <c r="E68" s="5">
        <v>-23</v>
      </c>
      <c r="F68" s="6">
        <v>0</v>
      </c>
      <c r="G68" s="5">
        <v>24</v>
      </c>
      <c r="H68" s="5">
        <v>-24</v>
      </c>
      <c r="I68" s="6">
        <v>0</v>
      </c>
      <c r="J68" s="5">
        <v>25</v>
      </c>
      <c r="K68" s="5">
        <v>-25</v>
      </c>
      <c r="L68" s="6">
        <v>0</v>
      </c>
      <c r="M68" s="5">
        <v>23</v>
      </c>
      <c r="N68" s="5">
        <v>-23</v>
      </c>
      <c r="O68" s="6">
        <f t="shared" si="6"/>
        <v>-72</v>
      </c>
      <c r="P68" s="72">
        <f t="shared" si="7"/>
        <v>-0.98630136986301364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263</v>
      </c>
      <c r="B69" s="56" t="s">
        <v>27</v>
      </c>
      <c r="C69" s="6">
        <v>0</v>
      </c>
      <c r="D69" s="5">
        <v>3</v>
      </c>
      <c r="E69" s="5">
        <v>-3</v>
      </c>
      <c r="F69" s="6">
        <v>0</v>
      </c>
      <c r="G69" s="5">
        <v>50</v>
      </c>
      <c r="H69" s="5">
        <v>-50</v>
      </c>
      <c r="I69" s="6">
        <v>0</v>
      </c>
      <c r="J69" s="5">
        <v>14</v>
      </c>
      <c r="K69" s="5">
        <v>-14</v>
      </c>
      <c r="L69" s="6">
        <v>0</v>
      </c>
      <c r="M69" s="5">
        <v>0</v>
      </c>
      <c r="N69" s="5">
        <v>0</v>
      </c>
      <c r="O69" s="167">
        <f t="shared" si="6"/>
        <v>-67</v>
      </c>
      <c r="P69" s="205">
        <f t="shared" si="7"/>
        <v>-0.98529411764705888</v>
      </c>
      <c r="Q69" s="6"/>
      <c r="R69" s="5"/>
      <c r="S69" s="215"/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265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282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167">
        <f t="shared" si="6"/>
        <v>0</v>
      </c>
      <c r="P71" s="205">
        <f t="shared" si="7"/>
        <v>0</v>
      </c>
      <c r="Q71" s="195"/>
      <c r="R71" s="5"/>
      <c r="S71" s="215"/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330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167">
        <f t="shared" si="6"/>
        <v>0</v>
      </c>
      <c r="P72" s="205">
        <f t="shared" si="7"/>
        <v>0</v>
      </c>
      <c r="Q72" s="195"/>
      <c r="R72" s="5"/>
      <c r="S72" s="215"/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348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193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389</v>
      </c>
      <c r="B74" s="56" t="s">
        <v>27</v>
      </c>
      <c r="C74" s="6">
        <v>0</v>
      </c>
      <c r="D74" s="5">
        <v>101</v>
      </c>
      <c r="E74" s="5">
        <v>-101</v>
      </c>
      <c r="F74" s="6">
        <v>0</v>
      </c>
      <c r="G74" s="5">
        <v>109</v>
      </c>
      <c r="H74" s="5">
        <v>-109</v>
      </c>
      <c r="I74" s="6">
        <v>0</v>
      </c>
      <c r="J74" s="5">
        <v>116</v>
      </c>
      <c r="K74" s="5">
        <v>-116</v>
      </c>
      <c r="L74" s="6">
        <v>0</v>
      </c>
      <c r="M74" s="5">
        <v>129</v>
      </c>
      <c r="N74" s="5">
        <v>-129</v>
      </c>
      <c r="O74" s="6">
        <f t="shared" si="6"/>
        <v>-326</v>
      </c>
      <c r="P74" s="72">
        <f t="shared" si="7"/>
        <v>-0.99694189602446481</v>
      </c>
      <c r="Q74" s="193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399</v>
      </c>
      <c r="B75" s="56" t="s">
        <v>27</v>
      </c>
      <c r="C75" s="6">
        <v>0</v>
      </c>
      <c r="D75" s="5">
        <v>66</v>
      </c>
      <c r="E75" s="5">
        <v>-66</v>
      </c>
      <c r="F75" s="6">
        <v>0</v>
      </c>
      <c r="G75" s="5">
        <v>78</v>
      </c>
      <c r="H75" s="5">
        <v>-78</v>
      </c>
      <c r="I75" s="6">
        <v>0</v>
      </c>
      <c r="J75" s="5">
        <v>86</v>
      </c>
      <c r="K75" s="5">
        <v>-86</v>
      </c>
      <c r="L75" s="6">
        <v>0</v>
      </c>
      <c r="M75" s="5">
        <v>103</v>
      </c>
      <c r="N75" s="5">
        <v>-103</v>
      </c>
      <c r="O75" s="167">
        <f t="shared" si="6"/>
        <v>-230</v>
      </c>
      <c r="P75" s="205">
        <f t="shared" si="7"/>
        <v>-0.99567099567099571</v>
      </c>
      <c r="Q75" s="195"/>
      <c r="R75" s="5"/>
      <c r="S75" s="215"/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428</v>
      </c>
      <c r="B76" s="56" t="s">
        <v>27</v>
      </c>
      <c r="C76" s="6">
        <v>0</v>
      </c>
      <c r="D76" s="5">
        <v>107</v>
      </c>
      <c r="E76" s="5">
        <v>-107</v>
      </c>
      <c r="F76" s="6">
        <v>0</v>
      </c>
      <c r="G76" s="5">
        <v>111</v>
      </c>
      <c r="H76" s="5">
        <v>-111</v>
      </c>
      <c r="I76" s="6">
        <v>0</v>
      </c>
      <c r="J76" s="5">
        <v>118</v>
      </c>
      <c r="K76" s="5">
        <v>-118</v>
      </c>
      <c r="L76" s="6">
        <v>0</v>
      </c>
      <c r="M76" s="5">
        <v>75</v>
      </c>
      <c r="N76" s="5">
        <v>-75</v>
      </c>
      <c r="O76" s="6">
        <f t="shared" si="6"/>
        <v>-336</v>
      </c>
      <c r="P76" s="72">
        <f t="shared" si="7"/>
        <v>-0.9970326409495549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476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167">
        <f t="shared" si="6"/>
        <v>0</v>
      </c>
      <c r="P77" s="205">
        <f t="shared" si="7"/>
        <v>0</v>
      </c>
      <c r="Q77" s="195"/>
      <c r="R77" s="5"/>
      <c r="S77" s="215"/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478</v>
      </c>
      <c r="B78" s="56" t="s">
        <v>27</v>
      </c>
      <c r="C78" s="6">
        <v>0</v>
      </c>
      <c r="D78" s="5">
        <v>56</v>
      </c>
      <c r="E78" s="5">
        <v>-56</v>
      </c>
      <c r="F78" s="6">
        <v>0</v>
      </c>
      <c r="G78" s="5">
        <v>69</v>
      </c>
      <c r="H78" s="5">
        <v>-69</v>
      </c>
      <c r="I78" s="6">
        <v>0</v>
      </c>
      <c r="J78" s="5">
        <v>88</v>
      </c>
      <c r="K78" s="5">
        <v>-88</v>
      </c>
      <c r="L78" s="6">
        <v>0</v>
      </c>
      <c r="M78" s="5">
        <v>80</v>
      </c>
      <c r="N78" s="5">
        <v>-80</v>
      </c>
      <c r="O78" s="6">
        <f t="shared" si="6"/>
        <v>-213</v>
      </c>
      <c r="P78" s="72">
        <f t="shared" si="7"/>
        <v>-0.99532710280373837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512</v>
      </c>
      <c r="B79" s="56" t="s">
        <v>27</v>
      </c>
      <c r="C79" s="6">
        <v>1000</v>
      </c>
      <c r="D79" s="5">
        <v>573</v>
      </c>
      <c r="E79" s="5">
        <v>427</v>
      </c>
      <c r="F79" s="6">
        <v>1000</v>
      </c>
      <c r="G79" s="5">
        <v>678</v>
      </c>
      <c r="H79" s="5">
        <v>322</v>
      </c>
      <c r="I79" s="6">
        <v>1000</v>
      </c>
      <c r="J79" s="5">
        <v>583</v>
      </c>
      <c r="K79" s="5">
        <v>417</v>
      </c>
      <c r="L79" s="6">
        <v>1000</v>
      </c>
      <c r="M79" s="5">
        <v>693</v>
      </c>
      <c r="N79" s="5">
        <v>307</v>
      </c>
      <c r="O79" s="6">
        <f t="shared" si="6"/>
        <v>1166</v>
      </c>
      <c r="P79" s="72">
        <f t="shared" si="7"/>
        <v>0.63542234332425063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>X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>X</v>
      </c>
    </row>
    <row r="80" spans="1:24" x14ac:dyDescent="0.2">
      <c r="A80" s="28">
        <v>535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161">
        <v>0</v>
      </c>
      <c r="N80" s="201">
        <v>0</v>
      </c>
      <c r="O80" s="167">
        <f t="shared" si="6"/>
        <v>0</v>
      </c>
      <c r="P80" s="205">
        <f t="shared" si="7"/>
        <v>0</v>
      </c>
      <c r="Q80" s="195"/>
      <c r="R80" s="67" t="str">
        <f>IF(AND(O80&gt;=5000,P80&gt;=10%),"X"," ")</f>
        <v xml:space="preserve"> </v>
      </c>
      <c r="S80" s="85" t="str">
        <f>IF(AND(L80-I80&gt;=5000,N80-K80&gt;5000,N80&gt;0),"X","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536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563</v>
      </c>
      <c r="B82" s="56" t="s">
        <v>27</v>
      </c>
      <c r="C82" s="6">
        <v>0</v>
      </c>
      <c r="D82" s="5">
        <v>28</v>
      </c>
      <c r="E82" s="5">
        <v>-28</v>
      </c>
      <c r="F82" s="6">
        <v>0</v>
      </c>
      <c r="G82" s="5">
        <v>28</v>
      </c>
      <c r="H82" s="5">
        <v>-28</v>
      </c>
      <c r="I82" s="6">
        <v>0</v>
      </c>
      <c r="J82" s="5">
        <v>36</v>
      </c>
      <c r="K82" s="5">
        <v>-36</v>
      </c>
      <c r="L82" s="6">
        <v>0</v>
      </c>
      <c r="M82" s="5">
        <v>40</v>
      </c>
      <c r="N82" s="5">
        <v>-40</v>
      </c>
      <c r="O82" s="167">
        <f t="shared" si="6"/>
        <v>-92</v>
      </c>
      <c r="P82" s="205">
        <f t="shared" si="7"/>
        <v>-0.989247311827957</v>
      </c>
      <c r="Q82" s="195"/>
      <c r="R82" s="5"/>
      <c r="S82" s="215"/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>
        <v>741</v>
      </c>
      <c r="B83" s="56" t="s">
        <v>27</v>
      </c>
      <c r="C83" s="6">
        <v>0</v>
      </c>
      <c r="D83" s="5">
        <v>115</v>
      </c>
      <c r="E83" s="5">
        <v>-115</v>
      </c>
      <c r="F83" s="6">
        <v>0</v>
      </c>
      <c r="G83" s="5">
        <v>140</v>
      </c>
      <c r="H83" s="5">
        <v>-140</v>
      </c>
      <c r="I83" s="6">
        <v>0</v>
      </c>
      <c r="J83" s="5">
        <v>114</v>
      </c>
      <c r="K83" s="5">
        <v>-114</v>
      </c>
      <c r="L83" s="6">
        <v>0</v>
      </c>
      <c r="M83" s="5">
        <v>126</v>
      </c>
      <c r="N83" s="5">
        <v>-126</v>
      </c>
      <c r="O83" s="6">
        <f t="shared" si="6"/>
        <v>-369</v>
      </c>
      <c r="P83" s="72">
        <f t="shared" si="7"/>
        <v>-0.99729729729729732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>
        <v>757</v>
      </c>
      <c r="B84" s="56" t="s">
        <v>27</v>
      </c>
      <c r="C84" s="6">
        <v>0</v>
      </c>
      <c r="D84" s="5">
        <v>429</v>
      </c>
      <c r="E84" s="5">
        <v>-429</v>
      </c>
      <c r="F84" s="6">
        <v>0</v>
      </c>
      <c r="G84" s="5">
        <v>410</v>
      </c>
      <c r="H84" s="5">
        <v>-410</v>
      </c>
      <c r="I84" s="6">
        <v>0</v>
      </c>
      <c r="J84" s="5">
        <v>461</v>
      </c>
      <c r="K84" s="5">
        <v>-461</v>
      </c>
      <c r="L84" s="6">
        <v>0</v>
      </c>
      <c r="M84" s="5">
        <v>466</v>
      </c>
      <c r="N84" s="5">
        <v>-466</v>
      </c>
      <c r="O84" s="6">
        <f t="shared" si="6"/>
        <v>-1300</v>
      </c>
      <c r="P84" s="72">
        <f t="shared" si="7"/>
        <v>-0.99923136049192929</v>
      </c>
      <c r="Q84" s="193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x14ac:dyDescent="0.2">
      <c r="A85" s="166">
        <v>767</v>
      </c>
      <c r="B85" s="199" t="s">
        <v>27</v>
      </c>
      <c r="C85" s="167">
        <v>0</v>
      </c>
      <c r="D85" s="168">
        <v>0</v>
      </c>
      <c r="E85" s="168">
        <v>0</v>
      </c>
      <c r="F85" s="167">
        <v>0</v>
      </c>
      <c r="G85" s="168">
        <v>0</v>
      </c>
      <c r="H85" s="168">
        <v>0</v>
      </c>
      <c r="I85" s="167">
        <v>0</v>
      </c>
      <c r="J85" s="168">
        <v>0</v>
      </c>
      <c r="K85" s="168">
        <v>0</v>
      </c>
      <c r="L85" s="167">
        <v>0</v>
      </c>
      <c r="M85" s="168">
        <v>0</v>
      </c>
      <c r="N85" s="168">
        <v>0</v>
      </c>
      <c r="O85" s="167">
        <f t="shared" si="6"/>
        <v>0</v>
      </c>
      <c r="P85" s="205">
        <f t="shared" si="7"/>
        <v>0</v>
      </c>
      <c r="Q85" s="195"/>
      <c r="R85" s="200"/>
      <c r="S85" s="216"/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x14ac:dyDescent="0.2">
      <c r="A86" s="28">
        <v>777</v>
      </c>
      <c r="B86" s="56" t="s">
        <v>27</v>
      </c>
      <c r="C86" s="6">
        <v>600</v>
      </c>
      <c r="D86" s="5">
        <v>926</v>
      </c>
      <c r="E86" s="5">
        <v>-326</v>
      </c>
      <c r="F86" s="6">
        <v>600</v>
      </c>
      <c r="G86" s="5">
        <v>950</v>
      </c>
      <c r="H86" s="5">
        <v>-350</v>
      </c>
      <c r="I86" s="6">
        <v>600</v>
      </c>
      <c r="J86" s="5">
        <v>975</v>
      </c>
      <c r="K86" s="5">
        <v>-375</v>
      </c>
      <c r="L86" s="6">
        <v>600</v>
      </c>
      <c r="M86" s="5">
        <v>999</v>
      </c>
      <c r="N86" s="5">
        <v>-399</v>
      </c>
      <c r="O86" s="167">
        <f t="shared" si="6"/>
        <v>-1051</v>
      </c>
      <c r="P86" s="205">
        <f t="shared" si="7"/>
        <v>-0.36851332398316972</v>
      </c>
      <c r="Q86" s="195"/>
      <c r="R86" s="5"/>
      <c r="S86" s="215"/>
      <c r="T86" s="8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x14ac:dyDescent="0.2">
      <c r="A87" s="28">
        <v>779</v>
      </c>
      <c r="B87" s="56" t="s">
        <v>27</v>
      </c>
      <c r="C87" s="6">
        <v>1100</v>
      </c>
      <c r="D87" s="5">
        <v>1192</v>
      </c>
      <c r="E87" s="5">
        <v>-92</v>
      </c>
      <c r="F87" s="6">
        <v>1100</v>
      </c>
      <c r="G87" s="5">
        <v>1313</v>
      </c>
      <c r="H87" s="5">
        <v>-213</v>
      </c>
      <c r="I87" s="6">
        <v>1100</v>
      </c>
      <c r="J87" s="5">
        <v>1183</v>
      </c>
      <c r="K87" s="5">
        <v>-83</v>
      </c>
      <c r="L87" s="6">
        <v>1100</v>
      </c>
      <c r="M87" s="5">
        <v>1212</v>
      </c>
      <c r="N87" s="5">
        <v>-112</v>
      </c>
      <c r="O87" s="167">
        <f t="shared" si="6"/>
        <v>-388</v>
      </c>
      <c r="P87" s="205">
        <f t="shared" si="7"/>
        <v>-0.10517755489292491</v>
      </c>
      <c r="Q87" s="195"/>
      <c r="R87" s="5"/>
      <c r="S87" s="215"/>
      <c r="T87" s="8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 t="str">
        <f t="shared" si="8"/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ht="13.5" thickBot="1" x14ac:dyDescent="0.25">
      <c r="A88" s="197">
        <v>809</v>
      </c>
      <c r="B88" s="198" t="s">
        <v>27</v>
      </c>
      <c r="C88" s="169">
        <v>0</v>
      </c>
      <c r="D88" s="170">
        <v>0</v>
      </c>
      <c r="E88" s="170">
        <v>0</v>
      </c>
      <c r="F88" s="169">
        <v>0</v>
      </c>
      <c r="G88" s="170">
        <v>0</v>
      </c>
      <c r="H88" s="170">
        <v>0</v>
      </c>
      <c r="I88" s="169">
        <v>0</v>
      </c>
      <c r="J88" s="170">
        <v>0</v>
      </c>
      <c r="K88" s="170">
        <v>0</v>
      </c>
      <c r="L88" s="169">
        <v>0</v>
      </c>
      <c r="M88" s="170">
        <v>0</v>
      </c>
      <c r="N88" s="202">
        <v>0</v>
      </c>
      <c r="O88" s="169">
        <f t="shared" si="6"/>
        <v>0</v>
      </c>
      <c r="P88" s="214">
        <f t="shared" si="7"/>
        <v>0</v>
      </c>
      <c r="Q88" s="209"/>
      <c r="R88" s="68" t="str">
        <f>IF($C$4="High Inventory",IF(AND(O88&gt;=Summary!$C$128,P88&gt;=Summary!$C$129),"X"," "),IF(AND(O88&lt;=-Summary!$C$128,P88&lt;=-Summary!$C$129),"X"," "))</f>
        <v xml:space="preserve"> </v>
      </c>
      <c r="S88" s="86" t="str">
        <f>IF($C$4="High Inventory",IF(AND(L88-I88&gt;=Summary!$C$132,N88-K88&gt;Summary!$C$132,N88&gt;0),"X"," "),IF(AND(I88-L88&gt;=Summary!$C$132,K88-N88&gt;Summary!$C$132,N88&lt;0),"X"," "))</f>
        <v xml:space="preserve"> </v>
      </c>
      <c r="T88" s="96" t="str">
        <f>IF($C$4="High Inventory",IF(AND($O88&gt;=Summary!$C$128,$P88&gt;=0%),"X"," "),IF(AND($O88&lt;=-Summary!$C$128,$P88&lt;=0%),"X"," "))</f>
        <v xml:space="preserve"> </v>
      </c>
      <c r="U88" s="13" t="str">
        <f>IF($C$4="High Inventory",IF(AND($O88&gt;=0,$P88&gt;=Summary!$C$129),"X"," "),IF(AND($O88&lt;=0,$P88&lt;=-Summary!$C$129),"X"," "))</f>
        <v xml:space="preserve"> </v>
      </c>
      <c r="V88" t="str">
        <f t="shared" si="8"/>
        <v xml:space="preserve"> </v>
      </c>
      <c r="W88" t="str">
        <f>IF($C$4="High Inventory",IF(O88&gt;Summary!$C$128,"X"," "),IF(O88&lt;-Summary!$C$128,"X"," "))</f>
        <v xml:space="preserve"> </v>
      </c>
      <c r="X88" t="str">
        <f>IF($C$4="High Inventory",IF(P88&gt;Summary!$C$129,"X"," "),IF(P88&lt;-Summary!$C$129,"X"," "))</f>
        <v xml:space="preserve"> </v>
      </c>
    </row>
    <row r="89" spans="1:42" s="3" customFormat="1" x14ac:dyDescent="0.2">
      <c r="A89" s="28">
        <v>810</v>
      </c>
      <c r="B89" s="210" t="s">
        <v>27</v>
      </c>
      <c r="C89" s="6">
        <v>0</v>
      </c>
      <c r="D89" s="5">
        <v>0</v>
      </c>
      <c r="E89" s="159">
        <v>0</v>
      </c>
      <c r="F89" s="172">
        <v>0</v>
      </c>
      <c r="G89" s="5">
        <v>0</v>
      </c>
      <c r="H89" s="70">
        <v>0</v>
      </c>
      <c r="I89" s="6">
        <v>0</v>
      </c>
      <c r="J89" s="5">
        <v>0</v>
      </c>
      <c r="K89" s="159">
        <v>0</v>
      </c>
      <c r="L89" s="172">
        <v>0</v>
      </c>
      <c r="M89" s="5">
        <v>0</v>
      </c>
      <c r="N89" s="70">
        <v>0</v>
      </c>
      <c r="O89" s="169">
        <f t="shared" ref="O89:O117" si="9">K89+H89+E89</f>
        <v>0</v>
      </c>
      <c r="P89" s="171">
        <f t="shared" ref="P89:P117" si="10">O89/(J89+G89+D89+1)</f>
        <v>0</v>
      </c>
      <c r="Q89" s="193"/>
      <c r="R89" s="67" t="str">
        <f>IF($C$4="High Inventory",IF(AND(O89&gt;=Summary!$C$128,P89&gt;=Summary!$C$129),"X"," "),IF(AND(O89&lt;=-Summary!$C$128,P89&lt;=-Summary!$C$129),"X"," "))</f>
        <v xml:space="preserve"> </v>
      </c>
      <c r="S89" s="11" t="str">
        <f>IF($C$4="High Inventory",IF(AND(L89-I89&gt;=Summary!$C$132,N89-K89&gt;Summary!$C$132,N89&gt;0),"X"," "),IF(AND(I89-L89&gt;=Summary!$C$132,K89-N89&gt;Summary!$C$132,N89&lt;0),"X"," "))</f>
        <v xml:space="preserve"> </v>
      </c>
      <c r="T89" s="2">
        <f>COUNTIF(T10:T88,"X")</f>
        <v>12</v>
      </c>
      <c r="U89" s="2">
        <f>COUNTIF(U10:U88,"X")</f>
        <v>13</v>
      </c>
      <c r="V89" t="e">
        <f>SUM(V$51:V$81)+SUM(V$27:V$49)+SUM(V$10:V$26)</f>
        <v>#VALUE!</v>
      </c>
      <c r="W89" t="str">
        <f>IF($C$4="High Inventory",IF(O89&gt;Summary!$C$128,"X"," "),IF(O89&lt;-Summary!$C$128,"X"," "))</f>
        <v xml:space="preserve"> </v>
      </c>
      <c r="X89" t="str">
        <f>IF($C$4="High Inventory",IF(P89&gt;Summary!$C$129,"X"," "),IF(P89&lt;-Summary!$C$129,"X"," "))</f>
        <v xml:space="preserve"> 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</row>
    <row r="90" spans="1:42" x14ac:dyDescent="0.2">
      <c r="A90" s="28">
        <v>915</v>
      </c>
      <c r="B90" s="210" t="s">
        <v>27</v>
      </c>
      <c r="C90" s="6">
        <v>0</v>
      </c>
      <c r="D90" s="5">
        <v>0</v>
      </c>
      <c r="E90" s="159">
        <v>0</v>
      </c>
      <c r="F90" s="172">
        <v>0</v>
      </c>
      <c r="G90" s="5">
        <v>0</v>
      </c>
      <c r="H90" s="70">
        <v>0</v>
      </c>
      <c r="I90" s="6">
        <v>0</v>
      </c>
      <c r="J90" s="5">
        <v>0</v>
      </c>
      <c r="K90" s="159">
        <v>0</v>
      </c>
      <c r="L90" s="172">
        <v>0</v>
      </c>
      <c r="M90" s="5">
        <v>0</v>
      </c>
      <c r="N90" s="70">
        <v>0</v>
      </c>
      <c r="O90" s="169">
        <f t="shared" si="9"/>
        <v>0</v>
      </c>
      <c r="P90" s="171">
        <f t="shared" si="10"/>
        <v>0</v>
      </c>
      <c r="Q90" s="193"/>
      <c r="R90" s="67" t="str">
        <f>IF($C$4="High Inventory",IF(AND(O90&gt;=Summary!$C$128,P90&gt;=Summary!$C$129),"X"," "),IF(AND(O90&lt;=-Summary!$C$128,P90&lt;=-Summary!$C$129),"X"," "))</f>
        <v xml:space="preserve"> </v>
      </c>
      <c r="S90" s="11" t="str">
        <f>IF($C$4="High Inventory",IF(AND(L90-I90&gt;=Summary!$C$132,N90-K90&gt;Summary!$C$132,N90&gt;0),"X"," "),IF(AND(I90-L90&gt;=Summary!$C$132,K90-N90&gt;Summary!$C$132,N90&lt;0),"X"," "))</f>
        <v xml:space="preserve"> </v>
      </c>
      <c r="W90" t="str">
        <f>IF($C$4="High Inventory",IF(O90&gt;Summary!$C$128,"X"," "),IF(O90&lt;-Summary!$C$128,"X"," "))</f>
        <v xml:space="preserve"> </v>
      </c>
      <c r="X90" t="str">
        <f>IF($C$4="High Inventory",IF(P90&gt;Summary!$C$129,"X"," "),IF(P90&lt;-Summary!$C$129,"X"," "))</f>
        <v xml:space="preserve"> </v>
      </c>
    </row>
    <row r="91" spans="1:42" x14ac:dyDescent="0.2">
      <c r="A91" s="28">
        <v>928</v>
      </c>
      <c r="B91" s="210" t="s">
        <v>27</v>
      </c>
      <c r="C91" s="6">
        <v>190</v>
      </c>
      <c r="D91" s="5">
        <v>173</v>
      </c>
      <c r="E91" s="159">
        <v>17</v>
      </c>
      <c r="F91" s="172">
        <v>190</v>
      </c>
      <c r="G91" s="5">
        <v>219</v>
      </c>
      <c r="H91" s="70">
        <v>-29</v>
      </c>
      <c r="I91" s="6">
        <v>190</v>
      </c>
      <c r="J91" s="5">
        <v>205</v>
      </c>
      <c r="K91" s="159">
        <v>-15</v>
      </c>
      <c r="L91" s="172">
        <v>190</v>
      </c>
      <c r="M91" s="5">
        <v>203</v>
      </c>
      <c r="N91" s="70">
        <v>-13</v>
      </c>
      <c r="O91" s="208">
        <f t="shared" si="9"/>
        <v>-27</v>
      </c>
      <c r="P91" s="207">
        <f t="shared" si="10"/>
        <v>-4.51505016722408E-2</v>
      </c>
      <c r="Q91" s="195"/>
      <c r="R91" s="5"/>
      <c r="S91" s="159"/>
      <c r="W91" t="str">
        <f>IF($C$4="High Inventory",IF(O91&gt;Summary!$C$128,"X"," "),IF(O91&lt;-Summary!$C$128,"X"," "))</f>
        <v xml:space="preserve"> </v>
      </c>
      <c r="X91" t="str">
        <f>IF($C$4="High Inventory",IF(P91&gt;Summary!$C$129,"X"," "),IF(P91&lt;-Summary!$C$129,"X"," "))</f>
        <v xml:space="preserve"> </v>
      </c>
    </row>
    <row r="92" spans="1:42" x14ac:dyDescent="0.2">
      <c r="A92" s="28">
        <v>997</v>
      </c>
      <c r="B92" s="210" t="s">
        <v>27</v>
      </c>
      <c r="C92" s="6">
        <v>9827</v>
      </c>
      <c r="D92" s="5">
        <v>11184</v>
      </c>
      <c r="E92" s="159">
        <v>-1357</v>
      </c>
      <c r="F92" s="172">
        <v>9827</v>
      </c>
      <c r="G92" s="5">
        <v>11081</v>
      </c>
      <c r="H92" s="70">
        <v>-1254</v>
      </c>
      <c r="I92" s="6">
        <v>9827</v>
      </c>
      <c r="J92" s="5">
        <v>11362</v>
      </c>
      <c r="K92" s="159">
        <v>-1535</v>
      </c>
      <c r="L92" s="172">
        <v>28683</v>
      </c>
      <c r="M92" s="5">
        <v>11382</v>
      </c>
      <c r="N92" s="70">
        <v>17301</v>
      </c>
      <c r="O92" s="169">
        <f t="shared" si="9"/>
        <v>-4146</v>
      </c>
      <c r="P92" s="171">
        <f t="shared" si="10"/>
        <v>-0.12329011538004045</v>
      </c>
      <c r="Q92" s="193"/>
      <c r="R92" s="67" t="str">
        <f>IF($C$4="High Inventory",IF(AND(O92&gt;=Summary!$C$128,P92&gt;=Summary!$C$129),"X"," "),IF(AND(O92&lt;=-Summary!$C$128,P92&lt;=-Summary!$C$129),"X"," "))</f>
        <v xml:space="preserve"> </v>
      </c>
      <c r="S92" s="11" t="str">
        <f>IF($C$4="High Inventory",IF(AND(L92-I92&gt;=Summary!$C$132,N92-K92&gt;Summary!$C$132,N92&gt;0),"X"," "),IF(AND(I92-L92&gt;=Summary!$C$132,K92-N92&gt;Summary!$C$132,N92&lt;0),"X"," "))</f>
        <v>X</v>
      </c>
      <c r="W92" t="str">
        <f>IF($C$4="High Inventory",IF(O92&gt;Summary!$C$128,"X"," "),IF(O92&lt;-Summary!$C$128,"X"," "))</f>
        <v xml:space="preserve"> </v>
      </c>
      <c r="X92" t="str">
        <f>IF($C$4="High Inventory",IF(P92&gt;Summary!$C$129,"X"," "),IF(P92&lt;-Summary!$C$129,"X"," "))</f>
        <v xml:space="preserve"> </v>
      </c>
    </row>
    <row r="93" spans="1:42" x14ac:dyDescent="0.2">
      <c r="A93" s="28">
        <v>5370</v>
      </c>
      <c r="B93" s="210" t="s">
        <v>27</v>
      </c>
      <c r="C93" s="6">
        <v>210</v>
      </c>
      <c r="D93" s="5">
        <v>29</v>
      </c>
      <c r="E93" s="159">
        <v>181</v>
      </c>
      <c r="F93" s="172">
        <v>210</v>
      </c>
      <c r="G93" s="5">
        <v>29</v>
      </c>
      <c r="H93" s="70">
        <v>181</v>
      </c>
      <c r="I93" s="6">
        <v>210</v>
      </c>
      <c r="J93" s="5">
        <v>42</v>
      </c>
      <c r="K93" s="159">
        <v>168</v>
      </c>
      <c r="L93" s="172">
        <v>210</v>
      </c>
      <c r="M93" s="5">
        <v>60</v>
      </c>
      <c r="N93" s="70">
        <v>150</v>
      </c>
      <c r="O93" s="169">
        <f t="shared" si="9"/>
        <v>530</v>
      </c>
      <c r="P93" s="171">
        <f t="shared" si="10"/>
        <v>5.2475247524752477</v>
      </c>
      <c r="Q93" s="193"/>
      <c r="R93" s="67" t="str">
        <f>IF($C$4="High Inventory",IF(AND(O93&gt;=Summary!$C$128,P93&gt;=Summary!$C$129),"X"," "),IF(AND(O93&lt;=-Summary!$C$128,P93&lt;=-Summary!$C$129),"X"," "))</f>
        <v xml:space="preserve"> </v>
      </c>
      <c r="S93" s="11" t="str">
        <f>IF($C$4="High Inventory",IF(AND(L93-I93&gt;=Summary!$C$132,N93-K93&gt;Summary!$C$132,N93&gt;0),"X"," "),IF(AND(I93-L93&gt;=Summary!$C$132,K93-N93&gt;Summary!$C$132,N93&lt;0),"X"," "))</f>
        <v xml:space="preserve"> </v>
      </c>
      <c r="W93" t="str">
        <f>IF($C$4="High Inventory",IF(O93&gt;Summary!$C$128,"X"," "),IF(O93&lt;-Summary!$C$128,"X"," "))</f>
        <v xml:space="preserve"> </v>
      </c>
      <c r="X93" t="str">
        <f>IF($C$4="High Inventory",IF(P93&gt;Summary!$C$129,"X"," "),IF(P93&lt;-Summary!$C$129,"X"," "))</f>
        <v>X</v>
      </c>
    </row>
    <row r="94" spans="1:42" x14ac:dyDescent="0.2">
      <c r="A94" s="28">
        <v>5379</v>
      </c>
      <c r="B94" s="210" t="s">
        <v>27</v>
      </c>
      <c r="C94" s="6">
        <v>0</v>
      </c>
      <c r="D94" s="5">
        <v>0</v>
      </c>
      <c r="E94" s="159">
        <v>0</v>
      </c>
      <c r="F94" s="172">
        <v>0</v>
      </c>
      <c r="G94" s="5">
        <v>0</v>
      </c>
      <c r="H94" s="70">
        <v>0</v>
      </c>
      <c r="I94" s="6">
        <v>0</v>
      </c>
      <c r="J94" s="5">
        <v>0</v>
      </c>
      <c r="K94" s="159">
        <v>0</v>
      </c>
      <c r="L94" s="172">
        <v>0</v>
      </c>
      <c r="M94" s="5">
        <v>0</v>
      </c>
      <c r="N94" s="70">
        <v>0</v>
      </c>
      <c r="O94" s="208">
        <f t="shared" si="9"/>
        <v>0</v>
      </c>
      <c r="P94" s="207">
        <f t="shared" si="10"/>
        <v>0</v>
      </c>
      <c r="Q94" s="195"/>
      <c r="R94" s="5"/>
      <c r="S94" s="159"/>
      <c r="W94" t="str">
        <f>IF($C$4="High Inventory",IF(O94&gt;Summary!$C$128,"X"," "),IF(O94&lt;-Summary!$C$128,"X"," "))</f>
        <v xml:space="preserve"> </v>
      </c>
      <c r="X94" t="str">
        <f>IF($C$4="High Inventory",IF(P94&gt;Summary!$C$129,"X"," "),IF(P94&lt;-Summary!$C$129,"X"," "))</f>
        <v xml:space="preserve"> </v>
      </c>
    </row>
    <row r="95" spans="1:42" x14ac:dyDescent="0.2">
      <c r="A95" s="28">
        <v>6905</v>
      </c>
      <c r="B95" s="210" t="s">
        <v>27</v>
      </c>
      <c r="C95" s="6">
        <v>0</v>
      </c>
      <c r="D95" s="5">
        <v>52</v>
      </c>
      <c r="E95" s="159">
        <v>-52</v>
      </c>
      <c r="F95" s="172">
        <v>0</v>
      </c>
      <c r="G95" s="5">
        <v>55</v>
      </c>
      <c r="H95" s="70">
        <v>-55</v>
      </c>
      <c r="I95" s="6">
        <v>0</v>
      </c>
      <c r="J95" s="5">
        <v>57</v>
      </c>
      <c r="K95" s="159">
        <v>-57</v>
      </c>
      <c r="L95" s="172">
        <v>0</v>
      </c>
      <c r="M95" s="5">
        <v>87</v>
      </c>
      <c r="N95" s="70">
        <v>-87</v>
      </c>
      <c r="O95" s="208">
        <f t="shared" si="9"/>
        <v>-164</v>
      </c>
      <c r="P95" s="207">
        <f t="shared" si="10"/>
        <v>-0.9939393939393939</v>
      </c>
      <c r="Q95" s="195"/>
      <c r="R95" s="5"/>
      <c r="S95" s="159"/>
      <c r="W95" t="str">
        <f>IF($C$4="High Inventory",IF(O95&gt;Summary!$C$128,"X"," "),IF(O95&lt;-Summary!$C$128,"X"," "))</f>
        <v xml:space="preserve"> </v>
      </c>
      <c r="X95" t="str">
        <f>IF($C$4="High Inventory",IF(P95&gt;Summary!$C$129,"X"," "),IF(P95&lt;-Summary!$C$129,"X"," "))</f>
        <v xml:space="preserve"> </v>
      </c>
    </row>
    <row r="96" spans="1:42" x14ac:dyDescent="0.2">
      <c r="A96" s="28">
        <v>7090</v>
      </c>
      <c r="B96" s="210" t="s">
        <v>27</v>
      </c>
      <c r="C96" s="6">
        <v>0</v>
      </c>
      <c r="D96" s="5">
        <v>529</v>
      </c>
      <c r="E96" s="159">
        <v>-529</v>
      </c>
      <c r="F96" s="172">
        <v>0</v>
      </c>
      <c r="G96" s="5">
        <v>553</v>
      </c>
      <c r="H96" s="70">
        <v>-553</v>
      </c>
      <c r="I96" s="6">
        <v>0</v>
      </c>
      <c r="J96" s="5">
        <v>550</v>
      </c>
      <c r="K96" s="159">
        <v>-550</v>
      </c>
      <c r="L96" s="172">
        <v>0</v>
      </c>
      <c r="M96" s="5">
        <v>549</v>
      </c>
      <c r="N96" s="70">
        <v>-549</v>
      </c>
      <c r="O96" s="169">
        <f t="shared" si="9"/>
        <v>-1632</v>
      </c>
      <c r="P96" s="171">
        <f t="shared" si="10"/>
        <v>-0.99938763012859766</v>
      </c>
      <c r="Q96" s="193"/>
      <c r="R96" s="67" t="str">
        <f>IF($C$4="High Inventory",IF(AND(O96&gt;=Summary!$C$128,P96&gt;=Summary!$C$129),"X"," "),IF(AND(O96&lt;=-Summary!$C$128,P96&lt;=-Summary!$C$129),"X"," "))</f>
        <v xml:space="preserve"> </v>
      </c>
      <c r="S96" s="11" t="str">
        <f>IF($C$4="High Inventory",IF(AND(L96-I96&gt;=Summary!$C$132,N96-K96&gt;Summary!$C$132,N96&gt;0),"X"," "),IF(AND(I96-L96&gt;=Summary!$C$132,K96-N96&gt;Summary!$C$132,N96&lt;0),"X"," "))</f>
        <v xml:space="preserve"> </v>
      </c>
      <c r="W96" t="str">
        <f>IF($C$4="High Inventory",IF(O96&gt;Summary!$C$128,"X"," "),IF(O96&lt;-Summary!$C$128,"X"," "))</f>
        <v xml:space="preserve"> </v>
      </c>
      <c r="X96" t="str">
        <f>IF($C$4="High Inventory",IF(P96&gt;Summary!$C$129,"X"," "),IF(P96&lt;-Summary!$C$129,"X"," "))</f>
        <v xml:space="preserve"> </v>
      </c>
    </row>
    <row r="97" spans="1:24" x14ac:dyDescent="0.2">
      <c r="A97" s="28">
        <v>7602</v>
      </c>
      <c r="B97" s="210" t="s">
        <v>27</v>
      </c>
      <c r="C97" s="6">
        <v>24413</v>
      </c>
      <c r="D97" s="5">
        <v>48829</v>
      </c>
      <c r="E97" s="159">
        <v>-24416</v>
      </c>
      <c r="F97" s="172">
        <v>20670</v>
      </c>
      <c r="G97" s="5">
        <v>48609</v>
      </c>
      <c r="H97" s="70">
        <v>-27939</v>
      </c>
      <c r="I97" s="6">
        <v>29984</v>
      </c>
      <c r="J97" s="5">
        <v>48281</v>
      </c>
      <c r="K97" s="159">
        <v>-18297</v>
      </c>
      <c r="L97" s="172">
        <v>29328</v>
      </c>
      <c r="M97" s="5">
        <v>46092</v>
      </c>
      <c r="N97" s="70">
        <v>-16764</v>
      </c>
      <c r="O97" s="169">
        <f t="shared" si="9"/>
        <v>-70652</v>
      </c>
      <c r="P97" s="171">
        <f t="shared" si="10"/>
        <v>-0.48484765303321437</v>
      </c>
      <c r="Q97" s="193"/>
      <c r="R97" s="67" t="str">
        <f>IF($C$4="High Inventory",IF(AND(O97&gt;=Summary!$C$128,P97&gt;=Summary!$C$129),"X"," "),IF(AND(O97&lt;=-Summary!$C$128,P97&lt;=-Summary!$C$129),"X"," "))</f>
        <v xml:space="preserve"> </v>
      </c>
      <c r="S97" s="11" t="str">
        <f>IF($C$4="High Inventory",IF(AND(L97-I97&gt;=Summary!$C$132,N97-K97&gt;Summary!$C$132,N97&gt;0),"X"," "),IF(AND(I97-L97&gt;=Summary!$C$132,K97-N97&gt;Summary!$C$132,N97&lt;0),"X"," "))</f>
        <v xml:space="preserve"> </v>
      </c>
      <c r="W97" t="str">
        <f>IF($C$4="High Inventory",IF(O97&gt;Summary!$C$128,"X"," "),IF(O97&lt;-Summary!$C$128,"X"," "))</f>
        <v xml:space="preserve"> </v>
      </c>
      <c r="X97" t="str">
        <f>IF($C$4="High Inventory",IF(P97&gt;Summary!$C$129,"X"," "),IF(P97&lt;-Summary!$C$129,"X"," "))</f>
        <v xml:space="preserve"> </v>
      </c>
    </row>
    <row r="98" spans="1:24" x14ac:dyDescent="0.2">
      <c r="A98" s="28">
        <v>7604</v>
      </c>
      <c r="B98" s="210" t="s">
        <v>27</v>
      </c>
      <c r="C98" s="6">
        <v>51939</v>
      </c>
      <c r="D98" s="5">
        <v>85607</v>
      </c>
      <c r="E98" s="159">
        <v>-33668</v>
      </c>
      <c r="F98" s="172">
        <v>63876</v>
      </c>
      <c r="G98" s="5">
        <v>79995</v>
      </c>
      <c r="H98" s="70">
        <v>-16119</v>
      </c>
      <c r="I98" s="6">
        <v>65146</v>
      </c>
      <c r="J98" s="5">
        <v>75025</v>
      </c>
      <c r="K98" s="159">
        <v>-9879</v>
      </c>
      <c r="L98" s="172">
        <v>28386</v>
      </c>
      <c r="M98" s="5">
        <v>71889</v>
      </c>
      <c r="N98" s="70">
        <v>-43503</v>
      </c>
      <c r="O98" s="169">
        <f t="shared" si="9"/>
        <v>-59666</v>
      </c>
      <c r="P98" s="171">
        <f t="shared" si="10"/>
        <v>-0.24795950595940622</v>
      </c>
      <c r="Q98" s="193"/>
      <c r="R98" s="67" t="str">
        <f>IF($C$4="High Inventory",IF(AND(O98&gt;=Summary!$C$128,P98&gt;=Summary!$C$129),"X"," "),IF(AND(O98&lt;=-Summary!$C$128,P98&lt;=-Summary!$C$129),"X"," "))</f>
        <v xml:space="preserve"> </v>
      </c>
      <c r="S98" s="11" t="str">
        <f>IF($C$4="High Inventory",IF(AND(L98-I98&gt;=Summary!$C$132,N98-K98&gt;Summary!$C$132,N98&gt;0),"X"," "),IF(AND(I98-L98&gt;=Summary!$C$132,K98-N98&gt;Summary!$C$132,N98&lt;0),"X"," "))</f>
        <v xml:space="preserve"> </v>
      </c>
      <c r="W98" t="str">
        <f>IF($C$4="High Inventory",IF(O98&gt;Summary!$C$128,"X"," "),IF(O98&lt;-Summary!$C$128,"X"," "))</f>
        <v xml:space="preserve"> </v>
      </c>
      <c r="X98" t="str">
        <f>IF($C$4="High Inventory",IF(P98&gt;Summary!$C$129,"X"," "),IF(P98&lt;-Summary!$C$129,"X"," "))</f>
        <v xml:space="preserve"> </v>
      </c>
    </row>
    <row r="99" spans="1:24" x14ac:dyDescent="0.2">
      <c r="A99" s="28">
        <v>7610</v>
      </c>
      <c r="B99" s="210" t="s">
        <v>27</v>
      </c>
      <c r="C99" s="6">
        <v>230</v>
      </c>
      <c r="D99" s="5">
        <v>0</v>
      </c>
      <c r="E99" s="159">
        <v>230</v>
      </c>
      <c r="F99" s="172">
        <v>230</v>
      </c>
      <c r="G99" s="5">
        <v>0</v>
      </c>
      <c r="H99" s="70">
        <v>230</v>
      </c>
      <c r="I99" s="6">
        <v>230</v>
      </c>
      <c r="J99" s="5">
        <v>0</v>
      </c>
      <c r="K99" s="159">
        <v>230</v>
      </c>
      <c r="L99" s="172">
        <v>230</v>
      </c>
      <c r="M99" s="5">
        <v>0</v>
      </c>
      <c r="N99" s="70">
        <v>230</v>
      </c>
      <c r="O99" s="208">
        <f t="shared" si="9"/>
        <v>690</v>
      </c>
      <c r="P99" s="207">
        <f t="shared" si="10"/>
        <v>690</v>
      </c>
      <c r="Q99" s="195"/>
      <c r="R99" s="67" t="str">
        <f>IF($C$4="High Inventory",IF(AND(O99&gt;=Summary!$C$128,P99&gt;=Summary!$C$129),"X"," "),IF(AND(O99&lt;=-Summary!$C$128,P99&lt;=-Summary!$C$129),"X"," "))</f>
        <v xml:space="preserve"> </v>
      </c>
      <c r="S99" s="11" t="str">
        <f>IF($C$4="High Inventory",IF(AND(L99-I99&gt;=Summary!$C$132,N99-K99&gt;Summary!$C$132,N99&gt;0),"X"," "),IF(AND(I99-L99&gt;=Summary!$C$132,K99-N99&gt;Summary!$C$132,N99&lt;0),"X"," "))</f>
        <v xml:space="preserve"> </v>
      </c>
      <c r="W99" t="str">
        <f>IF($C$4="High Inventory",IF(O99&gt;Summary!$C$128,"X"," "),IF(O99&lt;-Summary!$C$128,"X"," "))</f>
        <v xml:space="preserve"> </v>
      </c>
      <c r="X99" t="str">
        <f>IF($C$4="High Inventory",IF(P99&gt;Summary!$C$129,"X"," "),IF(P99&lt;-Summary!$C$129,"X"," "))</f>
        <v>X</v>
      </c>
    </row>
    <row r="100" spans="1:24" x14ac:dyDescent="0.2">
      <c r="A100" s="28">
        <v>8537</v>
      </c>
      <c r="B100" s="210" t="s">
        <v>27</v>
      </c>
      <c r="C100" s="6"/>
      <c r="D100" s="5"/>
      <c r="E100" s="159"/>
      <c r="F100" s="172"/>
      <c r="G100" s="5"/>
      <c r="H100" s="70"/>
      <c r="I100" s="6"/>
      <c r="J100" s="5"/>
      <c r="K100" s="159"/>
      <c r="L100" s="172">
        <v>0</v>
      </c>
      <c r="M100" s="5">
        <v>0</v>
      </c>
      <c r="N100" s="70">
        <v>0</v>
      </c>
      <c r="O100" s="169">
        <f t="shared" si="9"/>
        <v>0</v>
      </c>
      <c r="P100" s="171">
        <f t="shared" si="10"/>
        <v>0</v>
      </c>
      <c r="Q100" s="193"/>
      <c r="R100" s="67" t="str">
        <f>IF($C$4="High Inventory",IF(AND(O100&gt;=Summary!$C$128,P100&gt;=Summary!$C$129),"X"," "),IF(AND(O100&lt;=-Summary!$C$128,P100&lt;=-Summary!$C$129),"X"," "))</f>
        <v xml:space="preserve"> </v>
      </c>
      <c r="S100" s="11" t="str">
        <f>IF($C$4="High Inventory",IF(AND(L100-I100&gt;=Summary!$C$132,N100-K100&gt;Summary!$C$132,N100&gt;0),"X"," "),IF(AND(I100-L100&gt;=Summary!$C$132,K100-N100&gt;Summary!$C$132,N100&lt;0),"X"," "))</f>
        <v xml:space="preserve"> </v>
      </c>
      <c r="W100" t="str">
        <f>IF($C$4="High Inventory",IF(O100&gt;Summary!$C$128,"X"," "),IF(O100&lt;-Summary!$C$128,"X"," "))</f>
        <v xml:space="preserve"> </v>
      </c>
      <c r="X100" t="str">
        <f>IF($C$4="High Inventory",IF(P100&gt;Summary!$C$129,"X"," "),IF(P100&lt;-Summary!$C$129,"X"," "))</f>
        <v xml:space="preserve"> </v>
      </c>
    </row>
    <row r="101" spans="1:24" x14ac:dyDescent="0.2">
      <c r="A101" s="28">
        <v>8576</v>
      </c>
      <c r="B101" s="210" t="s">
        <v>27</v>
      </c>
      <c r="C101" s="6">
        <v>0</v>
      </c>
      <c r="D101" s="5">
        <v>0</v>
      </c>
      <c r="E101" s="159">
        <v>0</v>
      </c>
      <c r="F101" s="172">
        <v>0</v>
      </c>
      <c r="G101" s="5">
        <v>0</v>
      </c>
      <c r="H101" s="70">
        <v>0</v>
      </c>
      <c r="I101" s="6">
        <v>0</v>
      </c>
      <c r="J101" s="5">
        <v>0</v>
      </c>
      <c r="K101" s="159">
        <v>0</v>
      </c>
      <c r="L101" s="172">
        <v>0</v>
      </c>
      <c r="M101" s="5">
        <v>0</v>
      </c>
      <c r="N101" s="70">
        <v>0</v>
      </c>
      <c r="O101" s="169">
        <f t="shared" si="9"/>
        <v>0</v>
      </c>
      <c r="P101" s="171">
        <f t="shared" si="10"/>
        <v>0</v>
      </c>
      <c r="Q101" s="193"/>
      <c r="R101" s="67" t="str">
        <f>IF($C$4="High Inventory",IF(AND(O101&gt;=Summary!$C$128,P101&gt;=Summary!$C$129),"X"," "),IF(AND(O101&lt;=-Summary!$C$128,P101&lt;=-Summary!$C$129),"X"," "))</f>
        <v xml:space="preserve"> </v>
      </c>
      <c r="S101" s="11" t="str">
        <f>IF($C$4="High Inventory",IF(AND(L101-I101&gt;=Summary!$C$132,N101-K101&gt;Summary!$C$132,N101&gt;0),"X"," "),IF(AND(I101-L101&gt;=Summary!$C$132,K101-N101&gt;Summary!$C$132,N101&lt;0),"X"," "))</f>
        <v xml:space="preserve"> </v>
      </c>
      <c r="W101" t="str">
        <f>IF($C$4="High Inventory",IF(O101&gt;Summary!$C$128,"X"," "),IF(O101&lt;-Summary!$C$128,"X"," "))</f>
        <v xml:space="preserve"> </v>
      </c>
      <c r="X101" t="str">
        <f>IF($C$4="High Inventory",IF(P101&gt;Summary!$C$129,"X"," "),IF(P101&lt;-Summary!$C$129,"X"," "))</f>
        <v xml:space="preserve"> </v>
      </c>
    </row>
    <row r="102" spans="1:24" x14ac:dyDescent="0.2">
      <c r="A102" s="28">
        <v>8577</v>
      </c>
      <c r="B102" s="210" t="s">
        <v>27</v>
      </c>
      <c r="C102" s="6">
        <v>0</v>
      </c>
      <c r="D102" s="5">
        <v>0</v>
      </c>
      <c r="E102" s="159">
        <v>0</v>
      </c>
      <c r="F102" s="172">
        <v>0</v>
      </c>
      <c r="G102" s="5">
        <v>0</v>
      </c>
      <c r="H102" s="70">
        <v>0</v>
      </c>
      <c r="I102" s="6">
        <v>0</v>
      </c>
      <c r="J102" s="5">
        <v>0</v>
      </c>
      <c r="K102" s="159">
        <v>0</v>
      </c>
      <c r="L102" s="172">
        <v>0</v>
      </c>
      <c r="M102" s="5">
        <v>0</v>
      </c>
      <c r="N102" s="70">
        <v>0</v>
      </c>
      <c r="O102" s="169">
        <f t="shared" si="9"/>
        <v>0</v>
      </c>
      <c r="P102" s="171">
        <f t="shared" si="10"/>
        <v>0</v>
      </c>
      <c r="Q102" s="193"/>
      <c r="R102" s="67" t="str">
        <f>IF($C$4="High Inventory",IF(AND(O102&gt;=Summary!$C$128,P102&gt;=Summary!$C$129),"X"," "),IF(AND(O102&lt;=-Summary!$C$128,P102&lt;=-Summary!$C$129),"X"," "))</f>
        <v xml:space="preserve"> </v>
      </c>
      <c r="S102" s="11" t="str">
        <f>IF($C$4="High Inventory",IF(AND(L102-I102&gt;=Summary!$C$132,N102-K102&gt;Summary!$C$132,N102&gt;0),"X"," "),IF(AND(I102-L102&gt;=Summary!$C$132,K102-N102&gt;Summary!$C$132,N102&lt;0),"X"," "))</f>
        <v xml:space="preserve"> </v>
      </c>
      <c r="W102" t="str">
        <f>IF($C$4="High Inventory",IF(O102&gt;Summary!$C$128,"X"," "),IF(O102&lt;-Summary!$C$128,"X"," "))</f>
        <v xml:space="preserve"> </v>
      </c>
      <c r="X102" t="str">
        <f>IF($C$4="High Inventory",IF(P102&gt;Summary!$C$129,"X"," "),IF(P102&lt;-Summary!$C$129,"X"," "))</f>
        <v xml:space="preserve"> </v>
      </c>
    </row>
    <row r="103" spans="1:24" x14ac:dyDescent="0.2">
      <c r="A103" s="28">
        <v>8578</v>
      </c>
      <c r="B103" s="210" t="s">
        <v>27</v>
      </c>
      <c r="C103" s="6">
        <v>0</v>
      </c>
      <c r="D103" s="5">
        <v>0</v>
      </c>
      <c r="E103" s="159">
        <v>0</v>
      </c>
      <c r="F103" s="172">
        <v>0</v>
      </c>
      <c r="G103" s="5">
        <v>0</v>
      </c>
      <c r="H103" s="70">
        <v>0</v>
      </c>
      <c r="I103" s="6">
        <v>0</v>
      </c>
      <c r="J103" s="5">
        <v>0</v>
      </c>
      <c r="K103" s="159">
        <v>0</v>
      </c>
      <c r="L103" s="172">
        <v>0</v>
      </c>
      <c r="M103" s="5">
        <v>0</v>
      </c>
      <c r="N103" s="70">
        <v>0</v>
      </c>
      <c r="O103" s="169">
        <f t="shared" si="9"/>
        <v>0</v>
      </c>
      <c r="P103" s="171">
        <f t="shared" si="10"/>
        <v>0</v>
      </c>
      <c r="Q103" s="193"/>
      <c r="R103" s="67" t="str">
        <f>IF($C$4="High Inventory",IF(AND(O103&gt;=Summary!$C$128,P103&gt;=Summary!$C$129),"X"," "),IF(AND(O103&lt;=-Summary!$C$128,P103&lt;=-Summary!$C$129),"X"," "))</f>
        <v xml:space="preserve"> </v>
      </c>
      <c r="S103" s="11" t="str">
        <f>IF($C$4="High Inventory",IF(AND(L103-I103&gt;=Summary!$C$132,N103-K103&gt;Summary!$C$132,N103&gt;0),"X"," "),IF(AND(I103-L103&gt;=Summary!$C$132,K103-N103&gt;Summary!$C$132,N103&lt;0),"X"," "))</f>
        <v xml:space="preserve"> </v>
      </c>
      <c r="W103" t="str">
        <f>IF($C$4="High Inventory",IF(O103&gt;Summary!$C$128,"X"," "),IF(O103&lt;-Summary!$C$128,"X"," "))</f>
        <v xml:space="preserve"> </v>
      </c>
      <c r="X103" t="str">
        <f>IF($C$4="High Inventory",IF(P103&gt;Summary!$C$129,"X"," "),IF(P103&lt;-Summary!$C$129,"X"," "))</f>
        <v xml:space="preserve"> </v>
      </c>
    </row>
    <row r="104" spans="1:24" x14ac:dyDescent="0.2">
      <c r="A104" s="28">
        <v>8579</v>
      </c>
      <c r="B104" s="210" t="s">
        <v>27</v>
      </c>
      <c r="C104" s="6">
        <v>0</v>
      </c>
      <c r="D104" s="5">
        <v>0</v>
      </c>
      <c r="E104" s="159">
        <v>0</v>
      </c>
      <c r="F104" s="172">
        <v>0</v>
      </c>
      <c r="G104" s="5">
        <v>0</v>
      </c>
      <c r="H104" s="70">
        <v>0</v>
      </c>
      <c r="I104" s="6">
        <v>0</v>
      </c>
      <c r="J104" s="5">
        <v>0</v>
      </c>
      <c r="K104" s="159">
        <v>0</v>
      </c>
      <c r="L104" s="172">
        <v>0</v>
      </c>
      <c r="M104" s="5">
        <v>0</v>
      </c>
      <c r="N104" s="70">
        <v>0</v>
      </c>
      <c r="O104" s="169">
        <f t="shared" si="9"/>
        <v>0</v>
      </c>
      <c r="P104" s="171">
        <f t="shared" si="10"/>
        <v>0</v>
      </c>
      <c r="Q104" s="193"/>
      <c r="R104" s="67" t="str">
        <f>IF($C$4="High Inventory",IF(AND(O104&gt;=Summary!$C$128,P104&gt;=Summary!$C$129),"X"," "),IF(AND(O104&lt;=-Summary!$C$128,P104&lt;=-Summary!$C$129),"X"," "))</f>
        <v xml:space="preserve"> </v>
      </c>
      <c r="S104" s="11" t="str">
        <f>IF($C$4="High Inventory",IF(AND(L104-I104&gt;=Summary!$C$132,N104-K104&gt;Summary!$C$132,N104&gt;0),"X"," "),IF(AND(I104-L104&gt;=Summary!$C$132,K104-N104&gt;Summary!$C$132,N104&lt;0),"X"," "))</f>
        <v xml:space="preserve"> </v>
      </c>
      <c r="W104" t="str">
        <f>IF($C$4="High Inventory",IF(O104&gt;Summary!$C$128,"X"," "),IF(O104&lt;-Summary!$C$128,"X"," "))</f>
        <v xml:space="preserve"> </v>
      </c>
      <c r="X104" t="str">
        <f>IF($C$4="High Inventory",IF(P104&gt;Summary!$C$129,"X"," "),IF(P104&lt;-Summary!$C$129,"X"," "))</f>
        <v xml:space="preserve"> </v>
      </c>
    </row>
    <row r="105" spans="1:24" x14ac:dyDescent="0.2">
      <c r="A105" s="28">
        <v>8580</v>
      </c>
      <c r="B105" s="210" t="s">
        <v>27</v>
      </c>
      <c r="C105" s="6">
        <v>0</v>
      </c>
      <c r="D105" s="5">
        <v>0</v>
      </c>
      <c r="E105" s="159">
        <v>0</v>
      </c>
      <c r="F105" s="172">
        <v>0</v>
      </c>
      <c r="G105" s="5">
        <v>0</v>
      </c>
      <c r="H105" s="70">
        <v>0</v>
      </c>
      <c r="I105" s="6">
        <v>0</v>
      </c>
      <c r="J105" s="5">
        <v>0</v>
      </c>
      <c r="K105" s="159">
        <v>0</v>
      </c>
      <c r="L105" s="172">
        <v>0</v>
      </c>
      <c r="M105" s="5">
        <v>0</v>
      </c>
      <c r="N105" s="70">
        <v>0</v>
      </c>
      <c r="O105" s="169">
        <f t="shared" si="9"/>
        <v>0</v>
      </c>
      <c r="P105" s="171">
        <f t="shared" si="10"/>
        <v>0</v>
      </c>
      <c r="Q105" s="193"/>
      <c r="R105" s="67" t="str">
        <f>IF($C$4="High Inventory",IF(AND(O105&gt;=Summary!$C$128,P105&gt;=Summary!$C$129),"X"," "),IF(AND(O105&lt;=-Summary!$C$128,P105&lt;=-Summary!$C$129),"X"," "))</f>
        <v xml:space="preserve"> </v>
      </c>
      <c r="S105" s="11" t="str">
        <f>IF($C$4="High Inventory",IF(AND(L105-I105&gt;=Summary!$C$132,N105-K105&gt;Summary!$C$132,N105&gt;0),"X"," "),IF(AND(I105-L105&gt;=Summary!$C$132,K105-N105&gt;Summary!$C$132,N105&lt;0),"X"," "))</f>
        <v xml:space="preserve"> </v>
      </c>
      <c r="W105" t="str">
        <f>IF($C$4="High Inventory",IF(O105&gt;Summary!$C$128,"X"," "),IF(O105&lt;-Summary!$C$128,"X"," "))</f>
        <v xml:space="preserve"> </v>
      </c>
      <c r="X105" t="str">
        <f>IF($C$4="High Inventory",IF(P105&gt;Summary!$C$129,"X"," "),IF(P105&lt;-Summary!$C$129,"X"," "))</f>
        <v xml:space="preserve"> </v>
      </c>
    </row>
    <row r="106" spans="1:24" x14ac:dyDescent="0.2">
      <c r="A106" s="28">
        <v>11396</v>
      </c>
      <c r="B106" s="210" t="s">
        <v>27</v>
      </c>
      <c r="C106" s="6">
        <v>717</v>
      </c>
      <c r="D106" s="5">
        <v>442</v>
      </c>
      <c r="E106" s="159">
        <v>275</v>
      </c>
      <c r="F106" s="172">
        <v>725</v>
      </c>
      <c r="G106" s="5">
        <v>460</v>
      </c>
      <c r="H106" s="70">
        <v>265</v>
      </c>
      <c r="I106" s="6">
        <v>0</v>
      </c>
      <c r="J106" s="5">
        <v>333</v>
      </c>
      <c r="K106" s="159">
        <v>-333</v>
      </c>
      <c r="L106" s="172">
        <v>0</v>
      </c>
      <c r="M106" s="5">
        <v>449</v>
      </c>
      <c r="N106" s="70">
        <v>-449</v>
      </c>
      <c r="O106" s="208">
        <f t="shared" si="9"/>
        <v>207</v>
      </c>
      <c r="P106" s="207">
        <f t="shared" si="10"/>
        <v>0.16747572815533981</v>
      </c>
      <c r="Q106" s="6"/>
      <c r="R106" s="67" t="str">
        <f>IF($C$4="High Inventory",IF(AND(O106&gt;=Summary!$C$128,P106&gt;=Summary!$C$129),"X"," "),IF(AND(O106&lt;=-Summary!$C$128,P106&lt;=-Summary!$C$129),"X"," "))</f>
        <v xml:space="preserve"> </v>
      </c>
      <c r="S106" s="11" t="str">
        <f>IF($C$4="High Inventory",IF(AND(L106-I106&gt;=Summary!$C$132,N106-K106&gt;Summary!$C$132,N106&gt;0),"X"," "),IF(AND(I106-L106&gt;=Summary!$C$132,K106-N106&gt;Summary!$C$132,N106&lt;0),"X"," "))</f>
        <v xml:space="preserve"> </v>
      </c>
      <c r="W106" t="str">
        <f>IF($C$4="High Inventory",IF(O106&gt;Summary!$C$128,"X"," "),IF(O106&lt;-Summary!$C$128,"X"," "))</f>
        <v xml:space="preserve"> </v>
      </c>
      <c r="X106" t="str">
        <f>IF($C$4="High Inventory",IF(P106&gt;Summary!$C$129,"X"," "),IF(P106&lt;-Summary!$C$129,"X"," "))</f>
        <v>X</v>
      </c>
    </row>
    <row r="107" spans="1:24" x14ac:dyDescent="0.2">
      <c r="A107" s="28">
        <v>12376</v>
      </c>
      <c r="B107" s="210" t="s">
        <v>27</v>
      </c>
      <c r="C107" s="6">
        <v>0</v>
      </c>
      <c r="D107" s="5">
        <v>214</v>
      </c>
      <c r="E107" s="159">
        <v>-214</v>
      </c>
      <c r="F107" s="172">
        <v>0</v>
      </c>
      <c r="G107" s="5">
        <v>217</v>
      </c>
      <c r="H107" s="70">
        <v>-217</v>
      </c>
      <c r="I107" s="6">
        <v>0</v>
      </c>
      <c r="J107" s="5">
        <v>225</v>
      </c>
      <c r="K107" s="159">
        <v>-225</v>
      </c>
      <c r="L107" s="172">
        <v>0</v>
      </c>
      <c r="M107" s="5">
        <v>126</v>
      </c>
      <c r="N107" s="70">
        <v>-126</v>
      </c>
      <c r="O107" s="208">
        <f t="shared" si="9"/>
        <v>-656</v>
      </c>
      <c r="P107" s="207">
        <f t="shared" si="10"/>
        <v>-0.99847792998477924</v>
      </c>
      <c r="Q107" s="195"/>
      <c r="R107" s="67" t="str">
        <f>IF($C$4="High Inventory",IF(AND(O107&gt;=Summary!$C$128,P107&gt;=Summary!$C$129),"X"," "),IF(AND(O107&lt;=-Summary!$C$128,P107&lt;=-Summary!$C$129),"X"," "))</f>
        <v xml:space="preserve"> </v>
      </c>
      <c r="S107" s="11" t="str">
        <f>IF($C$4="High Inventory",IF(AND(L107-I107&gt;=Summary!$C$132,N107-K107&gt;Summary!$C$132,N107&gt;0),"X"," "),IF(AND(I107-L107&gt;=Summary!$C$132,K107-N107&gt;Summary!$C$132,N107&lt;0),"X"," "))</f>
        <v xml:space="preserve"> </v>
      </c>
      <c r="W107" t="str">
        <f>IF($C$4="High Inventory",IF(O107&gt;Summary!$C$128,"X"," "),IF(O107&lt;-Summary!$C$128,"X"," "))</f>
        <v xml:space="preserve"> </v>
      </c>
      <c r="X107" t="str">
        <f>IF($C$4="High Inventory",IF(P107&gt;Summary!$C$129,"X"," "),IF(P107&lt;-Summary!$C$129,"X"," "))</f>
        <v xml:space="preserve"> </v>
      </c>
    </row>
    <row r="108" spans="1:24" x14ac:dyDescent="0.2">
      <c r="A108" s="28">
        <v>13636</v>
      </c>
      <c r="B108" s="210" t="s">
        <v>27</v>
      </c>
      <c r="C108" s="6">
        <v>0</v>
      </c>
      <c r="D108" s="5">
        <v>3</v>
      </c>
      <c r="E108" s="159">
        <v>-3</v>
      </c>
      <c r="F108" s="172">
        <v>0</v>
      </c>
      <c r="G108" s="5">
        <v>0</v>
      </c>
      <c r="H108" s="70">
        <v>0</v>
      </c>
      <c r="I108" s="6">
        <v>0</v>
      </c>
      <c r="J108" s="5">
        <v>0</v>
      </c>
      <c r="K108" s="159">
        <v>0</v>
      </c>
      <c r="L108" s="172">
        <v>0</v>
      </c>
      <c r="M108" s="5">
        <v>0</v>
      </c>
      <c r="N108" s="70">
        <v>0</v>
      </c>
      <c r="O108" s="208">
        <f t="shared" si="9"/>
        <v>-3</v>
      </c>
      <c r="P108" s="207">
        <f t="shared" si="10"/>
        <v>-0.75</v>
      </c>
      <c r="Q108" s="195"/>
      <c r="R108" s="67" t="str">
        <f>IF($C$4="High Inventory",IF(AND(O108&gt;=Summary!$C$128,P108&gt;=Summary!$C$129),"X"," "),IF(AND(O108&lt;=-Summary!$C$128,P108&lt;=-Summary!$C$129),"X"," "))</f>
        <v xml:space="preserve"> </v>
      </c>
      <c r="S108" s="11" t="str">
        <f>IF($C$4="High Inventory",IF(AND(L108-I108&gt;=Summary!$C$132,N108-K108&gt;Summary!$C$132,N108&gt;0),"X"," "),IF(AND(I108-L108&gt;=Summary!$C$132,K108-N108&gt;Summary!$C$132,N108&lt;0),"X"," "))</f>
        <v xml:space="preserve"> </v>
      </c>
      <c r="W108" t="str">
        <f>IF($C$4="High Inventory",IF(O108&gt;Summary!$C$128,"X"," "),IF(O108&lt;-Summary!$C$128,"X"," "))</f>
        <v xml:space="preserve"> </v>
      </c>
      <c r="X108" t="str">
        <f>IF($C$4="High Inventory",IF(P108&gt;Summary!$C$129,"X"," "),IF(P108&lt;-Summary!$C$129,"X"," "))</f>
        <v xml:space="preserve"> </v>
      </c>
    </row>
    <row r="109" spans="1:24" x14ac:dyDescent="0.2">
      <c r="A109" s="28">
        <v>13836</v>
      </c>
      <c r="B109" s="210" t="s">
        <v>27</v>
      </c>
      <c r="C109" s="6">
        <v>0</v>
      </c>
      <c r="D109" s="5">
        <v>15</v>
      </c>
      <c r="E109" s="159">
        <v>-15</v>
      </c>
      <c r="F109" s="172">
        <v>0</v>
      </c>
      <c r="G109" s="5">
        <v>17</v>
      </c>
      <c r="H109" s="70">
        <v>-17</v>
      </c>
      <c r="I109" s="6">
        <v>0</v>
      </c>
      <c r="J109" s="5">
        <v>15</v>
      </c>
      <c r="K109" s="159">
        <v>-15</v>
      </c>
      <c r="L109" s="172">
        <v>0</v>
      </c>
      <c r="M109" s="5">
        <v>20</v>
      </c>
      <c r="N109" s="70">
        <v>-20</v>
      </c>
      <c r="O109" s="208">
        <f t="shared" si="9"/>
        <v>-47</v>
      </c>
      <c r="P109" s="207">
        <f t="shared" si="10"/>
        <v>-0.97916666666666663</v>
      </c>
      <c r="Q109" s="195"/>
      <c r="R109" s="67" t="str">
        <f>IF($C$4="High Inventory",IF(AND(O109&gt;=Summary!$C$128,P109&gt;=Summary!$C$129),"X"," "),IF(AND(O109&lt;=-Summary!$C$128,P109&lt;=-Summary!$C$129),"X"," "))</f>
        <v xml:space="preserve"> </v>
      </c>
      <c r="S109" s="11" t="str">
        <f>IF($C$4="High Inventory",IF(AND(L109-I109&gt;=Summary!$C$132,N109-K109&gt;Summary!$C$132,N109&gt;0),"X"," "),IF(AND(I109-L109&gt;=Summary!$C$132,K109-N109&gt;Summary!$C$132,N109&lt;0),"X"," "))</f>
        <v xml:space="preserve"> </v>
      </c>
      <c r="W109" t="str">
        <f>IF($C$4="High Inventory",IF(O109&gt;Summary!$C$128,"X"," "),IF(O109&lt;-Summary!$C$128,"X"," "))</f>
        <v xml:space="preserve"> </v>
      </c>
      <c r="X109" t="str">
        <f>IF($C$4="High Inventory",IF(P109&gt;Summary!$C$129,"X"," "),IF(P109&lt;-Summary!$C$129,"X"," "))</f>
        <v xml:space="preserve"> </v>
      </c>
    </row>
    <row r="110" spans="1:24" x14ac:dyDescent="0.2">
      <c r="A110" s="28">
        <v>18287</v>
      </c>
      <c r="B110" s="210" t="s">
        <v>27</v>
      </c>
      <c r="C110" s="6">
        <v>0</v>
      </c>
      <c r="D110" s="5">
        <v>0</v>
      </c>
      <c r="E110" s="159">
        <v>0</v>
      </c>
      <c r="F110" s="172">
        <v>0</v>
      </c>
      <c r="G110" s="5">
        <v>0</v>
      </c>
      <c r="H110" s="70">
        <v>0</v>
      </c>
      <c r="I110" s="6">
        <v>0</v>
      </c>
      <c r="J110" s="5">
        <v>0</v>
      </c>
      <c r="K110" s="159">
        <v>0</v>
      </c>
      <c r="L110" s="172">
        <v>0</v>
      </c>
      <c r="M110" s="5">
        <v>1</v>
      </c>
      <c r="N110" s="70">
        <v>-1</v>
      </c>
      <c r="O110" s="169">
        <f t="shared" si="9"/>
        <v>0</v>
      </c>
      <c r="P110" s="171">
        <f t="shared" si="10"/>
        <v>0</v>
      </c>
      <c r="Q110" s="193"/>
      <c r="R110" s="67" t="str">
        <f>IF($C$4="High Inventory",IF(AND(O110&gt;=Summary!$C$128,P110&gt;=Summary!$C$129),"X"," "),IF(AND(O110&lt;=-Summary!$C$128,P110&lt;=-Summary!$C$129),"X"," "))</f>
        <v xml:space="preserve"> </v>
      </c>
      <c r="S110" s="11" t="str">
        <f>IF($C$4="High Inventory",IF(AND(L110-I110&gt;=Summary!$C$132,N110-K110&gt;Summary!$C$132,N110&gt;0),"X"," "),IF(AND(I110-L110&gt;=Summary!$C$132,K110-N110&gt;Summary!$C$132,N110&lt;0),"X"," "))</f>
        <v xml:space="preserve"> </v>
      </c>
      <c r="W110" t="str">
        <f>IF($C$4="High Inventory",IF(O110&gt;Summary!$C$128,"X"," "),IF(O110&lt;-Summary!$C$128,"X"," "))</f>
        <v xml:space="preserve"> </v>
      </c>
      <c r="X110" t="str">
        <f>IF($C$4="High Inventory",IF(P110&gt;Summary!$C$129,"X"," "),IF(P110&lt;-Summary!$C$129,"X"," "))</f>
        <v xml:space="preserve"> </v>
      </c>
    </row>
    <row r="111" spans="1:24" x14ac:dyDescent="0.2">
      <c r="A111" s="28">
        <v>20566</v>
      </c>
      <c r="B111" s="210" t="s">
        <v>27</v>
      </c>
      <c r="C111" s="6">
        <v>0</v>
      </c>
      <c r="D111" s="5">
        <v>0</v>
      </c>
      <c r="E111" s="159">
        <v>0</v>
      </c>
      <c r="F111" s="172">
        <v>0</v>
      </c>
      <c r="G111" s="5">
        <v>0</v>
      </c>
      <c r="H111" s="70">
        <v>0</v>
      </c>
      <c r="I111" s="6">
        <v>0</v>
      </c>
      <c r="J111" s="5">
        <v>0</v>
      </c>
      <c r="K111" s="159">
        <v>0</v>
      </c>
      <c r="L111" s="172">
        <v>0</v>
      </c>
      <c r="M111" s="5">
        <v>0</v>
      </c>
      <c r="N111" s="70">
        <v>0</v>
      </c>
      <c r="O111" s="169">
        <f t="shared" si="9"/>
        <v>0</v>
      </c>
      <c r="P111" s="171">
        <f t="shared" si="10"/>
        <v>0</v>
      </c>
      <c r="Q111" s="193"/>
      <c r="R111" s="67" t="str">
        <f>IF($C$4="High Inventory",IF(AND(O111&gt;=Summary!$C$128,P111&gt;=Summary!$C$129),"X"," "),IF(AND(O111&lt;=-Summary!$C$128,P111&lt;=-Summary!$C$129),"X"," "))</f>
        <v xml:space="preserve"> </v>
      </c>
      <c r="S111" s="11" t="str">
        <f>IF($C$4="High Inventory",IF(AND(L111-I111&gt;=Summary!$C$132,N111-K111&gt;Summary!$C$132,N111&gt;0),"X"," "),IF(AND(I111-L111&gt;=Summary!$C$132,K111-N111&gt;Summary!$C$132,N111&lt;0),"X"," "))</f>
        <v xml:space="preserve"> </v>
      </c>
      <c r="W111" t="str">
        <f>IF($C$4="High Inventory",IF(O111&gt;Summary!$C$128,"X"," "),IF(O111&lt;-Summary!$C$128,"X"," "))</f>
        <v xml:space="preserve"> </v>
      </c>
      <c r="X111" t="str">
        <f>IF($C$4="High Inventory",IF(P111&gt;Summary!$C$129,"X"," "),IF(P111&lt;-Summary!$C$129,"X"," "))</f>
        <v xml:space="preserve"> </v>
      </c>
    </row>
    <row r="112" spans="1:24" x14ac:dyDescent="0.2">
      <c r="A112" s="28">
        <v>22256</v>
      </c>
      <c r="B112" s="210" t="s">
        <v>27</v>
      </c>
      <c r="C112" s="6">
        <v>0</v>
      </c>
      <c r="D112" s="5">
        <v>0</v>
      </c>
      <c r="E112" s="159">
        <v>0</v>
      </c>
      <c r="F112" s="172">
        <v>0</v>
      </c>
      <c r="G112" s="5">
        <v>0</v>
      </c>
      <c r="H112" s="70">
        <v>0</v>
      </c>
      <c r="I112" s="6">
        <v>0</v>
      </c>
      <c r="J112" s="5">
        <v>0</v>
      </c>
      <c r="K112" s="159">
        <v>0</v>
      </c>
      <c r="L112" s="172">
        <v>0</v>
      </c>
      <c r="M112" s="5">
        <v>0</v>
      </c>
      <c r="N112" s="70">
        <v>0</v>
      </c>
      <c r="O112" s="169">
        <f t="shared" si="9"/>
        <v>0</v>
      </c>
      <c r="P112" s="171">
        <f t="shared" si="10"/>
        <v>0</v>
      </c>
      <c r="Q112" s="193"/>
      <c r="R112" s="67" t="str">
        <f>IF($C$4="High Inventory",IF(AND(O112&gt;=Summary!$C$128,P112&gt;=Summary!$C$129),"X"," "),IF(AND(O112&lt;=-Summary!$C$128,P112&lt;=-Summary!$C$129),"X"," "))</f>
        <v xml:space="preserve"> </v>
      </c>
      <c r="S112" s="11" t="str">
        <f>IF($C$4="High Inventory",IF(AND(L112-I112&gt;=Summary!$C$132,N112-K112&gt;Summary!$C$132,N112&gt;0),"X"," "),IF(AND(I112-L112&gt;=Summary!$C$132,K112-N112&gt;Summary!$C$132,N112&lt;0),"X"," "))</f>
        <v xml:space="preserve"> </v>
      </c>
      <c r="W112" t="str">
        <f>IF($C$4="High Inventory",IF(O112&gt;Summary!$C$128,"X"," "),IF(O112&lt;-Summary!$C$128,"X"," "))</f>
        <v xml:space="preserve"> </v>
      </c>
      <c r="X112" t="str">
        <f>IF($C$4="High Inventory",IF(P112&gt;Summary!$C$129,"X"," "),IF(P112&lt;-Summary!$C$129,"X"," "))</f>
        <v xml:space="preserve"> </v>
      </c>
    </row>
    <row r="113" spans="1:24" x14ac:dyDescent="0.2">
      <c r="A113" s="28">
        <v>23159</v>
      </c>
      <c r="B113" s="210" t="s">
        <v>27</v>
      </c>
      <c r="C113" s="6">
        <v>0</v>
      </c>
      <c r="D113" s="5">
        <v>69</v>
      </c>
      <c r="E113" s="159">
        <v>-69</v>
      </c>
      <c r="F113" s="172">
        <v>0</v>
      </c>
      <c r="G113" s="5">
        <v>74</v>
      </c>
      <c r="H113" s="70">
        <v>-74</v>
      </c>
      <c r="I113" s="6">
        <v>0</v>
      </c>
      <c r="J113" s="5">
        <v>58</v>
      </c>
      <c r="K113" s="159">
        <v>-58</v>
      </c>
      <c r="L113" s="172">
        <v>0</v>
      </c>
      <c r="M113" s="5">
        <v>75</v>
      </c>
      <c r="N113" s="70">
        <v>-75</v>
      </c>
      <c r="O113" s="208">
        <f t="shared" si="9"/>
        <v>-201</v>
      </c>
      <c r="P113" s="207">
        <f t="shared" si="10"/>
        <v>-0.99504950495049505</v>
      </c>
      <c r="Q113" s="195"/>
      <c r="R113" s="67" t="str">
        <f>IF($C$4="High Inventory",IF(AND(O113&gt;=Summary!$C$128,P113&gt;=Summary!$C$129),"X"," "),IF(AND(O113&lt;=-Summary!$C$128,P113&lt;=-Summary!$C$129),"X"," "))</f>
        <v xml:space="preserve"> </v>
      </c>
      <c r="S113" s="11" t="str">
        <f>IF($C$4="High Inventory",IF(AND(L113-I113&gt;=Summary!$C$132,N113-K113&gt;Summary!$C$132,N113&gt;0),"X"," "),IF(AND(I113-L113&gt;=Summary!$C$132,K113-N113&gt;Summary!$C$132,N113&lt;0),"X"," "))</f>
        <v xml:space="preserve"> </v>
      </c>
      <c r="W113" t="str">
        <f>IF($C$4="High Inventory",IF(O113&gt;Summary!$C$128,"X"," "),IF(O113&lt;-Summary!$C$128,"X"," "))</f>
        <v xml:space="preserve"> </v>
      </c>
      <c r="X113" t="str">
        <f>IF($C$4="High Inventory",IF(P113&gt;Summary!$C$129,"X"," "),IF(P113&lt;-Summary!$C$129,"X"," "))</f>
        <v xml:space="preserve"> </v>
      </c>
    </row>
    <row r="114" spans="1:24" x14ac:dyDescent="0.2">
      <c r="A114" s="28">
        <v>30149</v>
      </c>
      <c r="B114" s="210" t="s">
        <v>27</v>
      </c>
      <c r="C114" s="6">
        <v>0</v>
      </c>
      <c r="D114" s="5">
        <v>0</v>
      </c>
      <c r="E114" s="159">
        <v>0</v>
      </c>
      <c r="F114" s="172">
        <v>0</v>
      </c>
      <c r="G114" s="5">
        <v>0</v>
      </c>
      <c r="H114" s="70">
        <v>0</v>
      </c>
      <c r="I114" s="6">
        <v>0</v>
      </c>
      <c r="J114" s="5">
        <v>0</v>
      </c>
      <c r="K114" s="159">
        <v>0</v>
      </c>
      <c r="L114" s="172">
        <v>0</v>
      </c>
      <c r="M114" s="5">
        <v>0</v>
      </c>
      <c r="N114" s="70">
        <v>0</v>
      </c>
      <c r="O114" s="169">
        <f t="shared" si="9"/>
        <v>0</v>
      </c>
      <c r="P114" s="171">
        <f t="shared" si="10"/>
        <v>0</v>
      </c>
      <c r="Q114" s="193"/>
      <c r="R114" s="67" t="str">
        <f>IF($C$4="High Inventory",IF(AND(O114&gt;=Summary!$C$128,P114&gt;=Summary!$C$129),"X"," "),IF(AND(O114&lt;=-Summary!$C$128,P114&lt;=-Summary!$C$129),"X"," "))</f>
        <v xml:space="preserve"> </v>
      </c>
      <c r="S114" s="11" t="str">
        <f>IF($C$4="High Inventory",IF(AND(L114-I114&gt;=Summary!$C$132,N114-K114&gt;Summary!$C$132,N114&gt;0),"X"," "),IF(AND(I114-L114&gt;=Summary!$C$132,K114-N114&gt;Summary!$C$132,N114&lt;0),"X"," "))</f>
        <v xml:space="preserve"> </v>
      </c>
      <c r="W114" t="str">
        <f>IF($C$4="High Inventory",IF(O114&gt;Summary!$C$128,"X"," "),IF(O114&lt;-Summary!$C$128,"X"," "))</f>
        <v xml:space="preserve"> </v>
      </c>
      <c r="X114" t="str">
        <f>IF($C$4="High Inventory",IF(P114&gt;Summary!$C$129,"X"," "),IF(P114&lt;-Summary!$C$129,"X"," "))</f>
        <v xml:space="preserve"> </v>
      </c>
    </row>
    <row r="115" spans="1:24" x14ac:dyDescent="0.2">
      <c r="A115" s="28">
        <v>30511</v>
      </c>
      <c r="B115" s="210" t="s">
        <v>27</v>
      </c>
      <c r="C115" s="6">
        <v>840</v>
      </c>
      <c r="D115" s="5">
        <v>166</v>
      </c>
      <c r="E115" s="159">
        <v>674</v>
      </c>
      <c r="F115" s="172">
        <v>840</v>
      </c>
      <c r="G115" s="5">
        <v>81</v>
      </c>
      <c r="H115" s="70">
        <v>759</v>
      </c>
      <c r="I115" s="6">
        <v>840</v>
      </c>
      <c r="J115" s="5">
        <v>159</v>
      </c>
      <c r="K115" s="159">
        <v>681</v>
      </c>
      <c r="L115" s="172">
        <v>840</v>
      </c>
      <c r="M115" s="5">
        <v>0</v>
      </c>
      <c r="N115" s="70">
        <v>840</v>
      </c>
      <c r="O115" s="169">
        <f t="shared" si="9"/>
        <v>2114</v>
      </c>
      <c r="P115" s="171">
        <f t="shared" si="10"/>
        <v>5.1941031941031941</v>
      </c>
      <c r="Q115" s="193"/>
      <c r="R115" s="67" t="str">
        <f>IF($C$4="High Inventory",IF(AND(O115&gt;=Summary!$C$128,P115&gt;=Summary!$C$129),"X"," "),IF(AND(O115&lt;=-Summary!$C$128,P115&lt;=-Summary!$C$129),"X"," "))</f>
        <v xml:space="preserve"> </v>
      </c>
      <c r="S115" s="11" t="str">
        <f>IF($C$4="High Inventory",IF(AND(L115-I115&gt;=Summary!$C$132,N115-K115&gt;Summary!$C$132,N115&gt;0),"X"," "),IF(AND(I115-L115&gt;=Summary!$C$132,K115-N115&gt;Summary!$C$132,N115&lt;0),"X"," "))</f>
        <v xml:space="preserve"> </v>
      </c>
      <c r="W115" t="str">
        <f>IF($C$4="High Inventory",IF(O115&gt;Summary!$C$128,"X"," "),IF(O115&lt;-Summary!$C$128,"X"," "))</f>
        <v xml:space="preserve"> </v>
      </c>
      <c r="X115" t="str">
        <f>IF($C$4="High Inventory",IF(P115&gt;Summary!$C$129,"X"," "),IF(P115&lt;-Summary!$C$129,"X"," "))</f>
        <v>X</v>
      </c>
    </row>
    <row r="116" spans="1:24" x14ac:dyDescent="0.2">
      <c r="A116" s="28">
        <v>32593</v>
      </c>
      <c r="B116" s="210" t="s">
        <v>27</v>
      </c>
      <c r="C116" s="6">
        <v>45000</v>
      </c>
      <c r="D116" s="5">
        <v>49165</v>
      </c>
      <c r="E116" s="159">
        <v>-4165</v>
      </c>
      <c r="F116" s="172">
        <v>45000</v>
      </c>
      <c r="G116" s="5">
        <v>51169</v>
      </c>
      <c r="H116" s="70">
        <v>-6169</v>
      </c>
      <c r="I116" s="6">
        <v>55000</v>
      </c>
      <c r="J116" s="5">
        <v>51915</v>
      </c>
      <c r="K116" s="159">
        <v>3085</v>
      </c>
      <c r="L116" s="172">
        <v>48000</v>
      </c>
      <c r="M116" s="5">
        <v>52382</v>
      </c>
      <c r="N116" s="70">
        <v>-4382</v>
      </c>
      <c r="O116" s="208">
        <f t="shared" si="9"/>
        <v>-7249</v>
      </c>
      <c r="P116" s="207">
        <f t="shared" si="10"/>
        <v>-4.7612479474548441E-2</v>
      </c>
      <c r="Q116" s="195" t="s">
        <v>59</v>
      </c>
      <c r="R116" s="67" t="str">
        <f>IF($C$4="High Inventory",IF(AND(O116&gt;=Summary!$C$128,P116&gt;=Summary!$C$129),"X"," "),IF(AND(O116&lt;=-Summary!$C$128,P116&lt;=-Summary!$C$129),"X"," "))</f>
        <v xml:space="preserve"> </v>
      </c>
      <c r="S116" s="11" t="str">
        <f>IF($C$4="High Inventory",IF(AND(L116-I116&gt;=Summary!$C$132,N116-K116&gt;Summary!$C$132,N116&gt;0),"X"," "),IF(AND(I116-L116&gt;=Summary!$C$132,K116-N116&gt;Summary!$C$132,N116&lt;0),"X"," "))</f>
        <v xml:space="preserve"> </v>
      </c>
      <c r="W116" t="str">
        <f>IF($C$4="High Inventory",IF(O116&gt;Summary!$C$128,"X"," "),IF(O116&lt;-Summary!$C$128,"X"," "))</f>
        <v xml:space="preserve"> </v>
      </c>
      <c r="X116" t="str">
        <f>IF($C$4="High Inventory",IF(P116&gt;Summary!$C$129,"X"," "),IF(P116&lt;-Summary!$C$129,"X"," "))</f>
        <v xml:space="preserve"> </v>
      </c>
    </row>
    <row r="117" spans="1:24" x14ac:dyDescent="0.2">
      <c r="A117" s="28">
        <v>33353</v>
      </c>
      <c r="B117" s="210" t="s">
        <v>27</v>
      </c>
      <c r="C117" s="6"/>
      <c r="D117" s="5"/>
      <c r="E117" s="159"/>
      <c r="F117" s="172"/>
      <c r="G117" s="5"/>
      <c r="H117" s="70"/>
      <c r="I117" s="6">
        <v>15723</v>
      </c>
      <c r="J117" s="5">
        <v>10947</v>
      </c>
      <c r="K117" s="159">
        <v>4776</v>
      </c>
      <c r="L117" s="172">
        <v>15723</v>
      </c>
      <c r="M117" s="5">
        <v>16651</v>
      </c>
      <c r="N117" s="70">
        <v>-928</v>
      </c>
      <c r="O117" s="208">
        <f t="shared" si="9"/>
        <v>4776</v>
      </c>
      <c r="P117" s="207">
        <f t="shared" si="10"/>
        <v>0.43624406284252831</v>
      </c>
      <c r="Q117" s="195" t="s">
        <v>59</v>
      </c>
      <c r="R117" s="67" t="str">
        <f>IF($C$4="High Inventory",IF(AND(O117&gt;=Summary!$C$128,P117&gt;=Summary!$C$129),"X"," "),IF(AND(O117&lt;=-Summary!$C$128,P117&lt;=-Summary!$C$129),"X"," "))</f>
        <v xml:space="preserve"> </v>
      </c>
      <c r="S117" s="11" t="str">
        <f>IF($C$4="High Inventory",IF(AND(L117-I117&gt;=Summary!$C$132,N117-K117&gt;Summary!$C$132,N117&gt;0),"X"," "),IF(AND(I117-L117&gt;=Summary!$C$132,K117-N117&gt;Summary!$C$132,N117&lt;0),"X"," "))</f>
        <v xml:space="preserve"> </v>
      </c>
      <c r="W117" t="str">
        <f>IF($C$4="High Inventory",IF(O117&gt;Summary!$C$128,"X"," "),IF(O117&lt;-Summary!$C$128,"X"," "))</f>
        <v xml:space="preserve"> </v>
      </c>
      <c r="X117" t="str">
        <f>IF($C$4="High Inventory",IF(P117&gt;Summary!$C$129,"X"," "),IF(P117&lt;-Summary!$C$129,"X"," "))</f>
        <v>X</v>
      </c>
    </row>
    <row r="118" spans="1:24" x14ac:dyDescent="0.2">
      <c r="A118" s="28"/>
      <c r="B118" s="210"/>
      <c r="C118" s="6"/>
      <c r="D118" s="5"/>
      <c r="E118" s="159"/>
      <c r="F118" s="172"/>
      <c r="G118" s="5"/>
      <c r="H118" s="70"/>
      <c r="I118" s="6"/>
      <c r="J118" s="5"/>
      <c r="K118" s="159"/>
      <c r="L118" s="172"/>
      <c r="M118" s="5"/>
      <c r="N118" s="70"/>
      <c r="O118" s="6"/>
      <c r="P118" s="70"/>
      <c r="Q118" s="6"/>
      <c r="R118" s="67" t="str">
        <f>IF($C$4="High Inventory",IF(AND(O118&gt;=Summary!$C$128,P118&gt;=Summary!$C$129),"X"," "),IF(AND(O118&lt;=-Summary!$C$128,P118&lt;=-Summary!$C$129),"X"," "))</f>
        <v xml:space="preserve"> </v>
      </c>
      <c r="S118" s="11" t="str">
        <f>IF($C$4="High Inventory",IF(AND(L118-I118&gt;=Summary!$C$132,N118-K118&gt;Summary!$C$132,N118&gt;0),"X"," "),IF(AND(I118-L118&gt;=Summary!$C$132,K118-N118&gt;Summary!$C$132,N118&lt;0),"X"," "))</f>
        <v xml:space="preserve"> </v>
      </c>
      <c r="W118" t="str">
        <f>IF($C$4="High Inventory",IF(O118&gt;Summary!$C$128,"X"," "),IF(O118&lt;-Summary!$C$128,"X"," "))</f>
        <v xml:space="preserve"> </v>
      </c>
      <c r="X118" t="str">
        <f>IF($C$4="High Inventory",IF(P118&gt;Summary!$C$129,"X"," "),IF(P118&lt;-Summary!$C$129,"X"," "))</f>
        <v xml:space="preserve"> </v>
      </c>
    </row>
    <row r="119" spans="1:24" x14ac:dyDescent="0.2">
      <c r="A119" s="2" t="s">
        <v>28</v>
      </c>
      <c r="B119" s="2"/>
      <c r="C119" s="3"/>
      <c r="D119" s="3"/>
      <c r="E119" s="3">
        <f>SUM(E10:E118)</f>
        <v>76203</v>
      </c>
      <c r="F119" s="3"/>
      <c r="G119" s="3"/>
      <c r="H119" s="3">
        <f>SUM(H10:H118)</f>
        <v>66348</v>
      </c>
      <c r="I119" s="3"/>
      <c r="J119" s="3"/>
      <c r="K119" s="3">
        <f>SUM(K10:K118)</f>
        <v>228007</v>
      </c>
      <c r="L119" s="3"/>
      <c r="M119" s="3">
        <f>SUM(M10:M118)</f>
        <v>2576350</v>
      </c>
      <c r="N119" s="3">
        <f>SUM(N10:N118)</f>
        <v>-175027</v>
      </c>
      <c r="O119" s="3"/>
      <c r="P119" s="12"/>
      <c r="Q119" s="8">
        <f>COUNTIF(Q10:Q118,"X")</f>
        <v>6</v>
      </c>
      <c r="R119" s="67">
        <f>COUNTIF(R10:R118,"X")</f>
        <v>7</v>
      </c>
      <c r="S119" s="11">
        <f>COUNTIF(S10:S118,"X")</f>
        <v>5</v>
      </c>
    </row>
    <row r="120" spans="1:24" x14ac:dyDescent="0.2">
      <c r="M120" s="89" t="s">
        <v>56</v>
      </c>
      <c r="N120" s="90">
        <f>N119/M119</f>
        <v>-6.7936033535816176E-2</v>
      </c>
      <c r="P120" s="1"/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0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G34" sqref="G34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36792</v>
      </c>
      <c r="D3" s="9"/>
    </row>
    <row r="4" spans="1:42" ht="15.75" x14ac:dyDescent="0.25">
      <c r="A4" s="58" t="s">
        <v>36</v>
      </c>
      <c r="C4" s="4" t="s">
        <v>37</v>
      </c>
      <c r="E4" s="97" t="s">
        <v>61</v>
      </c>
      <c r="G4" s="4" t="s">
        <v>64</v>
      </c>
    </row>
    <row r="5" spans="1:42" ht="16.5" thickBot="1" x14ac:dyDescent="0.3">
      <c r="A5" s="58" t="s">
        <v>39</v>
      </c>
      <c r="C5" s="4" t="s">
        <v>40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36789</v>
      </c>
      <c r="D8" s="180"/>
      <c r="E8" s="181" t="str">
        <f>TEXT(WEEKDAY(C8),"dddd")</f>
        <v>Wednesday</v>
      </c>
      <c r="F8" s="182">
        <f>F9</f>
        <v>36790</v>
      </c>
      <c r="G8" s="180"/>
      <c r="H8" s="181" t="str">
        <f>TEXT(WEEKDAY(F8),"dddd")</f>
        <v>Thursday</v>
      </c>
      <c r="I8" s="182">
        <f>I9</f>
        <v>36791</v>
      </c>
      <c r="J8" s="180"/>
      <c r="K8" s="181" t="str">
        <f>TEXT(WEEKDAY(I8),"dddd")</f>
        <v>Friday</v>
      </c>
      <c r="L8" s="182">
        <f>L9</f>
        <v>36792</v>
      </c>
      <c r="M8" s="180"/>
      <c r="N8" s="181" t="str">
        <f>TEXT(WEEKDAY(L8),"dddd")</f>
        <v>Saturday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36789</v>
      </c>
      <c r="D9" s="157">
        <v>36789</v>
      </c>
      <c r="E9" s="157">
        <v>36789</v>
      </c>
      <c r="F9" s="158">
        <v>36790</v>
      </c>
      <c r="G9" s="157">
        <v>36790</v>
      </c>
      <c r="H9" s="157">
        <v>36790</v>
      </c>
      <c r="I9" s="158">
        <v>36791</v>
      </c>
      <c r="J9" s="157">
        <v>36791</v>
      </c>
      <c r="K9" s="157">
        <v>36791</v>
      </c>
      <c r="L9" s="158">
        <v>36792</v>
      </c>
      <c r="M9" s="157">
        <v>36792</v>
      </c>
      <c r="N9" s="157">
        <v>36792</v>
      </c>
      <c r="O9" s="6">
        <f t="shared" ref="O9:O36" si="0">K9+H9+E9</f>
        <v>110370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250</v>
      </c>
      <c r="D11" s="5">
        <v>266</v>
      </c>
      <c r="E11" s="5">
        <v>-16</v>
      </c>
      <c r="F11" s="6">
        <v>250</v>
      </c>
      <c r="G11" s="5">
        <v>288</v>
      </c>
      <c r="H11" s="5">
        <v>-38</v>
      </c>
      <c r="I11" s="6">
        <v>280</v>
      </c>
      <c r="J11" s="5">
        <v>297</v>
      </c>
      <c r="K11" s="5">
        <v>-17</v>
      </c>
      <c r="L11" s="6">
        <v>0</v>
      </c>
      <c r="M11" s="5">
        <v>273</v>
      </c>
      <c r="N11" s="5">
        <v>-273</v>
      </c>
      <c r="O11" s="6">
        <f t="shared" si="0"/>
        <v>-71</v>
      </c>
      <c r="P11" s="72">
        <f t="shared" si="1"/>
        <v>-8.3333333333333329E-2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369</v>
      </c>
      <c r="E12" s="5">
        <v>-369</v>
      </c>
      <c r="F12" s="6">
        <v>0</v>
      </c>
      <c r="G12" s="5">
        <v>416</v>
      </c>
      <c r="H12" s="5">
        <v>-416</v>
      </c>
      <c r="I12" s="6">
        <v>0</v>
      </c>
      <c r="J12" s="5">
        <v>446</v>
      </c>
      <c r="K12" s="5">
        <v>-446</v>
      </c>
      <c r="L12" s="6">
        <v>0</v>
      </c>
      <c r="M12" s="5">
        <v>400</v>
      </c>
      <c r="N12" s="5">
        <v>-400</v>
      </c>
      <c r="O12" s="6">
        <f t="shared" si="0"/>
        <v>-1231</v>
      </c>
      <c r="P12" s="72">
        <f t="shared" si="1"/>
        <v>-0.99918831168831168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116</v>
      </c>
      <c r="E13" s="5">
        <v>-16</v>
      </c>
      <c r="F13" s="6">
        <v>100</v>
      </c>
      <c r="G13" s="5">
        <v>126</v>
      </c>
      <c r="H13" s="5">
        <v>-26</v>
      </c>
      <c r="I13" s="6">
        <v>100</v>
      </c>
      <c r="J13" s="5">
        <v>130</v>
      </c>
      <c r="K13" s="5">
        <v>-30</v>
      </c>
      <c r="L13" s="6">
        <v>100</v>
      </c>
      <c r="M13" s="5">
        <v>120</v>
      </c>
      <c r="N13" s="5">
        <v>-20</v>
      </c>
      <c r="O13" s="6">
        <f t="shared" si="0"/>
        <v>-72</v>
      </c>
      <c r="P13" s="72">
        <f t="shared" si="1"/>
        <v>-0.19302949061662197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1020</v>
      </c>
      <c r="D14" s="5">
        <v>971</v>
      </c>
      <c r="E14" s="5">
        <v>49</v>
      </c>
      <c r="F14" s="6">
        <v>1020</v>
      </c>
      <c r="G14" s="5">
        <v>1056</v>
      </c>
      <c r="H14" s="5">
        <v>-36</v>
      </c>
      <c r="I14" s="6">
        <v>1020</v>
      </c>
      <c r="J14" s="5">
        <v>1094</v>
      </c>
      <c r="K14" s="5">
        <v>-74</v>
      </c>
      <c r="L14" s="6">
        <v>990</v>
      </c>
      <c r="M14" s="5">
        <v>998</v>
      </c>
      <c r="N14" s="5">
        <v>-8</v>
      </c>
      <c r="O14" s="6">
        <f t="shared" si="0"/>
        <v>-61</v>
      </c>
      <c r="P14" s="72">
        <f t="shared" si="1"/>
        <v>-1.9538757206918642E-2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9862</v>
      </c>
      <c r="D15" s="5">
        <v>492</v>
      </c>
      <c r="E15" s="5">
        <v>9370</v>
      </c>
      <c r="F15" s="6">
        <v>6016</v>
      </c>
      <c r="G15" s="5">
        <v>532</v>
      </c>
      <c r="H15" s="5">
        <v>5484</v>
      </c>
      <c r="I15" s="6">
        <v>566</v>
      </c>
      <c r="J15" s="5">
        <v>550</v>
      </c>
      <c r="K15" s="5">
        <v>16</v>
      </c>
      <c r="L15" s="6">
        <v>510</v>
      </c>
      <c r="M15" s="5">
        <v>506</v>
      </c>
      <c r="N15" s="5">
        <v>4</v>
      </c>
      <c r="O15" s="6">
        <f t="shared" si="0"/>
        <v>14870</v>
      </c>
      <c r="P15" s="72">
        <f t="shared" si="1"/>
        <v>9.4412698412698415</v>
      </c>
      <c r="Q15" s="76"/>
      <c r="R15" s="67" t="str">
        <f>IF($C$4="High Inventory",IF(AND(O15&gt;=Summary!$C$128,P15&gt;=Summary!$C$129),"X"," "),IF(AND(O15&lt;=-Summary!$C$128,P15&lt;=-Summary!$C$129),"X"," "))</f>
        <v>X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>X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>X</v>
      </c>
      <c r="X15" t="str">
        <f>IF($C$4="High Inventory",IF(P15&gt;Summary!$C$129,"X"," "),IF(P15&lt;-Summary!$C$129,"X"," "))</f>
        <v>X</v>
      </c>
    </row>
    <row r="16" spans="1:42" x14ac:dyDescent="0.2">
      <c r="A16" s="28">
        <v>2584</v>
      </c>
      <c r="B16" s="56" t="s">
        <v>25</v>
      </c>
      <c r="C16" s="6">
        <v>3000</v>
      </c>
      <c r="D16" s="5">
        <v>2838</v>
      </c>
      <c r="E16" s="5">
        <v>162</v>
      </c>
      <c r="F16" s="6">
        <v>3000</v>
      </c>
      <c r="G16" s="5">
        <v>3077</v>
      </c>
      <c r="H16" s="5">
        <v>-77</v>
      </c>
      <c r="I16" s="6">
        <v>3355</v>
      </c>
      <c r="J16" s="5">
        <v>3190</v>
      </c>
      <c r="K16" s="5">
        <v>165</v>
      </c>
      <c r="L16" s="6">
        <v>2900</v>
      </c>
      <c r="M16" s="5">
        <v>2921</v>
      </c>
      <c r="N16" s="5">
        <v>-21</v>
      </c>
      <c r="O16" s="6">
        <f t="shared" si="0"/>
        <v>250</v>
      </c>
      <c r="P16" s="72">
        <f t="shared" si="1"/>
        <v>2.745442565341533E-2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3737</v>
      </c>
      <c r="D17" s="5">
        <v>6299</v>
      </c>
      <c r="E17" s="5">
        <v>-2562</v>
      </c>
      <c r="F17" s="6">
        <v>3737</v>
      </c>
      <c r="G17" s="5">
        <v>6831</v>
      </c>
      <c r="H17" s="5">
        <v>-3094</v>
      </c>
      <c r="I17" s="6">
        <v>43737</v>
      </c>
      <c r="J17" s="5">
        <v>7097</v>
      </c>
      <c r="K17" s="5">
        <v>36640</v>
      </c>
      <c r="L17" s="6">
        <v>6250</v>
      </c>
      <c r="M17" s="5">
        <v>6501</v>
      </c>
      <c r="N17" s="5">
        <v>-251</v>
      </c>
      <c r="O17" s="6">
        <f t="shared" si="0"/>
        <v>30984</v>
      </c>
      <c r="P17" s="72">
        <f t="shared" si="1"/>
        <v>1.5317381846944829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833</v>
      </c>
      <c r="E18" s="5">
        <v>-33</v>
      </c>
      <c r="F18" s="6">
        <v>800</v>
      </c>
      <c r="G18" s="5">
        <v>908</v>
      </c>
      <c r="H18" s="5">
        <v>-108</v>
      </c>
      <c r="I18" s="6">
        <v>800</v>
      </c>
      <c r="J18" s="5">
        <v>940</v>
      </c>
      <c r="K18" s="5">
        <v>-140</v>
      </c>
      <c r="L18" s="6">
        <v>823</v>
      </c>
      <c r="M18" s="5">
        <v>856</v>
      </c>
      <c r="N18" s="5">
        <v>-33</v>
      </c>
      <c r="O18" s="6">
        <f t="shared" si="0"/>
        <v>-281</v>
      </c>
      <c r="P18" s="72">
        <f t="shared" si="1"/>
        <v>-0.10477255779269203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4266</v>
      </c>
      <c r="D19" s="5">
        <v>4400</v>
      </c>
      <c r="E19" s="5">
        <v>-134</v>
      </c>
      <c r="F19" s="6">
        <v>4266</v>
      </c>
      <c r="G19" s="5">
        <v>4781</v>
      </c>
      <c r="H19" s="5">
        <v>-515</v>
      </c>
      <c r="I19" s="6">
        <v>4266</v>
      </c>
      <c r="J19" s="5">
        <v>4960</v>
      </c>
      <c r="K19" s="5">
        <v>-694</v>
      </c>
      <c r="L19" s="6">
        <v>3767</v>
      </c>
      <c r="M19" s="5">
        <v>4530</v>
      </c>
      <c r="N19" s="5">
        <v>-763</v>
      </c>
      <c r="O19" s="6">
        <f t="shared" si="0"/>
        <v>-1343</v>
      </c>
      <c r="P19" s="72">
        <f t="shared" si="1"/>
        <v>-9.4965351435440534E-2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3152</v>
      </c>
      <c r="B20" s="56" t="s">
        <v>25</v>
      </c>
      <c r="C20" s="6">
        <v>5613</v>
      </c>
      <c r="D20" s="5">
        <v>3790</v>
      </c>
      <c r="E20" s="5">
        <v>1823</v>
      </c>
      <c r="F20" s="6">
        <v>5715</v>
      </c>
      <c r="G20" s="5">
        <v>4139</v>
      </c>
      <c r="H20" s="5">
        <v>1576</v>
      </c>
      <c r="I20" s="6">
        <v>5715</v>
      </c>
      <c r="J20" s="5">
        <v>4304</v>
      </c>
      <c r="K20" s="5">
        <v>1411</v>
      </c>
      <c r="L20" s="6">
        <v>3900</v>
      </c>
      <c r="M20" s="5">
        <v>3916</v>
      </c>
      <c r="N20" s="5">
        <v>-16</v>
      </c>
      <c r="O20" s="6">
        <f t="shared" si="0"/>
        <v>4810</v>
      </c>
      <c r="P20" s="72">
        <f t="shared" si="1"/>
        <v>0.39316658492725193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>X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>X</v>
      </c>
    </row>
    <row r="21" spans="1:24" x14ac:dyDescent="0.2">
      <c r="A21" s="28">
        <v>6500</v>
      </c>
      <c r="B21" s="56" t="s">
        <v>25</v>
      </c>
      <c r="C21" s="6">
        <v>488083</v>
      </c>
      <c r="D21" s="5">
        <v>454117</v>
      </c>
      <c r="E21" s="5">
        <v>33966</v>
      </c>
      <c r="F21" s="6">
        <v>503634</v>
      </c>
      <c r="G21" s="5">
        <v>496644</v>
      </c>
      <c r="H21" s="5">
        <v>6990</v>
      </c>
      <c r="I21" s="6">
        <v>484698</v>
      </c>
      <c r="J21" s="5">
        <v>515542</v>
      </c>
      <c r="K21" s="5">
        <v>-30844</v>
      </c>
      <c r="L21" s="6">
        <v>460196</v>
      </c>
      <c r="M21" s="5">
        <v>468043</v>
      </c>
      <c r="N21" s="5">
        <v>-7847</v>
      </c>
      <c r="O21" s="6">
        <f t="shared" si="0"/>
        <v>10112</v>
      </c>
      <c r="P21" s="72">
        <f t="shared" si="1"/>
        <v>6.8962507092662911E-3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 xml:space="preserve"> </v>
      </c>
    </row>
    <row r="22" spans="1:24" x14ac:dyDescent="0.2">
      <c r="A22" s="28">
        <v>10656</v>
      </c>
      <c r="B22" s="56" t="s">
        <v>25</v>
      </c>
      <c r="C22" s="6">
        <v>180</v>
      </c>
      <c r="D22" s="5">
        <v>204</v>
      </c>
      <c r="E22" s="5">
        <v>-24</v>
      </c>
      <c r="F22" s="6">
        <v>180</v>
      </c>
      <c r="G22" s="5">
        <v>221</v>
      </c>
      <c r="H22" s="5">
        <v>-41</v>
      </c>
      <c r="I22" s="6">
        <v>180</v>
      </c>
      <c r="J22" s="5">
        <v>229</v>
      </c>
      <c r="K22" s="5">
        <v>-49</v>
      </c>
      <c r="L22" s="6">
        <v>0</v>
      </c>
      <c r="M22" s="5">
        <v>209</v>
      </c>
      <c r="N22" s="5">
        <v>-209</v>
      </c>
      <c r="O22" s="6">
        <f t="shared" si="0"/>
        <v>-114</v>
      </c>
      <c r="P22" s="72">
        <f t="shared" si="1"/>
        <v>-0.17404580152671756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12296</v>
      </c>
      <c r="B23" s="56" t="s">
        <v>25</v>
      </c>
      <c r="C23" s="6">
        <v>2861</v>
      </c>
      <c r="D23" s="5">
        <v>3136</v>
      </c>
      <c r="E23" s="5">
        <v>-275</v>
      </c>
      <c r="F23" s="6">
        <v>2861</v>
      </c>
      <c r="G23" s="5">
        <v>3392</v>
      </c>
      <c r="H23" s="5">
        <v>-531</v>
      </c>
      <c r="I23" s="6">
        <v>2861</v>
      </c>
      <c r="J23" s="5">
        <v>3516</v>
      </c>
      <c r="K23" s="5">
        <v>-655</v>
      </c>
      <c r="L23" s="6">
        <v>2861</v>
      </c>
      <c r="M23" s="5">
        <v>3226</v>
      </c>
      <c r="N23" s="5">
        <v>-365</v>
      </c>
      <c r="O23" s="6">
        <f t="shared" si="0"/>
        <v>-1461</v>
      </c>
      <c r="P23" s="72">
        <f t="shared" si="1"/>
        <v>-0.14544549527127926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16786</v>
      </c>
      <c r="B24" s="56" t="s">
        <v>25</v>
      </c>
      <c r="C24" s="6">
        <v>2799</v>
      </c>
      <c r="D24" s="5">
        <v>3314</v>
      </c>
      <c r="E24" s="5">
        <v>-515</v>
      </c>
      <c r="F24" s="6">
        <v>2799</v>
      </c>
      <c r="G24" s="5">
        <v>3601</v>
      </c>
      <c r="H24" s="5">
        <v>-802</v>
      </c>
      <c r="I24" s="6">
        <v>2799</v>
      </c>
      <c r="J24" s="5">
        <v>3736</v>
      </c>
      <c r="K24" s="5">
        <v>-937</v>
      </c>
      <c r="L24" s="6">
        <v>2999</v>
      </c>
      <c r="M24" s="5">
        <v>3414</v>
      </c>
      <c r="N24" s="5">
        <v>-415</v>
      </c>
      <c r="O24" s="6">
        <f t="shared" si="0"/>
        <v>-2254</v>
      </c>
      <c r="P24" s="72">
        <f t="shared" si="1"/>
        <v>-0.21160345475028164</v>
      </c>
      <c r="Q24" s="76" t="str">
        <f>" "</f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17791</v>
      </c>
      <c r="B25" s="56" t="s">
        <v>25</v>
      </c>
      <c r="C25" s="6">
        <v>250</v>
      </c>
      <c r="D25" s="5">
        <v>241</v>
      </c>
      <c r="E25" s="5">
        <v>9</v>
      </c>
      <c r="F25" s="6">
        <v>250</v>
      </c>
      <c r="G25" s="5">
        <v>260</v>
      </c>
      <c r="H25" s="5">
        <v>-10</v>
      </c>
      <c r="I25" s="6">
        <v>250</v>
      </c>
      <c r="J25" s="5">
        <v>269</v>
      </c>
      <c r="K25" s="5">
        <v>-19</v>
      </c>
      <c r="L25" s="6">
        <v>245</v>
      </c>
      <c r="M25" s="5">
        <v>248</v>
      </c>
      <c r="N25" s="5">
        <v>-3</v>
      </c>
      <c r="O25" s="6">
        <f t="shared" si="0"/>
        <v>-20</v>
      </c>
      <c r="P25" s="72">
        <f t="shared" si="1"/>
        <v>-2.5940337224383919E-2</v>
      </c>
      <c r="Q25" s="76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30649</v>
      </c>
      <c r="B26" s="56" t="s">
        <v>25</v>
      </c>
      <c r="C26" s="6">
        <v>1284</v>
      </c>
      <c r="D26" s="5">
        <v>870</v>
      </c>
      <c r="E26" s="5">
        <v>414</v>
      </c>
      <c r="F26" s="6">
        <v>1284</v>
      </c>
      <c r="G26" s="5">
        <v>941</v>
      </c>
      <c r="H26" s="5">
        <v>343</v>
      </c>
      <c r="I26" s="6">
        <v>1284</v>
      </c>
      <c r="J26" s="5">
        <v>975</v>
      </c>
      <c r="K26" s="5">
        <v>309</v>
      </c>
      <c r="L26" s="6">
        <v>384</v>
      </c>
      <c r="M26" s="5">
        <v>895</v>
      </c>
      <c r="N26" s="5">
        <v>-511</v>
      </c>
      <c r="O26" s="6">
        <f t="shared" si="0"/>
        <v>1066</v>
      </c>
      <c r="P26" s="72">
        <f t="shared" si="1"/>
        <v>0.38249013275923932</v>
      </c>
      <c r="Q26" s="76"/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>X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>X</v>
      </c>
    </row>
    <row r="27" spans="1:24" x14ac:dyDescent="0.2">
      <c r="A27" s="28">
        <v>1117</v>
      </c>
      <c r="B27" s="56" t="s">
        <v>26</v>
      </c>
      <c r="C27" s="6">
        <v>75651</v>
      </c>
      <c r="D27" s="5">
        <v>85141</v>
      </c>
      <c r="E27" s="5">
        <v>-9490</v>
      </c>
      <c r="F27" s="6">
        <v>38508</v>
      </c>
      <c r="G27" s="5">
        <v>88815</v>
      </c>
      <c r="H27" s="5">
        <v>-50307</v>
      </c>
      <c r="I27" s="6">
        <v>94610</v>
      </c>
      <c r="J27" s="5">
        <v>87511</v>
      </c>
      <c r="K27" s="5">
        <v>7099</v>
      </c>
      <c r="L27" s="6">
        <v>66033</v>
      </c>
      <c r="M27" s="5">
        <v>75895</v>
      </c>
      <c r="N27" s="5">
        <v>-9862</v>
      </c>
      <c r="O27" s="6">
        <f t="shared" si="0"/>
        <v>-52698</v>
      </c>
      <c r="P27" s="72">
        <f t="shared" si="1"/>
        <v>-0.20154665198035707</v>
      </c>
      <c r="Q27" s="8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">
      <c r="A28" s="28">
        <v>1126</v>
      </c>
      <c r="B28" s="56" t="s">
        <v>26</v>
      </c>
      <c r="C28" s="6">
        <v>29109</v>
      </c>
      <c r="D28" s="5">
        <v>28379</v>
      </c>
      <c r="E28" s="5">
        <v>730</v>
      </c>
      <c r="F28" s="6">
        <v>29109</v>
      </c>
      <c r="G28" s="5">
        <v>28116</v>
      </c>
      <c r="H28" s="5">
        <v>993</v>
      </c>
      <c r="I28" s="6">
        <v>29109</v>
      </c>
      <c r="J28" s="5">
        <v>28068</v>
      </c>
      <c r="K28" s="5">
        <v>1041</v>
      </c>
      <c r="L28" s="6">
        <v>22944</v>
      </c>
      <c r="M28" s="5">
        <v>25450</v>
      </c>
      <c r="N28" s="5">
        <v>-2506</v>
      </c>
      <c r="O28" s="6">
        <f t="shared" si="0"/>
        <v>2764</v>
      </c>
      <c r="P28" s="72">
        <f t="shared" si="1"/>
        <v>3.2685303438815573E-2</v>
      </c>
      <c r="Q28" s="8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1157</v>
      </c>
      <c r="B29" s="56" t="s">
        <v>26</v>
      </c>
      <c r="C29" s="6">
        <v>159543</v>
      </c>
      <c r="D29" s="5">
        <v>178348</v>
      </c>
      <c r="E29" s="5">
        <v>-18805</v>
      </c>
      <c r="F29" s="6">
        <v>146163</v>
      </c>
      <c r="G29" s="5">
        <v>151900</v>
      </c>
      <c r="H29" s="5">
        <v>-5737</v>
      </c>
      <c r="I29" s="6">
        <v>148582</v>
      </c>
      <c r="J29" s="5">
        <v>147902</v>
      </c>
      <c r="K29" s="5">
        <v>680</v>
      </c>
      <c r="L29" s="6">
        <v>118400</v>
      </c>
      <c r="M29" s="5">
        <v>117841</v>
      </c>
      <c r="N29" s="5">
        <v>559</v>
      </c>
      <c r="O29" s="6">
        <f t="shared" si="0"/>
        <v>-23862</v>
      </c>
      <c r="P29" s="72">
        <f t="shared" si="1"/>
        <v>-4.9904737206447336E-2</v>
      </c>
      <c r="Q29" s="8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1281</v>
      </c>
      <c r="B30" s="56" t="s">
        <v>26</v>
      </c>
      <c r="C30" s="6">
        <v>67229</v>
      </c>
      <c r="D30" s="5">
        <v>72167</v>
      </c>
      <c r="E30" s="5">
        <v>-4938</v>
      </c>
      <c r="F30" s="6">
        <v>78812</v>
      </c>
      <c r="G30" s="5">
        <v>66348</v>
      </c>
      <c r="H30" s="5">
        <v>12464</v>
      </c>
      <c r="I30" s="6">
        <v>42229</v>
      </c>
      <c r="J30" s="5">
        <v>67421</v>
      </c>
      <c r="K30" s="5">
        <v>-25192</v>
      </c>
      <c r="L30" s="6">
        <v>46298</v>
      </c>
      <c r="M30" s="5">
        <v>58097</v>
      </c>
      <c r="N30" s="5">
        <v>-11799</v>
      </c>
      <c r="O30" s="6">
        <f t="shared" si="0"/>
        <v>-17666</v>
      </c>
      <c r="P30" s="72">
        <f t="shared" si="1"/>
        <v>-8.5783516318097289E-2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1340</v>
      </c>
      <c r="B31" s="56" t="s">
        <v>26</v>
      </c>
      <c r="C31" s="6">
        <v>4817</v>
      </c>
      <c r="D31" s="5">
        <v>4535</v>
      </c>
      <c r="E31" s="5">
        <v>282</v>
      </c>
      <c r="F31" s="6">
        <v>4840</v>
      </c>
      <c r="G31" s="5">
        <v>6440</v>
      </c>
      <c r="H31" s="5">
        <v>-1600</v>
      </c>
      <c r="I31" s="6">
        <v>4818</v>
      </c>
      <c r="J31" s="5">
        <v>6461</v>
      </c>
      <c r="K31" s="5">
        <v>-1643</v>
      </c>
      <c r="L31" s="6">
        <v>4818</v>
      </c>
      <c r="M31" s="5">
        <v>5650</v>
      </c>
      <c r="N31" s="5">
        <v>-832</v>
      </c>
      <c r="O31" s="6">
        <f t="shared" si="0"/>
        <v>-2961</v>
      </c>
      <c r="P31" s="72">
        <f t="shared" si="1"/>
        <v>-0.16981132075471697</v>
      </c>
      <c r="Q31" s="76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">
      <c r="A32" s="28">
        <v>1377</v>
      </c>
      <c r="B32" s="56" t="s">
        <v>26</v>
      </c>
      <c r="C32" s="6">
        <v>70062</v>
      </c>
      <c r="D32" s="5">
        <v>130851</v>
      </c>
      <c r="E32" s="5">
        <v>-60789</v>
      </c>
      <c r="F32" s="6">
        <v>124782</v>
      </c>
      <c r="G32" s="5">
        <v>124602</v>
      </c>
      <c r="H32" s="5">
        <v>180</v>
      </c>
      <c r="I32" s="6">
        <v>158741</v>
      </c>
      <c r="J32" s="5">
        <v>123231</v>
      </c>
      <c r="K32" s="5">
        <v>35510</v>
      </c>
      <c r="L32" s="6">
        <v>100334</v>
      </c>
      <c r="M32" s="5">
        <v>123110</v>
      </c>
      <c r="N32" s="5">
        <v>-22776</v>
      </c>
      <c r="O32" s="6">
        <f t="shared" si="0"/>
        <v>-25099</v>
      </c>
      <c r="P32" s="72">
        <f t="shared" si="1"/>
        <v>-6.6279361474576498E-2</v>
      </c>
      <c r="Q32" s="8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1830</v>
      </c>
      <c r="B33" s="56" t="s">
        <v>26</v>
      </c>
      <c r="C33" s="6">
        <v>0</v>
      </c>
      <c r="D33" s="5">
        <v>3819</v>
      </c>
      <c r="E33" s="5">
        <v>-3819</v>
      </c>
      <c r="F33" s="6">
        <v>4071</v>
      </c>
      <c r="G33" s="5">
        <v>2886</v>
      </c>
      <c r="H33" s="5">
        <v>1185</v>
      </c>
      <c r="I33" s="6">
        <v>3841</v>
      </c>
      <c r="J33" s="5">
        <v>3722</v>
      </c>
      <c r="K33" s="5">
        <v>119</v>
      </c>
      <c r="L33" s="6">
        <v>2930</v>
      </c>
      <c r="M33" s="5">
        <v>3642</v>
      </c>
      <c r="N33" s="5">
        <v>-712</v>
      </c>
      <c r="O33" s="6">
        <f t="shared" si="0"/>
        <v>-2515</v>
      </c>
      <c r="P33" s="72">
        <f t="shared" si="1"/>
        <v>-0.24117759877253547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1864</v>
      </c>
      <c r="B34" s="56" t="s">
        <v>26</v>
      </c>
      <c r="C34" s="6">
        <v>617137</v>
      </c>
      <c r="D34" s="5">
        <v>512723</v>
      </c>
      <c r="E34" s="5">
        <v>104414</v>
      </c>
      <c r="F34" s="6">
        <v>583216</v>
      </c>
      <c r="G34" s="5">
        <v>488582</v>
      </c>
      <c r="H34" s="5">
        <v>94634</v>
      </c>
      <c r="I34" s="6">
        <v>462681</v>
      </c>
      <c r="J34" s="5">
        <v>483508</v>
      </c>
      <c r="K34" s="5">
        <v>-20827</v>
      </c>
      <c r="L34" s="6">
        <v>485140</v>
      </c>
      <c r="M34" s="5">
        <v>484315</v>
      </c>
      <c r="N34" s="5">
        <v>825</v>
      </c>
      <c r="O34" s="6">
        <f t="shared" si="0"/>
        <v>178221</v>
      </c>
      <c r="P34" s="72">
        <f t="shared" si="1"/>
        <v>0.12002917537146067</v>
      </c>
      <c r="Q34" s="76"/>
      <c r="R34" s="67" t="str">
        <f>IF($C$4="High Inventory",IF(AND(O34&gt;=Summary!$C$128,P34&gt;=Summary!$C$129),"X"," "),IF(AND(O34&lt;=-Summary!$C$128,P34&lt;=-Summary!$C$129),"X"," "))</f>
        <v>X</v>
      </c>
      <c r="S34" s="85" t="str">
        <f>IF($C$4="High Inventory",IF(AND(L34-I34&gt;=Summary!$C$132,N34-K34&gt;Summary!$C$132,N34&gt;0),"X"," "),IF(AND(I34-L34&gt;=Summary!$C$132,K34-N34&gt;Summary!$C$132,N34&lt;0),"X"," "))</f>
        <v>X</v>
      </c>
      <c r="T34" s="8" t="str">
        <f>IF($C$4="High Inventory",IF(AND($O34&gt;=Summary!$C$128,$P34&gt;=0%),"X"," "),IF(AND($O34&lt;=-Summary!$C$128,$P34&lt;=0%),"X"," "))</f>
        <v>X</v>
      </c>
      <c r="U34" s="11" t="str">
        <f>IF($C$4="High Inventory",IF(AND($O34&gt;=0,$P34&gt;=Summary!$C$129),"X"," "),IF(AND($O34&lt;=0,$P34&lt;=-Summary!$C$129),"X"," "))</f>
        <v>X</v>
      </c>
      <c r="V34">
        <f t="shared" si="2"/>
        <v>22459</v>
      </c>
      <c r="W34" t="str">
        <f>IF($C$4="High Inventory",IF(O34&gt;Summary!$C$128,"X"," "),IF(O34&lt;-Summary!$C$128,"X"," "))</f>
        <v>X</v>
      </c>
      <c r="X34" t="str">
        <f>IF($C$4="High Inventory",IF(P34&gt;Summary!$C$129,"X"," "),IF(P34&lt;-Summary!$C$129,"X"," "))</f>
        <v>X</v>
      </c>
    </row>
    <row r="35" spans="1:24" x14ac:dyDescent="0.2">
      <c r="A35" s="28">
        <v>1922</v>
      </c>
      <c r="B35" s="56" t="s">
        <v>26</v>
      </c>
      <c r="C35" s="6">
        <v>56011</v>
      </c>
      <c r="D35" s="5">
        <v>65207</v>
      </c>
      <c r="E35" s="5">
        <v>-9196</v>
      </c>
      <c r="F35" s="6">
        <v>56470</v>
      </c>
      <c r="G35" s="5">
        <v>67812</v>
      </c>
      <c r="H35" s="5">
        <v>-11342</v>
      </c>
      <c r="I35" s="6">
        <v>27597</v>
      </c>
      <c r="J35" s="5">
        <v>66480</v>
      </c>
      <c r="K35" s="5">
        <v>-38883</v>
      </c>
      <c r="L35" s="6">
        <v>37166</v>
      </c>
      <c r="M35" s="5">
        <v>57181</v>
      </c>
      <c r="N35" s="5">
        <v>-20015</v>
      </c>
      <c r="O35" s="6">
        <f t="shared" si="0"/>
        <v>-59421</v>
      </c>
      <c r="P35" s="72">
        <f t="shared" si="1"/>
        <v>-0.29784962406015036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1928</v>
      </c>
      <c r="B36" s="56" t="s">
        <v>26</v>
      </c>
      <c r="C36" s="6">
        <v>7419</v>
      </c>
      <c r="D36" s="5">
        <v>7484</v>
      </c>
      <c r="E36" s="5">
        <v>-65</v>
      </c>
      <c r="F36" s="6">
        <v>2919</v>
      </c>
      <c r="G36" s="5">
        <v>8012</v>
      </c>
      <c r="H36" s="5">
        <v>-5093</v>
      </c>
      <c r="I36" s="6">
        <v>2919</v>
      </c>
      <c r="J36" s="5">
        <v>6339</v>
      </c>
      <c r="K36" s="5">
        <v>-3420</v>
      </c>
      <c r="L36" s="6">
        <v>4499</v>
      </c>
      <c r="M36" s="5">
        <v>6966</v>
      </c>
      <c r="N36" s="5">
        <v>-2467</v>
      </c>
      <c r="O36" s="6">
        <f t="shared" si="0"/>
        <v>-8578</v>
      </c>
      <c r="P36" s="72">
        <f t="shared" si="1"/>
        <v>-0.39283751602857664</v>
      </c>
      <c r="Q36" s="76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">
      <c r="A37" s="28">
        <v>2056</v>
      </c>
      <c r="B37" s="56" t="s">
        <v>26</v>
      </c>
      <c r="C37" s="6">
        <v>27740</v>
      </c>
      <c r="D37" s="5">
        <v>24305</v>
      </c>
      <c r="E37" s="5">
        <v>3435</v>
      </c>
      <c r="F37" s="6">
        <v>27740</v>
      </c>
      <c r="G37" s="5">
        <v>24284</v>
      </c>
      <c r="H37" s="5">
        <v>3456</v>
      </c>
      <c r="I37" s="6">
        <v>20632</v>
      </c>
      <c r="J37" s="5">
        <v>24591</v>
      </c>
      <c r="K37" s="5">
        <v>-3959</v>
      </c>
      <c r="L37" s="6">
        <v>17635</v>
      </c>
      <c r="M37" s="5">
        <v>24059</v>
      </c>
      <c r="N37" s="5">
        <v>-6424</v>
      </c>
      <c r="O37" s="6">
        <f t="shared" ref="O37:O64" si="3">K37+H37+E37</f>
        <v>2932</v>
      </c>
      <c r="P37" s="72">
        <f t="shared" si="1"/>
        <v>4.0065044205463168E-2</v>
      </c>
      <c r="Q37" s="76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2280</v>
      </c>
      <c r="B38" s="56" t="s">
        <v>26</v>
      </c>
      <c r="C38" s="6">
        <v>33212</v>
      </c>
      <c r="D38" s="5">
        <v>23425</v>
      </c>
      <c r="E38" s="5">
        <v>9787</v>
      </c>
      <c r="F38" s="6">
        <v>25514</v>
      </c>
      <c r="G38" s="5">
        <v>23315</v>
      </c>
      <c r="H38" s="5">
        <v>2199</v>
      </c>
      <c r="I38" s="6">
        <v>45916</v>
      </c>
      <c r="J38" s="5">
        <v>22187</v>
      </c>
      <c r="K38" s="5">
        <v>23729</v>
      </c>
      <c r="L38" s="6">
        <v>23836</v>
      </c>
      <c r="M38" s="5">
        <v>18445</v>
      </c>
      <c r="N38" s="5">
        <v>5391</v>
      </c>
      <c r="O38" s="6">
        <f t="shared" si="3"/>
        <v>35715</v>
      </c>
      <c r="P38" s="72">
        <f t="shared" ref="P38:P65" si="4">O38/(J38+G38+D38+1)</f>
        <v>0.51814937325905297</v>
      </c>
      <c r="Q38" s="76"/>
      <c r="R38" s="67" t="str">
        <f>IF($C$4="High Inventory",IF(AND(O38&gt;=Summary!$C$128,P38&gt;=Summary!$C$129),"X"," "),IF(AND(O38&lt;=-Summary!$C$128,P38&lt;=-Summary!$C$129),"X"," "))</f>
        <v>X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>X</v>
      </c>
      <c r="U38" s="11" t="str">
        <f>IF($C$4="High Inventory",IF(AND($O38&gt;=0,$P38&gt;=Summary!$C$129),"X"," "),IF(AND($O38&lt;=0,$P38&lt;=-Summary!$C$129),"X"," "))</f>
        <v>X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>X</v>
      </c>
      <c r="X38" t="str">
        <f>IF($C$4="High Inventory",IF(P38&gt;Summary!$C$129,"X"," "),IF(P38&lt;-Summary!$C$129,"X"," "))</f>
        <v>X</v>
      </c>
    </row>
    <row r="39" spans="1:24" x14ac:dyDescent="0.2">
      <c r="A39" s="28">
        <v>2584</v>
      </c>
      <c r="B39" s="56" t="s">
        <v>26</v>
      </c>
      <c r="C39" s="6">
        <v>88976</v>
      </c>
      <c r="D39" s="5">
        <v>77250</v>
      </c>
      <c r="E39" s="5">
        <v>11726</v>
      </c>
      <c r="F39" s="6">
        <v>103855</v>
      </c>
      <c r="G39" s="5">
        <v>77603</v>
      </c>
      <c r="H39" s="5">
        <v>26252</v>
      </c>
      <c r="I39" s="6">
        <v>77630</v>
      </c>
      <c r="J39" s="5">
        <v>79516</v>
      </c>
      <c r="K39" s="5">
        <v>-1886</v>
      </c>
      <c r="L39" s="6">
        <v>63651</v>
      </c>
      <c r="M39" s="5">
        <v>66783</v>
      </c>
      <c r="N39" s="5">
        <v>-3132</v>
      </c>
      <c r="O39" s="6">
        <f t="shared" si="3"/>
        <v>36092</v>
      </c>
      <c r="P39" s="72">
        <f t="shared" si="4"/>
        <v>0.15399581857746297</v>
      </c>
      <c r="Q39" s="76"/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">
      <c r="A40" s="28">
        <v>2771</v>
      </c>
      <c r="B40" s="56" t="s">
        <v>26</v>
      </c>
      <c r="C40" s="6">
        <v>101603</v>
      </c>
      <c r="D40" s="5">
        <v>75651</v>
      </c>
      <c r="E40" s="5">
        <v>25952</v>
      </c>
      <c r="F40" s="6">
        <v>105845</v>
      </c>
      <c r="G40" s="5">
        <v>75293</v>
      </c>
      <c r="H40" s="5">
        <v>30552</v>
      </c>
      <c r="I40" s="6">
        <v>32729</v>
      </c>
      <c r="J40" s="5">
        <v>80063</v>
      </c>
      <c r="K40" s="5">
        <v>-47334</v>
      </c>
      <c r="L40" s="6">
        <v>50286</v>
      </c>
      <c r="M40" s="5">
        <v>58551</v>
      </c>
      <c r="N40" s="5">
        <v>-8265</v>
      </c>
      <c r="O40" s="6">
        <f t="shared" si="3"/>
        <v>9170</v>
      </c>
      <c r="P40" s="72">
        <f t="shared" si="4"/>
        <v>3.969559495775038E-2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2832</v>
      </c>
      <c r="B41" s="56" t="s">
        <v>26</v>
      </c>
      <c r="C41" s="6">
        <v>4791</v>
      </c>
      <c r="D41" s="5">
        <v>2932</v>
      </c>
      <c r="E41" s="5">
        <v>1859</v>
      </c>
      <c r="F41" s="6">
        <v>4791</v>
      </c>
      <c r="G41" s="5">
        <v>3296</v>
      </c>
      <c r="H41" s="5">
        <v>1495</v>
      </c>
      <c r="I41" s="6">
        <v>4791</v>
      </c>
      <c r="J41" s="5">
        <v>2968</v>
      </c>
      <c r="K41" s="5">
        <v>1823</v>
      </c>
      <c r="L41" s="6">
        <v>1768</v>
      </c>
      <c r="M41" s="5">
        <v>2011</v>
      </c>
      <c r="N41" s="5">
        <v>-243</v>
      </c>
      <c r="O41" s="6">
        <f t="shared" si="3"/>
        <v>5177</v>
      </c>
      <c r="P41" s="72">
        <f t="shared" si="4"/>
        <v>0.56290094596063933</v>
      </c>
      <c r="Q41" s="8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2892</v>
      </c>
      <c r="B42" s="56" t="s">
        <v>26</v>
      </c>
      <c r="C42" s="6">
        <v>659</v>
      </c>
      <c r="D42" s="5">
        <v>144</v>
      </c>
      <c r="E42" s="5">
        <v>515</v>
      </c>
      <c r="F42" s="6">
        <v>659</v>
      </c>
      <c r="G42" s="5">
        <v>155</v>
      </c>
      <c r="H42" s="5">
        <v>504</v>
      </c>
      <c r="I42" s="6">
        <v>659</v>
      </c>
      <c r="J42" s="5">
        <v>171</v>
      </c>
      <c r="K42" s="5">
        <v>488</v>
      </c>
      <c r="L42" s="6">
        <v>1117</v>
      </c>
      <c r="M42" s="5">
        <v>162</v>
      </c>
      <c r="N42" s="5">
        <v>955</v>
      </c>
      <c r="O42" s="6">
        <f t="shared" si="3"/>
        <v>1507</v>
      </c>
      <c r="P42" s="72">
        <f t="shared" si="4"/>
        <v>3.1995753715498938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3015</v>
      </c>
      <c r="B43" s="56" t="s">
        <v>26</v>
      </c>
      <c r="C43" s="6">
        <v>5881</v>
      </c>
      <c r="D43" s="5">
        <v>9816</v>
      </c>
      <c r="E43" s="5">
        <v>-3935</v>
      </c>
      <c r="F43" s="6">
        <v>11387</v>
      </c>
      <c r="G43" s="5">
        <v>9835</v>
      </c>
      <c r="H43" s="5">
        <v>1552</v>
      </c>
      <c r="I43" s="6">
        <v>5897</v>
      </c>
      <c r="J43" s="5">
        <v>9654</v>
      </c>
      <c r="K43" s="5">
        <v>-3757</v>
      </c>
      <c r="L43" s="6">
        <v>9883</v>
      </c>
      <c r="M43" s="5">
        <v>8996</v>
      </c>
      <c r="N43" s="5">
        <v>887</v>
      </c>
      <c r="O43" s="6">
        <f t="shared" si="3"/>
        <v>-6140</v>
      </c>
      <c r="P43" s="72">
        <f t="shared" si="4"/>
        <v>-0.2095134102231625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4438</v>
      </c>
      <c r="B44" s="56" t="s">
        <v>26</v>
      </c>
      <c r="C44" s="6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6">
        <v>0</v>
      </c>
      <c r="J44" s="5">
        <v>0</v>
      </c>
      <c r="K44" s="5">
        <v>0</v>
      </c>
      <c r="L44" s="6">
        <v>0</v>
      </c>
      <c r="M44" s="5">
        <v>0</v>
      </c>
      <c r="N44" s="5">
        <v>0</v>
      </c>
      <c r="O44" s="6">
        <f t="shared" si="3"/>
        <v>0</v>
      </c>
      <c r="P44" s="72">
        <f t="shared" si="4"/>
        <v>0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">
      <c r="A45" s="28">
        <v>4760</v>
      </c>
      <c r="B45" s="56" t="s">
        <v>26</v>
      </c>
      <c r="C45" s="6">
        <v>572701</v>
      </c>
      <c r="D45" s="5">
        <v>550436</v>
      </c>
      <c r="E45" s="5">
        <v>22265</v>
      </c>
      <c r="F45" s="6">
        <v>551135</v>
      </c>
      <c r="G45" s="5">
        <v>418870</v>
      </c>
      <c r="H45" s="5">
        <v>132265</v>
      </c>
      <c r="I45" s="6">
        <v>398446</v>
      </c>
      <c r="J45" s="5">
        <v>456770</v>
      </c>
      <c r="K45" s="5">
        <v>-58324</v>
      </c>
      <c r="L45" s="6">
        <v>318946</v>
      </c>
      <c r="M45" s="5">
        <v>383119</v>
      </c>
      <c r="N45" s="5">
        <v>-64173</v>
      </c>
      <c r="O45" s="6">
        <f t="shared" si="3"/>
        <v>96206</v>
      </c>
      <c r="P45" s="72">
        <f t="shared" si="4"/>
        <v>6.7461995390150742E-2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>X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>X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6084</v>
      </c>
      <c r="B46" s="56" t="s">
        <v>26</v>
      </c>
      <c r="C46" s="6">
        <v>1800</v>
      </c>
      <c r="D46" s="5">
        <v>1582</v>
      </c>
      <c r="E46" s="5">
        <v>218</v>
      </c>
      <c r="F46" s="6">
        <v>1800</v>
      </c>
      <c r="G46" s="5">
        <v>1781</v>
      </c>
      <c r="H46" s="5">
        <v>19</v>
      </c>
      <c r="I46" s="6">
        <v>1800</v>
      </c>
      <c r="J46" s="5">
        <v>1736</v>
      </c>
      <c r="K46" s="5">
        <v>64</v>
      </c>
      <c r="L46" s="6">
        <v>1800</v>
      </c>
      <c r="M46" s="5">
        <v>1843</v>
      </c>
      <c r="N46" s="5">
        <v>-43</v>
      </c>
      <c r="O46" s="6">
        <f t="shared" si="3"/>
        <v>301</v>
      </c>
      <c r="P46" s="72">
        <f t="shared" si="4"/>
        <v>5.9019607843137256E-2</v>
      </c>
      <c r="Q46" s="76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6728</v>
      </c>
      <c r="B47" s="56" t="s">
        <v>26</v>
      </c>
      <c r="C47" s="6">
        <v>11000</v>
      </c>
      <c r="D47" s="5">
        <v>11754</v>
      </c>
      <c r="E47" s="5">
        <v>-754</v>
      </c>
      <c r="F47" s="6">
        <v>11000</v>
      </c>
      <c r="G47" s="5">
        <v>10775</v>
      </c>
      <c r="H47" s="5">
        <v>225</v>
      </c>
      <c r="I47" s="6">
        <v>11000</v>
      </c>
      <c r="J47" s="5">
        <v>9530</v>
      </c>
      <c r="K47" s="5">
        <v>1470</v>
      </c>
      <c r="L47" s="6">
        <v>11000</v>
      </c>
      <c r="M47" s="5">
        <v>9282</v>
      </c>
      <c r="N47" s="5">
        <v>1718</v>
      </c>
      <c r="O47" s="6">
        <f t="shared" si="3"/>
        <v>941</v>
      </c>
      <c r="P47" s="72">
        <f t="shared" si="4"/>
        <v>2.9351216469120398E-2</v>
      </c>
      <c r="Q47" s="76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12296</v>
      </c>
      <c r="B48" s="56" t="s">
        <v>26</v>
      </c>
      <c r="C48" s="6">
        <v>38269</v>
      </c>
      <c r="D48" s="5">
        <v>37023</v>
      </c>
      <c r="E48" s="5">
        <v>1246</v>
      </c>
      <c r="F48" s="6">
        <v>38269</v>
      </c>
      <c r="G48" s="5">
        <v>36929</v>
      </c>
      <c r="H48" s="5">
        <v>1340</v>
      </c>
      <c r="I48" s="6">
        <v>34135</v>
      </c>
      <c r="J48" s="5">
        <v>39097</v>
      </c>
      <c r="K48" s="5">
        <v>-4962</v>
      </c>
      <c r="L48" s="6">
        <v>33768</v>
      </c>
      <c r="M48" s="5">
        <v>36599</v>
      </c>
      <c r="N48" s="5">
        <v>-2831</v>
      </c>
      <c r="O48" s="6">
        <f t="shared" si="3"/>
        <v>-2376</v>
      </c>
      <c r="P48" s="72">
        <f t="shared" si="4"/>
        <v>-2.1017249004865103E-2</v>
      </c>
      <c r="Q48" s="76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15966</v>
      </c>
      <c r="B49" s="56" t="s">
        <v>26</v>
      </c>
      <c r="C49" s="6">
        <v>64689</v>
      </c>
      <c r="D49" s="5">
        <v>61222</v>
      </c>
      <c r="E49" s="5">
        <v>3467</v>
      </c>
      <c r="F49" s="6">
        <v>64669</v>
      </c>
      <c r="G49" s="5">
        <v>60321</v>
      </c>
      <c r="H49" s="5">
        <v>4348</v>
      </c>
      <c r="I49" s="6">
        <v>64842</v>
      </c>
      <c r="J49" s="5">
        <v>57937</v>
      </c>
      <c r="K49" s="5">
        <v>6905</v>
      </c>
      <c r="L49" s="6">
        <v>51850</v>
      </c>
      <c r="M49" s="5">
        <v>51447</v>
      </c>
      <c r="N49" s="5">
        <v>403</v>
      </c>
      <c r="O49" s="6">
        <f t="shared" si="3"/>
        <v>14720</v>
      </c>
      <c r="P49" s="72">
        <f t="shared" si="4"/>
        <v>8.2014252204968774E-2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>X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>X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30069</v>
      </c>
      <c r="B50" s="56" t="s">
        <v>26</v>
      </c>
      <c r="C50" s="6">
        <v>7875</v>
      </c>
      <c r="D50" s="5">
        <v>10467</v>
      </c>
      <c r="E50" s="5">
        <v>-2592</v>
      </c>
      <c r="F50" s="6">
        <v>9585</v>
      </c>
      <c r="G50" s="5">
        <v>10042</v>
      </c>
      <c r="H50" s="5">
        <v>-457</v>
      </c>
      <c r="I50" s="6">
        <v>8372</v>
      </c>
      <c r="J50" s="5">
        <v>10081</v>
      </c>
      <c r="K50" s="5">
        <v>-1709</v>
      </c>
      <c r="L50" s="6">
        <v>10100</v>
      </c>
      <c r="M50" s="5">
        <v>10076</v>
      </c>
      <c r="N50" s="5">
        <v>24</v>
      </c>
      <c r="O50" s="6">
        <f t="shared" si="3"/>
        <v>-4758</v>
      </c>
      <c r="P50" s="72">
        <f t="shared" si="4"/>
        <v>-0.15553594194370893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42</v>
      </c>
      <c r="B51" s="56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3"/>
        <v>0</v>
      </c>
      <c r="P51" s="72">
        <f t="shared" si="4"/>
        <v>0</v>
      </c>
      <c r="Q51" s="6"/>
      <c r="R51" s="5"/>
      <c r="S51" s="215"/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51</v>
      </c>
      <c r="B52" s="56" t="s">
        <v>27</v>
      </c>
      <c r="C52" s="6">
        <v>13146</v>
      </c>
      <c r="D52" s="5">
        <v>7916</v>
      </c>
      <c r="E52" s="5">
        <v>5230</v>
      </c>
      <c r="F52" s="6">
        <v>13146</v>
      </c>
      <c r="G52" s="5">
        <v>8473</v>
      </c>
      <c r="H52" s="5">
        <v>4673</v>
      </c>
      <c r="I52" s="6">
        <v>13146</v>
      </c>
      <c r="J52" s="5">
        <v>8654</v>
      </c>
      <c r="K52" s="5">
        <v>4492</v>
      </c>
      <c r="L52" s="6">
        <v>13146</v>
      </c>
      <c r="M52" s="5">
        <v>8246</v>
      </c>
      <c r="N52" s="5">
        <v>4900</v>
      </c>
      <c r="O52" s="6">
        <f t="shared" si="3"/>
        <v>14395</v>
      </c>
      <c r="P52" s="72">
        <f t="shared" si="4"/>
        <v>0.57478837246446257</v>
      </c>
      <c r="Q52" s="6"/>
      <c r="R52" s="67" t="str">
        <f>IF(AND(O52&gt;=5000,P52&gt;=10%),"X"," ")</f>
        <v>X</v>
      </c>
      <c r="S52" s="85" t="str">
        <f>IF(AND(L52-I52&gt;=5000,N52-K52&gt;5000,N52&gt;0),"X"," ")</f>
        <v xml:space="preserve"> </v>
      </c>
      <c r="T52" s="8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">
      <c r="A53" s="28">
        <v>59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69</v>
      </c>
      <c r="B54" s="56" t="s">
        <v>27</v>
      </c>
      <c r="C54" s="6">
        <v>0</v>
      </c>
      <c r="D54" s="5">
        <v>14</v>
      </c>
      <c r="E54" s="5">
        <v>-14</v>
      </c>
      <c r="F54" s="6">
        <v>0</v>
      </c>
      <c r="G54" s="5">
        <v>18</v>
      </c>
      <c r="H54" s="5">
        <v>-18</v>
      </c>
      <c r="I54" s="6">
        <v>0</v>
      </c>
      <c r="J54" s="5">
        <v>44</v>
      </c>
      <c r="K54" s="5">
        <v>-44</v>
      </c>
      <c r="L54" s="6">
        <v>0</v>
      </c>
      <c r="M54" s="5">
        <v>105</v>
      </c>
      <c r="N54" s="5">
        <v>-105</v>
      </c>
      <c r="O54" s="6">
        <f t="shared" si="3"/>
        <v>-76</v>
      </c>
      <c r="P54" s="72">
        <f t="shared" si="4"/>
        <v>-0.98701298701298701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70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25</v>
      </c>
      <c r="K55" s="5">
        <v>-25</v>
      </c>
      <c r="L55" s="6">
        <v>0</v>
      </c>
      <c r="M55" s="5">
        <v>67</v>
      </c>
      <c r="N55" s="5">
        <v>-67</v>
      </c>
      <c r="O55" s="6">
        <f t="shared" si="3"/>
        <v>-25</v>
      </c>
      <c r="P55" s="72">
        <f t="shared" si="4"/>
        <v>-0.96153846153846156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76</v>
      </c>
      <c r="B56" s="56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3"/>
        <v>0</v>
      </c>
      <c r="P56" s="72">
        <f t="shared" si="4"/>
        <v>0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99</v>
      </c>
      <c r="B58" s="56" t="s">
        <v>27</v>
      </c>
      <c r="C58" s="6">
        <v>595</v>
      </c>
      <c r="D58" s="5">
        <v>85</v>
      </c>
      <c r="E58" s="5">
        <v>510</v>
      </c>
      <c r="F58" s="6">
        <v>0</v>
      </c>
      <c r="G58" s="5">
        <v>95</v>
      </c>
      <c r="H58" s="5">
        <v>-95</v>
      </c>
      <c r="I58" s="6">
        <v>0</v>
      </c>
      <c r="J58" s="5">
        <v>77</v>
      </c>
      <c r="K58" s="5">
        <v>-77</v>
      </c>
      <c r="L58" s="6">
        <v>0</v>
      </c>
      <c r="M58" s="5">
        <v>86</v>
      </c>
      <c r="N58" s="5">
        <v>-86</v>
      </c>
      <c r="O58" s="6">
        <f t="shared" si="3"/>
        <v>338</v>
      </c>
      <c r="P58" s="72">
        <f t="shared" si="4"/>
        <v>1.3100775193798451</v>
      </c>
      <c r="Q58" s="6"/>
      <c r="R58" s="5"/>
      <c r="S58" s="215"/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">
      <c r="A59" s="28">
        <v>103</v>
      </c>
      <c r="B59" s="56" t="s">
        <v>27</v>
      </c>
      <c r="C59" s="6">
        <v>0</v>
      </c>
      <c r="D59" s="5">
        <v>200</v>
      </c>
      <c r="E59" s="5">
        <v>-200</v>
      </c>
      <c r="F59" s="6">
        <v>0</v>
      </c>
      <c r="G59" s="5">
        <v>213</v>
      </c>
      <c r="H59" s="5">
        <v>-213</v>
      </c>
      <c r="I59" s="6">
        <v>0</v>
      </c>
      <c r="J59" s="5">
        <v>217</v>
      </c>
      <c r="K59" s="5">
        <v>-217</v>
      </c>
      <c r="L59" s="6">
        <v>0</v>
      </c>
      <c r="M59" s="5">
        <v>215</v>
      </c>
      <c r="N59" s="5">
        <v>-215</v>
      </c>
      <c r="O59" s="6">
        <f t="shared" si="3"/>
        <v>-630</v>
      </c>
      <c r="P59" s="72">
        <f t="shared" si="4"/>
        <v>-0.99841521394611732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109</v>
      </c>
      <c r="B60" s="56" t="s">
        <v>27</v>
      </c>
      <c r="C60" s="6">
        <v>0</v>
      </c>
      <c r="D60" s="5">
        <v>103</v>
      </c>
      <c r="E60" s="5">
        <v>-103</v>
      </c>
      <c r="F60" s="6">
        <v>0</v>
      </c>
      <c r="G60" s="5">
        <v>102</v>
      </c>
      <c r="H60" s="5">
        <v>-102</v>
      </c>
      <c r="I60" s="6">
        <v>0</v>
      </c>
      <c r="J60" s="5">
        <v>85</v>
      </c>
      <c r="K60" s="5">
        <v>-85</v>
      </c>
      <c r="L60" s="6">
        <v>0</v>
      </c>
      <c r="M60" s="5">
        <v>0</v>
      </c>
      <c r="N60" s="5">
        <v>0</v>
      </c>
      <c r="O60" s="6">
        <f t="shared" si="3"/>
        <v>-290</v>
      </c>
      <c r="P60" s="72">
        <f t="shared" si="4"/>
        <v>-0.99656357388316152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111</v>
      </c>
      <c r="B61" s="56" t="s">
        <v>27</v>
      </c>
      <c r="C61" s="6">
        <v>0</v>
      </c>
      <c r="D61" s="5">
        <v>93</v>
      </c>
      <c r="E61" s="5">
        <v>-93</v>
      </c>
      <c r="F61" s="6">
        <v>0</v>
      </c>
      <c r="G61" s="5">
        <v>100</v>
      </c>
      <c r="H61" s="5">
        <v>-100</v>
      </c>
      <c r="I61" s="6">
        <v>0</v>
      </c>
      <c r="J61" s="5">
        <v>98</v>
      </c>
      <c r="K61" s="5">
        <v>-98</v>
      </c>
      <c r="L61" s="6">
        <v>0</v>
      </c>
      <c r="M61" s="5">
        <v>88</v>
      </c>
      <c r="N61" s="5">
        <v>-88</v>
      </c>
      <c r="O61" s="6">
        <f t="shared" si="3"/>
        <v>-291</v>
      </c>
      <c r="P61" s="72">
        <f t="shared" si="4"/>
        <v>-0.99657534246575341</v>
      </c>
      <c r="Q61" s="6"/>
      <c r="R61" s="5"/>
      <c r="S61" s="215"/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118</v>
      </c>
      <c r="B62" s="56" t="s">
        <v>27</v>
      </c>
      <c r="C62" s="6">
        <v>0</v>
      </c>
      <c r="D62" s="5">
        <v>312</v>
      </c>
      <c r="E62" s="5">
        <v>-312</v>
      </c>
      <c r="F62" s="6">
        <v>0</v>
      </c>
      <c r="G62" s="5">
        <v>320</v>
      </c>
      <c r="H62" s="5">
        <v>-320</v>
      </c>
      <c r="I62" s="6">
        <v>0</v>
      </c>
      <c r="J62" s="5">
        <v>293</v>
      </c>
      <c r="K62" s="5">
        <v>-293</v>
      </c>
      <c r="L62" s="6">
        <v>0</v>
      </c>
      <c r="M62" s="5">
        <v>314</v>
      </c>
      <c r="N62" s="5">
        <v>-314</v>
      </c>
      <c r="O62" s="6">
        <f t="shared" si="3"/>
        <v>-925</v>
      </c>
      <c r="P62" s="72">
        <f t="shared" si="4"/>
        <v>-0.9989200863930886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152</v>
      </c>
      <c r="B63" s="56" t="s">
        <v>27</v>
      </c>
      <c r="C63" s="6">
        <v>56</v>
      </c>
      <c r="D63" s="5">
        <v>393</v>
      </c>
      <c r="E63" s="5">
        <v>-337</v>
      </c>
      <c r="F63" s="6">
        <v>0</v>
      </c>
      <c r="G63" s="5">
        <v>405</v>
      </c>
      <c r="H63" s="5">
        <v>-405</v>
      </c>
      <c r="I63" s="6">
        <v>0</v>
      </c>
      <c r="J63" s="5">
        <v>431</v>
      </c>
      <c r="K63" s="5">
        <v>-431</v>
      </c>
      <c r="L63" s="6">
        <v>0</v>
      </c>
      <c r="M63" s="5">
        <v>218</v>
      </c>
      <c r="N63" s="5">
        <v>-218</v>
      </c>
      <c r="O63" s="6">
        <f t="shared" si="3"/>
        <v>-1173</v>
      </c>
      <c r="P63" s="72">
        <f t="shared" si="4"/>
        <v>-0.95365853658536581</v>
      </c>
      <c r="Q63" s="6"/>
      <c r="R63" s="5"/>
      <c r="S63" s="215"/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175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6"/>
      <c r="R64" s="5"/>
      <c r="S64" s="215"/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176</v>
      </c>
      <c r="B65" s="56" t="s">
        <v>27</v>
      </c>
      <c r="C65" s="6">
        <v>624</v>
      </c>
      <c r="D65" s="5">
        <v>7</v>
      </c>
      <c r="E65" s="5">
        <v>617</v>
      </c>
      <c r="F65" s="6">
        <v>0</v>
      </c>
      <c r="G65" s="5">
        <v>66</v>
      </c>
      <c r="H65" s="5">
        <v>-66</v>
      </c>
      <c r="I65" s="6">
        <v>0</v>
      </c>
      <c r="J65" s="5">
        <v>164</v>
      </c>
      <c r="K65" s="5">
        <v>-164</v>
      </c>
      <c r="L65" s="6">
        <v>0</v>
      </c>
      <c r="M65" s="5">
        <v>172</v>
      </c>
      <c r="N65" s="5">
        <v>-172</v>
      </c>
      <c r="O65" s="6">
        <f t="shared" ref="O65:O88" si="6">K65+H65+E65</f>
        <v>387</v>
      </c>
      <c r="P65" s="72">
        <f t="shared" si="4"/>
        <v>1.6260504201680672</v>
      </c>
      <c r="Q65" s="6"/>
      <c r="R65" s="5"/>
      <c r="S65" s="215"/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>X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>X</v>
      </c>
    </row>
    <row r="66" spans="1:24" x14ac:dyDescent="0.2">
      <c r="A66" s="28">
        <v>180</v>
      </c>
      <c r="B66" s="56" t="s">
        <v>27</v>
      </c>
      <c r="C66" s="6">
        <v>0</v>
      </c>
      <c r="D66" s="5">
        <v>61</v>
      </c>
      <c r="E66" s="5">
        <v>-61</v>
      </c>
      <c r="F66" s="6">
        <v>0</v>
      </c>
      <c r="G66" s="5">
        <v>30</v>
      </c>
      <c r="H66" s="5">
        <v>-30</v>
      </c>
      <c r="I66" s="6">
        <v>0</v>
      </c>
      <c r="J66" s="5">
        <v>79</v>
      </c>
      <c r="K66" s="5">
        <v>-79</v>
      </c>
      <c r="L66" s="6">
        <v>0</v>
      </c>
      <c r="M66" s="5">
        <v>58</v>
      </c>
      <c r="N66" s="5">
        <v>-58</v>
      </c>
      <c r="O66" s="6">
        <f t="shared" si="6"/>
        <v>-170</v>
      </c>
      <c r="P66" s="72">
        <f t="shared" ref="P66:P88" si="7">O66/(J66+G66+D66+1)</f>
        <v>-0.99415204678362568</v>
      </c>
      <c r="Q66" s="6"/>
      <c r="R66" s="5"/>
      <c r="S66" s="215"/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8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219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20</v>
      </c>
      <c r="H67" s="5">
        <v>-20</v>
      </c>
      <c r="I67" s="6">
        <v>0</v>
      </c>
      <c r="J67" s="5">
        <v>52</v>
      </c>
      <c r="K67" s="5">
        <v>-52</v>
      </c>
      <c r="L67" s="6">
        <v>0</v>
      </c>
      <c r="M67" s="5">
        <v>63</v>
      </c>
      <c r="N67" s="5">
        <v>-63</v>
      </c>
      <c r="O67" s="6">
        <f t="shared" si="6"/>
        <v>-72</v>
      </c>
      <c r="P67" s="72">
        <f t="shared" si="7"/>
        <v>-0.98630136986301364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220</v>
      </c>
      <c r="B68" s="56" t="s">
        <v>27</v>
      </c>
      <c r="C68" s="6">
        <v>0</v>
      </c>
      <c r="D68" s="5">
        <v>24</v>
      </c>
      <c r="E68" s="5">
        <v>-24</v>
      </c>
      <c r="F68" s="6">
        <v>0</v>
      </c>
      <c r="G68" s="5">
        <v>25</v>
      </c>
      <c r="H68" s="5">
        <v>-25</v>
      </c>
      <c r="I68" s="6">
        <v>0</v>
      </c>
      <c r="J68" s="5">
        <v>23</v>
      </c>
      <c r="K68" s="5">
        <v>-23</v>
      </c>
      <c r="L68" s="6">
        <v>0</v>
      </c>
      <c r="M68" s="5">
        <v>21</v>
      </c>
      <c r="N68" s="5">
        <v>-21</v>
      </c>
      <c r="O68" s="6">
        <f t="shared" si="6"/>
        <v>-72</v>
      </c>
      <c r="P68" s="72">
        <f t="shared" si="7"/>
        <v>-0.98630136986301364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263</v>
      </c>
      <c r="B69" s="56" t="s">
        <v>27</v>
      </c>
      <c r="C69" s="6">
        <v>0</v>
      </c>
      <c r="D69" s="5">
        <v>50</v>
      </c>
      <c r="E69" s="5">
        <v>-50</v>
      </c>
      <c r="F69" s="6">
        <v>0</v>
      </c>
      <c r="G69" s="5">
        <v>14</v>
      </c>
      <c r="H69" s="5">
        <v>-14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-64</v>
      </c>
      <c r="P69" s="72">
        <f t="shared" si="7"/>
        <v>-0.98461538461538467</v>
      </c>
      <c r="Q69" s="6"/>
      <c r="R69" s="5"/>
      <c r="S69" s="215"/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265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282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6"/>
      <c r="R71" s="5"/>
      <c r="S71" s="215"/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330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6"/>
      <c r="R72" s="5"/>
      <c r="S72" s="215"/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348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389</v>
      </c>
      <c r="B74" s="56" t="s">
        <v>27</v>
      </c>
      <c r="C74" s="6">
        <v>0</v>
      </c>
      <c r="D74" s="5">
        <v>109</v>
      </c>
      <c r="E74" s="5">
        <v>-109</v>
      </c>
      <c r="F74" s="6">
        <v>0</v>
      </c>
      <c r="G74" s="5">
        <v>116</v>
      </c>
      <c r="H74" s="5">
        <v>-116</v>
      </c>
      <c r="I74" s="6">
        <v>0</v>
      </c>
      <c r="J74" s="5">
        <v>129</v>
      </c>
      <c r="K74" s="5">
        <v>-129</v>
      </c>
      <c r="L74" s="6">
        <v>0</v>
      </c>
      <c r="M74" s="5">
        <v>144</v>
      </c>
      <c r="N74" s="5">
        <v>-144</v>
      </c>
      <c r="O74" s="6">
        <f t="shared" si="6"/>
        <v>-354</v>
      </c>
      <c r="P74" s="72">
        <f t="shared" si="7"/>
        <v>-0.9971830985915493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399</v>
      </c>
      <c r="B75" s="56" t="s">
        <v>27</v>
      </c>
      <c r="C75" s="6">
        <v>0</v>
      </c>
      <c r="D75" s="5">
        <v>78</v>
      </c>
      <c r="E75" s="5">
        <v>-78</v>
      </c>
      <c r="F75" s="6">
        <v>0</v>
      </c>
      <c r="G75" s="5">
        <v>86</v>
      </c>
      <c r="H75" s="5">
        <v>-86</v>
      </c>
      <c r="I75" s="6">
        <v>0</v>
      </c>
      <c r="J75" s="5">
        <v>103</v>
      </c>
      <c r="K75" s="5">
        <v>-103</v>
      </c>
      <c r="L75" s="6">
        <v>0</v>
      </c>
      <c r="M75" s="5">
        <v>97</v>
      </c>
      <c r="N75" s="5">
        <v>-97</v>
      </c>
      <c r="O75" s="6">
        <f t="shared" si="6"/>
        <v>-267</v>
      </c>
      <c r="P75" s="72">
        <f t="shared" si="7"/>
        <v>-0.99626865671641796</v>
      </c>
      <c r="Q75" s="6"/>
      <c r="R75" s="5"/>
      <c r="S75" s="215"/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428</v>
      </c>
      <c r="B76" s="56" t="s">
        <v>27</v>
      </c>
      <c r="C76" s="6">
        <v>0</v>
      </c>
      <c r="D76" s="5">
        <v>111</v>
      </c>
      <c r="E76" s="5">
        <v>-111</v>
      </c>
      <c r="F76" s="6">
        <v>0</v>
      </c>
      <c r="G76" s="5">
        <v>118</v>
      </c>
      <c r="H76" s="5">
        <v>-118</v>
      </c>
      <c r="I76" s="6">
        <v>0</v>
      </c>
      <c r="J76" s="5">
        <v>75</v>
      </c>
      <c r="K76" s="5">
        <v>-75</v>
      </c>
      <c r="L76" s="6">
        <v>0</v>
      </c>
      <c r="M76" s="5">
        <v>0</v>
      </c>
      <c r="N76" s="5">
        <v>0</v>
      </c>
      <c r="O76" s="6">
        <f t="shared" si="6"/>
        <v>-304</v>
      </c>
      <c r="P76" s="72">
        <f t="shared" si="7"/>
        <v>-0.99672131147540988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476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6"/>
      <c r="R77" s="5"/>
      <c r="S77" s="215"/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478</v>
      </c>
      <c r="B78" s="56" t="s">
        <v>27</v>
      </c>
      <c r="C78" s="6">
        <v>0</v>
      </c>
      <c r="D78" s="5">
        <v>69</v>
      </c>
      <c r="E78" s="5">
        <v>-69</v>
      </c>
      <c r="F78" s="6">
        <v>0</v>
      </c>
      <c r="G78" s="5">
        <v>88</v>
      </c>
      <c r="H78" s="5">
        <v>-88</v>
      </c>
      <c r="I78" s="6">
        <v>0</v>
      </c>
      <c r="J78" s="5">
        <v>80</v>
      </c>
      <c r="K78" s="5">
        <v>-80</v>
      </c>
      <c r="L78" s="6">
        <v>0</v>
      </c>
      <c r="M78" s="5">
        <v>35</v>
      </c>
      <c r="N78" s="5">
        <v>-35</v>
      </c>
      <c r="O78" s="6">
        <f t="shared" si="6"/>
        <v>-237</v>
      </c>
      <c r="P78" s="72">
        <f t="shared" si="7"/>
        <v>-0.99579831932773111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512</v>
      </c>
      <c r="B79" s="56" t="s">
        <v>27</v>
      </c>
      <c r="C79" s="6">
        <v>1000</v>
      </c>
      <c r="D79" s="5">
        <v>678</v>
      </c>
      <c r="E79" s="5">
        <v>322</v>
      </c>
      <c r="F79" s="6">
        <v>1000</v>
      </c>
      <c r="G79" s="5">
        <v>583</v>
      </c>
      <c r="H79" s="5">
        <v>417</v>
      </c>
      <c r="I79" s="6">
        <v>1000</v>
      </c>
      <c r="J79" s="5">
        <v>693</v>
      </c>
      <c r="K79" s="5">
        <v>307</v>
      </c>
      <c r="L79" s="6">
        <v>1000</v>
      </c>
      <c r="M79" s="5">
        <v>1039</v>
      </c>
      <c r="N79" s="5">
        <v>-39</v>
      </c>
      <c r="O79" s="6">
        <f t="shared" si="6"/>
        <v>1046</v>
      </c>
      <c r="P79" s="72">
        <f t="shared" si="7"/>
        <v>0.53503836317135545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>X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>X</v>
      </c>
    </row>
    <row r="80" spans="1:24" x14ac:dyDescent="0.2">
      <c r="A80" s="28">
        <v>535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161">
        <v>0</v>
      </c>
      <c r="N80" s="201">
        <v>0</v>
      </c>
      <c r="O80" s="6">
        <f t="shared" si="6"/>
        <v>0</v>
      </c>
      <c r="P80" s="72">
        <f t="shared" si="7"/>
        <v>0</v>
      </c>
      <c r="Q80" s="6"/>
      <c r="R80" s="67" t="str">
        <f>IF(AND(O80&gt;=5000,P80&gt;=10%),"X"," ")</f>
        <v xml:space="preserve"> </v>
      </c>
      <c r="S80" s="85" t="str">
        <f>IF(AND(L80-I80&gt;=5000,N80-K80&gt;5000,N80&gt;0),"X","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536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563</v>
      </c>
      <c r="B82" s="56" t="s">
        <v>27</v>
      </c>
      <c r="C82" s="6">
        <v>0</v>
      </c>
      <c r="D82" s="5">
        <v>28</v>
      </c>
      <c r="E82" s="5">
        <v>-28</v>
      </c>
      <c r="F82" s="6">
        <v>0</v>
      </c>
      <c r="G82" s="5">
        <v>36</v>
      </c>
      <c r="H82" s="5">
        <v>-36</v>
      </c>
      <c r="I82" s="6">
        <v>0</v>
      </c>
      <c r="J82" s="5">
        <v>40</v>
      </c>
      <c r="K82" s="5">
        <v>-40</v>
      </c>
      <c r="L82" s="6">
        <v>0</v>
      </c>
      <c r="M82" s="5">
        <v>45</v>
      </c>
      <c r="N82" s="5">
        <v>-45</v>
      </c>
      <c r="O82" s="6">
        <f t="shared" si="6"/>
        <v>-104</v>
      </c>
      <c r="P82" s="72">
        <f t="shared" si="7"/>
        <v>-0.99047619047619051</v>
      </c>
      <c r="Q82" s="6"/>
      <c r="R82" s="5"/>
      <c r="S82" s="215"/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>
        <v>741</v>
      </c>
      <c r="B83" s="56" t="s">
        <v>27</v>
      </c>
      <c r="C83" s="6">
        <v>0</v>
      </c>
      <c r="D83" s="5">
        <v>140</v>
      </c>
      <c r="E83" s="5">
        <v>-140</v>
      </c>
      <c r="F83" s="6">
        <v>0</v>
      </c>
      <c r="G83" s="5">
        <v>114</v>
      </c>
      <c r="H83" s="5">
        <v>-114</v>
      </c>
      <c r="I83" s="6">
        <v>0</v>
      </c>
      <c r="J83" s="5">
        <v>126</v>
      </c>
      <c r="K83" s="5">
        <v>-126</v>
      </c>
      <c r="L83" s="6">
        <v>0</v>
      </c>
      <c r="M83" s="5">
        <v>127</v>
      </c>
      <c r="N83" s="5">
        <v>-127</v>
      </c>
      <c r="O83" s="6">
        <f t="shared" si="6"/>
        <v>-380</v>
      </c>
      <c r="P83" s="72">
        <f t="shared" si="7"/>
        <v>-0.99737532808398954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>
        <v>757</v>
      </c>
      <c r="B84" s="56" t="s">
        <v>27</v>
      </c>
      <c r="C84" s="6">
        <v>0</v>
      </c>
      <c r="D84" s="5">
        <v>410</v>
      </c>
      <c r="E84" s="5">
        <v>-410</v>
      </c>
      <c r="F84" s="6">
        <v>0</v>
      </c>
      <c r="G84" s="5">
        <v>461</v>
      </c>
      <c r="H84" s="5">
        <v>-461</v>
      </c>
      <c r="I84" s="6">
        <v>0</v>
      </c>
      <c r="J84" s="5">
        <v>466</v>
      </c>
      <c r="K84" s="5">
        <v>-466</v>
      </c>
      <c r="L84" s="6">
        <v>416</v>
      </c>
      <c r="M84" s="5">
        <v>423</v>
      </c>
      <c r="N84" s="5">
        <v>-7</v>
      </c>
      <c r="O84" s="6">
        <f t="shared" si="6"/>
        <v>-1337</v>
      </c>
      <c r="P84" s="72">
        <f t="shared" si="7"/>
        <v>-0.99925261584454406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x14ac:dyDescent="0.2">
      <c r="A85" s="166">
        <v>767</v>
      </c>
      <c r="B85" s="199" t="s">
        <v>27</v>
      </c>
      <c r="C85" s="167">
        <v>0</v>
      </c>
      <c r="D85" s="168">
        <v>0</v>
      </c>
      <c r="E85" s="168">
        <v>0</v>
      </c>
      <c r="F85" s="167">
        <v>0</v>
      </c>
      <c r="G85" s="168">
        <v>0</v>
      </c>
      <c r="H85" s="168">
        <v>0</v>
      </c>
      <c r="I85" s="167">
        <v>0</v>
      </c>
      <c r="J85" s="168">
        <v>0</v>
      </c>
      <c r="K85" s="168">
        <v>0</v>
      </c>
      <c r="L85" s="167">
        <v>0</v>
      </c>
      <c r="M85" s="168">
        <v>0</v>
      </c>
      <c r="N85" s="168">
        <v>0</v>
      </c>
      <c r="O85" s="6">
        <f t="shared" si="6"/>
        <v>0</v>
      </c>
      <c r="P85" s="72">
        <f t="shared" si="7"/>
        <v>0</v>
      </c>
      <c r="Q85" s="206"/>
      <c r="R85" s="200"/>
      <c r="S85" s="216"/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x14ac:dyDescent="0.2">
      <c r="A86" s="28">
        <v>777</v>
      </c>
      <c r="B86" s="56" t="s">
        <v>27</v>
      </c>
      <c r="C86" s="6">
        <v>600</v>
      </c>
      <c r="D86" s="5">
        <v>950</v>
      </c>
      <c r="E86" s="5">
        <v>-350</v>
      </c>
      <c r="F86" s="6">
        <v>600</v>
      </c>
      <c r="G86" s="5">
        <v>975</v>
      </c>
      <c r="H86" s="5">
        <v>-375</v>
      </c>
      <c r="I86" s="6">
        <v>600</v>
      </c>
      <c r="J86" s="5">
        <v>999</v>
      </c>
      <c r="K86" s="5">
        <v>-399</v>
      </c>
      <c r="L86" s="6">
        <v>600</v>
      </c>
      <c r="M86" s="5">
        <v>795</v>
      </c>
      <c r="N86" s="5">
        <v>-195</v>
      </c>
      <c r="O86" s="6">
        <f t="shared" si="6"/>
        <v>-1124</v>
      </c>
      <c r="P86" s="72">
        <f t="shared" si="7"/>
        <v>-0.38427350427350426</v>
      </c>
      <c r="Q86" s="6"/>
      <c r="R86" s="5"/>
      <c r="S86" s="215"/>
      <c r="T86" s="8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x14ac:dyDescent="0.2">
      <c r="A87" s="28">
        <v>779</v>
      </c>
      <c r="B87" s="56" t="s">
        <v>27</v>
      </c>
      <c r="C87" s="6">
        <v>1100</v>
      </c>
      <c r="D87" s="5">
        <v>1313</v>
      </c>
      <c r="E87" s="5">
        <v>-213</v>
      </c>
      <c r="F87" s="6">
        <v>1100</v>
      </c>
      <c r="G87" s="5">
        <v>1183</v>
      </c>
      <c r="H87" s="5">
        <v>-83</v>
      </c>
      <c r="I87" s="6">
        <v>1100</v>
      </c>
      <c r="J87" s="5">
        <v>1212</v>
      </c>
      <c r="K87" s="5">
        <v>-112</v>
      </c>
      <c r="L87" s="6">
        <v>1100</v>
      </c>
      <c r="M87" s="5">
        <v>1237</v>
      </c>
      <c r="N87" s="5">
        <v>-137</v>
      </c>
      <c r="O87" s="6">
        <f t="shared" si="6"/>
        <v>-408</v>
      </c>
      <c r="P87" s="72">
        <f t="shared" si="7"/>
        <v>-0.11000269614451334</v>
      </c>
      <c r="Q87" s="6"/>
      <c r="R87" s="5"/>
      <c r="S87" s="215"/>
      <c r="T87" s="8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 t="str">
        <f t="shared" si="8"/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ht="13.5" thickBot="1" x14ac:dyDescent="0.25">
      <c r="A88" s="197">
        <v>809</v>
      </c>
      <c r="B88" s="198" t="s">
        <v>27</v>
      </c>
      <c r="C88" s="169">
        <v>0</v>
      </c>
      <c r="D88" s="170">
        <v>0</v>
      </c>
      <c r="E88" s="170">
        <v>0</v>
      </c>
      <c r="F88" s="169">
        <v>0</v>
      </c>
      <c r="G88" s="170">
        <v>0</v>
      </c>
      <c r="H88" s="170">
        <v>0</v>
      </c>
      <c r="I88" s="169">
        <v>0</v>
      </c>
      <c r="J88" s="170">
        <v>0</v>
      </c>
      <c r="K88" s="170">
        <v>0</v>
      </c>
      <c r="L88" s="169">
        <v>0</v>
      </c>
      <c r="M88" s="170">
        <v>0</v>
      </c>
      <c r="N88" s="170">
        <v>0</v>
      </c>
      <c r="O88" s="169">
        <f t="shared" si="6"/>
        <v>0</v>
      </c>
      <c r="P88" s="171">
        <f t="shared" si="7"/>
        <v>0</v>
      </c>
      <c r="Q88" s="162"/>
      <c r="R88" s="68" t="str">
        <f>IF($C$4="High Inventory",IF(AND(O88&gt;=Summary!$C$128,P88&gt;=Summary!$C$129),"X"," "),IF(AND(O88&lt;=-Summary!$C$128,P88&lt;=-Summary!$C$129),"X"," "))</f>
        <v xml:space="preserve"> </v>
      </c>
      <c r="S88" s="86" t="str">
        <f>IF($C$4="High Inventory",IF(AND(L88-I88&gt;=Summary!$C$132,N88-K88&gt;Summary!$C$132,N88&gt;0),"X"," "),IF(AND(I88-L88&gt;=Summary!$C$132,K88-N88&gt;Summary!$C$132,N88&lt;0),"X"," "))</f>
        <v xml:space="preserve"> </v>
      </c>
      <c r="T88" s="96" t="str">
        <f>IF($C$4="High Inventory",IF(AND($O88&gt;=Summary!$C$128,$P88&gt;=0%),"X"," "),IF(AND($O88&lt;=-Summary!$C$128,$P88&lt;=0%),"X"," "))</f>
        <v xml:space="preserve"> </v>
      </c>
      <c r="U88" s="13" t="str">
        <f>IF($C$4="High Inventory",IF(AND($O88&gt;=0,$P88&gt;=Summary!$C$129),"X"," "),IF(AND($O88&lt;=0,$P88&lt;=-Summary!$C$129),"X"," "))</f>
        <v xml:space="preserve"> </v>
      </c>
      <c r="V88" t="str">
        <f t="shared" si="8"/>
        <v xml:space="preserve"> </v>
      </c>
      <c r="W88" t="str">
        <f>IF($C$4="High Inventory",IF(O88&gt;Summary!$C$128,"X"," "),IF(O88&lt;-Summary!$C$128,"X"," "))</f>
        <v xml:space="preserve"> </v>
      </c>
      <c r="X88" t="str">
        <f>IF($C$4="High Inventory",IF(P88&gt;Summary!$C$129,"X"," "),IF(P88&lt;-Summary!$C$129,"X"," "))</f>
        <v xml:space="preserve"> </v>
      </c>
    </row>
    <row r="89" spans="1:42" s="3" customFormat="1" x14ac:dyDescent="0.2">
      <c r="A89" s="28">
        <v>810</v>
      </c>
      <c r="B89" s="160" t="s">
        <v>27</v>
      </c>
      <c r="C89" s="172">
        <v>0</v>
      </c>
      <c r="D89" s="5">
        <v>0</v>
      </c>
      <c r="E89" s="70">
        <v>0</v>
      </c>
      <c r="F89" s="6">
        <v>0</v>
      </c>
      <c r="G89" s="5">
        <v>0</v>
      </c>
      <c r="H89" s="159">
        <v>0</v>
      </c>
      <c r="I89" s="172">
        <v>0</v>
      </c>
      <c r="J89" s="5">
        <v>0</v>
      </c>
      <c r="K89" s="70">
        <v>0</v>
      </c>
      <c r="L89" s="6">
        <v>0</v>
      </c>
      <c r="M89" s="5">
        <v>0</v>
      </c>
      <c r="N89" s="159">
        <v>0</v>
      </c>
      <c r="O89" s="169">
        <f t="shared" ref="O89:O117" si="9">K89+H89+E89</f>
        <v>0</v>
      </c>
      <c r="P89" s="171">
        <f t="shared" ref="P89:P117" si="10">O89/(J89+G89+D89+1)</f>
        <v>0</v>
      </c>
      <c r="Q89" s="76"/>
      <c r="R89" s="67" t="str">
        <f>IF($C$4="High Inventory",IF(AND(O89&gt;=Summary!$C$128,P89&gt;=Summary!$C$129),"X"," "),IF(AND(O89&lt;=-Summary!$C$128,P89&lt;=-Summary!$C$129),"X"," "))</f>
        <v xml:space="preserve"> </v>
      </c>
      <c r="S89" s="11" t="str">
        <f>IF($C$4="High Inventory",IF(AND(L89-I89&gt;=Summary!$C$132,N89-K89&gt;Summary!$C$132,N89&gt;0),"X"," "),IF(AND(I89-L89&gt;=Summary!$C$132,K89-N89&gt;Summary!$C$132,N89&lt;0),"X"," "))</f>
        <v xml:space="preserve"> </v>
      </c>
      <c r="T89" s="2">
        <f>COUNTIF(T10:T88,"X")</f>
        <v>11</v>
      </c>
      <c r="U89" s="2">
        <f>COUNTIF(U10:U88,"X")</f>
        <v>13</v>
      </c>
      <c r="V89" t="e">
        <f>SUM(V$51:V$81)+SUM(V$27:V$49)+SUM(V$10:V$26)</f>
        <v>#VALUE!</v>
      </c>
      <c r="W89" t="str">
        <f>IF($C$4="High Inventory",IF(O89&gt;Summary!$C$128,"X"," "),IF(O89&lt;-Summary!$C$128,"X"," "))</f>
        <v xml:space="preserve"> </v>
      </c>
      <c r="X89" t="str">
        <f>IF($C$4="High Inventory",IF(P89&gt;Summary!$C$129,"X"," "),IF(P89&lt;-Summary!$C$129,"X"," "))</f>
        <v xml:space="preserve"> 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</row>
    <row r="90" spans="1:42" x14ac:dyDescent="0.2">
      <c r="A90" s="28">
        <v>915</v>
      </c>
      <c r="B90" s="160" t="s">
        <v>27</v>
      </c>
      <c r="C90" s="172">
        <v>0</v>
      </c>
      <c r="D90" s="5">
        <v>0</v>
      </c>
      <c r="E90" s="70">
        <v>0</v>
      </c>
      <c r="F90" s="6">
        <v>0</v>
      </c>
      <c r="G90" s="5">
        <v>0</v>
      </c>
      <c r="H90" s="159">
        <v>0</v>
      </c>
      <c r="I90" s="172">
        <v>0</v>
      </c>
      <c r="J90" s="5">
        <v>0</v>
      </c>
      <c r="K90" s="70">
        <v>0</v>
      </c>
      <c r="L90" s="6">
        <v>0</v>
      </c>
      <c r="M90" s="5">
        <v>0</v>
      </c>
      <c r="N90" s="159">
        <v>0</v>
      </c>
      <c r="O90" s="169">
        <f t="shared" si="9"/>
        <v>0</v>
      </c>
      <c r="P90" s="171">
        <f t="shared" si="10"/>
        <v>0</v>
      </c>
      <c r="Q90" s="76"/>
      <c r="R90" s="67" t="str">
        <f>IF($C$4="High Inventory",IF(AND(O90&gt;=Summary!$C$128,P90&gt;=Summary!$C$129),"X"," "),IF(AND(O90&lt;=-Summary!$C$128,P90&lt;=-Summary!$C$129),"X"," "))</f>
        <v xml:space="preserve"> </v>
      </c>
      <c r="S90" s="11" t="str">
        <f>IF($C$4="High Inventory",IF(AND(L90-I90&gt;=Summary!$C$132,N90-K90&gt;Summary!$C$132,N90&gt;0),"X"," "),IF(AND(I90-L90&gt;=Summary!$C$132,K90-N90&gt;Summary!$C$132,N90&lt;0),"X"," "))</f>
        <v xml:space="preserve"> </v>
      </c>
      <c r="W90" t="str">
        <f>IF($C$4="High Inventory",IF(O90&gt;Summary!$C$128,"X"," "),IF(O90&lt;-Summary!$C$128,"X"," "))</f>
        <v xml:space="preserve"> </v>
      </c>
      <c r="X90" t="str">
        <f>IF($C$4="High Inventory",IF(P90&gt;Summary!$C$129,"X"," "),IF(P90&lt;-Summary!$C$129,"X"," "))</f>
        <v xml:space="preserve"> </v>
      </c>
    </row>
    <row r="91" spans="1:42" x14ac:dyDescent="0.2">
      <c r="A91" s="28">
        <v>928</v>
      </c>
      <c r="B91" s="160" t="s">
        <v>27</v>
      </c>
      <c r="C91" s="172">
        <v>190</v>
      </c>
      <c r="D91" s="5">
        <v>219</v>
      </c>
      <c r="E91" s="70">
        <v>-29</v>
      </c>
      <c r="F91" s="6">
        <v>190</v>
      </c>
      <c r="G91" s="5">
        <v>205</v>
      </c>
      <c r="H91" s="159">
        <v>-15</v>
      </c>
      <c r="I91" s="172">
        <v>190</v>
      </c>
      <c r="J91" s="5">
        <v>203</v>
      </c>
      <c r="K91" s="70">
        <v>-13</v>
      </c>
      <c r="L91" s="6">
        <v>190</v>
      </c>
      <c r="M91" s="5">
        <v>193</v>
      </c>
      <c r="N91" s="159">
        <v>-3</v>
      </c>
      <c r="O91" s="169">
        <f t="shared" si="9"/>
        <v>-57</v>
      </c>
      <c r="P91" s="171">
        <f t="shared" si="10"/>
        <v>-9.0764331210191077E-2</v>
      </c>
      <c r="Q91" s="6"/>
      <c r="R91" s="5"/>
      <c r="S91" s="159"/>
      <c r="W91" t="str">
        <f>IF($C$4="High Inventory",IF(O91&gt;Summary!$C$128,"X"," "),IF(O91&lt;-Summary!$C$128,"X"," "))</f>
        <v xml:space="preserve"> </v>
      </c>
      <c r="X91" t="str">
        <f>IF($C$4="High Inventory",IF(P91&gt;Summary!$C$129,"X"," "),IF(P91&lt;-Summary!$C$129,"X"," "))</f>
        <v xml:space="preserve"> </v>
      </c>
    </row>
    <row r="92" spans="1:42" x14ac:dyDescent="0.2">
      <c r="A92" s="28">
        <v>997</v>
      </c>
      <c r="B92" s="160" t="s">
        <v>27</v>
      </c>
      <c r="C92" s="172">
        <v>9827</v>
      </c>
      <c r="D92" s="5">
        <v>11081</v>
      </c>
      <c r="E92" s="70">
        <v>-1254</v>
      </c>
      <c r="F92" s="6">
        <v>9827</v>
      </c>
      <c r="G92" s="5">
        <v>11362</v>
      </c>
      <c r="H92" s="159">
        <v>-1535</v>
      </c>
      <c r="I92" s="172">
        <v>28683</v>
      </c>
      <c r="J92" s="5">
        <v>11382</v>
      </c>
      <c r="K92" s="70">
        <v>17301</v>
      </c>
      <c r="L92" s="6">
        <v>8867</v>
      </c>
      <c r="M92" s="5">
        <v>11438</v>
      </c>
      <c r="N92" s="159">
        <v>-2571</v>
      </c>
      <c r="O92" s="169">
        <f t="shared" si="9"/>
        <v>14512</v>
      </c>
      <c r="P92" s="171">
        <f t="shared" si="10"/>
        <v>0.42901909773546976</v>
      </c>
      <c r="Q92" s="76"/>
      <c r="R92" s="67" t="str">
        <f>IF($C$4="High Inventory",IF(AND(O92&gt;=Summary!$C$128,P92&gt;=Summary!$C$129),"X"," "),IF(AND(O92&lt;=-Summary!$C$128,P92&lt;=-Summary!$C$129),"X"," "))</f>
        <v>X</v>
      </c>
      <c r="S92" s="11" t="str">
        <f>IF($C$4="High Inventory",IF(AND(L92-I92&gt;=Summary!$C$132,N92-K92&gt;Summary!$C$132,N92&gt;0),"X"," "),IF(AND(I92-L92&gt;=Summary!$C$132,K92-N92&gt;Summary!$C$132,N92&lt;0),"X"," "))</f>
        <v xml:space="preserve"> </v>
      </c>
      <c r="W92" t="str">
        <f>IF($C$4="High Inventory",IF(O92&gt;Summary!$C$128,"X"," "),IF(O92&lt;-Summary!$C$128,"X"," "))</f>
        <v>X</v>
      </c>
      <c r="X92" t="str">
        <f>IF($C$4="High Inventory",IF(P92&gt;Summary!$C$129,"X"," "),IF(P92&lt;-Summary!$C$129,"X"," "))</f>
        <v>X</v>
      </c>
    </row>
    <row r="93" spans="1:42" x14ac:dyDescent="0.2">
      <c r="A93" s="28">
        <v>5370</v>
      </c>
      <c r="B93" s="160" t="s">
        <v>27</v>
      </c>
      <c r="C93" s="172">
        <v>210</v>
      </c>
      <c r="D93" s="5">
        <v>29</v>
      </c>
      <c r="E93" s="70">
        <v>181</v>
      </c>
      <c r="F93" s="6">
        <v>210</v>
      </c>
      <c r="G93" s="5">
        <v>42</v>
      </c>
      <c r="H93" s="159">
        <v>168</v>
      </c>
      <c r="I93" s="172">
        <v>210</v>
      </c>
      <c r="J93" s="5">
        <v>60</v>
      </c>
      <c r="K93" s="70">
        <v>150</v>
      </c>
      <c r="L93" s="6">
        <v>210</v>
      </c>
      <c r="M93" s="5">
        <v>36</v>
      </c>
      <c r="N93" s="159">
        <v>174</v>
      </c>
      <c r="O93" s="169">
        <f t="shared" si="9"/>
        <v>499</v>
      </c>
      <c r="P93" s="171">
        <f t="shared" si="10"/>
        <v>3.7803030303030303</v>
      </c>
      <c r="Q93" s="76"/>
      <c r="R93" s="67" t="str">
        <f>IF($C$4="High Inventory",IF(AND(O93&gt;=Summary!$C$128,P93&gt;=Summary!$C$129),"X"," "),IF(AND(O93&lt;=-Summary!$C$128,P93&lt;=-Summary!$C$129),"X"," "))</f>
        <v xml:space="preserve"> </v>
      </c>
      <c r="S93" s="11" t="str">
        <f>IF($C$4="High Inventory",IF(AND(L93-I93&gt;=Summary!$C$132,N93-K93&gt;Summary!$C$132,N93&gt;0),"X"," "),IF(AND(I93-L93&gt;=Summary!$C$132,K93-N93&gt;Summary!$C$132,N93&lt;0),"X"," "))</f>
        <v xml:space="preserve"> </v>
      </c>
      <c r="W93" t="str">
        <f>IF($C$4="High Inventory",IF(O93&gt;Summary!$C$128,"X"," "),IF(O93&lt;-Summary!$C$128,"X"," "))</f>
        <v xml:space="preserve"> </v>
      </c>
      <c r="X93" t="str">
        <f>IF($C$4="High Inventory",IF(P93&gt;Summary!$C$129,"X"," "),IF(P93&lt;-Summary!$C$129,"X"," "))</f>
        <v>X</v>
      </c>
    </row>
    <row r="94" spans="1:42" x14ac:dyDescent="0.2">
      <c r="A94" s="28">
        <v>5379</v>
      </c>
      <c r="B94" s="160" t="s">
        <v>27</v>
      </c>
      <c r="C94" s="172">
        <v>0</v>
      </c>
      <c r="D94" s="5">
        <v>0</v>
      </c>
      <c r="E94" s="70">
        <v>0</v>
      </c>
      <c r="F94" s="6">
        <v>0</v>
      </c>
      <c r="G94" s="5">
        <v>0</v>
      </c>
      <c r="H94" s="159">
        <v>0</v>
      </c>
      <c r="I94" s="172">
        <v>0</v>
      </c>
      <c r="J94" s="5">
        <v>0</v>
      </c>
      <c r="K94" s="70">
        <v>0</v>
      </c>
      <c r="L94" s="6">
        <v>0</v>
      </c>
      <c r="M94" s="5">
        <v>0</v>
      </c>
      <c r="N94" s="159">
        <v>0</v>
      </c>
      <c r="O94" s="169">
        <f t="shared" si="9"/>
        <v>0</v>
      </c>
      <c r="P94" s="171">
        <f t="shared" si="10"/>
        <v>0</v>
      </c>
      <c r="Q94" s="6"/>
      <c r="R94" s="67" t="str">
        <f>IF($C$4="High Inventory",IF(AND(O94&gt;=Summary!$C$128,P94&gt;=Summary!$C$129),"X"," "),IF(AND(O94&lt;=-Summary!$C$128,P94&lt;=-Summary!$C$129),"X"," "))</f>
        <v xml:space="preserve"> </v>
      </c>
      <c r="S94" s="11" t="str">
        <f>IF($C$4="High Inventory",IF(AND(L94-I94&gt;=Summary!$C$132,N94-K94&gt;Summary!$C$132,N94&gt;0),"X"," "),IF(AND(I94-L94&gt;=Summary!$C$132,K94-N94&gt;Summary!$C$132,N94&lt;0),"X"," "))</f>
        <v xml:space="preserve"> </v>
      </c>
      <c r="W94" t="str">
        <f>IF($C$4="High Inventory",IF(O94&gt;Summary!$C$128,"X"," "),IF(O94&lt;-Summary!$C$128,"X"," "))</f>
        <v xml:space="preserve"> </v>
      </c>
      <c r="X94" t="str">
        <f>IF($C$4="High Inventory",IF(P94&gt;Summary!$C$129,"X"," "),IF(P94&lt;-Summary!$C$129,"X"," "))</f>
        <v xml:space="preserve"> </v>
      </c>
    </row>
    <row r="95" spans="1:42" x14ac:dyDescent="0.2">
      <c r="A95" s="28">
        <v>6905</v>
      </c>
      <c r="B95" s="160" t="s">
        <v>27</v>
      </c>
      <c r="C95" s="172">
        <v>0</v>
      </c>
      <c r="D95" s="5">
        <v>55</v>
      </c>
      <c r="E95" s="70">
        <v>-55</v>
      </c>
      <c r="F95" s="6">
        <v>0</v>
      </c>
      <c r="G95" s="5">
        <v>57</v>
      </c>
      <c r="H95" s="159">
        <v>-57</v>
      </c>
      <c r="I95" s="172">
        <v>0</v>
      </c>
      <c r="J95" s="5">
        <v>87</v>
      </c>
      <c r="K95" s="70">
        <v>-87</v>
      </c>
      <c r="L95" s="6">
        <v>0</v>
      </c>
      <c r="M95" s="5">
        <v>77</v>
      </c>
      <c r="N95" s="159">
        <v>-77</v>
      </c>
      <c r="O95" s="169">
        <f t="shared" si="9"/>
        <v>-199</v>
      </c>
      <c r="P95" s="171">
        <f t="shared" si="10"/>
        <v>-0.995</v>
      </c>
      <c r="Q95" s="6"/>
      <c r="R95" s="67" t="str">
        <f>IF($C$4="High Inventory",IF(AND(O95&gt;=Summary!$C$128,P95&gt;=Summary!$C$129),"X"," "),IF(AND(O95&lt;=-Summary!$C$128,P95&lt;=-Summary!$C$129),"X"," "))</f>
        <v xml:space="preserve"> </v>
      </c>
      <c r="S95" s="11" t="str">
        <f>IF($C$4="High Inventory",IF(AND(L95-I95&gt;=Summary!$C$132,N95-K95&gt;Summary!$C$132,N95&gt;0),"X"," "),IF(AND(I95-L95&gt;=Summary!$C$132,K95-N95&gt;Summary!$C$132,N95&lt;0),"X"," "))</f>
        <v xml:space="preserve"> </v>
      </c>
      <c r="W95" t="str">
        <f>IF($C$4="High Inventory",IF(O95&gt;Summary!$C$128,"X"," "),IF(O95&lt;-Summary!$C$128,"X"," "))</f>
        <v xml:space="preserve"> </v>
      </c>
      <c r="X95" t="str">
        <f>IF($C$4="High Inventory",IF(P95&gt;Summary!$C$129,"X"," "),IF(P95&lt;-Summary!$C$129,"X"," "))</f>
        <v xml:space="preserve"> </v>
      </c>
    </row>
    <row r="96" spans="1:42" x14ac:dyDescent="0.2">
      <c r="A96" s="28">
        <v>7090</v>
      </c>
      <c r="B96" s="160" t="s">
        <v>27</v>
      </c>
      <c r="C96" s="172">
        <v>0</v>
      </c>
      <c r="D96" s="5">
        <v>553</v>
      </c>
      <c r="E96" s="70">
        <v>-553</v>
      </c>
      <c r="F96" s="6">
        <v>0</v>
      </c>
      <c r="G96" s="5">
        <v>550</v>
      </c>
      <c r="H96" s="159">
        <v>-550</v>
      </c>
      <c r="I96" s="172">
        <v>0</v>
      </c>
      <c r="J96" s="5">
        <v>549</v>
      </c>
      <c r="K96" s="70">
        <v>-549</v>
      </c>
      <c r="L96" s="6">
        <v>0</v>
      </c>
      <c r="M96" s="5">
        <v>565</v>
      </c>
      <c r="N96" s="159">
        <v>-565</v>
      </c>
      <c r="O96" s="169">
        <f t="shared" si="9"/>
        <v>-1652</v>
      </c>
      <c r="P96" s="171">
        <f t="shared" si="10"/>
        <v>-0.999395039322444</v>
      </c>
      <c r="Q96" s="76"/>
      <c r="R96" s="67" t="str">
        <f>IF($C$4="High Inventory",IF(AND(O96&gt;=Summary!$C$128,P96&gt;=Summary!$C$129),"X"," "),IF(AND(O96&lt;=-Summary!$C$128,P96&lt;=-Summary!$C$129),"X"," "))</f>
        <v xml:space="preserve"> </v>
      </c>
      <c r="S96" s="11" t="str">
        <f>IF($C$4="High Inventory",IF(AND(L96-I96&gt;=Summary!$C$132,N96-K96&gt;Summary!$C$132,N96&gt;0),"X"," "),IF(AND(I96-L96&gt;=Summary!$C$132,K96-N96&gt;Summary!$C$132,N96&lt;0),"X"," "))</f>
        <v xml:space="preserve"> </v>
      </c>
      <c r="W96" t="str">
        <f>IF($C$4="High Inventory",IF(O96&gt;Summary!$C$128,"X"," "),IF(O96&lt;-Summary!$C$128,"X"," "))</f>
        <v xml:space="preserve"> </v>
      </c>
      <c r="X96" t="str">
        <f>IF($C$4="High Inventory",IF(P96&gt;Summary!$C$129,"X"," "),IF(P96&lt;-Summary!$C$129,"X"," "))</f>
        <v xml:space="preserve"> </v>
      </c>
    </row>
    <row r="97" spans="1:24" x14ac:dyDescent="0.2">
      <c r="A97" s="28">
        <v>7602</v>
      </c>
      <c r="B97" s="160" t="s">
        <v>27</v>
      </c>
      <c r="C97" s="172">
        <v>20670</v>
      </c>
      <c r="D97" s="5">
        <v>48609</v>
      </c>
      <c r="E97" s="70">
        <v>-27939</v>
      </c>
      <c r="F97" s="6">
        <v>29984</v>
      </c>
      <c r="G97" s="5">
        <v>48281</v>
      </c>
      <c r="H97" s="159">
        <v>-18297</v>
      </c>
      <c r="I97" s="172">
        <v>29328</v>
      </c>
      <c r="J97" s="5">
        <v>46092</v>
      </c>
      <c r="K97" s="70">
        <v>-16764</v>
      </c>
      <c r="L97" s="6">
        <v>24415</v>
      </c>
      <c r="M97" s="5">
        <v>38960</v>
      </c>
      <c r="N97" s="159">
        <v>-14545</v>
      </c>
      <c r="O97" s="169">
        <f t="shared" si="9"/>
        <v>-63000</v>
      </c>
      <c r="P97" s="171">
        <f t="shared" si="10"/>
        <v>-0.44061182098571161</v>
      </c>
      <c r="Q97" s="76"/>
      <c r="R97" s="67" t="str">
        <f>IF($C$4="High Inventory",IF(AND(O97&gt;=Summary!$C$128,P97&gt;=Summary!$C$129),"X"," "),IF(AND(O97&lt;=-Summary!$C$128,P97&lt;=-Summary!$C$129),"X"," "))</f>
        <v xml:space="preserve"> </v>
      </c>
      <c r="S97" s="11" t="str">
        <f>IF($C$4="High Inventory",IF(AND(L97-I97&gt;=Summary!$C$132,N97-K97&gt;Summary!$C$132,N97&gt;0),"X"," "),IF(AND(I97-L97&gt;=Summary!$C$132,K97-N97&gt;Summary!$C$132,N97&lt;0),"X"," "))</f>
        <v xml:space="preserve"> </v>
      </c>
      <c r="W97" t="str">
        <f>IF($C$4="High Inventory",IF(O97&gt;Summary!$C$128,"X"," "),IF(O97&lt;-Summary!$C$128,"X"," "))</f>
        <v xml:space="preserve"> </v>
      </c>
      <c r="X97" t="str">
        <f>IF($C$4="High Inventory",IF(P97&gt;Summary!$C$129,"X"," "),IF(P97&lt;-Summary!$C$129,"X"," "))</f>
        <v xml:space="preserve"> </v>
      </c>
    </row>
    <row r="98" spans="1:24" x14ac:dyDescent="0.2">
      <c r="A98" s="28">
        <v>7604</v>
      </c>
      <c r="B98" s="160" t="s">
        <v>27</v>
      </c>
      <c r="C98" s="172">
        <v>63876</v>
      </c>
      <c r="D98" s="5">
        <v>79995</v>
      </c>
      <c r="E98" s="70">
        <v>-16119</v>
      </c>
      <c r="F98" s="6">
        <v>65146</v>
      </c>
      <c r="G98" s="5">
        <v>75025</v>
      </c>
      <c r="H98" s="159">
        <v>-9879</v>
      </c>
      <c r="I98" s="172">
        <v>28386</v>
      </c>
      <c r="J98" s="5">
        <v>71889</v>
      </c>
      <c r="K98" s="70">
        <v>-43503</v>
      </c>
      <c r="L98" s="6">
        <v>62411</v>
      </c>
      <c r="M98" s="5">
        <v>73017</v>
      </c>
      <c r="N98" s="159">
        <v>-10606</v>
      </c>
      <c r="O98" s="169">
        <f t="shared" si="9"/>
        <v>-69501</v>
      </c>
      <c r="P98" s="171">
        <f t="shared" si="10"/>
        <v>-0.30629324401745184</v>
      </c>
      <c r="Q98" s="76"/>
      <c r="R98" s="67" t="str">
        <f>IF($C$4="High Inventory",IF(AND(O98&gt;=Summary!$C$128,P98&gt;=Summary!$C$129),"X"," "),IF(AND(O98&lt;=-Summary!$C$128,P98&lt;=-Summary!$C$129),"X"," "))</f>
        <v xml:space="preserve"> </v>
      </c>
      <c r="S98" s="11" t="str">
        <f>IF($C$4="High Inventory",IF(AND(L98-I98&gt;=Summary!$C$132,N98-K98&gt;Summary!$C$132,N98&gt;0),"X"," "),IF(AND(I98-L98&gt;=Summary!$C$132,K98-N98&gt;Summary!$C$132,N98&lt;0),"X"," "))</f>
        <v xml:space="preserve"> </v>
      </c>
      <c r="W98" t="str">
        <f>IF($C$4="High Inventory",IF(O98&gt;Summary!$C$128,"X"," "),IF(O98&lt;-Summary!$C$128,"X"," "))</f>
        <v xml:space="preserve"> </v>
      </c>
      <c r="X98" t="str">
        <f>IF($C$4="High Inventory",IF(P98&gt;Summary!$C$129,"X"," "),IF(P98&lt;-Summary!$C$129,"X"," "))</f>
        <v xml:space="preserve"> </v>
      </c>
    </row>
    <row r="99" spans="1:24" x14ac:dyDescent="0.2">
      <c r="A99" s="28">
        <v>7610</v>
      </c>
      <c r="B99" s="160" t="s">
        <v>27</v>
      </c>
      <c r="C99" s="172">
        <v>230</v>
      </c>
      <c r="D99" s="5">
        <v>0</v>
      </c>
      <c r="E99" s="70">
        <v>230</v>
      </c>
      <c r="F99" s="6">
        <v>230</v>
      </c>
      <c r="G99" s="5">
        <v>0</v>
      </c>
      <c r="H99" s="159">
        <v>230</v>
      </c>
      <c r="I99" s="172">
        <v>230</v>
      </c>
      <c r="J99" s="5">
        <v>0</v>
      </c>
      <c r="K99" s="70">
        <v>230</v>
      </c>
      <c r="L99" s="6">
        <v>230</v>
      </c>
      <c r="M99" s="5">
        <v>0</v>
      </c>
      <c r="N99" s="159">
        <v>230</v>
      </c>
      <c r="O99" s="169">
        <f t="shared" si="9"/>
        <v>690</v>
      </c>
      <c r="P99" s="171">
        <f t="shared" si="10"/>
        <v>690</v>
      </c>
      <c r="Q99" s="6"/>
      <c r="R99" s="67" t="str">
        <f>IF($C$4="High Inventory",IF(AND(O99&gt;=Summary!$C$128,P99&gt;=Summary!$C$129),"X"," "),IF(AND(O99&lt;=-Summary!$C$128,P99&lt;=-Summary!$C$129),"X"," "))</f>
        <v xml:space="preserve"> </v>
      </c>
      <c r="S99" s="11" t="str">
        <f>IF($C$4="High Inventory",IF(AND(L99-I99&gt;=Summary!$C$132,N99-K99&gt;Summary!$C$132,N99&gt;0),"X"," "),IF(AND(I99-L99&gt;=Summary!$C$132,K99-N99&gt;Summary!$C$132,N99&lt;0),"X"," "))</f>
        <v xml:space="preserve"> </v>
      </c>
      <c r="W99" t="str">
        <f>IF($C$4="High Inventory",IF(O99&gt;Summary!$C$128,"X"," "),IF(O99&lt;-Summary!$C$128,"X"," "))</f>
        <v xml:space="preserve"> </v>
      </c>
      <c r="X99" t="str">
        <f>IF($C$4="High Inventory",IF(P99&gt;Summary!$C$129,"X"," "),IF(P99&lt;-Summary!$C$129,"X"," "))</f>
        <v>X</v>
      </c>
    </row>
    <row r="100" spans="1:24" x14ac:dyDescent="0.2">
      <c r="A100" s="28">
        <v>8537</v>
      </c>
      <c r="B100" s="160" t="s">
        <v>27</v>
      </c>
      <c r="C100" s="172"/>
      <c r="D100" s="5"/>
      <c r="E100" s="70"/>
      <c r="F100" s="6"/>
      <c r="G100" s="5"/>
      <c r="H100" s="159"/>
      <c r="I100" s="172">
        <v>0</v>
      </c>
      <c r="J100" s="5">
        <v>0</v>
      </c>
      <c r="K100" s="70">
        <v>0</v>
      </c>
      <c r="L100" s="6">
        <v>0</v>
      </c>
      <c r="M100" s="5">
        <v>0</v>
      </c>
      <c r="N100" s="159">
        <v>0</v>
      </c>
      <c r="O100" s="169">
        <f t="shared" si="9"/>
        <v>0</v>
      </c>
      <c r="P100" s="171">
        <f t="shared" si="10"/>
        <v>0</v>
      </c>
      <c r="Q100" s="76"/>
      <c r="R100" s="67" t="str">
        <f>IF($C$4="High Inventory",IF(AND(O100&gt;=Summary!$C$128,P100&gt;=Summary!$C$129),"X"," "),IF(AND(O100&lt;=-Summary!$C$128,P100&lt;=-Summary!$C$129),"X"," "))</f>
        <v xml:space="preserve"> </v>
      </c>
      <c r="S100" s="11" t="str">
        <f>IF($C$4="High Inventory",IF(AND(L100-I100&gt;=Summary!$C$132,N100-K100&gt;Summary!$C$132,N100&gt;0),"X"," "),IF(AND(I100-L100&gt;=Summary!$C$132,K100-N100&gt;Summary!$C$132,N100&lt;0),"X"," "))</f>
        <v xml:space="preserve"> </v>
      </c>
      <c r="W100" t="str">
        <f>IF($C$4="High Inventory",IF(O100&gt;Summary!$C$128,"X"," "),IF(O100&lt;-Summary!$C$128,"X"," "))</f>
        <v xml:space="preserve"> </v>
      </c>
      <c r="X100" t="str">
        <f>IF($C$4="High Inventory",IF(P100&gt;Summary!$C$129,"X"," "),IF(P100&lt;-Summary!$C$129,"X"," "))</f>
        <v xml:space="preserve"> </v>
      </c>
    </row>
    <row r="101" spans="1:24" x14ac:dyDescent="0.2">
      <c r="A101" s="28">
        <v>8576</v>
      </c>
      <c r="B101" s="160" t="s">
        <v>27</v>
      </c>
      <c r="C101" s="172">
        <v>0</v>
      </c>
      <c r="D101" s="5">
        <v>0</v>
      </c>
      <c r="E101" s="70">
        <v>0</v>
      </c>
      <c r="F101" s="6">
        <v>0</v>
      </c>
      <c r="G101" s="5">
        <v>0</v>
      </c>
      <c r="H101" s="159">
        <v>0</v>
      </c>
      <c r="I101" s="172">
        <v>0</v>
      </c>
      <c r="J101" s="5">
        <v>0</v>
      </c>
      <c r="K101" s="70">
        <v>0</v>
      </c>
      <c r="L101" s="6">
        <v>0</v>
      </c>
      <c r="M101" s="5">
        <v>0</v>
      </c>
      <c r="N101" s="159">
        <v>0</v>
      </c>
      <c r="O101" s="169">
        <f t="shared" si="9"/>
        <v>0</v>
      </c>
      <c r="P101" s="171">
        <f t="shared" si="10"/>
        <v>0</v>
      </c>
      <c r="Q101" s="76"/>
      <c r="R101" s="67" t="str">
        <f>IF($C$4="High Inventory",IF(AND(O101&gt;=Summary!$C$128,P101&gt;=Summary!$C$129),"X"," "),IF(AND(O101&lt;=-Summary!$C$128,P101&lt;=-Summary!$C$129),"X"," "))</f>
        <v xml:space="preserve"> </v>
      </c>
      <c r="S101" s="11" t="str">
        <f>IF($C$4="High Inventory",IF(AND(L101-I101&gt;=Summary!$C$132,N101-K101&gt;Summary!$C$132,N101&gt;0),"X"," "),IF(AND(I101-L101&gt;=Summary!$C$132,K101-N101&gt;Summary!$C$132,N101&lt;0),"X"," "))</f>
        <v xml:space="preserve"> </v>
      </c>
      <c r="W101" t="str">
        <f>IF($C$4="High Inventory",IF(O101&gt;Summary!$C$128,"X"," "),IF(O101&lt;-Summary!$C$128,"X"," "))</f>
        <v xml:space="preserve"> </v>
      </c>
      <c r="X101" t="str">
        <f>IF($C$4="High Inventory",IF(P101&gt;Summary!$C$129,"X"," "),IF(P101&lt;-Summary!$C$129,"X"," "))</f>
        <v xml:space="preserve"> </v>
      </c>
    </row>
    <row r="102" spans="1:24" x14ac:dyDescent="0.2">
      <c r="A102" s="28">
        <v>8577</v>
      </c>
      <c r="B102" s="160" t="s">
        <v>27</v>
      </c>
      <c r="C102" s="172">
        <v>0</v>
      </c>
      <c r="D102" s="5">
        <v>0</v>
      </c>
      <c r="E102" s="70">
        <v>0</v>
      </c>
      <c r="F102" s="6">
        <v>0</v>
      </c>
      <c r="G102" s="5">
        <v>0</v>
      </c>
      <c r="H102" s="159">
        <v>0</v>
      </c>
      <c r="I102" s="172">
        <v>0</v>
      </c>
      <c r="J102" s="5">
        <v>0</v>
      </c>
      <c r="K102" s="70">
        <v>0</v>
      </c>
      <c r="L102" s="6">
        <v>0</v>
      </c>
      <c r="M102" s="5">
        <v>0</v>
      </c>
      <c r="N102" s="159">
        <v>0</v>
      </c>
      <c r="O102" s="169">
        <f t="shared" si="9"/>
        <v>0</v>
      </c>
      <c r="P102" s="171">
        <f t="shared" si="10"/>
        <v>0</v>
      </c>
      <c r="Q102" s="76"/>
      <c r="R102" s="67" t="str">
        <f>IF($C$4="High Inventory",IF(AND(O102&gt;=Summary!$C$128,P102&gt;=Summary!$C$129),"X"," "),IF(AND(O102&lt;=-Summary!$C$128,P102&lt;=-Summary!$C$129),"X"," "))</f>
        <v xml:space="preserve"> </v>
      </c>
      <c r="S102" s="11" t="str">
        <f>IF($C$4="High Inventory",IF(AND(L102-I102&gt;=Summary!$C$132,N102-K102&gt;Summary!$C$132,N102&gt;0),"X"," "),IF(AND(I102-L102&gt;=Summary!$C$132,K102-N102&gt;Summary!$C$132,N102&lt;0),"X"," "))</f>
        <v xml:space="preserve"> </v>
      </c>
      <c r="W102" t="str">
        <f>IF($C$4="High Inventory",IF(O102&gt;Summary!$C$128,"X"," "),IF(O102&lt;-Summary!$C$128,"X"," "))</f>
        <v xml:space="preserve"> </v>
      </c>
      <c r="X102" t="str">
        <f>IF($C$4="High Inventory",IF(P102&gt;Summary!$C$129,"X"," "),IF(P102&lt;-Summary!$C$129,"X"," "))</f>
        <v xml:space="preserve"> </v>
      </c>
    </row>
    <row r="103" spans="1:24" x14ac:dyDescent="0.2">
      <c r="A103" s="28">
        <v>8578</v>
      </c>
      <c r="B103" s="160" t="s">
        <v>27</v>
      </c>
      <c r="C103" s="172">
        <v>0</v>
      </c>
      <c r="D103" s="5">
        <v>0</v>
      </c>
      <c r="E103" s="70">
        <v>0</v>
      </c>
      <c r="F103" s="6">
        <v>0</v>
      </c>
      <c r="G103" s="5">
        <v>0</v>
      </c>
      <c r="H103" s="159">
        <v>0</v>
      </c>
      <c r="I103" s="172">
        <v>0</v>
      </c>
      <c r="J103" s="5">
        <v>0</v>
      </c>
      <c r="K103" s="70">
        <v>0</v>
      </c>
      <c r="L103" s="6">
        <v>0</v>
      </c>
      <c r="M103" s="5">
        <v>0</v>
      </c>
      <c r="N103" s="159">
        <v>0</v>
      </c>
      <c r="O103" s="169">
        <f t="shared" si="9"/>
        <v>0</v>
      </c>
      <c r="P103" s="171">
        <f t="shared" si="10"/>
        <v>0</v>
      </c>
      <c r="Q103" s="76"/>
      <c r="R103" s="67" t="str">
        <f>IF($C$4="High Inventory",IF(AND(O103&gt;=Summary!$C$128,P103&gt;=Summary!$C$129),"X"," "),IF(AND(O103&lt;=-Summary!$C$128,P103&lt;=-Summary!$C$129),"X"," "))</f>
        <v xml:space="preserve"> </v>
      </c>
      <c r="S103" s="11" t="str">
        <f>IF($C$4="High Inventory",IF(AND(L103-I103&gt;=Summary!$C$132,N103-K103&gt;Summary!$C$132,N103&gt;0),"X"," "),IF(AND(I103-L103&gt;=Summary!$C$132,K103-N103&gt;Summary!$C$132,N103&lt;0),"X"," "))</f>
        <v xml:space="preserve"> </v>
      </c>
      <c r="W103" t="str">
        <f>IF($C$4="High Inventory",IF(O103&gt;Summary!$C$128,"X"," "),IF(O103&lt;-Summary!$C$128,"X"," "))</f>
        <v xml:space="preserve"> </v>
      </c>
      <c r="X103" t="str">
        <f>IF($C$4="High Inventory",IF(P103&gt;Summary!$C$129,"X"," "),IF(P103&lt;-Summary!$C$129,"X"," "))</f>
        <v xml:space="preserve"> </v>
      </c>
    </row>
    <row r="104" spans="1:24" x14ac:dyDescent="0.2">
      <c r="A104" s="28">
        <v>8579</v>
      </c>
      <c r="B104" s="160" t="s">
        <v>27</v>
      </c>
      <c r="C104" s="172">
        <v>0</v>
      </c>
      <c r="D104" s="5">
        <v>0</v>
      </c>
      <c r="E104" s="70">
        <v>0</v>
      </c>
      <c r="F104" s="6">
        <v>0</v>
      </c>
      <c r="G104" s="5">
        <v>0</v>
      </c>
      <c r="H104" s="159">
        <v>0</v>
      </c>
      <c r="I104" s="172">
        <v>0</v>
      </c>
      <c r="J104" s="5">
        <v>0</v>
      </c>
      <c r="K104" s="70">
        <v>0</v>
      </c>
      <c r="L104" s="6">
        <v>0</v>
      </c>
      <c r="M104" s="5">
        <v>0</v>
      </c>
      <c r="N104" s="159">
        <v>0</v>
      </c>
      <c r="O104" s="169">
        <f t="shared" si="9"/>
        <v>0</v>
      </c>
      <c r="P104" s="171">
        <f t="shared" si="10"/>
        <v>0</v>
      </c>
      <c r="Q104" s="76"/>
      <c r="R104" s="67" t="str">
        <f>IF($C$4="High Inventory",IF(AND(O104&gt;=Summary!$C$128,P104&gt;=Summary!$C$129),"X"," "),IF(AND(O104&lt;=-Summary!$C$128,P104&lt;=-Summary!$C$129),"X"," "))</f>
        <v xml:space="preserve"> </v>
      </c>
      <c r="S104" s="11" t="str">
        <f>IF($C$4="High Inventory",IF(AND(L104-I104&gt;=Summary!$C$132,N104-K104&gt;Summary!$C$132,N104&gt;0),"X"," "),IF(AND(I104-L104&gt;=Summary!$C$132,K104-N104&gt;Summary!$C$132,N104&lt;0),"X"," "))</f>
        <v xml:space="preserve"> </v>
      </c>
      <c r="W104" t="str">
        <f>IF($C$4="High Inventory",IF(O104&gt;Summary!$C$128,"X"," "),IF(O104&lt;-Summary!$C$128,"X"," "))</f>
        <v xml:space="preserve"> </v>
      </c>
      <c r="X104" t="str">
        <f>IF($C$4="High Inventory",IF(P104&gt;Summary!$C$129,"X"," "),IF(P104&lt;-Summary!$C$129,"X"," "))</f>
        <v xml:space="preserve"> </v>
      </c>
    </row>
    <row r="105" spans="1:24" x14ac:dyDescent="0.2">
      <c r="A105" s="28">
        <v>8580</v>
      </c>
      <c r="B105" s="160" t="s">
        <v>27</v>
      </c>
      <c r="C105" s="172">
        <v>0</v>
      </c>
      <c r="D105" s="5">
        <v>0</v>
      </c>
      <c r="E105" s="70">
        <v>0</v>
      </c>
      <c r="F105" s="6">
        <v>0</v>
      </c>
      <c r="G105" s="5">
        <v>0</v>
      </c>
      <c r="H105" s="159">
        <v>0</v>
      </c>
      <c r="I105" s="172">
        <v>0</v>
      </c>
      <c r="J105" s="5">
        <v>0</v>
      </c>
      <c r="K105" s="70">
        <v>0</v>
      </c>
      <c r="L105" s="6">
        <v>0</v>
      </c>
      <c r="M105" s="5">
        <v>0</v>
      </c>
      <c r="N105" s="159">
        <v>0</v>
      </c>
      <c r="O105" s="169">
        <f t="shared" si="9"/>
        <v>0</v>
      </c>
      <c r="P105" s="171">
        <f t="shared" si="10"/>
        <v>0</v>
      </c>
      <c r="Q105" s="76"/>
      <c r="R105" s="67" t="str">
        <f>IF($C$4="High Inventory",IF(AND(O105&gt;=Summary!$C$128,P105&gt;=Summary!$C$129),"X"," "),IF(AND(O105&lt;=-Summary!$C$128,P105&lt;=-Summary!$C$129),"X"," "))</f>
        <v xml:space="preserve"> </v>
      </c>
      <c r="S105" s="11" t="str">
        <f>IF($C$4="High Inventory",IF(AND(L105-I105&gt;=Summary!$C$132,N105-K105&gt;Summary!$C$132,N105&gt;0),"X"," "),IF(AND(I105-L105&gt;=Summary!$C$132,K105-N105&gt;Summary!$C$132,N105&lt;0),"X"," "))</f>
        <v xml:space="preserve"> </v>
      </c>
      <c r="W105" t="str">
        <f>IF($C$4="High Inventory",IF(O105&gt;Summary!$C$128,"X"," "),IF(O105&lt;-Summary!$C$128,"X"," "))</f>
        <v xml:space="preserve"> </v>
      </c>
      <c r="X105" t="str">
        <f>IF($C$4="High Inventory",IF(P105&gt;Summary!$C$129,"X"," "),IF(P105&lt;-Summary!$C$129,"X"," "))</f>
        <v xml:space="preserve"> </v>
      </c>
    </row>
    <row r="106" spans="1:24" x14ac:dyDescent="0.2">
      <c r="A106" s="28">
        <v>11396</v>
      </c>
      <c r="B106" s="160" t="s">
        <v>27</v>
      </c>
      <c r="C106" s="172">
        <v>725</v>
      </c>
      <c r="D106" s="5">
        <v>460</v>
      </c>
      <c r="E106" s="70">
        <v>265</v>
      </c>
      <c r="F106" s="6">
        <v>0</v>
      </c>
      <c r="G106" s="5">
        <v>333</v>
      </c>
      <c r="H106" s="159">
        <v>-333</v>
      </c>
      <c r="I106" s="172">
        <v>0</v>
      </c>
      <c r="J106" s="5">
        <v>449</v>
      </c>
      <c r="K106" s="70">
        <v>-449</v>
      </c>
      <c r="L106" s="6">
        <v>0</v>
      </c>
      <c r="M106" s="5">
        <v>57</v>
      </c>
      <c r="N106" s="159">
        <v>-57</v>
      </c>
      <c r="O106" s="169">
        <f t="shared" si="9"/>
        <v>-517</v>
      </c>
      <c r="P106" s="171">
        <f t="shared" si="10"/>
        <v>-0.41592920353982299</v>
      </c>
      <c r="Q106" s="6"/>
      <c r="R106" s="67" t="str">
        <f>IF($C$4="High Inventory",IF(AND(O106&gt;=Summary!$C$128,P106&gt;=Summary!$C$129),"X"," "),IF(AND(O106&lt;=-Summary!$C$128,P106&lt;=-Summary!$C$129),"X"," "))</f>
        <v xml:space="preserve"> </v>
      </c>
      <c r="S106" s="11" t="str">
        <f>IF($C$4="High Inventory",IF(AND(L106-I106&gt;=Summary!$C$132,N106-K106&gt;Summary!$C$132,N106&gt;0),"X"," "),IF(AND(I106-L106&gt;=Summary!$C$132,K106-N106&gt;Summary!$C$132,N106&lt;0),"X"," "))</f>
        <v xml:space="preserve"> </v>
      </c>
      <c r="W106" t="str">
        <f>IF($C$4="High Inventory",IF(O106&gt;Summary!$C$128,"X"," "),IF(O106&lt;-Summary!$C$128,"X"," "))</f>
        <v xml:space="preserve"> </v>
      </c>
      <c r="X106" t="str">
        <f>IF($C$4="High Inventory",IF(P106&gt;Summary!$C$129,"X"," "),IF(P106&lt;-Summary!$C$129,"X"," "))</f>
        <v xml:space="preserve"> </v>
      </c>
    </row>
    <row r="107" spans="1:24" x14ac:dyDescent="0.2">
      <c r="A107" s="28">
        <v>12376</v>
      </c>
      <c r="B107" s="160" t="s">
        <v>27</v>
      </c>
      <c r="C107" s="172">
        <v>0</v>
      </c>
      <c r="D107" s="5">
        <v>217</v>
      </c>
      <c r="E107" s="70">
        <v>-217</v>
      </c>
      <c r="F107" s="6">
        <v>0</v>
      </c>
      <c r="G107" s="5">
        <v>225</v>
      </c>
      <c r="H107" s="159">
        <v>-225</v>
      </c>
      <c r="I107" s="172">
        <v>0</v>
      </c>
      <c r="J107" s="5">
        <v>126</v>
      </c>
      <c r="K107" s="70">
        <v>-126</v>
      </c>
      <c r="L107" s="6">
        <v>0</v>
      </c>
      <c r="M107" s="5">
        <v>144</v>
      </c>
      <c r="N107" s="159">
        <v>-144</v>
      </c>
      <c r="O107" s="169">
        <f t="shared" si="9"/>
        <v>-568</v>
      </c>
      <c r="P107" s="171">
        <f t="shared" si="10"/>
        <v>-0.99824253075571179</v>
      </c>
      <c r="Q107" s="6"/>
      <c r="R107" s="67" t="str">
        <f>IF($C$4="High Inventory",IF(AND(O107&gt;=Summary!$C$128,P107&gt;=Summary!$C$129),"X"," "),IF(AND(O107&lt;=-Summary!$C$128,P107&lt;=-Summary!$C$129),"X"," "))</f>
        <v xml:space="preserve"> </v>
      </c>
      <c r="S107" s="11" t="str">
        <f>IF($C$4="High Inventory",IF(AND(L107-I107&gt;=Summary!$C$132,N107-K107&gt;Summary!$C$132,N107&gt;0),"X"," "),IF(AND(I107-L107&gt;=Summary!$C$132,K107-N107&gt;Summary!$C$132,N107&lt;0),"X"," "))</f>
        <v xml:space="preserve"> </v>
      </c>
      <c r="W107" t="str">
        <f>IF($C$4="High Inventory",IF(O107&gt;Summary!$C$128,"X"," "),IF(O107&lt;-Summary!$C$128,"X"," "))</f>
        <v xml:space="preserve"> </v>
      </c>
      <c r="X107" t="str">
        <f>IF($C$4="High Inventory",IF(P107&gt;Summary!$C$129,"X"," "),IF(P107&lt;-Summary!$C$129,"X"," "))</f>
        <v xml:space="preserve"> </v>
      </c>
    </row>
    <row r="108" spans="1:24" x14ac:dyDescent="0.2">
      <c r="A108" s="28">
        <v>13636</v>
      </c>
      <c r="B108" s="160" t="s">
        <v>27</v>
      </c>
      <c r="C108" s="172">
        <v>0</v>
      </c>
      <c r="D108" s="5">
        <v>0</v>
      </c>
      <c r="E108" s="70">
        <v>0</v>
      </c>
      <c r="F108" s="6">
        <v>0</v>
      </c>
      <c r="G108" s="5">
        <v>0</v>
      </c>
      <c r="H108" s="159">
        <v>0</v>
      </c>
      <c r="I108" s="172">
        <v>0</v>
      </c>
      <c r="J108" s="5">
        <v>0</v>
      </c>
      <c r="K108" s="70">
        <v>0</v>
      </c>
      <c r="L108" s="6">
        <v>0</v>
      </c>
      <c r="M108" s="5">
        <v>0</v>
      </c>
      <c r="N108" s="159">
        <v>0</v>
      </c>
      <c r="O108" s="169">
        <f t="shared" si="9"/>
        <v>0</v>
      </c>
      <c r="P108" s="171">
        <f t="shared" si="10"/>
        <v>0</v>
      </c>
      <c r="Q108" s="6"/>
      <c r="R108" s="67" t="str">
        <f>IF($C$4="High Inventory",IF(AND(O108&gt;=Summary!$C$128,P108&gt;=Summary!$C$129),"X"," "),IF(AND(O108&lt;=-Summary!$C$128,P108&lt;=-Summary!$C$129),"X"," "))</f>
        <v xml:space="preserve"> </v>
      </c>
      <c r="S108" s="11" t="str">
        <f>IF($C$4="High Inventory",IF(AND(L108-I108&gt;=Summary!$C$132,N108-K108&gt;Summary!$C$132,N108&gt;0),"X"," "),IF(AND(I108-L108&gt;=Summary!$C$132,K108-N108&gt;Summary!$C$132,N108&lt;0),"X"," "))</f>
        <v xml:space="preserve"> </v>
      </c>
      <c r="W108" t="str">
        <f>IF($C$4="High Inventory",IF(O108&gt;Summary!$C$128,"X"," "),IF(O108&lt;-Summary!$C$128,"X"," "))</f>
        <v xml:space="preserve"> </v>
      </c>
      <c r="X108" t="str">
        <f>IF($C$4="High Inventory",IF(P108&gt;Summary!$C$129,"X"," "),IF(P108&lt;-Summary!$C$129,"X"," "))</f>
        <v xml:space="preserve"> </v>
      </c>
    </row>
    <row r="109" spans="1:24" x14ac:dyDescent="0.2">
      <c r="A109" s="28">
        <v>13836</v>
      </c>
      <c r="B109" s="160" t="s">
        <v>27</v>
      </c>
      <c r="C109" s="172">
        <v>0</v>
      </c>
      <c r="D109" s="5">
        <v>17</v>
      </c>
      <c r="E109" s="70">
        <v>-17</v>
      </c>
      <c r="F109" s="6">
        <v>0</v>
      </c>
      <c r="G109" s="5">
        <v>15</v>
      </c>
      <c r="H109" s="159">
        <v>-15</v>
      </c>
      <c r="I109" s="172">
        <v>0</v>
      </c>
      <c r="J109" s="5">
        <v>20</v>
      </c>
      <c r="K109" s="70">
        <v>-20</v>
      </c>
      <c r="L109" s="6">
        <v>0</v>
      </c>
      <c r="M109" s="5">
        <v>24</v>
      </c>
      <c r="N109" s="159">
        <v>-24</v>
      </c>
      <c r="O109" s="169">
        <f t="shared" si="9"/>
        <v>-52</v>
      </c>
      <c r="P109" s="171">
        <f t="shared" si="10"/>
        <v>-0.98113207547169812</v>
      </c>
      <c r="Q109" s="6"/>
      <c r="R109" s="67" t="str">
        <f>IF($C$4="High Inventory",IF(AND(O109&gt;=Summary!$C$128,P109&gt;=Summary!$C$129),"X"," "),IF(AND(O109&lt;=-Summary!$C$128,P109&lt;=-Summary!$C$129),"X"," "))</f>
        <v xml:space="preserve"> </v>
      </c>
      <c r="S109" s="11" t="str">
        <f>IF($C$4="High Inventory",IF(AND(L109-I109&gt;=Summary!$C$132,N109-K109&gt;Summary!$C$132,N109&gt;0),"X"," "),IF(AND(I109-L109&gt;=Summary!$C$132,K109-N109&gt;Summary!$C$132,N109&lt;0),"X"," "))</f>
        <v xml:space="preserve"> </v>
      </c>
      <c r="W109" t="str">
        <f>IF($C$4="High Inventory",IF(O109&gt;Summary!$C$128,"X"," "),IF(O109&lt;-Summary!$C$128,"X"," "))</f>
        <v xml:space="preserve"> </v>
      </c>
      <c r="X109" t="str">
        <f>IF($C$4="High Inventory",IF(P109&gt;Summary!$C$129,"X"," "),IF(P109&lt;-Summary!$C$129,"X"," "))</f>
        <v xml:space="preserve"> </v>
      </c>
    </row>
    <row r="110" spans="1:24" x14ac:dyDescent="0.2">
      <c r="A110" s="28">
        <v>18287</v>
      </c>
      <c r="B110" s="160" t="s">
        <v>27</v>
      </c>
      <c r="C110" s="172">
        <v>0</v>
      </c>
      <c r="D110" s="5">
        <v>0</v>
      </c>
      <c r="E110" s="70">
        <v>0</v>
      </c>
      <c r="F110" s="6">
        <v>0</v>
      </c>
      <c r="G110" s="5">
        <v>0</v>
      </c>
      <c r="H110" s="159">
        <v>0</v>
      </c>
      <c r="I110" s="172">
        <v>0</v>
      </c>
      <c r="J110" s="5">
        <v>1</v>
      </c>
      <c r="K110" s="70">
        <v>-1</v>
      </c>
      <c r="L110" s="6">
        <v>0</v>
      </c>
      <c r="M110" s="5">
        <v>0</v>
      </c>
      <c r="N110" s="159">
        <v>0</v>
      </c>
      <c r="O110" s="169">
        <f t="shared" si="9"/>
        <v>-1</v>
      </c>
      <c r="P110" s="171">
        <f t="shared" si="10"/>
        <v>-0.5</v>
      </c>
      <c r="Q110" s="76"/>
      <c r="R110" s="67" t="str">
        <f>IF($C$4="High Inventory",IF(AND(O110&gt;=Summary!$C$128,P110&gt;=Summary!$C$129),"X"," "),IF(AND(O110&lt;=-Summary!$C$128,P110&lt;=-Summary!$C$129),"X"," "))</f>
        <v xml:space="preserve"> </v>
      </c>
      <c r="S110" s="11" t="str">
        <f>IF($C$4="High Inventory",IF(AND(L110-I110&gt;=Summary!$C$132,N110-K110&gt;Summary!$C$132,N110&gt;0),"X"," "),IF(AND(I110-L110&gt;=Summary!$C$132,K110-N110&gt;Summary!$C$132,N110&lt;0),"X"," "))</f>
        <v xml:space="preserve"> </v>
      </c>
      <c r="W110" t="str">
        <f>IF($C$4="High Inventory",IF(O110&gt;Summary!$C$128,"X"," "),IF(O110&lt;-Summary!$C$128,"X"," "))</f>
        <v xml:space="preserve"> </v>
      </c>
      <c r="X110" t="str">
        <f>IF($C$4="High Inventory",IF(P110&gt;Summary!$C$129,"X"," "),IF(P110&lt;-Summary!$C$129,"X"," "))</f>
        <v xml:space="preserve"> </v>
      </c>
    </row>
    <row r="111" spans="1:24" x14ac:dyDescent="0.2">
      <c r="A111" s="28">
        <v>20566</v>
      </c>
      <c r="B111" s="160" t="s">
        <v>27</v>
      </c>
      <c r="C111" s="172">
        <v>0</v>
      </c>
      <c r="D111" s="5">
        <v>0</v>
      </c>
      <c r="E111" s="70">
        <v>0</v>
      </c>
      <c r="F111" s="6">
        <v>0</v>
      </c>
      <c r="G111" s="5">
        <v>0</v>
      </c>
      <c r="H111" s="159">
        <v>0</v>
      </c>
      <c r="I111" s="172">
        <v>0</v>
      </c>
      <c r="J111" s="5">
        <v>0</v>
      </c>
      <c r="K111" s="70">
        <v>0</v>
      </c>
      <c r="L111" s="6">
        <v>0</v>
      </c>
      <c r="M111" s="5">
        <v>0</v>
      </c>
      <c r="N111" s="159">
        <v>0</v>
      </c>
      <c r="O111" s="169">
        <f t="shared" si="9"/>
        <v>0</v>
      </c>
      <c r="P111" s="171">
        <f t="shared" si="10"/>
        <v>0</v>
      </c>
      <c r="Q111" s="76"/>
      <c r="R111" s="67" t="str">
        <f>IF($C$4="High Inventory",IF(AND(O111&gt;=Summary!$C$128,P111&gt;=Summary!$C$129),"X"," "),IF(AND(O111&lt;=-Summary!$C$128,P111&lt;=-Summary!$C$129),"X"," "))</f>
        <v xml:space="preserve"> </v>
      </c>
      <c r="S111" s="11" t="str">
        <f>IF($C$4="High Inventory",IF(AND(L111-I111&gt;=Summary!$C$132,N111-K111&gt;Summary!$C$132,N111&gt;0),"X"," "),IF(AND(I111-L111&gt;=Summary!$C$132,K111-N111&gt;Summary!$C$132,N111&lt;0),"X"," "))</f>
        <v xml:space="preserve"> </v>
      </c>
      <c r="W111" t="str">
        <f>IF($C$4="High Inventory",IF(O111&gt;Summary!$C$128,"X"," "),IF(O111&lt;-Summary!$C$128,"X"," "))</f>
        <v xml:space="preserve"> </v>
      </c>
      <c r="X111" t="str">
        <f>IF($C$4="High Inventory",IF(P111&gt;Summary!$C$129,"X"," "),IF(P111&lt;-Summary!$C$129,"X"," "))</f>
        <v xml:space="preserve"> </v>
      </c>
    </row>
    <row r="112" spans="1:24" x14ac:dyDescent="0.2">
      <c r="A112" s="28">
        <v>22256</v>
      </c>
      <c r="B112" s="160" t="s">
        <v>27</v>
      </c>
      <c r="C112" s="172">
        <v>0</v>
      </c>
      <c r="D112" s="5">
        <v>0</v>
      </c>
      <c r="E112" s="70">
        <v>0</v>
      </c>
      <c r="F112" s="6">
        <v>0</v>
      </c>
      <c r="G112" s="5">
        <v>0</v>
      </c>
      <c r="H112" s="159">
        <v>0</v>
      </c>
      <c r="I112" s="172">
        <v>0</v>
      </c>
      <c r="J112" s="5">
        <v>0</v>
      </c>
      <c r="K112" s="70">
        <v>0</v>
      </c>
      <c r="L112" s="6">
        <v>0</v>
      </c>
      <c r="M112" s="5">
        <v>0</v>
      </c>
      <c r="N112" s="159">
        <v>0</v>
      </c>
      <c r="O112" s="169">
        <f t="shared" si="9"/>
        <v>0</v>
      </c>
      <c r="P112" s="171">
        <f t="shared" si="10"/>
        <v>0</v>
      </c>
      <c r="Q112" s="76"/>
      <c r="R112" s="67" t="str">
        <f>IF($C$4="High Inventory",IF(AND(O112&gt;=Summary!$C$128,P112&gt;=Summary!$C$129),"X"," "),IF(AND(O112&lt;=-Summary!$C$128,P112&lt;=-Summary!$C$129),"X"," "))</f>
        <v xml:space="preserve"> </v>
      </c>
      <c r="S112" s="11" t="str">
        <f>IF($C$4="High Inventory",IF(AND(L112-I112&gt;=Summary!$C$132,N112-K112&gt;Summary!$C$132,N112&gt;0),"X"," "),IF(AND(I112-L112&gt;=Summary!$C$132,K112-N112&gt;Summary!$C$132,N112&lt;0),"X"," "))</f>
        <v xml:space="preserve"> </v>
      </c>
      <c r="W112" t="str">
        <f>IF($C$4="High Inventory",IF(O112&gt;Summary!$C$128,"X"," "),IF(O112&lt;-Summary!$C$128,"X"," "))</f>
        <v xml:space="preserve"> </v>
      </c>
      <c r="X112" t="str">
        <f>IF($C$4="High Inventory",IF(P112&gt;Summary!$C$129,"X"," "),IF(P112&lt;-Summary!$C$129,"X"," "))</f>
        <v xml:space="preserve"> </v>
      </c>
    </row>
    <row r="113" spans="1:24" x14ac:dyDescent="0.2">
      <c r="A113" s="28">
        <v>23159</v>
      </c>
      <c r="B113" s="160" t="s">
        <v>27</v>
      </c>
      <c r="C113" s="172">
        <v>0</v>
      </c>
      <c r="D113" s="5">
        <v>74</v>
      </c>
      <c r="E113" s="70">
        <v>-74</v>
      </c>
      <c r="F113" s="6">
        <v>0</v>
      </c>
      <c r="G113" s="5">
        <v>58</v>
      </c>
      <c r="H113" s="159">
        <v>-58</v>
      </c>
      <c r="I113" s="172">
        <v>0</v>
      </c>
      <c r="J113" s="5">
        <v>75</v>
      </c>
      <c r="K113" s="70">
        <v>-75</v>
      </c>
      <c r="L113" s="6">
        <v>0</v>
      </c>
      <c r="M113" s="5">
        <v>76</v>
      </c>
      <c r="N113" s="159">
        <v>-76</v>
      </c>
      <c r="O113" s="169">
        <f t="shared" si="9"/>
        <v>-207</v>
      </c>
      <c r="P113" s="171">
        <f t="shared" si="10"/>
        <v>-0.99519230769230771</v>
      </c>
      <c r="Q113" s="6"/>
      <c r="R113" s="67" t="str">
        <f>IF($C$4="High Inventory",IF(AND(O113&gt;=Summary!$C$128,P113&gt;=Summary!$C$129),"X"," "),IF(AND(O113&lt;=-Summary!$C$128,P113&lt;=-Summary!$C$129),"X"," "))</f>
        <v xml:space="preserve"> </v>
      </c>
      <c r="S113" s="11" t="str">
        <f>IF($C$4="High Inventory",IF(AND(L113-I113&gt;=Summary!$C$132,N113-K113&gt;Summary!$C$132,N113&gt;0),"X"," "),IF(AND(I113-L113&gt;=Summary!$C$132,K113-N113&gt;Summary!$C$132,N113&lt;0),"X"," "))</f>
        <v xml:space="preserve"> </v>
      </c>
      <c r="W113" t="str">
        <f>IF($C$4="High Inventory",IF(O113&gt;Summary!$C$128,"X"," "),IF(O113&lt;-Summary!$C$128,"X"," "))</f>
        <v xml:space="preserve"> </v>
      </c>
      <c r="X113" t="str">
        <f>IF($C$4="High Inventory",IF(P113&gt;Summary!$C$129,"X"," "),IF(P113&lt;-Summary!$C$129,"X"," "))</f>
        <v xml:space="preserve"> </v>
      </c>
    </row>
    <row r="114" spans="1:24" x14ac:dyDescent="0.2">
      <c r="A114" s="28">
        <v>30149</v>
      </c>
      <c r="B114" s="160" t="s">
        <v>27</v>
      </c>
      <c r="C114" s="172">
        <v>0</v>
      </c>
      <c r="D114" s="5">
        <v>0</v>
      </c>
      <c r="E114" s="70">
        <v>0</v>
      </c>
      <c r="F114" s="6">
        <v>0</v>
      </c>
      <c r="G114" s="5">
        <v>0</v>
      </c>
      <c r="H114" s="159">
        <v>0</v>
      </c>
      <c r="I114" s="172">
        <v>0</v>
      </c>
      <c r="J114" s="5">
        <v>0</v>
      </c>
      <c r="K114" s="70">
        <v>0</v>
      </c>
      <c r="L114" s="6">
        <v>0</v>
      </c>
      <c r="M114" s="5">
        <v>0</v>
      </c>
      <c r="N114" s="159">
        <v>0</v>
      </c>
      <c r="O114" s="169">
        <f t="shared" si="9"/>
        <v>0</v>
      </c>
      <c r="P114" s="171">
        <f t="shared" si="10"/>
        <v>0</v>
      </c>
      <c r="Q114" s="76"/>
      <c r="R114" s="67" t="str">
        <f>IF($C$4="High Inventory",IF(AND(O114&gt;=Summary!$C$128,P114&gt;=Summary!$C$129),"X"," "),IF(AND(O114&lt;=-Summary!$C$128,P114&lt;=-Summary!$C$129),"X"," "))</f>
        <v xml:space="preserve"> </v>
      </c>
      <c r="S114" s="11" t="str">
        <f>IF($C$4="High Inventory",IF(AND(L114-I114&gt;=Summary!$C$132,N114-K114&gt;Summary!$C$132,N114&gt;0),"X"," "),IF(AND(I114-L114&gt;=Summary!$C$132,K114-N114&gt;Summary!$C$132,N114&lt;0),"X"," "))</f>
        <v xml:space="preserve"> </v>
      </c>
      <c r="W114" t="str">
        <f>IF($C$4="High Inventory",IF(O114&gt;Summary!$C$128,"X"," "),IF(O114&lt;-Summary!$C$128,"X"," "))</f>
        <v xml:space="preserve"> </v>
      </c>
      <c r="X114" t="str">
        <f>IF($C$4="High Inventory",IF(P114&gt;Summary!$C$129,"X"," "),IF(P114&lt;-Summary!$C$129,"X"," "))</f>
        <v xml:space="preserve"> </v>
      </c>
    </row>
    <row r="115" spans="1:24" x14ac:dyDescent="0.2">
      <c r="A115" s="28">
        <v>30511</v>
      </c>
      <c r="B115" s="160" t="s">
        <v>27</v>
      </c>
      <c r="C115" s="172">
        <v>840</v>
      </c>
      <c r="D115" s="5">
        <v>81</v>
      </c>
      <c r="E115" s="70">
        <v>759</v>
      </c>
      <c r="F115" s="6">
        <v>840</v>
      </c>
      <c r="G115" s="5">
        <v>159</v>
      </c>
      <c r="H115" s="159">
        <v>681</v>
      </c>
      <c r="I115" s="172">
        <v>840</v>
      </c>
      <c r="J115" s="5">
        <v>0</v>
      </c>
      <c r="K115" s="70">
        <v>840</v>
      </c>
      <c r="L115" s="6">
        <v>840</v>
      </c>
      <c r="M115" s="5">
        <v>0</v>
      </c>
      <c r="N115" s="159">
        <v>840</v>
      </c>
      <c r="O115" s="169">
        <f t="shared" si="9"/>
        <v>2280</v>
      </c>
      <c r="P115" s="171">
        <f t="shared" si="10"/>
        <v>9.4605809128630707</v>
      </c>
      <c r="Q115" s="76"/>
      <c r="R115" s="67" t="str">
        <f>IF($C$4="High Inventory",IF(AND(O115&gt;=Summary!$C$128,P115&gt;=Summary!$C$129),"X"," "),IF(AND(O115&lt;=-Summary!$C$128,P115&lt;=-Summary!$C$129),"X"," "))</f>
        <v xml:space="preserve"> </v>
      </c>
      <c r="S115" s="11" t="str">
        <f>IF($C$4="High Inventory",IF(AND(L115-I115&gt;=Summary!$C$132,N115-K115&gt;Summary!$C$132,N115&gt;0),"X"," "),IF(AND(I115-L115&gt;=Summary!$C$132,K115-N115&gt;Summary!$C$132,N115&lt;0),"X"," "))</f>
        <v xml:space="preserve"> </v>
      </c>
      <c r="W115" t="str">
        <f>IF($C$4="High Inventory",IF(O115&gt;Summary!$C$128,"X"," "),IF(O115&lt;-Summary!$C$128,"X"," "))</f>
        <v xml:space="preserve"> </v>
      </c>
      <c r="X115" t="str">
        <f>IF($C$4="High Inventory",IF(P115&gt;Summary!$C$129,"X"," "),IF(P115&lt;-Summary!$C$129,"X"," "))</f>
        <v>X</v>
      </c>
    </row>
    <row r="116" spans="1:24" x14ac:dyDescent="0.2">
      <c r="A116" s="28">
        <v>32593</v>
      </c>
      <c r="B116" s="160" t="s">
        <v>27</v>
      </c>
      <c r="C116" s="172">
        <v>45000</v>
      </c>
      <c r="D116" s="5">
        <v>51169</v>
      </c>
      <c r="E116" s="70">
        <v>-6169</v>
      </c>
      <c r="F116" s="6">
        <v>55000</v>
      </c>
      <c r="G116" s="5">
        <v>51915</v>
      </c>
      <c r="H116" s="159">
        <v>3085</v>
      </c>
      <c r="I116" s="172">
        <v>48000</v>
      </c>
      <c r="J116" s="5">
        <v>52382</v>
      </c>
      <c r="K116" s="70">
        <v>-4382</v>
      </c>
      <c r="L116" s="6">
        <v>45000</v>
      </c>
      <c r="M116" s="5">
        <v>50868</v>
      </c>
      <c r="N116" s="159">
        <v>-5868</v>
      </c>
      <c r="O116" s="169">
        <f t="shared" si="9"/>
        <v>-7466</v>
      </c>
      <c r="P116" s="171">
        <f t="shared" si="10"/>
        <v>-4.8023053123814059E-2</v>
      </c>
      <c r="Q116" s="6"/>
      <c r="R116" s="67" t="str">
        <f>IF($C$4="High Inventory",IF(AND(O116&gt;=Summary!$C$128,P116&gt;=Summary!$C$129),"X"," "),IF(AND(O116&lt;=-Summary!$C$128,P116&lt;=-Summary!$C$129),"X"," "))</f>
        <v xml:space="preserve"> </v>
      </c>
      <c r="S116" s="11" t="str">
        <f>IF($C$4="High Inventory",IF(AND(L116-I116&gt;=Summary!$C$132,N116-K116&gt;Summary!$C$132,N116&gt;0),"X"," "),IF(AND(I116-L116&gt;=Summary!$C$132,K116-N116&gt;Summary!$C$132,N116&lt;0),"X"," "))</f>
        <v xml:space="preserve"> </v>
      </c>
      <c r="W116" t="str">
        <f>IF($C$4="High Inventory",IF(O116&gt;Summary!$C$128,"X"," "),IF(O116&lt;-Summary!$C$128,"X"," "))</f>
        <v xml:space="preserve"> </v>
      </c>
      <c r="X116" t="str">
        <f>IF($C$4="High Inventory",IF(P116&gt;Summary!$C$129,"X"," "),IF(P116&lt;-Summary!$C$129,"X"," "))</f>
        <v xml:space="preserve"> </v>
      </c>
    </row>
    <row r="117" spans="1:24" x14ac:dyDescent="0.2">
      <c r="A117" s="28">
        <v>33353</v>
      </c>
      <c r="B117" s="160" t="s">
        <v>27</v>
      </c>
      <c r="C117" s="172"/>
      <c r="D117" s="5"/>
      <c r="E117" s="70"/>
      <c r="F117" s="6">
        <v>15723</v>
      </c>
      <c r="G117" s="5">
        <v>10947</v>
      </c>
      <c r="H117" s="159">
        <v>4776</v>
      </c>
      <c r="I117" s="172">
        <v>15723</v>
      </c>
      <c r="J117" s="5">
        <v>16651</v>
      </c>
      <c r="K117" s="70">
        <v>-928</v>
      </c>
      <c r="L117" s="6">
        <v>14190</v>
      </c>
      <c r="M117" s="5">
        <v>16827</v>
      </c>
      <c r="N117" s="159">
        <v>-2637</v>
      </c>
      <c r="O117" s="169">
        <f t="shared" si="9"/>
        <v>3848</v>
      </c>
      <c r="P117" s="171">
        <f t="shared" si="10"/>
        <v>0.13942534149788036</v>
      </c>
      <c r="Q117" s="6"/>
      <c r="R117" s="67" t="str">
        <f>IF($C$4="High Inventory",IF(AND(O117&gt;=Summary!$C$128,P117&gt;=Summary!$C$129),"X"," "),IF(AND(O117&lt;=-Summary!$C$128,P117&lt;=-Summary!$C$129),"X"," "))</f>
        <v xml:space="preserve"> </v>
      </c>
      <c r="S117" s="11" t="str">
        <f>IF($C$4="High Inventory",IF(AND(L117-I117&gt;=Summary!$C$132,N117-K117&gt;Summary!$C$132,N117&gt;0),"X"," "),IF(AND(I117-L117&gt;=Summary!$C$132,K117-N117&gt;Summary!$C$132,N117&lt;0),"X"," "))</f>
        <v xml:space="preserve"> </v>
      </c>
      <c r="W117" t="str">
        <f>IF($C$4="High Inventory",IF(O117&gt;Summary!$C$128,"X"," "),IF(O117&lt;-Summary!$C$128,"X"," "))</f>
        <v xml:space="preserve"> </v>
      </c>
      <c r="X117" t="str">
        <f>IF($C$4="High Inventory",IF(P117&gt;Summary!$C$129,"X"," "),IF(P117&lt;-Summary!$C$129,"X"," "))</f>
        <v>X</v>
      </c>
    </row>
    <row r="118" spans="1:24" x14ac:dyDescent="0.2">
      <c r="A118" s="28"/>
      <c r="B118" s="160"/>
      <c r="C118" s="172"/>
      <c r="D118" s="5"/>
      <c r="E118" s="70"/>
      <c r="F118" s="6"/>
      <c r="G118" s="5"/>
      <c r="H118" s="159"/>
      <c r="I118" s="172"/>
      <c r="J118" s="5"/>
      <c r="K118" s="70"/>
      <c r="L118" s="6"/>
      <c r="M118" s="5"/>
      <c r="N118" s="159"/>
      <c r="O118" s="6"/>
      <c r="P118" s="88"/>
      <c r="Q118" s="6"/>
      <c r="R118" s="5"/>
      <c r="S118" s="159"/>
    </row>
    <row r="119" spans="1:24" x14ac:dyDescent="0.2">
      <c r="A119" s="2" t="s">
        <v>28</v>
      </c>
      <c r="B119" s="2"/>
      <c r="C119" s="3"/>
      <c r="D119" s="3"/>
      <c r="E119" s="3">
        <f>SUM(E10:E118)</f>
        <v>66348</v>
      </c>
      <c r="F119" s="3"/>
      <c r="G119" s="3"/>
      <c r="H119" s="3">
        <f>SUM(H10:H118)</f>
        <v>228007</v>
      </c>
      <c r="I119" s="3"/>
      <c r="J119" s="3"/>
      <c r="K119" s="3">
        <f>SUM(K10:K118)</f>
        <v>-175027</v>
      </c>
      <c r="L119" s="3"/>
      <c r="M119" s="3">
        <f>SUM(M10:M118)</f>
        <v>2332453</v>
      </c>
      <c r="N119" s="3">
        <f>SUM(N10:N118)</f>
        <v>-189711</v>
      </c>
      <c r="Q119" s="2">
        <f>COUNTIF(Q10:Q118,"X")</f>
        <v>0</v>
      </c>
      <c r="R119" s="2">
        <f>COUNTIF(R10:R118,"X")</f>
        <v>8</v>
      </c>
      <c r="S119" s="2">
        <f>COUNTIF(S10:S118,"X")</f>
        <v>1</v>
      </c>
    </row>
    <row r="120" spans="1:24" x14ac:dyDescent="0.2">
      <c r="M120" s="89" t="s">
        <v>56</v>
      </c>
      <c r="N120" s="90">
        <f>N119/M119</f>
        <v>-8.1335400970566185E-2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19"/>
  <sheetViews>
    <sheetView zoomScale="75" workbookViewId="0">
      <pane xSplit="1" ySplit="9" topLeftCell="B22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36798</v>
      </c>
      <c r="D3" s="9"/>
    </row>
    <row r="4" spans="1:42" ht="15.75" x14ac:dyDescent="0.25">
      <c r="A4" s="58" t="s">
        <v>36</v>
      </c>
      <c r="C4" s="4" t="s">
        <v>37</v>
      </c>
      <c r="E4" s="97" t="s">
        <v>63</v>
      </c>
      <c r="G4" s="4" t="s">
        <v>65</v>
      </c>
    </row>
    <row r="5" spans="1:42" ht="16.5" thickBot="1" x14ac:dyDescent="0.3">
      <c r="A5" s="58" t="s">
        <v>39</v>
      </c>
      <c r="C5" s="4" t="s">
        <v>58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36795</v>
      </c>
      <c r="D8" s="180"/>
      <c r="E8" s="181" t="str">
        <f>TEXT(WEEKDAY(C8),"dddd")</f>
        <v>Tuesday</v>
      </c>
      <c r="F8" s="182">
        <f>F9</f>
        <v>36796</v>
      </c>
      <c r="G8" s="180"/>
      <c r="H8" s="181" t="str">
        <f>TEXT(WEEKDAY(F8),"dddd")</f>
        <v>Wednesday</v>
      </c>
      <c r="I8" s="182">
        <f>I9</f>
        <v>36797</v>
      </c>
      <c r="J8" s="180"/>
      <c r="K8" s="181" t="str">
        <f>TEXT(WEEKDAY(I8),"dddd")</f>
        <v>Thursday</v>
      </c>
      <c r="L8" s="182">
        <f>L9</f>
        <v>36798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36795</v>
      </c>
      <c r="D9" s="157">
        <v>36795</v>
      </c>
      <c r="E9" s="157">
        <v>36795</v>
      </c>
      <c r="F9" s="158">
        <v>36796</v>
      </c>
      <c r="G9" s="157">
        <v>36796</v>
      </c>
      <c r="H9" s="157">
        <v>36796</v>
      </c>
      <c r="I9" s="158">
        <v>36797</v>
      </c>
      <c r="J9" s="157">
        <v>36797</v>
      </c>
      <c r="K9" s="157">
        <v>36797</v>
      </c>
      <c r="L9" s="158">
        <v>36798</v>
      </c>
      <c r="M9" s="157">
        <v>36798</v>
      </c>
      <c r="N9" s="157">
        <v>36798</v>
      </c>
      <c r="O9" s="6">
        <f t="shared" ref="O9:O36" si="0">K9+H9+E9</f>
        <v>110388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560</v>
      </c>
      <c r="D11" s="5">
        <v>277</v>
      </c>
      <c r="E11" s="5">
        <v>283</v>
      </c>
      <c r="F11" s="6">
        <v>280</v>
      </c>
      <c r="G11" s="5">
        <v>283</v>
      </c>
      <c r="H11" s="5">
        <v>-3</v>
      </c>
      <c r="I11" s="6">
        <v>280</v>
      </c>
      <c r="J11" s="5">
        <v>269</v>
      </c>
      <c r="K11" s="5">
        <v>11</v>
      </c>
      <c r="L11" s="6">
        <v>0</v>
      </c>
      <c r="M11" s="5">
        <v>258</v>
      </c>
      <c r="N11" s="5">
        <v>-258</v>
      </c>
      <c r="O11" s="6">
        <f t="shared" si="0"/>
        <v>291</v>
      </c>
      <c r="P11" s="72">
        <f t="shared" si="1"/>
        <v>0.35060240963855421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>X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>X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413</v>
      </c>
      <c r="E12" s="5">
        <v>-413</v>
      </c>
      <c r="F12" s="6">
        <v>0</v>
      </c>
      <c r="G12" s="5">
        <v>408</v>
      </c>
      <c r="H12" s="5">
        <v>-408</v>
      </c>
      <c r="I12" s="6">
        <v>0</v>
      </c>
      <c r="J12" s="5">
        <v>397</v>
      </c>
      <c r="K12" s="5">
        <v>-397</v>
      </c>
      <c r="L12" s="6">
        <v>0</v>
      </c>
      <c r="M12" s="5">
        <v>372</v>
      </c>
      <c r="N12" s="5">
        <v>-372</v>
      </c>
      <c r="O12" s="6">
        <f t="shared" si="0"/>
        <v>-1218</v>
      </c>
      <c r="P12" s="72">
        <f t="shared" si="1"/>
        <v>-0.99917965545529119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121</v>
      </c>
      <c r="E13" s="5">
        <v>-21</v>
      </c>
      <c r="F13" s="6">
        <v>100</v>
      </c>
      <c r="G13" s="5">
        <v>124</v>
      </c>
      <c r="H13" s="5">
        <v>-24</v>
      </c>
      <c r="I13" s="6">
        <v>100</v>
      </c>
      <c r="J13" s="5">
        <v>118</v>
      </c>
      <c r="K13" s="5">
        <v>-18</v>
      </c>
      <c r="L13" s="6">
        <v>100</v>
      </c>
      <c r="M13" s="5">
        <v>112</v>
      </c>
      <c r="N13" s="5">
        <v>-12</v>
      </c>
      <c r="O13" s="6">
        <f t="shared" si="0"/>
        <v>-63</v>
      </c>
      <c r="P13" s="72">
        <f t="shared" si="1"/>
        <v>-0.17307692307692307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1020</v>
      </c>
      <c r="D14" s="5">
        <v>1010</v>
      </c>
      <c r="E14" s="5">
        <v>10</v>
      </c>
      <c r="F14" s="6">
        <v>1020</v>
      </c>
      <c r="G14" s="5">
        <v>1032</v>
      </c>
      <c r="H14" s="5">
        <v>-12</v>
      </c>
      <c r="I14" s="6">
        <v>1020</v>
      </c>
      <c r="J14" s="5">
        <v>990</v>
      </c>
      <c r="K14" s="5">
        <v>30</v>
      </c>
      <c r="L14" s="6">
        <v>1020</v>
      </c>
      <c r="M14" s="5">
        <v>942</v>
      </c>
      <c r="N14" s="5">
        <v>78</v>
      </c>
      <c r="O14" s="6">
        <f t="shared" si="0"/>
        <v>28</v>
      </c>
      <c r="P14" s="72">
        <f t="shared" si="1"/>
        <v>9.2317837124958786E-3</v>
      </c>
      <c r="Q14" s="193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695</v>
      </c>
      <c r="D15" s="5">
        <v>512</v>
      </c>
      <c r="E15" s="5">
        <v>183</v>
      </c>
      <c r="F15" s="6">
        <v>4706</v>
      </c>
      <c r="G15" s="5">
        <v>523</v>
      </c>
      <c r="H15" s="5">
        <v>4183</v>
      </c>
      <c r="I15" s="6">
        <v>8003</v>
      </c>
      <c r="J15" s="5">
        <v>498</v>
      </c>
      <c r="K15" s="5">
        <v>7505</v>
      </c>
      <c r="L15" s="6">
        <v>4312</v>
      </c>
      <c r="M15" s="5">
        <v>477</v>
      </c>
      <c r="N15" s="5">
        <v>3835</v>
      </c>
      <c r="O15" s="6">
        <f t="shared" si="0"/>
        <v>11871</v>
      </c>
      <c r="P15" s="72">
        <f t="shared" si="1"/>
        <v>7.7385919165580184</v>
      </c>
      <c r="Q15" s="193"/>
      <c r="R15" s="67" t="str">
        <f>IF($C$4="High Inventory",IF(AND(O15&gt;=Summary!$C$128,P15&gt;=Summary!$C$129),"X"," "),IF(AND(O15&lt;=-Summary!$C$128,P15&lt;=-Summary!$C$129),"X"," "))</f>
        <v>X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>X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>X</v>
      </c>
      <c r="X15" t="str">
        <f>IF($C$4="High Inventory",IF(P15&gt;Summary!$C$129,"X"," "),IF(P15&lt;-Summary!$C$129,"X"," "))</f>
        <v>X</v>
      </c>
    </row>
    <row r="16" spans="1:42" x14ac:dyDescent="0.2">
      <c r="A16" s="28">
        <v>2584</v>
      </c>
      <c r="B16" s="56" t="s">
        <v>25</v>
      </c>
      <c r="C16" s="6">
        <v>3000</v>
      </c>
      <c r="D16" s="5">
        <v>2957</v>
      </c>
      <c r="E16" s="5">
        <v>43</v>
      </c>
      <c r="F16" s="6">
        <v>3000</v>
      </c>
      <c r="G16" s="5">
        <v>3019</v>
      </c>
      <c r="H16" s="5">
        <v>-19</v>
      </c>
      <c r="I16" s="6">
        <v>3000</v>
      </c>
      <c r="J16" s="5">
        <v>2884</v>
      </c>
      <c r="K16" s="5">
        <v>116</v>
      </c>
      <c r="L16" s="6">
        <v>3000</v>
      </c>
      <c r="M16" s="5">
        <v>2758</v>
      </c>
      <c r="N16" s="5">
        <v>242</v>
      </c>
      <c r="O16" s="6">
        <f t="shared" si="0"/>
        <v>140</v>
      </c>
      <c r="P16" s="72">
        <f t="shared" si="1"/>
        <v>1.5799571154497236E-2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3737</v>
      </c>
      <c r="D17" s="5">
        <v>6587</v>
      </c>
      <c r="E17" s="5">
        <v>-2850</v>
      </c>
      <c r="F17" s="6">
        <v>20681</v>
      </c>
      <c r="G17" s="5">
        <v>6713</v>
      </c>
      <c r="H17" s="5">
        <v>13968</v>
      </c>
      <c r="I17" s="6">
        <v>3737</v>
      </c>
      <c r="J17" s="5">
        <v>6410</v>
      </c>
      <c r="K17" s="5">
        <v>-2673</v>
      </c>
      <c r="L17" s="6">
        <v>43737</v>
      </c>
      <c r="M17" s="5">
        <v>6133</v>
      </c>
      <c r="N17" s="5">
        <v>37604</v>
      </c>
      <c r="O17" s="6">
        <f t="shared" si="0"/>
        <v>8445</v>
      </c>
      <c r="P17" s="72">
        <f t="shared" si="1"/>
        <v>0.42844097204606563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>
        <f t="shared" si="2"/>
        <v>40000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867</v>
      </c>
      <c r="E18" s="5">
        <v>-67</v>
      </c>
      <c r="F18" s="6">
        <v>800</v>
      </c>
      <c r="G18" s="5">
        <v>886</v>
      </c>
      <c r="H18" s="5">
        <v>-86</v>
      </c>
      <c r="I18" s="6">
        <v>800</v>
      </c>
      <c r="J18" s="5">
        <v>851</v>
      </c>
      <c r="K18" s="5">
        <v>-51</v>
      </c>
      <c r="L18" s="6">
        <v>800</v>
      </c>
      <c r="M18" s="5">
        <v>809</v>
      </c>
      <c r="N18" s="5">
        <v>-9</v>
      </c>
      <c r="O18" s="6">
        <f t="shared" si="0"/>
        <v>-204</v>
      </c>
      <c r="P18" s="72">
        <f t="shared" si="1"/>
        <v>-7.8310940499040305E-2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4266</v>
      </c>
      <c r="D19" s="5">
        <v>4587</v>
      </c>
      <c r="E19" s="5">
        <v>-321</v>
      </c>
      <c r="F19" s="6">
        <v>4266</v>
      </c>
      <c r="G19" s="5">
        <v>4682</v>
      </c>
      <c r="H19" s="5">
        <v>-416</v>
      </c>
      <c r="I19" s="6">
        <v>52171</v>
      </c>
      <c r="J19" s="5">
        <v>4483</v>
      </c>
      <c r="K19" s="5">
        <v>47688</v>
      </c>
      <c r="L19" s="6">
        <v>4266</v>
      </c>
      <c r="M19" s="5">
        <v>4277</v>
      </c>
      <c r="N19" s="5">
        <v>-11</v>
      </c>
      <c r="O19" s="6">
        <f t="shared" si="0"/>
        <v>46951</v>
      </c>
      <c r="P19" s="72">
        <f t="shared" si="1"/>
        <v>3.4138733367265326</v>
      </c>
      <c r="Q19" s="193" t="s">
        <v>59</v>
      </c>
      <c r="R19" s="67" t="str">
        <f>IF($C$4="High Inventory",IF(AND(O19&gt;=Summary!$C$128,P19&gt;=Summary!$C$129),"X"," "),IF(AND(O19&lt;=-Summary!$C$128,P19&lt;=-Summary!$C$129),"X"," "))</f>
        <v>X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>X</v>
      </c>
      <c r="U19" s="11" t="str">
        <f>IF($C$4="High Inventory",IF(AND($O19&gt;=0,$P19&gt;=Summary!$C$129),"X"," "),IF(AND($O19&lt;=0,$P19&lt;=-Summary!$C$129),"X"," "))</f>
        <v>X</v>
      </c>
      <c r="V19" t="str">
        <f t="shared" si="2"/>
        <v xml:space="preserve"> </v>
      </c>
      <c r="W19" t="str">
        <f>IF($C$4="High Inventory",IF(O19&gt;Summary!$C$128,"X"," "),IF(O19&lt;-Summary!$C$128,"X"," "))</f>
        <v>X</v>
      </c>
      <c r="X19" t="str">
        <f>IF($C$4="High Inventory",IF(P19&gt;Summary!$C$129,"X"," "),IF(P19&lt;-Summary!$C$129,"X"," "))</f>
        <v>X</v>
      </c>
    </row>
    <row r="20" spans="1:24" x14ac:dyDescent="0.2">
      <c r="A20" s="28">
        <v>3152</v>
      </c>
      <c r="B20" s="56" t="s">
        <v>25</v>
      </c>
      <c r="C20" s="6">
        <v>5715</v>
      </c>
      <c r="D20" s="5">
        <v>3970</v>
      </c>
      <c r="E20" s="5">
        <v>1745</v>
      </c>
      <c r="F20" s="6">
        <v>5715</v>
      </c>
      <c r="G20" s="5">
        <v>4042</v>
      </c>
      <c r="H20" s="5">
        <v>1673</v>
      </c>
      <c r="I20" s="6">
        <v>5715</v>
      </c>
      <c r="J20" s="5">
        <v>3885</v>
      </c>
      <c r="K20" s="5">
        <v>1830</v>
      </c>
      <c r="L20" s="6">
        <v>5715</v>
      </c>
      <c r="M20" s="5">
        <v>3693</v>
      </c>
      <c r="N20" s="5">
        <v>2022</v>
      </c>
      <c r="O20" s="6">
        <f t="shared" si="0"/>
        <v>5248</v>
      </c>
      <c r="P20" s="72">
        <f t="shared" si="1"/>
        <v>0.44108253487981175</v>
      </c>
      <c r="Q20" s="193"/>
      <c r="R20" s="67" t="str">
        <f>IF($C$4="High Inventory",IF(AND(O20&gt;=Summary!$C$128,P20&gt;=Summary!$C$129),"X"," "),IF(AND(O20&lt;=-Summary!$C$128,P20&lt;=-Summary!$C$129),"X"," "))</f>
        <v>X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>X</v>
      </c>
      <c r="U20" s="11" t="str">
        <f>IF($C$4="High Inventory",IF(AND($O20&gt;=0,$P20&gt;=Summary!$C$129),"X"," "),IF(AND($O20&lt;=0,$P20&lt;=-Summary!$C$129),"X"," "))</f>
        <v>X</v>
      </c>
      <c r="V20" t="str">
        <f t="shared" si="2"/>
        <v xml:space="preserve"> </v>
      </c>
      <c r="W20" t="str">
        <f>IF($C$4="High Inventory",IF(O20&gt;Summary!$C$128,"X"," "),IF(O20&lt;-Summary!$C$128,"X"," "))</f>
        <v>X</v>
      </c>
      <c r="X20" t="str">
        <f>IF($C$4="High Inventory",IF(P20&gt;Summary!$C$129,"X"," "),IF(P20&lt;-Summary!$C$129,"X"," "))</f>
        <v>X</v>
      </c>
    </row>
    <row r="21" spans="1:24" x14ac:dyDescent="0.2">
      <c r="A21" s="28">
        <v>6500</v>
      </c>
      <c r="B21" s="56" t="s">
        <v>25</v>
      </c>
      <c r="C21" s="6">
        <v>559481</v>
      </c>
      <c r="D21" s="5">
        <v>473949</v>
      </c>
      <c r="E21" s="5">
        <v>85532</v>
      </c>
      <c r="F21" s="6">
        <v>495059</v>
      </c>
      <c r="G21" s="5">
        <v>483462</v>
      </c>
      <c r="H21" s="5">
        <v>11597</v>
      </c>
      <c r="I21" s="6">
        <v>488048</v>
      </c>
      <c r="J21" s="5">
        <v>465785</v>
      </c>
      <c r="K21" s="5">
        <v>22263</v>
      </c>
      <c r="L21" s="6">
        <v>446620</v>
      </c>
      <c r="M21" s="5">
        <v>441721</v>
      </c>
      <c r="N21" s="5">
        <v>4899</v>
      </c>
      <c r="O21" s="6">
        <f t="shared" si="0"/>
        <v>119392</v>
      </c>
      <c r="P21" s="72">
        <f t="shared" si="1"/>
        <v>8.3890002578701328E-2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 xml:space="preserve"> </v>
      </c>
    </row>
    <row r="22" spans="1:24" x14ac:dyDescent="0.2">
      <c r="A22" s="28">
        <v>10656</v>
      </c>
      <c r="B22" s="56" t="s">
        <v>25</v>
      </c>
      <c r="C22" s="6">
        <v>360</v>
      </c>
      <c r="D22" s="5">
        <v>212</v>
      </c>
      <c r="E22" s="5">
        <v>148</v>
      </c>
      <c r="F22" s="6">
        <v>180</v>
      </c>
      <c r="G22" s="5">
        <v>217</v>
      </c>
      <c r="H22" s="5">
        <v>-37</v>
      </c>
      <c r="I22" s="6">
        <v>180</v>
      </c>
      <c r="J22" s="5">
        <v>207</v>
      </c>
      <c r="K22" s="5">
        <v>-27</v>
      </c>
      <c r="L22" s="6">
        <v>0</v>
      </c>
      <c r="M22" s="5">
        <v>198</v>
      </c>
      <c r="N22" s="5">
        <v>-198</v>
      </c>
      <c r="O22" s="6">
        <f t="shared" si="0"/>
        <v>84</v>
      </c>
      <c r="P22" s="72">
        <f t="shared" si="1"/>
        <v>0.13186813186813187</v>
      </c>
      <c r="Q22" s="193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>X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>X</v>
      </c>
    </row>
    <row r="23" spans="1:24" x14ac:dyDescent="0.2">
      <c r="A23" s="28">
        <v>12296</v>
      </c>
      <c r="B23" s="56" t="s">
        <v>25</v>
      </c>
      <c r="C23" s="6">
        <v>2861</v>
      </c>
      <c r="D23" s="5">
        <v>3264</v>
      </c>
      <c r="E23" s="5">
        <v>-403</v>
      </c>
      <c r="F23" s="6">
        <v>2861</v>
      </c>
      <c r="G23" s="5">
        <v>3334</v>
      </c>
      <c r="H23" s="5">
        <v>-473</v>
      </c>
      <c r="I23" s="6">
        <v>12461</v>
      </c>
      <c r="J23" s="5">
        <v>3179</v>
      </c>
      <c r="K23" s="5">
        <v>9282</v>
      </c>
      <c r="L23" s="6">
        <v>3336</v>
      </c>
      <c r="M23" s="5">
        <v>3046</v>
      </c>
      <c r="N23" s="5">
        <v>290</v>
      </c>
      <c r="O23" s="6">
        <f t="shared" si="0"/>
        <v>8406</v>
      </c>
      <c r="P23" s="72">
        <f t="shared" si="1"/>
        <v>0.85968500715892826</v>
      </c>
      <c r="Q23" s="193" t="s">
        <v>59</v>
      </c>
      <c r="R23" s="67" t="str">
        <f>IF($C$4="High Inventory",IF(AND(O23&gt;=Summary!$C$128,P23&gt;=Summary!$C$129),"X"," "),IF(AND(O23&lt;=-Summary!$C$128,P23&lt;=-Summary!$C$129),"X"," "))</f>
        <v>X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>X</v>
      </c>
      <c r="V23" t="str">
        <f t="shared" si="2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>X</v>
      </c>
    </row>
    <row r="24" spans="1:24" x14ac:dyDescent="0.2">
      <c r="A24" s="28">
        <v>16786</v>
      </c>
      <c r="B24" s="56" t="s">
        <v>25</v>
      </c>
      <c r="C24" s="6">
        <v>3999</v>
      </c>
      <c r="D24" s="5">
        <v>3456</v>
      </c>
      <c r="E24" s="5">
        <v>543</v>
      </c>
      <c r="F24" s="6">
        <v>3999</v>
      </c>
      <c r="G24" s="5">
        <v>3527</v>
      </c>
      <c r="H24" s="5">
        <v>472</v>
      </c>
      <c r="I24" s="6">
        <v>3999</v>
      </c>
      <c r="J24" s="5">
        <v>3377</v>
      </c>
      <c r="K24" s="5">
        <v>622</v>
      </c>
      <c r="L24" s="6">
        <v>3999</v>
      </c>
      <c r="M24" s="5">
        <v>3223</v>
      </c>
      <c r="N24" s="5">
        <v>776</v>
      </c>
      <c r="O24" s="6">
        <f t="shared" si="0"/>
        <v>1637</v>
      </c>
      <c r="P24" s="72">
        <f t="shared" si="1"/>
        <v>0.15799633240034747</v>
      </c>
      <c r="Q24" s="193" t="str">
        <f>" "</f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>X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>X</v>
      </c>
    </row>
    <row r="25" spans="1:24" x14ac:dyDescent="0.2">
      <c r="A25" s="28">
        <v>17791</v>
      </c>
      <c r="B25" s="56" t="s">
        <v>25</v>
      </c>
      <c r="C25" s="6">
        <v>250</v>
      </c>
      <c r="D25" s="5">
        <v>251</v>
      </c>
      <c r="E25" s="5">
        <v>-1</v>
      </c>
      <c r="F25" s="6">
        <v>250</v>
      </c>
      <c r="G25" s="5">
        <v>256</v>
      </c>
      <c r="H25" s="5">
        <v>-6</v>
      </c>
      <c r="I25" s="6">
        <v>250</v>
      </c>
      <c r="J25" s="5">
        <v>244</v>
      </c>
      <c r="K25" s="5">
        <v>6</v>
      </c>
      <c r="L25" s="6">
        <v>250</v>
      </c>
      <c r="M25" s="5">
        <v>233</v>
      </c>
      <c r="N25" s="5">
        <v>17</v>
      </c>
      <c r="O25" s="6">
        <f t="shared" si="0"/>
        <v>-1</v>
      </c>
      <c r="P25" s="72">
        <f t="shared" si="1"/>
        <v>-1.3297872340425532E-3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30649</v>
      </c>
      <c r="B26" s="56" t="s">
        <v>25</v>
      </c>
      <c r="C26" s="6">
        <v>384</v>
      </c>
      <c r="D26" s="5">
        <v>906</v>
      </c>
      <c r="E26" s="5">
        <v>-522</v>
      </c>
      <c r="F26" s="6">
        <v>384</v>
      </c>
      <c r="G26" s="5">
        <v>925</v>
      </c>
      <c r="H26" s="5">
        <v>-541</v>
      </c>
      <c r="I26" s="6">
        <v>384</v>
      </c>
      <c r="J26" s="5">
        <v>882</v>
      </c>
      <c r="K26" s="5">
        <v>-498</v>
      </c>
      <c r="L26" s="6">
        <v>384</v>
      </c>
      <c r="M26" s="5">
        <v>845</v>
      </c>
      <c r="N26" s="5">
        <v>-461</v>
      </c>
      <c r="O26" s="6">
        <f t="shared" si="0"/>
        <v>-1561</v>
      </c>
      <c r="P26" s="72">
        <f t="shared" si="1"/>
        <v>-0.575165806927045</v>
      </c>
      <c r="Q26" s="193"/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1117</v>
      </c>
      <c r="B27" s="56" t="s">
        <v>26</v>
      </c>
      <c r="C27" s="6">
        <v>134410</v>
      </c>
      <c r="D27" s="5">
        <v>86290</v>
      </c>
      <c r="E27" s="5">
        <v>48120</v>
      </c>
      <c r="F27" s="6">
        <v>53318</v>
      </c>
      <c r="G27" s="5">
        <v>80356</v>
      </c>
      <c r="H27" s="5">
        <v>-27038</v>
      </c>
      <c r="I27" s="6">
        <v>111967</v>
      </c>
      <c r="J27" s="5">
        <v>80493</v>
      </c>
      <c r="K27" s="5">
        <v>31474</v>
      </c>
      <c r="L27" s="6">
        <v>82234</v>
      </c>
      <c r="M27" s="5">
        <v>77598</v>
      </c>
      <c r="N27" s="5">
        <v>4636</v>
      </c>
      <c r="O27" s="6">
        <f t="shared" si="0"/>
        <v>52556</v>
      </c>
      <c r="P27" s="72">
        <f t="shared" si="1"/>
        <v>0.21265679372015861</v>
      </c>
      <c r="Q27" s="195" t="s">
        <v>59</v>
      </c>
      <c r="R27" s="67" t="str">
        <f>IF($C$4="High Inventory",IF(AND(O27&gt;=Summary!$C$128,P27&gt;=Summary!$C$129),"X"," "),IF(AND(O27&lt;=-Summary!$C$128,P27&lt;=-Summary!$C$129),"X"," "))</f>
        <v>X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>X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>X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1126</v>
      </c>
      <c r="B28" s="56" t="s">
        <v>26</v>
      </c>
      <c r="C28" s="6">
        <v>29109</v>
      </c>
      <c r="D28" s="5">
        <v>27736</v>
      </c>
      <c r="E28" s="5">
        <v>1373</v>
      </c>
      <c r="F28" s="6">
        <v>24909</v>
      </c>
      <c r="G28" s="5">
        <v>27532</v>
      </c>
      <c r="H28" s="5">
        <v>-2623</v>
      </c>
      <c r="I28" s="6">
        <v>24909</v>
      </c>
      <c r="J28" s="5">
        <v>28325</v>
      </c>
      <c r="K28" s="5">
        <v>-3416</v>
      </c>
      <c r="L28" s="6">
        <v>24909</v>
      </c>
      <c r="M28" s="5">
        <v>28570</v>
      </c>
      <c r="N28" s="5">
        <v>-3661</v>
      </c>
      <c r="O28" s="6">
        <f t="shared" si="0"/>
        <v>-4666</v>
      </c>
      <c r="P28" s="72">
        <f t="shared" si="1"/>
        <v>-5.5817403162906426E-2</v>
      </c>
      <c r="Q28" s="195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1157</v>
      </c>
      <c r="B29" s="56" t="s">
        <v>26</v>
      </c>
      <c r="C29" s="6">
        <v>141577</v>
      </c>
      <c r="D29" s="5">
        <v>166218</v>
      </c>
      <c r="E29" s="5">
        <v>-24641</v>
      </c>
      <c r="F29" s="6">
        <v>142846</v>
      </c>
      <c r="G29" s="5">
        <v>169840</v>
      </c>
      <c r="H29" s="5">
        <v>-26994</v>
      </c>
      <c r="I29" s="6">
        <v>169762</v>
      </c>
      <c r="J29" s="5">
        <v>168823</v>
      </c>
      <c r="K29" s="5">
        <v>939</v>
      </c>
      <c r="L29" s="6">
        <v>152809</v>
      </c>
      <c r="M29" s="5">
        <v>159050</v>
      </c>
      <c r="N29" s="5">
        <v>-6241</v>
      </c>
      <c r="O29" s="6">
        <f t="shared" si="0"/>
        <v>-50696</v>
      </c>
      <c r="P29" s="72">
        <f t="shared" si="1"/>
        <v>-0.1004115813199916</v>
      </c>
      <c r="Q29" s="195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1281</v>
      </c>
      <c r="B30" s="56" t="s">
        <v>26</v>
      </c>
      <c r="C30" s="6">
        <v>57134</v>
      </c>
      <c r="D30" s="5">
        <v>66573</v>
      </c>
      <c r="E30" s="5">
        <v>-9439</v>
      </c>
      <c r="F30" s="6">
        <v>65696</v>
      </c>
      <c r="G30" s="5">
        <v>63087</v>
      </c>
      <c r="H30" s="5">
        <v>2609</v>
      </c>
      <c r="I30" s="6">
        <v>51430</v>
      </c>
      <c r="J30" s="5">
        <v>63383</v>
      </c>
      <c r="K30" s="5">
        <v>-11953</v>
      </c>
      <c r="L30" s="6">
        <v>50831</v>
      </c>
      <c r="M30" s="5">
        <v>64269</v>
      </c>
      <c r="N30" s="5">
        <v>-13438</v>
      </c>
      <c r="O30" s="6">
        <f t="shared" si="0"/>
        <v>-18783</v>
      </c>
      <c r="P30" s="72">
        <f t="shared" si="1"/>
        <v>-9.729906135388823E-2</v>
      </c>
      <c r="Q30" s="195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1340</v>
      </c>
      <c r="B31" s="56" t="s">
        <v>26</v>
      </c>
      <c r="C31" s="6">
        <v>4810</v>
      </c>
      <c r="D31" s="5">
        <v>6116</v>
      </c>
      <c r="E31" s="5">
        <v>-1306</v>
      </c>
      <c r="F31" s="6">
        <v>4822</v>
      </c>
      <c r="G31" s="5">
        <v>7217</v>
      </c>
      <c r="H31" s="5">
        <v>-2395</v>
      </c>
      <c r="I31" s="6">
        <v>6825</v>
      </c>
      <c r="J31" s="5">
        <v>7345</v>
      </c>
      <c r="K31" s="5">
        <v>-520</v>
      </c>
      <c r="L31" s="6">
        <v>6818</v>
      </c>
      <c r="M31" s="5">
        <v>7579</v>
      </c>
      <c r="N31" s="5">
        <v>-761</v>
      </c>
      <c r="O31" s="6">
        <f t="shared" si="0"/>
        <v>-4221</v>
      </c>
      <c r="P31" s="72">
        <f t="shared" si="1"/>
        <v>-0.20412012186275932</v>
      </c>
      <c r="Q31" s="193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">
      <c r="A32" s="28">
        <v>1377</v>
      </c>
      <c r="B32" s="56" t="s">
        <v>26</v>
      </c>
      <c r="C32" s="6">
        <v>79958</v>
      </c>
      <c r="D32" s="5">
        <v>123967</v>
      </c>
      <c r="E32" s="5">
        <v>-44009</v>
      </c>
      <c r="F32" s="6">
        <v>124538</v>
      </c>
      <c r="G32" s="5">
        <v>118979</v>
      </c>
      <c r="H32" s="5">
        <v>5559</v>
      </c>
      <c r="I32" s="6">
        <v>136939</v>
      </c>
      <c r="J32" s="5">
        <v>120043</v>
      </c>
      <c r="K32" s="5">
        <v>16896</v>
      </c>
      <c r="L32" s="6">
        <v>19692</v>
      </c>
      <c r="M32" s="5">
        <v>121363</v>
      </c>
      <c r="N32" s="5">
        <v>-101671</v>
      </c>
      <c r="O32" s="6">
        <f t="shared" si="0"/>
        <v>-21554</v>
      </c>
      <c r="P32" s="72">
        <f t="shared" si="1"/>
        <v>-5.9379046254717759E-2</v>
      </c>
      <c r="Q32" s="195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1830</v>
      </c>
      <c r="B33" s="56" t="s">
        <v>26</v>
      </c>
      <c r="C33" s="6">
        <v>7391</v>
      </c>
      <c r="D33" s="5">
        <v>1</v>
      </c>
      <c r="E33" s="5">
        <v>7390</v>
      </c>
      <c r="F33" s="6">
        <v>0</v>
      </c>
      <c r="G33" s="5">
        <v>1</v>
      </c>
      <c r="H33" s="5">
        <v>-1</v>
      </c>
      <c r="I33" s="6">
        <v>0</v>
      </c>
      <c r="J33" s="5">
        <v>1</v>
      </c>
      <c r="K33" s="5">
        <v>-1</v>
      </c>
      <c r="L33" s="6">
        <v>0</v>
      </c>
      <c r="M33" s="5">
        <v>96</v>
      </c>
      <c r="N33" s="5">
        <v>-96</v>
      </c>
      <c r="O33" s="6">
        <f t="shared" si="0"/>
        <v>7388</v>
      </c>
      <c r="P33" s="72">
        <f t="shared" si="1"/>
        <v>1847</v>
      </c>
      <c r="Q33" s="193"/>
      <c r="R33" s="67" t="str">
        <f>IF($C$4="High Inventory",IF(AND(O33&gt;=Summary!$C$128,P33&gt;=Summary!$C$129),"X"," "),IF(AND(O33&lt;=-Summary!$C$128,P33&lt;=-Summary!$C$129),"X"," "))</f>
        <v>X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>X</v>
      </c>
      <c r="U33" s="11" t="str">
        <f>IF($C$4="High Inventory",IF(AND($O33&gt;=0,$P33&gt;=Summary!$C$129),"X"," "),IF(AND($O33&lt;=0,$P33&lt;=-Summary!$C$129),"X"," "))</f>
        <v>X</v>
      </c>
      <c r="V33" t="str">
        <f t="shared" si="2"/>
        <v xml:space="preserve"> </v>
      </c>
      <c r="W33" t="str">
        <f>IF($C$4="High Inventory",IF(O33&gt;Summary!$C$128,"X"," "),IF(O33&lt;-Summary!$C$128,"X"," "))</f>
        <v>X</v>
      </c>
      <c r="X33" t="str">
        <f>IF($C$4="High Inventory",IF(P33&gt;Summary!$C$129,"X"," "),IF(P33&lt;-Summary!$C$129,"X"," "))</f>
        <v>X</v>
      </c>
    </row>
    <row r="34" spans="1:24" x14ac:dyDescent="0.2">
      <c r="A34" s="28">
        <v>1864</v>
      </c>
      <c r="B34" s="56" t="s">
        <v>26</v>
      </c>
      <c r="C34" s="6">
        <v>470004</v>
      </c>
      <c r="D34" s="5">
        <v>497578</v>
      </c>
      <c r="E34" s="5">
        <v>-27574</v>
      </c>
      <c r="F34" s="6">
        <v>561526</v>
      </c>
      <c r="G34" s="5">
        <v>490758</v>
      </c>
      <c r="H34" s="5">
        <v>70768</v>
      </c>
      <c r="I34" s="6">
        <v>598512</v>
      </c>
      <c r="J34" s="5">
        <v>481734</v>
      </c>
      <c r="K34" s="5">
        <v>116778</v>
      </c>
      <c r="L34" s="6">
        <v>501211</v>
      </c>
      <c r="M34" s="5">
        <v>471213</v>
      </c>
      <c r="N34" s="5">
        <v>29998</v>
      </c>
      <c r="O34" s="6">
        <f t="shared" si="0"/>
        <v>159972</v>
      </c>
      <c r="P34" s="72">
        <f t="shared" si="1"/>
        <v>0.10881923390094764</v>
      </c>
      <c r="Q34" s="193" t="s">
        <v>59</v>
      </c>
      <c r="R34" s="67" t="str">
        <f>IF($C$4="High Inventory",IF(AND(O34&gt;=Summary!$C$128,P34&gt;=Summary!$C$129),"X"," "),IF(AND(O34&lt;=-Summary!$C$128,P34&lt;=-Summary!$C$129),"X"," "))</f>
        <v>X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>X</v>
      </c>
      <c r="U34" s="11" t="str">
        <f>IF($C$4="High Inventory",IF(AND($O34&gt;=0,$P34&gt;=Summary!$C$129),"X"," "),IF(AND($O34&lt;=0,$P34&lt;=-Summary!$C$129),"X"," "))</f>
        <v>X</v>
      </c>
      <c r="V34" t="str">
        <f t="shared" si="2"/>
        <v xml:space="preserve"> </v>
      </c>
      <c r="W34" t="str">
        <f>IF($C$4="High Inventory",IF(O34&gt;Summary!$C$128,"X"," "),IF(O34&lt;-Summary!$C$128,"X"," "))</f>
        <v>X</v>
      </c>
      <c r="X34" t="str">
        <f>IF($C$4="High Inventory",IF(P34&gt;Summary!$C$129,"X"," "),IF(P34&lt;-Summary!$C$129,"X"," "))</f>
        <v>X</v>
      </c>
    </row>
    <row r="35" spans="1:24" x14ac:dyDescent="0.2">
      <c r="A35" s="28">
        <v>1922</v>
      </c>
      <c r="B35" s="56" t="s">
        <v>26</v>
      </c>
      <c r="C35" s="6">
        <v>31664</v>
      </c>
      <c r="D35" s="5">
        <v>66878</v>
      </c>
      <c r="E35" s="5">
        <v>-35214</v>
      </c>
      <c r="F35" s="6">
        <v>63634</v>
      </c>
      <c r="G35" s="5">
        <v>68447</v>
      </c>
      <c r="H35" s="5">
        <v>-4813</v>
      </c>
      <c r="I35" s="6">
        <v>80281</v>
      </c>
      <c r="J35" s="5">
        <v>62188</v>
      </c>
      <c r="K35" s="5">
        <v>18093</v>
      </c>
      <c r="L35" s="6">
        <v>81256</v>
      </c>
      <c r="M35" s="5">
        <v>61480</v>
      </c>
      <c r="N35" s="5">
        <v>19776</v>
      </c>
      <c r="O35" s="6">
        <f t="shared" si="0"/>
        <v>-21934</v>
      </c>
      <c r="P35" s="72">
        <f t="shared" si="1"/>
        <v>-0.11105035592413702</v>
      </c>
      <c r="Q35" s="193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1928</v>
      </c>
      <c r="B36" s="56" t="s">
        <v>26</v>
      </c>
      <c r="C36" s="6">
        <v>7405</v>
      </c>
      <c r="D36" s="5">
        <v>7139</v>
      </c>
      <c r="E36" s="5">
        <v>266</v>
      </c>
      <c r="F36" s="6">
        <v>1918</v>
      </c>
      <c r="G36" s="5">
        <v>9095</v>
      </c>
      <c r="H36" s="5">
        <v>-7177</v>
      </c>
      <c r="I36" s="6">
        <v>2918</v>
      </c>
      <c r="J36" s="5">
        <v>8192</v>
      </c>
      <c r="K36" s="5">
        <v>-5274</v>
      </c>
      <c r="L36" s="6">
        <v>8918</v>
      </c>
      <c r="M36" s="5">
        <v>7915</v>
      </c>
      <c r="N36" s="5">
        <v>1003</v>
      </c>
      <c r="O36" s="6">
        <f t="shared" si="0"/>
        <v>-12185</v>
      </c>
      <c r="P36" s="72">
        <f t="shared" si="1"/>
        <v>-0.49883325827977237</v>
      </c>
      <c r="Q36" s="193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>X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>
        <f t="shared" si="2"/>
        <v>6000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">
      <c r="A37" s="28">
        <v>2056</v>
      </c>
      <c r="B37" s="56" t="s">
        <v>26</v>
      </c>
      <c r="C37" s="6">
        <v>14632</v>
      </c>
      <c r="D37" s="5">
        <v>24398</v>
      </c>
      <c r="E37" s="5">
        <v>-9766</v>
      </c>
      <c r="F37" s="6">
        <v>20632</v>
      </c>
      <c r="G37" s="5">
        <v>22924</v>
      </c>
      <c r="H37" s="5">
        <v>-2292</v>
      </c>
      <c r="I37" s="6">
        <v>19632</v>
      </c>
      <c r="J37" s="5">
        <v>23367</v>
      </c>
      <c r="K37" s="5">
        <v>-3735</v>
      </c>
      <c r="L37" s="6">
        <v>19632</v>
      </c>
      <c r="M37" s="5">
        <v>22725</v>
      </c>
      <c r="N37" s="5">
        <v>-3093</v>
      </c>
      <c r="O37" s="6">
        <f t="shared" ref="O37:O64" si="3">K37+H37+E37</f>
        <v>-15793</v>
      </c>
      <c r="P37" s="72">
        <f t="shared" si="1"/>
        <v>-0.22341208091667847</v>
      </c>
      <c r="Q37" s="193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2280</v>
      </c>
      <c r="B38" s="56" t="s">
        <v>26</v>
      </c>
      <c r="C38" s="6">
        <v>15836</v>
      </c>
      <c r="D38" s="5">
        <v>13220</v>
      </c>
      <c r="E38" s="5">
        <v>2616</v>
      </c>
      <c r="F38" s="6">
        <v>33491</v>
      </c>
      <c r="G38" s="5">
        <v>11716</v>
      </c>
      <c r="H38" s="5">
        <v>21775</v>
      </c>
      <c r="I38" s="6">
        <v>28527</v>
      </c>
      <c r="J38" s="5">
        <v>12513</v>
      </c>
      <c r="K38" s="5">
        <v>16014</v>
      </c>
      <c r="L38" s="6">
        <v>28225</v>
      </c>
      <c r="M38" s="5">
        <v>11747</v>
      </c>
      <c r="N38" s="5">
        <v>16478</v>
      </c>
      <c r="O38" s="6">
        <f t="shared" si="3"/>
        <v>40405</v>
      </c>
      <c r="P38" s="72">
        <f t="shared" ref="P38:P65" si="4">O38/(J38+G38+D38+1)</f>
        <v>1.0789052069425902</v>
      </c>
      <c r="Q38" s="193" t="s">
        <v>59</v>
      </c>
      <c r="R38" s="67" t="str">
        <f>IF($C$4="High Inventory",IF(AND(O38&gt;=Summary!$C$128,P38&gt;=Summary!$C$129),"X"," "),IF(AND(O38&lt;=-Summary!$C$128,P38&lt;=-Summary!$C$129),"X"," "))</f>
        <v>X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>X</v>
      </c>
      <c r="U38" s="11" t="str">
        <f>IF($C$4="High Inventory",IF(AND($O38&gt;=0,$P38&gt;=Summary!$C$129),"X"," "),IF(AND($O38&lt;=0,$P38&lt;=-Summary!$C$129),"X"," "))</f>
        <v>X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>X</v>
      </c>
      <c r="X38" t="str">
        <f>IF($C$4="High Inventory",IF(P38&gt;Summary!$C$129,"X"," "),IF(P38&lt;-Summary!$C$129,"X"," "))</f>
        <v>X</v>
      </c>
    </row>
    <row r="39" spans="1:24" x14ac:dyDescent="0.2">
      <c r="A39" s="28">
        <v>2584</v>
      </c>
      <c r="B39" s="56" t="s">
        <v>26</v>
      </c>
      <c r="C39" s="6">
        <v>84025</v>
      </c>
      <c r="D39" s="5">
        <v>80666</v>
      </c>
      <c r="E39" s="5">
        <v>3359</v>
      </c>
      <c r="F39" s="6">
        <v>84025</v>
      </c>
      <c r="G39" s="5">
        <v>79471</v>
      </c>
      <c r="H39" s="5">
        <v>4554</v>
      </c>
      <c r="I39" s="6">
        <v>59025</v>
      </c>
      <c r="J39" s="5">
        <v>81500</v>
      </c>
      <c r="K39" s="5">
        <v>-22475</v>
      </c>
      <c r="L39" s="6">
        <v>58295</v>
      </c>
      <c r="M39" s="5">
        <v>76395</v>
      </c>
      <c r="N39" s="5">
        <v>-18100</v>
      </c>
      <c r="O39" s="6">
        <f t="shared" si="3"/>
        <v>-14562</v>
      </c>
      <c r="P39" s="72">
        <f t="shared" si="4"/>
        <v>-6.0263700245822262E-2</v>
      </c>
      <c r="Q39" s="193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">
      <c r="A40" s="28">
        <v>2771</v>
      </c>
      <c r="B40" s="56" t="s">
        <v>26</v>
      </c>
      <c r="C40" s="6">
        <v>95184</v>
      </c>
      <c r="D40" s="5">
        <v>73136</v>
      </c>
      <c r="E40" s="5">
        <v>22048</v>
      </c>
      <c r="F40" s="6">
        <v>94086</v>
      </c>
      <c r="G40" s="5">
        <v>77532</v>
      </c>
      <c r="H40" s="5">
        <v>16554</v>
      </c>
      <c r="I40" s="6">
        <v>103182</v>
      </c>
      <c r="J40" s="5">
        <v>75556</v>
      </c>
      <c r="K40" s="5">
        <v>27626</v>
      </c>
      <c r="L40" s="6">
        <v>32087</v>
      </c>
      <c r="M40" s="5">
        <v>70813</v>
      </c>
      <c r="N40" s="5">
        <v>-38726</v>
      </c>
      <c r="O40" s="6">
        <f t="shared" si="3"/>
        <v>66228</v>
      </c>
      <c r="P40" s="72">
        <f t="shared" si="4"/>
        <v>0.2927527903635761</v>
      </c>
      <c r="Q40" s="193" t="s">
        <v>59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">
      <c r="A41" s="28">
        <v>2832</v>
      </c>
      <c r="B41" s="56" t="s">
        <v>26</v>
      </c>
      <c r="C41" s="6">
        <v>4791</v>
      </c>
      <c r="D41" s="5">
        <v>3874</v>
      </c>
      <c r="E41" s="5">
        <v>917</v>
      </c>
      <c r="F41" s="6">
        <v>4791</v>
      </c>
      <c r="G41" s="5">
        <v>4342</v>
      </c>
      <c r="H41" s="5">
        <v>449</v>
      </c>
      <c r="I41" s="6">
        <v>4791</v>
      </c>
      <c r="J41" s="5">
        <v>4201</v>
      </c>
      <c r="K41" s="5">
        <v>590</v>
      </c>
      <c r="L41" s="6">
        <v>4791</v>
      </c>
      <c r="M41" s="5">
        <v>3286</v>
      </c>
      <c r="N41" s="5">
        <v>1505</v>
      </c>
      <c r="O41" s="6">
        <f t="shared" si="3"/>
        <v>1956</v>
      </c>
      <c r="P41" s="72">
        <f t="shared" si="4"/>
        <v>0.15751328716379448</v>
      </c>
      <c r="Q41" s="195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2892</v>
      </c>
      <c r="B42" s="56" t="s">
        <v>26</v>
      </c>
      <c r="C42" s="6">
        <v>659</v>
      </c>
      <c r="D42" s="5">
        <v>167</v>
      </c>
      <c r="E42" s="5">
        <v>492</v>
      </c>
      <c r="F42" s="6">
        <v>659</v>
      </c>
      <c r="G42" s="5">
        <v>196</v>
      </c>
      <c r="H42" s="5">
        <v>463</v>
      </c>
      <c r="I42" s="6">
        <v>659</v>
      </c>
      <c r="J42" s="5">
        <v>221</v>
      </c>
      <c r="K42" s="5">
        <v>438</v>
      </c>
      <c r="L42" s="6">
        <v>659</v>
      </c>
      <c r="M42" s="5">
        <v>225</v>
      </c>
      <c r="N42" s="5">
        <v>434</v>
      </c>
      <c r="O42" s="6">
        <f t="shared" si="3"/>
        <v>1393</v>
      </c>
      <c r="P42" s="72">
        <f t="shared" si="4"/>
        <v>2.3811965811965812</v>
      </c>
      <c r="Q42" s="193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3015</v>
      </c>
      <c r="B43" s="56" t="s">
        <v>26</v>
      </c>
      <c r="C43" s="6">
        <v>10639</v>
      </c>
      <c r="D43" s="5">
        <v>10243</v>
      </c>
      <c r="E43" s="5">
        <v>396</v>
      </c>
      <c r="F43" s="6">
        <v>8480</v>
      </c>
      <c r="G43" s="5">
        <v>9335</v>
      </c>
      <c r="H43" s="5">
        <v>-855</v>
      </c>
      <c r="I43" s="6">
        <v>10913</v>
      </c>
      <c r="J43" s="5">
        <v>10052</v>
      </c>
      <c r="K43" s="5">
        <v>861</v>
      </c>
      <c r="L43" s="6">
        <v>0</v>
      </c>
      <c r="M43" s="5">
        <v>9693</v>
      </c>
      <c r="N43" s="5">
        <v>-9693</v>
      </c>
      <c r="O43" s="6">
        <f t="shared" si="3"/>
        <v>402</v>
      </c>
      <c r="P43" s="72">
        <f t="shared" si="4"/>
        <v>1.3566872532145387E-2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4438</v>
      </c>
      <c r="B44" s="56" t="s">
        <v>26</v>
      </c>
      <c r="C44" s="6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6">
        <v>0</v>
      </c>
      <c r="J44" s="5">
        <v>0</v>
      </c>
      <c r="K44" s="5">
        <v>0</v>
      </c>
      <c r="L44" s="6">
        <v>0</v>
      </c>
      <c r="M44" s="5">
        <v>0</v>
      </c>
      <c r="N44" s="5">
        <v>0</v>
      </c>
      <c r="O44" s="6">
        <f t="shared" si="3"/>
        <v>0</v>
      </c>
      <c r="P44" s="72">
        <f t="shared" si="4"/>
        <v>0</v>
      </c>
      <c r="Q44" s="193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">
      <c r="A45" s="28">
        <v>4760</v>
      </c>
      <c r="B45" s="56" t="s">
        <v>26</v>
      </c>
      <c r="C45" s="6">
        <v>553000</v>
      </c>
      <c r="D45" s="5">
        <v>489173</v>
      </c>
      <c r="E45" s="5">
        <v>63827</v>
      </c>
      <c r="F45" s="6">
        <v>595625</v>
      </c>
      <c r="G45" s="5">
        <v>461893</v>
      </c>
      <c r="H45" s="5">
        <v>133732</v>
      </c>
      <c r="I45" s="6">
        <v>573779</v>
      </c>
      <c r="J45" s="5">
        <v>485651</v>
      </c>
      <c r="K45" s="5">
        <v>88128</v>
      </c>
      <c r="L45" s="6">
        <v>485230</v>
      </c>
      <c r="M45" s="5">
        <v>515101</v>
      </c>
      <c r="N45" s="5">
        <v>-29871</v>
      </c>
      <c r="O45" s="6">
        <f t="shared" si="3"/>
        <v>285687</v>
      </c>
      <c r="P45" s="72">
        <f t="shared" si="4"/>
        <v>0.19884695535240737</v>
      </c>
      <c r="Q45" s="193" t="s">
        <v>59</v>
      </c>
      <c r="R45" s="67" t="str">
        <f>IF($C$4="High Inventory",IF(AND(O45&gt;=Summary!$C$128,P45&gt;=Summary!$C$129),"X"," "),IF(AND(O45&lt;=-Summary!$C$128,P45&lt;=-Summary!$C$129),"X"," "))</f>
        <v>X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>X</v>
      </c>
      <c r="U45" s="11" t="str">
        <f>IF($C$4="High Inventory",IF(AND($O45&gt;=0,$P45&gt;=Summary!$C$129),"X"," "),IF(AND($O45&lt;=0,$P45&lt;=-Summary!$C$129),"X"," "))</f>
        <v>X</v>
      </c>
      <c r="V45" t="str">
        <f t="shared" si="5"/>
        <v xml:space="preserve"> </v>
      </c>
      <c r="W45" t="str">
        <f>IF($C$4="High Inventory",IF(O45&gt;Summary!$C$128,"X"," "),IF(O45&lt;-Summary!$C$128,"X"," "))</f>
        <v>X</v>
      </c>
      <c r="X45" t="str">
        <f>IF($C$4="High Inventory",IF(P45&gt;Summary!$C$129,"X"," "),IF(P45&lt;-Summary!$C$129,"X"," "))</f>
        <v>X</v>
      </c>
    </row>
    <row r="46" spans="1:24" x14ac:dyDescent="0.2">
      <c r="A46" s="28">
        <v>6084</v>
      </c>
      <c r="B46" s="56" t="s">
        <v>26</v>
      </c>
      <c r="C46" s="6">
        <v>1800</v>
      </c>
      <c r="D46" s="5">
        <v>1754</v>
      </c>
      <c r="E46" s="5">
        <v>46</v>
      </c>
      <c r="F46" s="6">
        <v>1800</v>
      </c>
      <c r="G46" s="5">
        <v>1824</v>
      </c>
      <c r="H46" s="5">
        <v>-24</v>
      </c>
      <c r="I46" s="6">
        <v>1800</v>
      </c>
      <c r="J46" s="5">
        <v>1904</v>
      </c>
      <c r="K46" s="5">
        <v>-104</v>
      </c>
      <c r="L46" s="6">
        <v>1800</v>
      </c>
      <c r="M46" s="5">
        <v>1696</v>
      </c>
      <c r="N46" s="5">
        <v>104</v>
      </c>
      <c r="O46" s="6">
        <f t="shared" si="3"/>
        <v>-82</v>
      </c>
      <c r="P46" s="72">
        <f t="shared" si="4"/>
        <v>-1.4955316432609885E-2</v>
      </c>
      <c r="Q46" s="193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6728</v>
      </c>
      <c r="B47" s="56" t="s">
        <v>26</v>
      </c>
      <c r="C47" s="6">
        <v>11000</v>
      </c>
      <c r="D47" s="5">
        <v>11585</v>
      </c>
      <c r="E47" s="5">
        <v>-585</v>
      </c>
      <c r="F47" s="6">
        <v>10904</v>
      </c>
      <c r="G47" s="5">
        <v>11728</v>
      </c>
      <c r="H47" s="5">
        <v>-824</v>
      </c>
      <c r="I47" s="6">
        <v>11000</v>
      </c>
      <c r="J47" s="5">
        <v>11189</v>
      </c>
      <c r="K47" s="5">
        <v>-189</v>
      </c>
      <c r="L47" s="6">
        <v>11000</v>
      </c>
      <c r="M47" s="5">
        <v>10906</v>
      </c>
      <c r="N47" s="5">
        <v>94</v>
      </c>
      <c r="O47" s="6">
        <f t="shared" si="3"/>
        <v>-1598</v>
      </c>
      <c r="P47" s="72">
        <f t="shared" si="4"/>
        <v>-4.6314813204648871E-2</v>
      </c>
      <c r="Q47" s="193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12296</v>
      </c>
      <c r="B48" s="56" t="s">
        <v>26</v>
      </c>
      <c r="C48" s="6">
        <v>33768</v>
      </c>
      <c r="D48" s="5">
        <v>38048</v>
      </c>
      <c r="E48" s="5">
        <v>-4280</v>
      </c>
      <c r="F48" s="6">
        <v>33768</v>
      </c>
      <c r="G48" s="5">
        <v>37081</v>
      </c>
      <c r="H48" s="5">
        <v>-3313</v>
      </c>
      <c r="I48" s="6">
        <v>24214</v>
      </c>
      <c r="J48" s="5">
        <v>37894</v>
      </c>
      <c r="K48" s="5">
        <v>-13680</v>
      </c>
      <c r="L48" s="6">
        <v>33293</v>
      </c>
      <c r="M48" s="5">
        <v>36377</v>
      </c>
      <c r="N48" s="5">
        <v>-3084</v>
      </c>
      <c r="O48" s="6">
        <f t="shared" si="3"/>
        <v>-21273</v>
      </c>
      <c r="P48" s="72">
        <f t="shared" si="4"/>
        <v>-0.18821666194790487</v>
      </c>
      <c r="Q48" s="193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15966</v>
      </c>
      <c r="B49" s="56" t="s">
        <v>26</v>
      </c>
      <c r="C49" s="6">
        <v>64841</v>
      </c>
      <c r="D49" s="5">
        <v>57949</v>
      </c>
      <c r="E49" s="5">
        <v>6892</v>
      </c>
      <c r="F49" s="6">
        <v>77068</v>
      </c>
      <c r="G49" s="5">
        <v>59415</v>
      </c>
      <c r="H49" s="5">
        <v>17653</v>
      </c>
      <c r="I49" s="6">
        <v>52066</v>
      </c>
      <c r="J49" s="5">
        <v>55433</v>
      </c>
      <c r="K49" s="5">
        <v>-3367</v>
      </c>
      <c r="L49" s="6">
        <v>61978</v>
      </c>
      <c r="M49" s="5">
        <v>51822</v>
      </c>
      <c r="N49" s="5">
        <v>10156</v>
      </c>
      <c r="O49" s="6">
        <f t="shared" si="3"/>
        <v>21178</v>
      </c>
      <c r="P49" s="72">
        <f t="shared" si="4"/>
        <v>0.12255928888065834</v>
      </c>
      <c r="Q49" s="193"/>
      <c r="R49" s="67" t="str">
        <f>IF($C$4="High Inventory",IF(AND(O49&gt;=Summary!$C$128,P49&gt;=Summary!$C$129),"X"," "),IF(AND(O49&lt;=-Summary!$C$128,P49&lt;=-Summary!$C$129),"X"," "))</f>
        <v>X</v>
      </c>
      <c r="S49" s="85" t="str">
        <f>IF($C$4="High Inventory",IF(AND(L49-I49&gt;=Summary!$C$132,N49-K49&gt;Summary!$C$132,N49&gt;0),"X"," "),IF(AND(I49-L49&gt;=Summary!$C$132,K49-N49&gt;Summary!$C$132,N49&lt;0),"X"," "))</f>
        <v>X</v>
      </c>
      <c r="T49" s="8" t="str">
        <f>IF($C$4="High Inventory",IF(AND($O49&gt;=Summary!$C$128,$P49&gt;=0%),"X"," "),IF(AND($O49&lt;=-Summary!$C$128,$P49&lt;=0%),"X"," "))</f>
        <v>X</v>
      </c>
      <c r="U49" s="11" t="str">
        <f>IF($C$4="High Inventory",IF(AND($O49&gt;=0,$P49&gt;=Summary!$C$129),"X"," "),IF(AND($O49&lt;=0,$P49&lt;=-Summary!$C$129),"X"," "))</f>
        <v>X</v>
      </c>
      <c r="V49">
        <f t="shared" si="5"/>
        <v>9912</v>
      </c>
      <c r="W49" t="str">
        <f>IF($C$4="High Inventory",IF(O49&gt;Summary!$C$128,"X"," "),IF(O49&lt;-Summary!$C$128,"X"," "))</f>
        <v>X</v>
      </c>
      <c r="X49" t="str">
        <f>IF($C$4="High Inventory",IF(P49&gt;Summary!$C$129,"X"," "),IF(P49&lt;-Summary!$C$129,"X"," "))</f>
        <v>X</v>
      </c>
    </row>
    <row r="50" spans="1:24" x14ac:dyDescent="0.2">
      <c r="A50" s="28">
        <v>30069</v>
      </c>
      <c r="B50" s="56" t="s">
        <v>26</v>
      </c>
      <c r="C50" s="6">
        <v>12229</v>
      </c>
      <c r="D50" s="5">
        <v>10145</v>
      </c>
      <c r="E50" s="5">
        <v>2084</v>
      </c>
      <c r="F50" s="6">
        <v>7990</v>
      </c>
      <c r="G50" s="5">
        <v>10186</v>
      </c>
      <c r="H50" s="5">
        <v>-2196</v>
      </c>
      <c r="I50" s="6">
        <v>9424</v>
      </c>
      <c r="J50" s="5">
        <v>10170</v>
      </c>
      <c r="K50" s="5">
        <v>-746</v>
      </c>
      <c r="L50" s="6">
        <v>10061</v>
      </c>
      <c r="M50" s="5">
        <v>10118</v>
      </c>
      <c r="N50" s="5">
        <v>-57</v>
      </c>
      <c r="O50" s="6">
        <f t="shared" si="3"/>
        <v>-858</v>
      </c>
      <c r="P50" s="72">
        <f t="shared" si="4"/>
        <v>-2.8129302996524819E-2</v>
      </c>
      <c r="Q50" s="193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42</v>
      </c>
      <c r="B51" s="56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3"/>
        <v>0</v>
      </c>
      <c r="P51" s="72">
        <f t="shared" si="4"/>
        <v>0</v>
      </c>
      <c r="Q51" s="194"/>
      <c r="R51" s="5"/>
      <c r="S51" s="215"/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51</v>
      </c>
      <c r="B52" s="56" t="s">
        <v>27</v>
      </c>
      <c r="C52" s="6">
        <v>13146</v>
      </c>
      <c r="D52" s="5">
        <v>9530</v>
      </c>
      <c r="E52" s="5">
        <v>3616</v>
      </c>
      <c r="F52" s="6">
        <v>13146</v>
      </c>
      <c r="G52" s="5">
        <v>9532</v>
      </c>
      <c r="H52" s="5">
        <v>3614</v>
      </c>
      <c r="I52" s="6">
        <v>13146</v>
      </c>
      <c r="J52" s="5">
        <v>9561</v>
      </c>
      <c r="K52" s="5">
        <v>3585</v>
      </c>
      <c r="L52" s="6">
        <v>13146</v>
      </c>
      <c r="M52" s="5">
        <v>8828</v>
      </c>
      <c r="N52" s="5">
        <v>4318</v>
      </c>
      <c r="O52" s="6">
        <f t="shared" si="3"/>
        <v>10815</v>
      </c>
      <c r="P52" s="72">
        <f t="shared" si="4"/>
        <v>0.37782979318054777</v>
      </c>
      <c r="Q52" s="194"/>
      <c r="R52" s="67" t="str">
        <f>IF(AND(O52&gt;=5000,P52&gt;=10%),"X"," ")</f>
        <v>X</v>
      </c>
      <c r="S52" s="85" t="str">
        <f>IF(AND(L52-I52&gt;=5000,N52-K52&gt;5000,N52&gt;0),"X"," ")</f>
        <v xml:space="preserve"> </v>
      </c>
      <c r="T52" s="8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">
      <c r="A53" s="28">
        <v>59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69</v>
      </c>
      <c r="B54" s="56" t="s">
        <v>27</v>
      </c>
      <c r="C54" s="6">
        <v>0</v>
      </c>
      <c r="D54" s="5">
        <v>84</v>
      </c>
      <c r="E54" s="5">
        <v>-84</v>
      </c>
      <c r="F54" s="6">
        <v>0</v>
      </c>
      <c r="G54" s="5">
        <v>94</v>
      </c>
      <c r="H54" s="5">
        <v>-94</v>
      </c>
      <c r="I54" s="6">
        <v>0</v>
      </c>
      <c r="J54" s="5">
        <v>88</v>
      </c>
      <c r="K54" s="5">
        <v>-88</v>
      </c>
      <c r="L54" s="6">
        <v>0</v>
      </c>
      <c r="M54" s="5">
        <v>90</v>
      </c>
      <c r="N54" s="5">
        <v>-90</v>
      </c>
      <c r="O54" s="6">
        <f t="shared" si="3"/>
        <v>-266</v>
      </c>
      <c r="P54" s="72">
        <f t="shared" si="4"/>
        <v>-0.99625468164794007</v>
      </c>
      <c r="Q54" s="193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70</v>
      </c>
      <c r="B55" s="56" t="s">
        <v>27</v>
      </c>
      <c r="C55" s="6">
        <v>0</v>
      </c>
      <c r="D55" s="5">
        <v>60</v>
      </c>
      <c r="E55" s="5">
        <v>-60</v>
      </c>
      <c r="F55" s="6">
        <v>0</v>
      </c>
      <c r="G55" s="5">
        <v>56</v>
      </c>
      <c r="H55" s="5">
        <v>-56</v>
      </c>
      <c r="I55" s="6">
        <v>0</v>
      </c>
      <c r="J55" s="5">
        <v>62</v>
      </c>
      <c r="K55" s="5">
        <v>-62</v>
      </c>
      <c r="L55" s="6">
        <v>0</v>
      </c>
      <c r="M55" s="5">
        <v>65</v>
      </c>
      <c r="N55" s="5">
        <v>-65</v>
      </c>
      <c r="O55" s="6">
        <f t="shared" si="3"/>
        <v>-178</v>
      </c>
      <c r="P55" s="72">
        <f t="shared" si="4"/>
        <v>-0.994413407821229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76</v>
      </c>
      <c r="B56" s="56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3"/>
        <v>0</v>
      </c>
      <c r="P56" s="72">
        <f t="shared" si="4"/>
        <v>0</v>
      </c>
      <c r="Q56" s="193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99</v>
      </c>
      <c r="B58" s="56" t="s">
        <v>27</v>
      </c>
      <c r="C58" s="6">
        <v>0</v>
      </c>
      <c r="D58" s="5">
        <v>86</v>
      </c>
      <c r="E58" s="5">
        <v>-86</v>
      </c>
      <c r="F58" s="6">
        <v>0</v>
      </c>
      <c r="G58" s="5">
        <v>86</v>
      </c>
      <c r="H58" s="5">
        <v>-86</v>
      </c>
      <c r="I58" s="6">
        <v>0</v>
      </c>
      <c r="J58" s="5">
        <v>99</v>
      </c>
      <c r="K58" s="5">
        <v>-99</v>
      </c>
      <c r="L58" s="6">
        <v>0</v>
      </c>
      <c r="M58" s="5">
        <v>98</v>
      </c>
      <c r="N58" s="5">
        <v>-98</v>
      </c>
      <c r="O58" s="6">
        <f t="shared" si="3"/>
        <v>-271</v>
      </c>
      <c r="P58" s="72">
        <f t="shared" si="4"/>
        <v>-0.99632352941176472</v>
      </c>
      <c r="Q58" s="194"/>
      <c r="R58" s="5"/>
      <c r="S58" s="215"/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103</v>
      </c>
      <c r="B59" s="56" t="s">
        <v>27</v>
      </c>
      <c r="C59" s="6">
        <v>0</v>
      </c>
      <c r="D59" s="5">
        <v>207</v>
      </c>
      <c r="E59" s="5">
        <v>-207</v>
      </c>
      <c r="F59" s="6">
        <v>0</v>
      </c>
      <c r="G59" s="5">
        <v>214</v>
      </c>
      <c r="H59" s="5">
        <v>-214</v>
      </c>
      <c r="I59" s="6">
        <v>0</v>
      </c>
      <c r="J59" s="5">
        <v>208</v>
      </c>
      <c r="K59" s="5">
        <v>-208</v>
      </c>
      <c r="L59" s="6">
        <v>0</v>
      </c>
      <c r="M59" s="5">
        <v>222</v>
      </c>
      <c r="N59" s="5">
        <v>-222</v>
      </c>
      <c r="O59" s="6">
        <f t="shared" si="3"/>
        <v>-629</v>
      </c>
      <c r="P59" s="72">
        <f t="shared" si="4"/>
        <v>-0.99841269841269842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109</v>
      </c>
      <c r="B60" s="56" t="s">
        <v>27</v>
      </c>
      <c r="C60" s="6">
        <v>0</v>
      </c>
      <c r="D60" s="5">
        <v>103</v>
      </c>
      <c r="E60" s="5">
        <v>-103</v>
      </c>
      <c r="F60" s="6">
        <v>0</v>
      </c>
      <c r="G60" s="5">
        <v>103</v>
      </c>
      <c r="H60" s="5">
        <v>-103</v>
      </c>
      <c r="I60" s="6">
        <v>0</v>
      </c>
      <c r="J60" s="5">
        <v>75</v>
      </c>
      <c r="K60" s="5">
        <v>-75</v>
      </c>
      <c r="L60" s="6">
        <v>0</v>
      </c>
      <c r="M60" s="5">
        <v>94</v>
      </c>
      <c r="N60" s="5">
        <v>-94</v>
      </c>
      <c r="O60" s="6">
        <f t="shared" si="3"/>
        <v>-281</v>
      </c>
      <c r="P60" s="72">
        <f t="shared" si="4"/>
        <v>-0.99645390070921991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111</v>
      </c>
      <c r="B61" s="56" t="s">
        <v>27</v>
      </c>
      <c r="C61" s="6">
        <v>0</v>
      </c>
      <c r="D61" s="5">
        <v>96</v>
      </c>
      <c r="E61" s="5">
        <v>-96</v>
      </c>
      <c r="F61" s="6">
        <v>0</v>
      </c>
      <c r="G61" s="5">
        <v>101</v>
      </c>
      <c r="H61" s="5">
        <v>-101</v>
      </c>
      <c r="I61" s="6">
        <v>0</v>
      </c>
      <c r="J61" s="5">
        <v>111</v>
      </c>
      <c r="K61" s="5">
        <v>-111</v>
      </c>
      <c r="L61" s="6">
        <v>0</v>
      </c>
      <c r="M61" s="5">
        <v>107</v>
      </c>
      <c r="N61" s="5">
        <v>-107</v>
      </c>
      <c r="O61" s="6">
        <f t="shared" si="3"/>
        <v>-308</v>
      </c>
      <c r="P61" s="72">
        <f t="shared" si="4"/>
        <v>-0.99676375404530748</v>
      </c>
      <c r="Q61" s="195"/>
      <c r="R61" s="5"/>
      <c r="S61" s="215"/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118</v>
      </c>
      <c r="B62" s="56" t="s">
        <v>27</v>
      </c>
      <c r="C62" s="6">
        <v>0</v>
      </c>
      <c r="D62" s="5">
        <v>293</v>
      </c>
      <c r="E62" s="5">
        <v>-293</v>
      </c>
      <c r="F62" s="6">
        <v>0</v>
      </c>
      <c r="G62" s="5">
        <v>298</v>
      </c>
      <c r="H62" s="5">
        <v>-298</v>
      </c>
      <c r="I62" s="6">
        <v>0</v>
      </c>
      <c r="J62" s="5">
        <v>304</v>
      </c>
      <c r="K62" s="5">
        <v>-304</v>
      </c>
      <c r="L62" s="6">
        <v>0</v>
      </c>
      <c r="M62" s="5">
        <v>291</v>
      </c>
      <c r="N62" s="5">
        <v>-291</v>
      </c>
      <c r="O62" s="6">
        <f t="shared" si="3"/>
        <v>-895</v>
      </c>
      <c r="P62" s="72">
        <f t="shared" si="4"/>
        <v>-0.9988839285714286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152</v>
      </c>
      <c r="B63" s="56" t="s">
        <v>27</v>
      </c>
      <c r="C63" s="6">
        <v>0</v>
      </c>
      <c r="D63" s="5">
        <v>427</v>
      </c>
      <c r="E63" s="5">
        <v>-427</v>
      </c>
      <c r="F63" s="6">
        <v>0</v>
      </c>
      <c r="G63" s="5">
        <v>410</v>
      </c>
      <c r="H63" s="5">
        <v>-410</v>
      </c>
      <c r="I63" s="6">
        <v>0</v>
      </c>
      <c r="J63" s="5">
        <v>416</v>
      </c>
      <c r="K63" s="5">
        <v>-416</v>
      </c>
      <c r="L63" s="6">
        <v>0</v>
      </c>
      <c r="M63" s="5">
        <v>259</v>
      </c>
      <c r="N63" s="5">
        <v>-259</v>
      </c>
      <c r="O63" s="6">
        <f t="shared" si="3"/>
        <v>-1253</v>
      </c>
      <c r="P63" s="72">
        <f t="shared" si="4"/>
        <v>-0.99920255183413076</v>
      </c>
      <c r="Q63" s="194"/>
      <c r="R63" s="5"/>
      <c r="S63" s="215"/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175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195"/>
      <c r="R64" s="5"/>
      <c r="S64" s="215"/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176</v>
      </c>
      <c r="B65" s="56" t="s">
        <v>27</v>
      </c>
      <c r="C65" s="6">
        <v>0</v>
      </c>
      <c r="D65" s="5">
        <v>86</v>
      </c>
      <c r="E65" s="5">
        <v>-86</v>
      </c>
      <c r="F65" s="6">
        <v>0</v>
      </c>
      <c r="G65" s="5">
        <v>85</v>
      </c>
      <c r="H65" s="5">
        <v>-85</v>
      </c>
      <c r="I65" s="6">
        <v>0</v>
      </c>
      <c r="J65" s="5">
        <v>196</v>
      </c>
      <c r="K65" s="5">
        <v>-196</v>
      </c>
      <c r="L65" s="6">
        <v>0</v>
      </c>
      <c r="M65" s="5">
        <v>180</v>
      </c>
      <c r="N65" s="5">
        <v>-180</v>
      </c>
      <c r="O65" s="6">
        <f t="shared" ref="O65:O88" si="6">K65+H65+E65</f>
        <v>-367</v>
      </c>
      <c r="P65" s="72">
        <f t="shared" si="4"/>
        <v>-0.99728260869565222</v>
      </c>
      <c r="Q65" s="194"/>
      <c r="R65" s="5"/>
      <c r="S65" s="215"/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180</v>
      </c>
      <c r="B66" s="56" t="s">
        <v>27</v>
      </c>
      <c r="C66" s="6">
        <v>0</v>
      </c>
      <c r="D66" s="5">
        <v>78</v>
      </c>
      <c r="E66" s="5">
        <v>-78</v>
      </c>
      <c r="F66" s="6">
        <v>0</v>
      </c>
      <c r="G66" s="5">
        <v>95</v>
      </c>
      <c r="H66" s="5">
        <v>-95</v>
      </c>
      <c r="I66" s="6">
        <v>0</v>
      </c>
      <c r="J66" s="5">
        <v>61</v>
      </c>
      <c r="K66" s="5">
        <v>-61</v>
      </c>
      <c r="L66" s="6">
        <v>0</v>
      </c>
      <c r="M66" s="5">
        <v>106</v>
      </c>
      <c r="N66" s="5">
        <v>-106</v>
      </c>
      <c r="O66" s="6">
        <f t="shared" si="6"/>
        <v>-234</v>
      </c>
      <c r="P66" s="72">
        <f t="shared" ref="P66:P88" si="7">O66/(J66+G66+D66+1)</f>
        <v>-0.99574468085106382</v>
      </c>
      <c r="Q66" s="195"/>
      <c r="R66" s="5"/>
      <c r="S66" s="215"/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8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219</v>
      </c>
      <c r="B67" s="56" t="s">
        <v>27</v>
      </c>
      <c r="C67" s="6">
        <v>0</v>
      </c>
      <c r="D67" s="5">
        <v>34</v>
      </c>
      <c r="E67" s="5">
        <v>-34</v>
      </c>
      <c r="F67" s="6">
        <v>0</v>
      </c>
      <c r="G67" s="5">
        <v>37</v>
      </c>
      <c r="H67" s="5">
        <v>-37</v>
      </c>
      <c r="I67" s="6">
        <v>0</v>
      </c>
      <c r="J67" s="5">
        <v>43</v>
      </c>
      <c r="K67" s="5">
        <v>-43</v>
      </c>
      <c r="L67" s="6">
        <v>0</v>
      </c>
      <c r="M67" s="5">
        <v>43</v>
      </c>
      <c r="N67" s="5">
        <v>-43</v>
      </c>
      <c r="O67" s="6">
        <f t="shared" si="6"/>
        <v>-114</v>
      </c>
      <c r="P67" s="72">
        <f t="shared" si="7"/>
        <v>-0.99130434782608701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220</v>
      </c>
      <c r="B68" s="56" t="s">
        <v>27</v>
      </c>
      <c r="C68" s="6">
        <v>0</v>
      </c>
      <c r="D68" s="5">
        <v>22</v>
      </c>
      <c r="E68" s="5">
        <v>-22</v>
      </c>
      <c r="F68" s="6">
        <v>0</v>
      </c>
      <c r="G68" s="5">
        <v>23</v>
      </c>
      <c r="H68" s="5">
        <v>-23</v>
      </c>
      <c r="I68" s="6">
        <v>0</v>
      </c>
      <c r="J68" s="5">
        <v>22</v>
      </c>
      <c r="K68" s="5">
        <v>-22</v>
      </c>
      <c r="L68" s="6">
        <v>0</v>
      </c>
      <c r="M68" s="5">
        <v>21</v>
      </c>
      <c r="N68" s="5">
        <v>-21</v>
      </c>
      <c r="O68" s="6">
        <f t="shared" si="6"/>
        <v>-67</v>
      </c>
      <c r="P68" s="72">
        <f t="shared" si="7"/>
        <v>-0.98529411764705888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263</v>
      </c>
      <c r="B69" s="56" t="s">
        <v>27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13</v>
      </c>
      <c r="K69" s="5">
        <v>-13</v>
      </c>
      <c r="L69" s="6">
        <v>0</v>
      </c>
      <c r="M69" s="5">
        <v>54</v>
      </c>
      <c r="N69" s="5">
        <v>-54</v>
      </c>
      <c r="O69" s="6">
        <f t="shared" si="6"/>
        <v>-13</v>
      </c>
      <c r="P69" s="72">
        <f t="shared" si="7"/>
        <v>-0.9285714285714286</v>
      </c>
      <c r="Q69" s="194"/>
      <c r="R69" s="5"/>
      <c r="S69" s="215"/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265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282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194"/>
      <c r="R71" s="5"/>
      <c r="S71" s="215"/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330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194"/>
      <c r="R72" s="5"/>
      <c r="S72" s="215"/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348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41</v>
      </c>
      <c r="H73" s="5">
        <v>-41</v>
      </c>
      <c r="I73" s="6">
        <v>0</v>
      </c>
      <c r="J73" s="5">
        <v>39</v>
      </c>
      <c r="K73" s="5">
        <v>-39</v>
      </c>
      <c r="L73" s="6">
        <v>0</v>
      </c>
      <c r="M73" s="5">
        <v>32</v>
      </c>
      <c r="N73" s="5">
        <v>-32</v>
      </c>
      <c r="O73" s="6">
        <f t="shared" si="6"/>
        <v>-80</v>
      </c>
      <c r="P73" s="72">
        <f t="shared" si="7"/>
        <v>-0.98765432098765427</v>
      </c>
      <c r="Q73" s="193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389</v>
      </c>
      <c r="B74" s="56" t="s">
        <v>27</v>
      </c>
      <c r="C74" s="6">
        <v>0</v>
      </c>
      <c r="D74" s="5">
        <v>127</v>
      </c>
      <c r="E74" s="5">
        <v>-127</v>
      </c>
      <c r="F74" s="6">
        <v>0</v>
      </c>
      <c r="G74" s="5">
        <v>139</v>
      </c>
      <c r="H74" s="5">
        <v>-139</v>
      </c>
      <c r="I74" s="6">
        <v>0</v>
      </c>
      <c r="J74" s="5">
        <v>137</v>
      </c>
      <c r="K74" s="5">
        <v>-137</v>
      </c>
      <c r="L74" s="6">
        <v>0</v>
      </c>
      <c r="M74" s="5">
        <v>115</v>
      </c>
      <c r="N74" s="5">
        <v>-115</v>
      </c>
      <c r="O74" s="6">
        <f t="shared" si="6"/>
        <v>-403</v>
      </c>
      <c r="P74" s="72">
        <f t="shared" si="7"/>
        <v>-0.99752475247524752</v>
      </c>
      <c r="Q74" s="193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399</v>
      </c>
      <c r="B75" s="56" t="s">
        <v>27</v>
      </c>
      <c r="C75" s="6">
        <v>0</v>
      </c>
      <c r="D75" s="5">
        <v>92</v>
      </c>
      <c r="E75" s="5">
        <v>-92</v>
      </c>
      <c r="F75" s="6">
        <v>0</v>
      </c>
      <c r="G75" s="5">
        <v>107</v>
      </c>
      <c r="H75" s="5">
        <v>-107</v>
      </c>
      <c r="I75" s="6">
        <v>0</v>
      </c>
      <c r="J75" s="5">
        <v>116</v>
      </c>
      <c r="K75" s="5">
        <v>-116</v>
      </c>
      <c r="L75" s="6">
        <v>0</v>
      </c>
      <c r="M75" s="5">
        <v>102</v>
      </c>
      <c r="N75" s="5">
        <v>-102</v>
      </c>
      <c r="O75" s="6">
        <f t="shared" si="6"/>
        <v>-315</v>
      </c>
      <c r="P75" s="72">
        <f t="shared" si="7"/>
        <v>-0.99683544303797467</v>
      </c>
      <c r="Q75" s="194"/>
      <c r="R75" s="5"/>
      <c r="S75" s="215"/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428</v>
      </c>
      <c r="B76" s="56" t="s">
        <v>27</v>
      </c>
      <c r="C76" s="6">
        <v>0</v>
      </c>
      <c r="D76" s="5">
        <v>111</v>
      </c>
      <c r="E76" s="5">
        <v>-111</v>
      </c>
      <c r="F76" s="6">
        <v>0</v>
      </c>
      <c r="G76" s="5">
        <v>113</v>
      </c>
      <c r="H76" s="5">
        <v>-113</v>
      </c>
      <c r="I76" s="6">
        <v>0</v>
      </c>
      <c r="J76" s="5">
        <v>106</v>
      </c>
      <c r="K76" s="5">
        <v>-106</v>
      </c>
      <c r="L76" s="6">
        <v>0</v>
      </c>
      <c r="M76" s="5">
        <v>98</v>
      </c>
      <c r="N76" s="5">
        <v>-98</v>
      </c>
      <c r="O76" s="6">
        <f t="shared" si="6"/>
        <v>-330</v>
      </c>
      <c r="P76" s="72">
        <f t="shared" si="7"/>
        <v>-0.99697885196374625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476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195"/>
      <c r="R77" s="5"/>
      <c r="S77" s="215"/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478</v>
      </c>
      <c r="B78" s="56" t="s">
        <v>27</v>
      </c>
      <c r="C78" s="6">
        <v>0</v>
      </c>
      <c r="D78" s="5">
        <v>58</v>
      </c>
      <c r="E78" s="5">
        <v>-58</v>
      </c>
      <c r="F78" s="6">
        <v>0</v>
      </c>
      <c r="G78" s="5">
        <v>70</v>
      </c>
      <c r="H78" s="5">
        <v>-70</v>
      </c>
      <c r="I78" s="6">
        <v>0</v>
      </c>
      <c r="J78" s="5">
        <v>82</v>
      </c>
      <c r="K78" s="5">
        <v>-82</v>
      </c>
      <c r="L78" s="6">
        <v>0</v>
      </c>
      <c r="M78" s="5">
        <v>66</v>
      </c>
      <c r="N78" s="5">
        <v>-66</v>
      </c>
      <c r="O78" s="6">
        <f t="shared" si="6"/>
        <v>-210</v>
      </c>
      <c r="P78" s="72">
        <f t="shared" si="7"/>
        <v>-0.99526066350710896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512</v>
      </c>
      <c r="B79" s="56" t="s">
        <v>27</v>
      </c>
      <c r="C79" s="6">
        <v>1000</v>
      </c>
      <c r="D79" s="5">
        <v>685</v>
      </c>
      <c r="E79" s="5">
        <v>315</v>
      </c>
      <c r="F79" s="6">
        <v>1000</v>
      </c>
      <c r="G79" s="5">
        <v>711</v>
      </c>
      <c r="H79" s="5">
        <v>289</v>
      </c>
      <c r="I79" s="6">
        <v>1000</v>
      </c>
      <c r="J79" s="5">
        <v>442</v>
      </c>
      <c r="K79" s="5">
        <v>558</v>
      </c>
      <c r="L79" s="6">
        <v>1000</v>
      </c>
      <c r="M79" s="5">
        <v>446</v>
      </c>
      <c r="N79" s="5">
        <v>554</v>
      </c>
      <c r="O79" s="6">
        <f t="shared" si="6"/>
        <v>1162</v>
      </c>
      <c r="P79" s="72">
        <f t="shared" si="7"/>
        <v>0.63186514410005434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>X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>X</v>
      </c>
    </row>
    <row r="80" spans="1:24" x14ac:dyDescent="0.2">
      <c r="A80" s="28">
        <v>535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161">
        <v>0</v>
      </c>
      <c r="N80" s="201">
        <v>0</v>
      </c>
      <c r="O80" s="6">
        <f t="shared" si="6"/>
        <v>0</v>
      </c>
      <c r="P80" s="72">
        <f t="shared" si="7"/>
        <v>0</v>
      </c>
      <c r="Q80" s="194"/>
      <c r="R80" s="67" t="str">
        <f>IF(AND(O80&gt;=5000,P80&gt;=10%),"X"," ")</f>
        <v xml:space="preserve"> </v>
      </c>
      <c r="S80" s="85" t="str">
        <f>IF(AND(L80-I80&gt;=5000,N80-K80&gt;5000,N80&gt;0),"X","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536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563</v>
      </c>
      <c r="B82" s="56" t="s">
        <v>27</v>
      </c>
      <c r="C82" s="6">
        <v>0</v>
      </c>
      <c r="D82" s="5">
        <v>40</v>
      </c>
      <c r="E82" s="5">
        <v>-40</v>
      </c>
      <c r="F82" s="6">
        <v>0</v>
      </c>
      <c r="G82" s="5">
        <v>43</v>
      </c>
      <c r="H82" s="5">
        <v>-43</v>
      </c>
      <c r="I82" s="6">
        <v>0</v>
      </c>
      <c r="J82" s="5">
        <v>45</v>
      </c>
      <c r="K82" s="5">
        <v>-45</v>
      </c>
      <c r="L82" s="6">
        <v>0</v>
      </c>
      <c r="M82" s="5">
        <v>45</v>
      </c>
      <c r="N82" s="5">
        <v>-45</v>
      </c>
      <c r="O82" s="6">
        <f t="shared" si="6"/>
        <v>-128</v>
      </c>
      <c r="P82" s="72">
        <f t="shared" si="7"/>
        <v>-0.99224806201550386</v>
      </c>
      <c r="Q82" s="195"/>
      <c r="R82" s="5"/>
      <c r="S82" s="215"/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>
        <v>741</v>
      </c>
      <c r="B83" s="56" t="s">
        <v>27</v>
      </c>
      <c r="C83" s="6">
        <v>0</v>
      </c>
      <c r="D83" s="5">
        <v>72</v>
      </c>
      <c r="E83" s="5">
        <v>-72</v>
      </c>
      <c r="F83" s="6">
        <v>0</v>
      </c>
      <c r="G83" s="5">
        <v>123</v>
      </c>
      <c r="H83" s="5">
        <v>-123</v>
      </c>
      <c r="I83" s="6">
        <v>0</v>
      </c>
      <c r="J83" s="5">
        <v>131</v>
      </c>
      <c r="K83" s="5">
        <v>-131</v>
      </c>
      <c r="L83" s="6">
        <v>0</v>
      </c>
      <c r="M83" s="5">
        <v>119</v>
      </c>
      <c r="N83" s="5">
        <v>-119</v>
      </c>
      <c r="O83" s="6">
        <f t="shared" si="6"/>
        <v>-326</v>
      </c>
      <c r="P83" s="72">
        <f t="shared" si="7"/>
        <v>-0.99694189602446481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>
        <v>757</v>
      </c>
      <c r="B84" s="56" t="s">
        <v>27</v>
      </c>
      <c r="C84" s="6">
        <v>0</v>
      </c>
      <c r="D84" s="5">
        <v>383</v>
      </c>
      <c r="E84" s="5">
        <v>-383</v>
      </c>
      <c r="F84" s="6">
        <v>0</v>
      </c>
      <c r="G84" s="5">
        <v>410</v>
      </c>
      <c r="H84" s="5">
        <v>-410</v>
      </c>
      <c r="I84" s="6">
        <v>0</v>
      </c>
      <c r="J84" s="5">
        <v>440</v>
      </c>
      <c r="K84" s="5">
        <v>-440</v>
      </c>
      <c r="L84" s="6">
        <v>0</v>
      </c>
      <c r="M84" s="5">
        <v>420</v>
      </c>
      <c r="N84" s="5">
        <v>-420</v>
      </c>
      <c r="O84" s="6">
        <f t="shared" si="6"/>
        <v>-1233</v>
      </c>
      <c r="P84" s="72">
        <f t="shared" si="7"/>
        <v>-0.99918962722852511</v>
      </c>
      <c r="Q84" s="193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x14ac:dyDescent="0.2">
      <c r="A85" s="166">
        <v>767</v>
      </c>
      <c r="B85" s="199" t="s">
        <v>27</v>
      </c>
      <c r="C85" s="167">
        <v>0</v>
      </c>
      <c r="D85" s="168">
        <v>0</v>
      </c>
      <c r="E85" s="168">
        <v>0</v>
      </c>
      <c r="F85" s="167">
        <v>0</v>
      </c>
      <c r="G85" s="168">
        <v>0</v>
      </c>
      <c r="H85" s="168">
        <v>0</v>
      </c>
      <c r="I85" s="167">
        <v>0</v>
      </c>
      <c r="J85" s="168">
        <v>0</v>
      </c>
      <c r="K85" s="168">
        <v>0</v>
      </c>
      <c r="L85" s="167">
        <v>0</v>
      </c>
      <c r="M85" s="168">
        <v>0</v>
      </c>
      <c r="N85" s="168">
        <v>0</v>
      </c>
      <c r="O85" s="6">
        <f t="shared" si="6"/>
        <v>0</v>
      </c>
      <c r="P85" s="72">
        <f t="shared" si="7"/>
        <v>0</v>
      </c>
      <c r="Q85" s="194"/>
      <c r="R85" s="200"/>
      <c r="S85" s="216"/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x14ac:dyDescent="0.2">
      <c r="A86" s="28">
        <v>777</v>
      </c>
      <c r="B86" s="56" t="s">
        <v>27</v>
      </c>
      <c r="C86" s="6">
        <v>600</v>
      </c>
      <c r="D86" s="5">
        <v>997</v>
      </c>
      <c r="E86" s="5">
        <v>-397</v>
      </c>
      <c r="F86" s="6">
        <v>600</v>
      </c>
      <c r="G86" s="5">
        <v>937</v>
      </c>
      <c r="H86" s="5">
        <v>-337</v>
      </c>
      <c r="I86" s="6">
        <v>600</v>
      </c>
      <c r="J86" s="5">
        <v>1003</v>
      </c>
      <c r="K86" s="5">
        <v>-403</v>
      </c>
      <c r="L86" s="6">
        <v>600</v>
      </c>
      <c r="M86" s="5">
        <v>896</v>
      </c>
      <c r="N86" s="5">
        <v>-296</v>
      </c>
      <c r="O86" s="6">
        <f t="shared" si="6"/>
        <v>-1137</v>
      </c>
      <c r="P86" s="72">
        <f t="shared" si="7"/>
        <v>-0.38699795779441798</v>
      </c>
      <c r="Q86" s="195"/>
      <c r="R86" s="5"/>
      <c r="S86" s="215"/>
      <c r="T86" s="8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x14ac:dyDescent="0.2">
      <c r="A87" s="28">
        <v>779</v>
      </c>
      <c r="B87" s="56" t="s">
        <v>27</v>
      </c>
      <c r="C87" s="6">
        <v>1100</v>
      </c>
      <c r="D87" s="5">
        <v>1286</v>
      </c>
      <c r="E87" s="5">
        <v>-186</v>
      </c>
      <c r="F87" s="6">
        <v>1100</v>
      </c>
      <c r="G87" s="5">
        <v>981</v>
      </c>
      <c r="H87" s="5">
        <v>119</v>
      </c>
      <c r="I87" s="6">
        <v>1100</v>
      </c>
      <c r="J87" s="5">
        <v>1175</v>
      </c>
      <c r="K87" s="5">
        <v>-75</v>
      </c>
      <c r="L87" s="6">
        <v>1100</v>
      </c>
      <c r="M87" s="5">
        <v>1138</v>
      </c>
      <c r="N87" s="5">
        <v>-38</v>
      </c>
      <c r="O87" s="6">
        <f t="shared" si="6"/>
        <v>-142</v>
      </c>
      <c r="P87" s="72">
        <f t="shared" si="7"/>
        <v>-4.1243101945977342E-2</v>
      </c>
      <c r="Q87" s="195"/>
      <c r="R87" s="5"/>
      <c r="S87" s="215"/>
      <c r="T87" s="8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 t="str">
        <f t="shared" si="8"/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ht="13.5" thickBot="1" x14ac:dyDescent="0.25">
      <c r="A88" s="197">
        <v>809</v>
      </c>
      <c r="B88" s="198" t="s">
        <v>27</v>
      </c>
      <c r="C88" s="169">
        <v>0</v>
      </c>
      <c r="D88" s="170">
        <v>0</v>
      </c>
      <c r="E88" s="170">
        <v>0</v>
      </c>
      <c r="F88" s="169">
        <v>0</v>
      </c>
      <c r="G88" s="170">
        <v>0</v>
      </c>
      <c r="H88" s="170">
        <v>0</v>
      </c>
      <c r="I88" s="169">
        <v>0</v>
      </c>
      <c r="J88" s="170">
        <v>0</v>
      </c>
      <c r="K88" s="202">
        <v>0</v>
      </c>
      <c r="L88" s="169">
        <v>0</v>
      </c>
      <c r="M88" s="170">
        <v>0</v>
      </c>
      <c r="N88" s="204">
        <v>0</v>
      </c>
      <c r="O88" s="203">
        <f t="shared" si="6"/>
        <v>0</v>
      </c>
      <c r="P88" s="171">
        <f t="shared" si="7"/>
        <v>0</v>
      </c>
      <c r="Q88" s="196"/>
      <c r="R88" s="68" t="str">
        <f>IF($C$4="High Inventory",IF(AND(O88&gt;=Summary!$C$128,P88&gt;=Summary!$C$129),"X"," "),IF(AND(O88&lt;=-Summary!$C$128,P88&lt;=-Summary!$C$129),"X"," "))</f>
        <v xml:space="preserve"> </v>
      </c>
      <c r="S88" s="86" t="str">
        <f>IF($C$4="High Inventory",IF(AND(L88-I88&gt;=Summary!$C$132,N88-K88&gt;Summary!$C$132,N88&gt;0),"X"," "),IF(AND(I88-L88&gt;=Summary!$C$132,K88-N88&gt;Summary!$C$132,N88&lt;0),"X"," "))</f>
        <v xml:space="preserve"> </v>
      </c>
      <c r="T88" s="96" t="str">
        <f>IF($C$4="High Inventory",IF(AND($O88&gt;=Summary!$C$128,$P88&gt;=0%),"X"," "),IF(AND($O88&lt;=-Summary!$C$128,$P88&lt;=0%),"X"," "))</f>
        <v xml:space="preserve"> </v>
      </c>
      <c r="U88" s="13" t="str">
        <f>IF($C$4="High Inventory",IF(AND($O88&gt;=0,$P88&gt;=Summary!$C$129),"X"," "),IF(AND($O88&lt;=0,$P88&lt;=-Summary!$C$129),"X"," "))</f>
        <v xml:space="preserve"> </v>
      </c>
      <c r="V88" t="str">
        <f t="shared" si="8"/>
        <v xml:space="preserve"> </v>
      </c>
      <c r="W88" t="str">
        <f>IF($C$4="High Inventory",IF(O88&gt;Summary!$C$128,"X"," "),IF(O88&lt;-Summary!$C$128,"X"," "))</f>
        <v xml:space="preserve"> </v>
      </c>
      <c r="X88" t="str">
        <f>IF($C$4="High Inventory",IF(P88&gt;Summary!$C$129,"X"," "),IF(P88&lt;-Summary!$C$129,"X"," "))</f>
        <v xml:space="preserve"> </v>
      </c>
    </row>
    <row r="89" spans="1:42" s="3" customFormat="1" x14ac:dyDescent="0.2">
      <c r="A89" s="28">
        <v>810</v>
      </c>
      <c r="B89" s="160" t="s">
        <v>27</v>
      </c>
      <c r="C89" s="172">
        <v>0</v>
      </c>
      <c r="D89" s="5">
        <v>0</v>
      </c>
      <c r="E89" s="70">
        <v>0</v>
      </c>
      <c r="F89" s="6">
        <v>0</v>
      </c>
      <c r="G89" s="5">
        <v>0</v>
      </c>
      <c r="H89" s="159">
        <v>0</v>
      </c>
      <c r="I89" s="172">
        <v>0</v>
      </c>
      <c r="J89" s="5">
        <v>0</v>
      </c>
      <c r="K89" s="70">
        <v>0</v>
      </c>
      <c r="L89" s="6">
        <v>0</v>
      </c>
      <c r="M89" s="5">
        <v>0</v>
      </c>
      <c r="N89" s="159">
        <v>0</v>
      </c>
      <c r="O89" s="203">
        <f t="shared" ref="O89:O117" si="9">K89+H89+E89</f>
        <v>0</v>
      </c>
      <c r="P89" s="171">
        <f t="shared" ref="P89:P117" si="10">O89/(J89+G89+D89+1)</f>
        <v>0</v>
      </c>
      <c r="Q89" s="193"/>
      <c r="R89" s="67" t="str">
        <f>IF($C$4="High Inventory",IF(AND(O89&gt;=Summary!$C$128,P89&gt;=Summary!$C$129),"X"," "),IF(AND(O89&lt;=-Summary!$C$128,P89&lt;=-Summary!$C$129),"X"," "))</f>
        <v xml:space="preserve"> </v>
      </c>
      <c r="S89" s="11" t="str">
        <f>IF($C$4="High Inventory",IF(AND(L89-I89&gt;=Summary!$C$132,N89-K89&gt;Summary!$C$132,N89&gt;0),"X"," "),IF(AND(I89-L89&gt;=Summary!$C$132,K89-N89&gt;Summary!$C$132,N89&lt;0),"X"," "))</f>
        <v xml:space="preserve"> </v>
      </c>
      <c r="T89" s="2">
        <f>COUNTIF(T10:T88,"X")</f>
        <v>14</v>
      </c>
      <c r="U89" s="2">
        <f>COUNTIF(U10:U88,"X")</f>
        <v>19</v>
      </c>
      <c r="V89" t="e">
        <f>SUM(V$51:V$81)+SUM(V$27:V$49)+SUM(V$10:V$26)</f>
        <v>#VALUE!</v>
      </c>
      <c r="W89" t="str">
        <f>IF($C$4="High Inventory",IF(O89&gt;Summary!$C$128,"X"," "),IF(O89&lt;-Summary!$C$128,"X"," "))</f>
        <v xml:space="preserve"> </v>
      </c>
      <c r="X89" t="str">
        <f>IF($C$4="High Inventory",IF(P89&gt;Summary!$C$129,"X"," "),IF(P89&lt;-Summary!$C$129,"X"," "))</f>
        <v xml:space="preserve"> 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</row>
    <row r="90" spans="1:42" x14ac:dyDescent="0.2">
      <c r="A90" s="28">
        <v>915</v>
      </c>
      <c r="B90" s="160" t="s">
        <v>27</v>
      </c>
      <c r="C90" s="172">
        <v>0</v>
      </c>
      <c r="D90" s="5">
        <v>0</v>
      </c>
      <c r="E90" s="70">
        <v>0</v>
      </c>
      <c r="F90" s="6">
        <v>0</v>
      </c>
      <c r="G90" s="5">
        <v>0</v>
      </c>
      <c r="H90" s="159">
        <v>0</v>
      </c>
      <c r="I90" s="172">
        <v>0</v>
      </c>
      <c r="J90" s="5">
        <v>0</v>
      </c>
      <c r="K90" s="70">
        <v>0</v>
      </c>
      <c r="L90" s="6">
        <v>0</v>
      </c>
      <c r="M90" s="5">
        <v>0</v>
      </c>
      <c r="N90" s="159">
        <v>0</v>
      </c>
      <c r="O90" s="203">
        <f t="shared" si="9"/>
        <v>0</v>
      </c>
      <c r="P90" s="171">
        <f t="shared" si="10"/>
        <v>0</v>
      </c>
      <c r="Q90" s="193"/>
      <c r="R90" s="67" t="str">
        <f>IF($C$4="High Inventory",IF(AND(O90&gt;=Summary!$C$128,P90&gt;=Summary!$C$129),"X"," "),IF(AND(O90&lt;=-Summary!$C$128,P90&lt;=-Summary!$C$129),"X"," "))</f>
        <v xml:space="preserve"> </v>
      </c>
      <c r="S90" s="11" t="str">
        <f>IF($C$4="High Inventory",IF(AND(L90-I90&gt;=Summary!$C$132,N90-K90&gt;Summary!$C$132,N90&gt;0),"X"," "),IF(AND(I90-L90&gt;=Summary!$C$132,K90-N90&gt;Summary!$C$132,N90&lt;0),"X"," "))</f>
        <v xml:space="preserve"> </v>
      </c>
      <c r="W90" t="str">
        <f>IF($C$4="High Inventory",IF(O90&gt;Summary!$C$128,"X"," "),IF(O90&lt;-Summary!$C$128,"X"," "))</f>
        <v xml:space="preserve"> </v>
      </c>
      <c r="X90" t="str">
        <f>IF($C$4="High Inventory",IF(P90&gt;Summary!$C$129,"X"," "),IF(P90&lt;-Summary!$C$129,"X"," "))</f>
        <v xml:space="preserve"> </v>
      </c>
    </row>
    <row r="91" spans="1:42" x14ac:dyDescent="0.2">
      <c r="A91" s="28">
        <v>928</v>
      </c>
      <c r="B91" s="160" t="s">
        <v>27</v>
      </c>
      <c r="C91" s="172">
        <v>186</v>
      </c>
      <c r="D91" s="5">
        <v>195</v>
      </c>
      <c r="E91" s="70">
        <v>-9</v>
      </c>
      <c r="F91" s="6">
        <v>0</v>
      </c>
      <c r="G91" s="5">
        <v>210</v>
      </c>
      <c r="H91" s="159">
        <v>-210</v>
      </c>
      <c r="I91" s="172">
        <v>0</v>
      </c>
      <c r="J91" s="5">
        <v>207</v>
      </c>
      <c r="K91" s="70">
        <v>-207</v>
      </c>
      <c r="L91" s="6">
        <v>0</v>
      </c>
      <c r="M91" s="5">
        <v>204</v>
      </c>
      <c r="N91" s="159">
        <v>-204</v>
      </c>
      <c r="O91" s="203">
        <f t="shared" si="9"/>
        <v>-426</v>
      </c>
      <c r="P91" s="171">
        <f t="shared" si="10"/>
        <v>-0.69494290375203915</v>
      </c>
      <c r="Q91" s="195"/>
      <c r="R91" s="5"/>
      <c r="S91" s="159"/>
      <c r="W91" t="str">
        <f>IF($C$4="High Inventory",IF(O91&gt;Summary!$C$128,"X"," "),IF(O91&lt;-Summary!$C$128,"X"," "))</f>
        <v xml:space="preserve"> </v>
      </c>
      <c r="X91" t="str">
        <f>IF($C$4="High Inventory",IF(P91&gt;Summary!$C$129,"X"," "),IF(P91&lt;-Summary!$C$129,"X"," "))</f>
        <v xml:space="preserve"> </v>
      </c>
    </row>
    <row r="92" spans="1:42" x14ac:dyDescent="0.2">
      <c r="A92" s="28">
        <v>997</v>
      </c>
      <c r="B92" s="160" t="s">
        <v>27</v>
      </c>
      <c r="C92" s="172">
        <v>15578</v>
      </c>
      <c r="D92" s="5">
        <v>11369</v>
      </c>
      <c r="E92" s="70">
        <v>4209</v>
      </c>
      <c r="F92" s="6">
        <v>20987</v>
      </c>
      <c r="G92" s="5">
        <v>11564</v>
      </c>
      <c r="H92" s="159">
        <v>9423</v>
      </c>
      <c r="I92" s="172">
        <v>24567</v>
      </c>
      <c r="J92" s="5">
        <v>11487</v>
      </c>
      <c r="K92" s="70">
        <v>13080</v>
      </c>
      <c r="L92" s="6">
        <v>32400</v>
      </c>
      <c r="M92" s="5">
        <v>11381</v>
      </c>
      <c r="N92" s="159">
        <v>21019</v>
      </c>
      <c r="O92" s="203">
        <f t="shared" si="9"/>
        <v>26712</v>
      </c>
      <c r="P92" s="171">
        <f t="shared" si="10"/>
        <v>0.7760378838499753</v>
      </c>
      <c r="Q92" s="193" t="s">
        <v>59</v>
      </c>
      <c r="R92" s="67" t="str">
        <f>IF($C$4="High Inventory",IF(AND(O92&gt;=Summary!$C$128,P92&gt;=Summary!$C$129),"X"," "),IF(AND(O92&lt;=-Summary!$C$128,P92&lt;=-Summary!$C$129),"X"," "))</f>
        <v>X</v>
      </c>
      <c r="S92" s="11" t="str">
        <f>IF($C$4="High Inventory",IF(AND(L92-I92&gt;=Summary!$C$132,N92-K92&gt;Summary!$C$132,N92&gt;0),"X"," "),IF(AND(I92-L92&gt;=Summary!$C$132,K92-N92&gt;Summary!$C$132,N92&lt;0),"X"," "))</f>
        <v>X</v>
      </c>
      <c r="W92" t="str">
        <f>IF($C$4="High Inventory",IF(O92&gt;Summary!$C$128,"X"," "),IF(O92&lt;-Summary!$C$128,"X"," "))</f>
        <v>X</v>
      </c>
      <c r="X92" t="str">
        <f>IF($C$4="High Inventory",IF(P92&gt;Summary!$C$129,"X"," "),IF(P92&lt;-Summary!$C$129,"X"," "))</f>
        <v>X</v>
      </c>
    </row>
    <row r="93" spans="1:42" x14ac:dyDescent="0.2">
      <c r="A93" s="28">
        <v>5370</v>
      </c>
      <c r="B93" s="160" t="s">
        <v>27</v>
      </c>
      <c r="C93" s="172">
        <v>210</v>
      </c>
      <c r="D93" s="5">
        <v>83</v>
      </c>
      <c r="E93" s="70">
        <v>127</v>
      </c>
      <c r="F93" s="6">
        <v>210</v>
      </c>
      <c r="G93" s="5">
        <v>96</v>
      </c>
      <c r="H93" s="159">
        <v>114</v>
      </c>
      <c r="I93" s="172">
        <v>210</v>
      </c>
      <c r="J93" s="5">
        <v>84</v>
      </c>
      <c r="K93" s="70">
        <v>126</v>
      </c>
      <c r="L93" s="6">
        <v>210</v>
      </c>
      <c r="M93" s="5">
        <v>65</v>
      </c>
      <c r="N93" s="159">
        <v>145</v>
      </c>
      <c r="O93" s="203">
        <f t="shared" si="9"/>
        <v>367</v>
      </c>
      <c r="P93" s="171">
        <f t="shared" si="10"/>
        <v>1.3901515151515151</v>
      </c>
      <c r="Q93" s="193"/>
      <c r="R93" s="67" t="str">
        <f>IF($C$4="High Inventory",IF(AND(O93&gt;=Summary!$C$128,P93&gt;=Summary!$C$129),"X"," "),IF(AND(O93&lt;=-Summary!$C$128,P93&lt;=-Summary!$C$129),"X"," "))</f>
        <v xml:space="preserve"> </v>
      </c>
      <c r="S93" s="11" t="str">
        <f>IF($C$4="High Inventory",IF(AND(L93-I93&gt;=Summary!$C$132,N93-K93&gt;Summary!$C$132,N93&gt;0),"X"," "),IF(AND(I93-L93&gt;=Summary!$C$132,K93-N93&gt;Summary!$C$132,N93&lt;0),"X"," "))</f>
        <v xml:space="preserve"> </v>
      </c>
      <c r="W93" t="str">
        <f>IF($C$4="High Inventory",IF(O93&gt;Summary!$C$128,"X"," "),IF(O93&lt;-Summary!$C$128,"X"," "))</f>
        <v xml:space="preserve"> </v>
      </c>
      <c r="X93" t="str">
        <f>IF($C$4="High Inventory",IF(P93&gt;Summary!$C$129,"X"," "),IF(P93&lt;-Summary!$C$129,"X"," "))</f>
        <v>X</v>
      </c>
    </row>
    <row r="94" spans="1:42" x14ac:dyDescent="0.2">
      <c r="A94" s="28">
        <v>5379</v>
      </c>
      <c r="B94" s="160" t="s">
        <v>27</v>
      </c>
      <c r="C94" s="172">
        <v>0</v>
      </c>
      <c r="D94" s="5">
        <v>0</v>
      </c>
      <c r="E94" s="70">
        <v>0</v>
      </c>
      <c r="F94" s="6">
        <v>0</v>
      </c>
      <c r="G94" s="5">
        <v>0</v>
      </c>
      <c r="H94" s="159">
        <v>0</v>
      </c>
      <c r="I94" s="172">
        <v>0</v>
      </c>
      <c r="J94" s="5">
        <v>0</v>
      </c>
      <c r="K94" s="70">
        <v>0</v>
      </c>
      <c r="L94" s="6">
        <v>0</v>
      </c>
      <c r="M94" s="5">
        <v>0</v>
      </c>
      <c r="N94" s="159">
        <v>0</v>
      </c>
      <c r="O94" s="203">
        <f t="shared" si="9"/>
        <v>0</v>
      </c>
      <c r="P94" s="171">
        <f t="shared" si="10"/>
        <v>0</v>
      </c>
      <c r="Q94" s="195"/>
      <c r="R94" s="5"/>
      <c r="S94" s="159"/>
      <c r="W94" t="str">
        <f>IF($C$4="High Inventory",IF(O94&gt;Summary!$C$128,"X"," "),IF(O94&lt;-Summary!$C$128,"X"," "))</f>
        <v xml:space="preserve"> </v>
      </c>
      <c r="X94" t="str">
        <f>IF($C$4="High Inventory",IF(P94&gt;Summary!$C$129,"X"," "),IF(P94&lt;-Summary!$C$129,"X"," "))</f>
        <v xml:space="preserve"> </v>
      </c>
    </row>
    <row r="95" spans="1:42" x14ac:dyDescent="0.2">
      <c r="A95" s="28">
        <v>6905</v>
      </c>
      <c r="B95" s="160" t="s">
        <v>27</v>
      </c>
      <c r="C95" s="172">
        <v>0</v>
      </c>
      <c r="D95" s="5">
        <v>67</v>
      </c>
      <c r="E95" s="70">
        <v>-67</v>
      </c>
      <c r="F95" s="6">
        <v>0</v>
      </c>
      <c r="G95" s="5">
        <v>71</v>
      </c>
      <c r="H95" s="159">
        <v>-71</v>
      </c>
      <c r="I95" s="172">
        <v>0</v>
      </c>
      <c r="J95" s="5">
        <v>80</v>
      </c>
      <c r="K95" s="70">
        <v>-80</v>
      </c>
      <c r="L95" s="6">
        <v>0</v>
      </c>
      <c r="M95" s="5">
        <v>73</v>
      </c>
      <c r="N95" s="159">
        <v>-73</v>
      </c>
      <c r="O95" s="203">
        <f t="shared" si="9"/>
        <v>-218</v>
      </c>
      <c r="P95" s="171">
        <f t="shared" si="10"/>
        <v>-0.99543378995433784</v>
      </c>
      <c r="Q95" s="195"/>
      <c r="R95" s="5"/>
      <c r="S95" s="159"/>
      <c r="W95" t="str">
        <f>IF($C$4="High Inventory",IF(O95&gt;Summary!$C$128,"X"," "),IF(O95&lt;-Summary!$C$128,"X"," "))</f>
        <v xml:space="preserve"> </v>
      </c>
      <c r="X95" t="str">
        <f>IF($C$4="High Inventory",IF(P95&gt;Summary!$C$129,"X"," "),IF(P95&lt;-Summary!$C$129,"X"," "))</f>
        <v xml:space="preserve"> </v>
      </c>
    </row>
    <row r="96" spans="1:42" x14ac:dyDescent="0.2">
      <c r="A96" s="28">
        <v>7090</v>
      </c>
      <c r="B96" s="160" t="s">
        <v>27</v>
      </c>
      <c r="C96" s="172">
        <v>0</v>
      </c>
      <c r="D96" s="5">
        <v>542</v>
      </c>
      <c r="E96" s="70">
        <v>-542</v>
      </c>
      <c r="F96" s="6">
        <v>0</v>
      </c>
      <c r="G96" s="5">
        <v>573</v>
      </c>
      <c r="H96" s="159">
        <v>-573</v>
      </c>
      <c r="I96" s="172">
        <v>0</v>
      </c>
      <c r="J96" s="5">
        <v>580</v>
      </c>
      <c r="K96" s="70">
        <v>-580</v>
      </c>
      <c r="L96" s="6">
        <v>0</v>
      </c>
      <c r="M96" s="5">
        <v>561</v>
      </c>
      <c r="N96" s="159">
        <v>-561</v>
      </c>
      <c r="O96" s="203">
        <f t="shared" si="9"/>
        <v>-1695</v>
      </c>
      <c r="P96" s="171">
        <f t="shared" si="10"/>
        <v>-0.99941037735849059</v>
      </c>
      <c r="Q96" s="193"/>
      <c r="R96" s="67" t="str">
        <f>IF($C$4="High Inventory",IF(AND(O96&gt;=Summary!$C$128,P96&gt;=Summary!$C$129),"X"," "),IF(AND(O96&lt;=-Summary!$C$128,P96&lt;=-Summary!$C$129),"X"," "))</f>
        <v xml:space="preserve"> </v>
      </c>
      <c r="S96" s="11" t="str">
        <f>IF($C$4="High Inventory",IF(AND(L96-I96&gt;=Summary!$C$132,N96-K96&gt;Summary!$C$132,N96&gt;0),"X"," "),IF(AND(I96-L96&gt;=Summary!$C$132,K96-N96&gt;Summary!$C$132,N96&lt;0),"X"," "))</f>
        <v xml:space="preserve"> </v>
      </c>
      <c r="W96" t="str">
        <f>IF($C$4="High Inventory",IF(O96&gt;Summary!$C$128,"X"," "),IF(O96&lt;-Summary!$C$128,"X"," "))</f>
        <v xml:space="preserve"> </v>
      </c>
      <c r="X96" t="str">
        <f>IF($C$4="High Inventory",IF(P96&gt;Summary!$C$129,"X"," "),IF(P96&lt;-Summary!$C$129,"X"," "))</f>
        <v xml:space="preserve"> </v>
      </c>
    </row>
    <row r="97" spans="1:24" x14ac:dyDescent="0.2">
      <c r="A97" s="28">
        <v>7602</v>
      </c>
      <c r="B97" s="160" t="s">
        <v>27</v>
      </c>
      <c r="C97" s="172">
        <v>50009</v>
      </c>
      <c r="D97" s="5">
        <v>43755</v>
      </c>
      <c r="E97" s="70">
        <v>6254</v>
      </c>
      <c r="F97" s="6">
        <v>60000</v>
      </c>
      <c r="G97" s="5">
        <v>46252</v>
      </c>
      <c r="H97" s="159">
        <v>13748</v>
      </c>
      <c r="I97" s="172">
        <v>47015</v>
      </c>
      <c r="J97" s="5">
        <v>46102</v>
      </c>
      <c r="K97" s="70">
        <v>913</v>
      </c>
      <c r="L97" s="6">
        <v>39153</v>
      </c>
      <c r="M97" s="5">
        <v>46415</v>
      </c>
      <c r="N97" s="159">
        <v>-7262</v>
      </c>
      <c r="O97" s="203">
        <f t="shared" si="9"/>
        <v>20915</v>
      </c>
      <c r="P97" s="171">
        <f t="shared" si="10"/>
        <v>0.15366247887737858</v>
      </c>
      <c r="Q97" s="193"/>
      <c r="R97" s="67" t="str">
        <f>IF($C$4="High Inventory",IF(AND(O97&gt;=Summary!$C$128,P97&gt;=Summary!$C$129),"X"," "),IF(AND(O97&lt;=-Summary!$C$128,P97&lt;=-Summary!$C$129),"X"," "))</f>
        <v>X</v>
      </c>
      <c r="S97" s="11" t="str">
        <f>IF($C$4="High Inventory",IF(AND(L97-I97&gt;=Summary!$C$132,N97-K97&gt;Summary!$C$132,N97&gt;0),"X"," "),IF(AND(I97-L97&gt;=Summary!$C$132,K97-N97&gt;Summary!$C$132,N97&lt;0),"X"," "))</f>
        <v xml:space="preserve"> </v>
      </c>
      <c r="W97" t="str">
        <f>IF($C$4="High Inventory",IF(O97&gt;Summary!$C$128,"X"," "),IF(O97&lt;-Summary!$C$128,"X"," "))</f>
        <v>X</v>
      </c>
      <c r="X97" t="str">
        <f>IF($C$4="High Inventory",IF(P97&gt;Summary!$C$129,"X"," "),IF(P97&lt;-Summary!$C$129,"X"," "))</f>
        <v>X</v>
      </c>
    </row>
    <row r="98" spans="1:24" x14ac:dyDescent="0.2">
      <c r="A98" s="28">
        <v>7604</v>
      </c>
      <c r="B98" s="160" t="s">
        <v>27</v>
      </c>
      <c r="C98" s="172">
        <v>45476</v>
      </c>
      <c r="D98" s="5">
        <v>72123</v>
      </c>
      <c r="E98" s="70">
        <v>-26647</v>
      </c>
      <c r="F98" s="6">
        <v>56475</v>
      </c>
      <c r="G98" s="5">
        <v>85140</v>
      </c>
      <c r="H98" s="159">
        <v>-28665</v>
      </c>
      <c r="I98" s="172">
        <v>132847</v>
      </c>
      <c r="J98" s="5">
        <v>76073</v>
      </c>
      <c r="K98" s="70">
        <v>56774</v>
      </c>
      <c r="L98" s="6">
        <v>68120</v>
      </c>
      <c r="M98" s="5">
        <v>65324</v>
      </c>
      <c r="N98" s="159">
        <v>2796</v>
      </c>
      <c r="O98" s="203">
        <f t="shared" si="9"/>
        <v>1462</v>
      </c>
      <c r="P98" s="171">
        <f t="shared" si="10"/>
        <v>6.2656158260370196E-3</v>
      </c>
      <c r="Q98" s="193"/>
      <c r="R98" s="67" t="str">
        <f>IF($C$4="High Inventory",IF(AND(O98&gt;=Summary!$C$128,P98&gt;=Summary!$C$129),"X"," "),IF(AND(O98&lt;=-Summary!$C$128,P98&lt;=-Summary!$C$129),"X"," "))</f>
        <v xml:space="preserve"> </v>
      </c>
      <c r="S98" s="11" t="str">
        <f>IF($C$4="High Inventory",IF(AND(L98-I98&gt;=Summary!$C$132,N98-K98&gt;Summary!$C$132,N98&gt;0),"X"," "),IF(AND(I98-L98&gt;=Summary!$C$132,K98-N98&gt;Summary!$C$132,N98&lt;0),"X"," "))</f>
        <v xml:space="preserve"> </v>
      </c>
      <c r="W98" t="str">
        <f>IF($C$4="High Inventory",IF(O98&gt;Summary!$C$128,"X"," "),IF(O98&lt;-Summary!$C$128,"X"," "))</f>
        <v xml:space="preserve"> </v>
      </c>
      <c r="X98" t="str">
        <f>IF($C$4="High Inventory",IF(P98&gt;Summary!$C$129,"X"," "),IF(P98&lt;-Summary!$C$129,"X"," "))</f>
        <v xml:space="preserve"> </v>
      </c>
    </row>
    <row r="99" spans="1:24" x14ac:dyDescent="0.2">
      <c r="A99" s="28">
        <v>7610</v>
      </c>
      <c r="B99" s="160" t="s">
        <v>27</v>
      </c>
      <c r="C99" s="172">
        <v>230</v>
      </c>
      <c r="D99" s="5">
        <v>0</v>
      </c>
      <c r="E99" s="70">
        <v>230</v>
      </c>
      <c r="F99" s="6">
        <v>230</v>
      </c>
      <c r="G99" s="5">
        <v>51</v>
      </c>
      <c r="H99" s="159">
        <v>179</v>
      </c>
      <c r="I99" s="172">
        <v>230</v>
      </c>
      <c r="J99" s="5">
        <v>125</v>
      </c>
      <c r="K99" s="70">
        <v>105</v>
      </c>
      <c r="L99" s="6">
        <v>230</v>
      </c>
      <c r="M99" s="5">
        <v>157</v>
      </c>
      <c r="N99" s="159">
        <v>73</v>
      </c>
      <c r="O99" s="203">
        <f t="shared" si="9"/>
        <v>514</v>
      </c>
      <c r="P99" s="171">
        <f t="shared" si="10"/>
        <v>2.9039548022598871</v>
      </c>
      <c r="Q99" s="194"/>
      <c r="R99" s="67" t="str">
        <f>IF($C$4="High Inventory",IF(AND(O99&gt;=Summary!$C$128,P99&gt;=Summary!$C$129),"X"," "),IF(AND(O99&lt;=-Summary!$C$128,P99&lt;=-Summary!$C$129),"X"," "))</f>
        <v xml:space="preserve"> </v>
      </c>
      <c r="S99" s="11" t="str">
        <f>IF($C$4="High Inventory",IF(AND(L99-I99&gt;=Summary!$C$132,N99-K99&gt;Summary!$C$132,N99&gt;0),"X"," "),IF(AND(I99-L99&gt;=Summary!$C$132,K99-N99&gt;Summary!$C$132,N99&lt;0),"X"," "))</f>
        <v xml:space="preserve"> </v>
      </c>
      <c r="W99" t="str">
        <f>IF($C$4="High Inventory",IF(O99&gt;Summary!$C$128,"X"," "),IF(O99&lt;-Summary!$C$128,"X"," "))</f>
        <v xml:space="preserve"> </v>
      </c>
      <c r="X99" t="str">
        <f>IF($C$4="High Inventory",IF(P99&gt;Summary!$C$129,"X"," "),IF(P99&lt;-Summary!$C$129,"X"," "))</f>
        <v>X</v>
      </c>
    </row>
    <row r="100" spans="1:24" x14ac:dyDescent="0.2">
      <c r="A100" s="28">
        <v>8537</v>
      </c>
      <c r="B100" s="160" t="s">
        <v>27</v>
      </c>
      <c r="C100" s="172">
        <v>0</v>
      </c>
      <c r="D100" s="5">
        <v>0</v>
      </c>
      <c r="E100" s="70">
        <v>0</v>
      </c>
      <c r="F100" s="6">
        <v>0</v>
      </c>
      <c r="G100" s="5">
        <v>0</v>
      </c>
      <c r="H100" s="159">
        <v>0</v>
      </c>
      <c r="I100" s="172">
        <v>0</v>
      </c>
      <c r="J100" s="5">
        <v>0</v>
      </c>
      <c r="K100" s="70">
        <v>0</v>
      </c>
      <c r="L100" s="6">
        <v>0</v>
      </c>
      <c r="M100" s="5">
        <v>0</v>
      </c>
      <c r="N100" s="159">
        <v>0</v>
      </c>
      <c r="O100" s="203">
        <f t="shared" si="9"/>
        <v>0</v>
      </c>
      <c r="P100" s="171">
        <f t="shared" si="10"/>
        <v>0</v>
      </c>
      <c r="Q100" s="193"/>
      <c r="R100" s="67" t="str">
        <f>IF($C$4="High Inventory",IF(AND(O100&gt;=Summary!$C$128,P100&gt;=Summary!$C$129),"X"," "),IF(AND(O100&lt;=-Summary!$C$128,P100&lt;=-Summary!$C$129),"X"," "))</f>
        <v xml:space="preserve"> </v>
      </c>
      <c r="S100" s="11" t="str">
        <f>IF($C$4="High Inventory",IF(AND(L100-I100&gt;=Summary!$C$132,N100-K100&gt;Summary!$C$132,N100&gt;0),"X"," "),IF(AND(I100-L100&gt;=Summary!$C$132,K100-N100&gt;Summary!$C$132,N100&lt;0),"X"," "))</f>
        <v xml:space="preserve"> </v>
      </c>
      <c r="W100" t="str">
        <f>IF($C$4="High Inventory",IF(O100&gt;Summary!$C$128,"X"," "),IF(O100&lt;-Summary!$C$128,"X"," "))</f>
        <v xml:space="preserve"> </v>
      </c>
      <c r="X100" t="str">
        <f>IF($C$4="High Inventory",IF(P100&gt;Summary!$C$129,"X"," "),IF(P100&lt;-Summary!$C$129,"X"," "))</f>
        <v xml:space="preserve"> </v>
      </c>
    </row>
    <row r="101" spans="1:24" x14ac:dyDescent="0.2">
      <c r="A101" s="28">
        <v>8576</v>
      </c>
      <c r="B101" s="160" t="s">
        <v>27</v>
      </c>
      <c r="C101" s="172">
        <v>0</v>
      </c>
      <c r="D101" s="5">
        <v>0</v>
      </c>
      <c r="E101" s="70">
        <v>0</v>
      </c>
      <c r="F101" s="6">
        <v>0</v>
      </c>
      <c r="G101" s="5">
        <v>0</v>
      </c>
      <c r="H101" s="159">
        <v>0</v>
      </c>
      <c r="I101" s="172">
        <v>0</v>
      </c>
      <c r="J101" s="5">
        <v>0</v>
      </c>
      <c r="K101" s="70">
        <v>0</v>
      </c>
      <c r="L101" s="6">
        <v>0</v>
      </c>
      <c r="M101" s="5">
        <v>0</v>
      </c>
      <c r="N101" s="159">
        <v>0</v>
      </c>
      <c r="O101" s="203">
        <f t="shared" si="9"/>
        <v>0</v>
      </c>
      <c r="P101" s="171">
        <f t="shared" si="10"/>
        <v>0</v>
      </c>
      <c r="Q101" s="193"/>
      <c r="R101" s="67" t="str">
        <f>IF($C$4="High Inventory",IF(AND(O101&gt;=Summary!$C$128,P101&gt;=Summary!$C$129),"X"," "),IF(AND(O101&lt;=-Summary!$C$128,P101&lt;=-Summary!$C$129),"X"," "))</f>
        <v xml:space="preserve"> </v>
      </c>
      <c r="S101" s="11" t="str">
        <f>IF($C$4="High Inventory",IF(AND(L101-I101&gt;=Summary!$C$132,N101-K101&gt;Summary!$C$132,N101&gt;0),"X"," "),IF(AND(I101-L101&gt;=Summary!$C$132,K101-N101&gt;Summary!$C$132,N101&lt;0),"X"," "))</f>
        <v xml:space="preserve"> </v>
      </c>
      <c r="W101" t="str">
        <f>IF($C$4="High Inventory",IF(O101&gt;Summary!$C$128,"X"," "),IF(O101&lt;-Summary!$C$128,"X"," "))</f>
        <v xml:space="preserve"> </v>
      </c>
      <c r="X101" t="str">
        <f>IF($C$4="High Inventory",IF(P101&gt;Summary!$C$129,"X"," "),IF(P101&lt;-Summary!$C$129,"X"," "))</f>
        <v xml:space="preserve"> </v>
      </c>
    </row>
    <row r="102" spans="1:24" x14ac:dyDescent="0.2">
      <c r="A102" s="28">
        <v>8577</v>
      </c>
      <c r="B102" s="160" t="s">
        <v>27</v>
      </c>
      <c r="C102" s="172">
        <v>0</v>
      </c>
      <c r="D102" s="5">
        <v>0</v>
      </c>
      <c r="E102" s="70">
        <v>0</v>
      </c>
      <c r="F102" s="6">
        <v>0</v>
      </c>
      <c r="G102" s="5">
        <v>0</v>
      </c>
      <c r="H102" s="159">
        <v>0</v>
      </c>
      <c r="I102" s="172">
        <v>0</v>
      </c>
      <c r="J102" s="5">
        <v>0</v>
      </c>
      <c r="K102" s="70">
        <v>0</v>
      </c>
      <c r="L102" s="6">
        <v>0</v>
      </c>
      <c r="M102" s="5">
        <v>0</v>
      </c>
      <c r="N102" s="159">
        <v>0</v>
      </c>
      <c r="O102" s="203">
        <f t="shared" si="9"/>
        <v>0</v>
      </c>
      <c r="P102" s="171">
        <f t="shared" si="10"/>
        <v>0</v>
      </c>
      <c r="Q102" s="193"/>
      <c r="R102" s="67" t="str">
        <f>IF($C$4="High Inventory",IF(AND(O102&gt;=Summary!$C$128,P102&gt;=Summary!$C$129),"X"," "),IF(AND(O102&lt;=-Summary!$C$128,P102&lt;=-Summary!$C$129),"X"," "))</f>
        <v xml:space="preserve"> </v>
      </c>
      <c r="S102" s="11" t="str">
        <f>IF($C$4="High Inventory",IF(AND(L102-I102&gt;=Summary!$C$132,N102-K102&gt;Summary!$C$132,N102&gt;0),"X"," "),IF(AND(I102-L102&gt;=Summary!$C$132,K102-N102&gt;Summary!$C$132,N102&lt;0),"X"," "))</f>
        <v xml:space="preserve"> </v>
      </c>
      <c r="W102" t="str">
        <f>IF($C$4="High Inventory",IF(O102&gt;Summary!$C$128,"X"," "),IF(O102&lt;-Summary!$C$128,"X"," "))</f>
        <v xml:space="preserve"> </v>
      </c>
      <c r="X102" t="str">
        <f>IF($C$4="High Inventory",IF(P102&gt;Summary!$C$129,"X"," "),IF(P102&lt;-Summary!$C$129,"X"," "))</f>
        <v xml:space="preserve"> </v>
      </c>
    </row>
    <row r="103" spans="1:24" x14ac:dyDescent="0.2">
      <c r="A103" s="28">
        <v>8578</v>
      </c>
      <c r="B103" s="160" t="s">
        <v>27</v>
      </c>
      <c r="C103" s="172">
        <v>0</v>
      </c>
      <c r="D103" s="5">
        <v>0</v>
      </c>
      <c r="E103" s="70">
        <v>0</v>
      </c>
      <c r="F103" s="6">
        <v>0</v>
      </c>
      <c r="G103" s="5">
        <v>0</v>
      </c>
      <c r="H103" s="159">
        <v>0</v>
      </c>
      <c r="I103" s="172">
        <v>0</v>
      </c>
      <c r="J103" s="5">
        <v>0</v>
      </c>
      <c r="K103" s="70">
        <v>0</v>
      </c>
      <c r="L103" s="6">
        <v>0</v>
      </c>
      <c r="M103" s="5">
        <v>0</v>
      </c>
      <c r="N103" s="159">
        <v>0</v>
      </c>
      <c r="O103" s="203">
        <f t="shared" si="9"/>
        <v>0</v>
      </c>
      <c r="P103" s="171">
        <f t="shared" si="10"/>
        <v>0</v>
      </c>
      <c r="Q103" s="193"/>
      <c r="R103" s="67" t="str">
        <f>IF($C$4="High Inventory",IF(AND(O103&gt;=Summary!$C$128,P103&gt;=Summary!$C$129),"X"," "),IF(AND(O103&lt;=-Summary!$C$128,P103&lt;=-Summary!$C$129),"X"," "))</f>
        <v xml:space="preserve"> </v>
      </c>
      <c r="S103" s="11" t="str">
        <f>IF($C$4="High Inventory",IF(AND(L103-I103&gt;=Summary!$C$132,N103-K103&gt;Summary!$C$132,N103&gt;0),"X"," "),IF(AND(I103-L103&gt;=Summary!$C$132,K103-N103&gt;Summary!$C$132,N103&lt;0),"X"," "))</f>
        <v xml:space="preserve"> </v>
      </c>
      <c r="W103" t="str">
        <f>IF($C$4="High Inventory",IF(O103&gt;Summary!$C$128,"X"," "),IF(O103&lt;-Summary!$C$128,"X"," "))</f>
        <v xml:space="preserve"> </v>
      </c>
      <c r="X103" t="str">
        <f>IF($C$4="High Inventory",IF(P103&gt;Summary!$C$129,"X"," "),IF(P103&lt;-Summary!$C$129,"X"," "))</f>
        <v xml:space="preserve"> </v>
      </c>
    </row>
    <row r="104" spans="1:24" x14ac:dyDescent="0.2">
      <c r="A104" s="28">
        <v>8579</v>
      </c>
      <c r="B104" s="160" t="s">
        <v>27</v>
      </c>
      <c r="C104" s="172">
        <v>0</v>
      </c>
      <c r="D104" s="5">
        <v>0</v>
      </c>
      <c r="E104" s="70">
        <v>0</v>
      </c>
      <c r="F104" s="6">
        <v>0</v>
      </c>
      <c r="G104" s="5">
        <v>0</v>
      </c>
      <c r="H104" s="159">
        <v>0</v>
      </c>
      <c r="I104" s="172">
        <v>0</v>
      </c>
      <c r="J104" s="5">
        <v>0</v>
      </c>
      <c r="K104" s="70">
        <v>0</v>
      </c>
      <c r="L104" s="6">
        <v>0</v>
      </c>
      <c r="M104" s="5">
        <v>0</v>
      </c>
      <c r="N104" s="159">
        <v>0</v>
      </c>
      <c r="O104" s="203">
        <f t="shared" si="9"/>
        <v>0</v>
      </c>
      <c r="P104" s="171">
        <f t="shared" si="10"/>
        <v>0</v>
      </c>
      <c r="Q104" s="193"/>
      <c r="R104" s="67" t="str">
        <f>IF($C$4="High Inventory",IF(AND(O104&gt;=Summary!$C$128,P104&gt;=Summary!$C$129),"X"," "),IF(AND(O104&lt;=-Summary!$C$128,P104&lt;=-Summary!$C$129),"X"," "))</f>
        <v xml:space="preserve"> </v>
      </c>
      <c r="S104" s="11" t="str">
        <f>IF($C$4="High Inventory",IF(AND(L104-I104&gt;=Summary!$C$132,N104-K104&gt;Summary!$C$132,N104&gt;0),"X"," "),IF(AND(I104-L104&gt;=Summary!$C$132,K104-N104&gt;Summary!$C$132,N104&lt;0),"X"," "))</f>
        <v xml:space="preserve"> </v>
      </c>
      <c r="W104" t="str">
        <f>IF($C$4="High Inventory",IF(O104&gt;Summary!$C$128,"X"," "),IF(O104&lt;-Summary!$C$128,"X"," "))</f>
        <v xml:space="preserve"> </v>
      </c>
      <c r="X104" t="str">
        <f>IF($C$4="High Inventory",IF(P104&gt;Summary!$C$129,"X"," "),IF(P104&lt;-Summary!$C$129,"X"," "))</f>
        <v xml:space="preserve"> </v>
      </c>
    </row>
    <row r="105" spans="1:24" x14ac:dyDescent="0.2">
      <c r="A105" s="28">
        <v>8580</v>
      </c>
      <c r="B105" s="160" t="s">
        <v>27</v>
      </c>
      <c r="C105" s="172">
        <v>0</v>
      </c>
      <c r="D105" s="5">
        <v>0</v>
      </c>
      <c r="E105" s="70">
        <v>0</v>
      </c>
      <c r="F105" s="6">
        <v>0</v>
      </c>
      <c r="G105" s="5">
        <v>0</v>
      </c>
      <c r="H105" s="159">
        <v>0</v>
      </c>
      <c r="I105" s="172">
        <v>0</v>
      </c>
      <c r="J105" s="5">
        <v>0</v>
      </c>
      <c r="K105" s="70">
        <v>0</v>
      </c>
      <c r="L105" s="6">
        <v>0</v>
      </c>
      <c r="M105" s="5">
        <v>0</v>
      </c>
      <c r="N105" s="159">
        <v>0</v>
      </c>
      <c r="O105" s="203">
        <f t="shared" si="9"/>
        <v>0</v>
      </c>
      <c r="P105" s="171">
        <f t="shared" si="10"/>
        <v>0</v>
      </c>
      <c r="Q105" s="193"/>
      <c r="R105" s="67" t="str">
        <f>IF($C$4="High Inventory",IF(AND(O105&gt;=Summary!$C$128,P105&gt;=Summary!$C$129),"X"," "),IF(AND(O105&lt;=-Summary!$C$128,P105&lt;=-Summary!$C$129),"X"," "))</f>
        <v xml:space="preserve"> </v>
      </c>
      <c r="S105" s="11" t="str">
        <f>IF($C$4="High Inventory",IF(AND(L105-I105&gt;=Summary!$C$132,N105-K105&gt;Summary!$C$132,N105&gt;0),"X"," "),IF(AND(I105-L105&gt;=Summary!$C$132,K105-N105&gt;Summary!$C$132,N105&lt;0),"X"," "))</f>
        <v xml:space="preserve"> </v>
      </c>
      <c r="W105" t="str">
        <f>IF($C$4="High Inventory",IF(O105&gt;Summary!$C$128,"X"," "),IF(O105&lt;-Summary!$C$128,"X"," "))</f>
        <v xml:space="preserve"> </v>
      </c>
      <c r="X105" t="str">
        <f>IF($C$4="High Inventory",IF(P105&gt;Summary!$C$129,"X"," "),IF(P105&lt;-Summary!$C$129,"X"," "))</f>
        <v xml:space="preserve"> </v>
      </c>
    </row>
    <row r="106" spans="1:24" x14ac:dyDescent="0.2">
      <c r="A106" s="28">
        <v>11396</v>
      </c>
      <c r="B106" s="160" t="s">
        <v>27</v>
      </c>
      <c r="C106" s="172">
        <v>0</v>
      </c>
      <c r="D106" s="5">
        <v>296</v>
      </c>
      <c r="E106" s="70">
        <v>-296</v>
      </c>
      <c r="F106" s="6">
        <v>0</v>
      </c>
      <c r="G106" s="5">
        <v>306</v>
      </c>
      <c r="H106" s="159">
        <v>-306</v>
      </c>
      <c r="I106" s="172">
        <v>0</v>
      </c>
      <c r="J106" s="5">
        <v>271</v>
      </c>
      <c r="K106" s="70">
        <v>-271</v>
      </c>
      <c r="L106" s="6">
        <v>0</v>
      </c>
      <c r="M106" s="5">
        <v>480</v>
      </c>
      <c r="N106" s="159">
        <v>-480</v>
      </c>
      <c r="O106" s="203">
        <f t="shared" si="9"/>
        <v>-873</v>
      </c>
      <c r="P106" s="171">
        <f t="shared" si="10"/>
        <v>-0.99885583524027455</v>
      </c>
      <c r="Q106" s="194"/>
      <c r="R106" s="67" t="str">
        <f>IF($C$4="High Inventory",IF(AND(O106&gt;=Summary!$C$128,P106&gt;=Summary!$C$129),"X"," "),IF(AND(O106&lt;=-Summary!$C$128,P106&lt;=-Summary!$C$129),"X"," "))</f>
        <v xml:space="preserve"> </v>
      </c>
      <c r="S106" s="11" t="str">
        <f>IF($C$4="High Inventory",IF(AND(L106-I106&gt;=Summary!$C$132,N106-K106&gt;Summary!$C$132,N106&gt;0),"X"," "),IF(AND(I106-L106&gt;=Summary!$C$132,K106-N106&gt;Summary!$C$132,N106&lt;0),"X"," "))</f>
        <v xml:space="preserve"> </v>
      </c>
      <c r="W106" t="str">
        <f>IF($C$4="High Inventory",IF(O106&gt;Summary!$C$128,"X"," "),IF(O106&lt;-Summary!$C$128,"X"," "))</f>
        <v xml:space="preserve"> </v>
      </c>
      <c r="X106" t="str">
        <f>IF($C$4="High Inventory",IF(P106&gt;Summary!$C$129,"X"," "),IF(P106&lt;-Summary!$C$129,"X"," "))</f>
        <v xml:space="preserve"> </v>
      </c>
    </row>
    <row r="107" spans="1:24" x14ac:dyDescent="0.2">
      <c r="A107" s="28">
        <v>12376</v>
      </c>
      <c r="B107" s="160" t="s">
        <v>27</v>
      </c>
      <c r="C107" s="172">
        <v>0</v>
      </c>
      <c r="D107" s="5">
        <v>231</v>
      </c>
      <c r="E107" s="70">
        <v>-231</v>
      </c>
      <c r="F107" s="6">
        <v>0</v>
      </c>
      <c r="G107" s="5">
        <v>204</v>
      </c>
      <c r="H107" s="159">
        <v>-204</v>
      </c>
      <c r="I107" s="172">
        <v>0</v>
      </c>
      <c r="J107" s="5">
        <v>185</v>
      </c>
      <c r="K107" s="70">
        <v>-185</v>
      </c>
      <c r="L107" s="6">
        <v>0</v>
      </c>
      <c r="M107" s="5">
        <v>166</v>
      </c>
      <c r="N107" s="159">
        <v>-166</v>
      </c>
      <c r="O107" s="203">
        <f t="shared" si="9"/>
        <v>-620</v>
      </c>
      <c r="P107" s="171">
        <f t="shared" si="10"/>
        <v>-0.99838969404186795</v>
      </c>
      <c r="Q107" s="195"/>
      <c r="R107" s="67" t="str">
        <f>IF($C$4="High Inventory",IF(AND(O107&gt;=Summary!$C$128,P107&gt;=Summary!$C$129),"X"," "),IF(AND(O107&lt;=-Summary!$C$128,P107&lt;=-Summary!$C$129),"X"," "))</f>
        <v xml:space="preserve"> </v>
      </c>
      <c r="S107" s="11" t="str">
        <f>IF($C$4="High Inventory",IF(AND(L107-I107&gt;=Summary!$C$132,N107-K107&gt;Summary!$C$132,N107&gt;0),"X"," "),IF(AND(I107-L107&gt;=Summary!$C$132,K107-N107&gt;Summary!$C$132,N107&lt;0),"X"," "))</f>
        <v xml:space="preserve"> </v>
      </c>
      <c r="W107" t="str">
        <f>IF($C$4="High Inventory",IF(O107&gt;Summary!$C$128,"X"," "),IF(O107&lt;-Summary!$C$128,"X"," "))</f>
        <v xml:space="preserve"> </v>
      </c>
      <c r="X107" t="str">
        <f>IF($C$4="High Inventory",IF(P107&gt;Summary!$C$129,"X"," "),IF(P107&lt;-Summary!$C$129,"X"," "))</f>
        <v xml:space="preserve"> </v>
      </c>
    </row>
    <row r="108" spans="1:24" x14ac:dyDescent="0.2">
      <c r="A108" s="28">
        <v>13636</v>
      </c>
      <c r="B108" s="160" t="s">
        <v>27</v>
      </c>
      <c r="C108" s="172">
        <v>0</v>
      </c>
      <c r="D108" s="5">
        <v>0</v>
      </c>
      <c r="E108" s="70">
        <v>0</v>
      </c>
      <c r="F108" s="6">
        <v>0</v>
      </c>
      <c r="G108" s="5">
        <v>0</v>
      </c>
      <c r="H108" s="159">
        <v>0</v>
      </c>
      <c r="I108" s="172">
        <v>0</v>
      </c>
      <c r="J108" s="5">
        <v>0</v>
      </c>
      <c r="K108" s="70">
        <v>0</v>
      </c>
      <c r="L108" s="6">
        <v>0</v>
      </c>
      <c r="M108" s="5">
        <v>3</v>
      </c>
      <c r="N108" s="159">
        <v>-3</v>
      </c>
      <c r="O108" s="203">
        <f t="shared" si="9"/>
        <v>0</v>
      </c>
      <c r="P108" s="171">
        <f t="shared" si="10"/>
        <v>0</v>
      </c>
      <c r="Q108" s="195"/>
      <c r="R108" s="67" t="str">
        <f>IF($C$4="High Inventory",IF(AND(O108&gt;=Summary!$C$128,P108&gt;=Summary!$C$129),"X"," "),IF(AND(O108&lt;=-Summary!$C$128,P108&lt;=-Summary!$C$129),"X"," "))</f>
        <v xml:space="preserve"> </v>
      </c>
      <c r="S108" s="11" t="str">
        <f>IF($C$4="High Inventory",IF(AND(L108-I108&gt;=Summary!$C$132,N108-K108&gt;Summary!$C$132,N108&gt;0),"X"," "),IF(AND(I108-L108&gt;=Summary!$C$132,K108-N108&gt;Summary!$C$132,N108&lt;0),"X"," "))</f>
        <v xml:space="preserve"> </v>
      </c>
      <c r="W108" t="str">
        <f>IF($C$4="High Inventory",IF(O108&gt;Summary!$C$128,"X"," "),IF(O108&lt;-Summary!$C$128,"X"," "))</f>
        <v xml:space="preserve"> </v>
      </c>
      <c r="X108" t="str">
        <f>IF($C$4="High Inventory",IF(P108&gt;Summary!$C$129,"X"," "),IF(P108&lt;-Summary!$C$129,"X"," "))</f>
        <v xml:space="preserve"> </v>
      </c>
    </row>
    <row r="109" spans="1:24" x14ac:dyDescent="0.2">
      <c r="A109" s="28">
        <v>13836</v>
      </c>
      <c r="B109" s="160" t="s">
        <v>27</v>
      </c>
      <c r="C109" s="172">
        <v>0</v>
      </c>
      <c r="D109" s="5">
        <v>19</v>
      </c>
      <c r="E109" s="70">
        <v>-19</v>
      </c>
      <c r="F109" s="6">
        <v>0</v>
      </c>
      <c r="G109" s="5">
        <v>20</v>
      </c>
      <c r="H109" s="159">
        <v>-20</v>
      </c>
      <c r="I109" s="172">
        <v>0</v>
      </c>
      <c r="J109" s="5">
        <v>22</v>
      </c>
      <c r="K109" s="70">
        <v>-22</v>
      </c>
      <c r="L109" s="6">
        <v>0</v>
      </c>
      <c r="M109" s="5">
        <v>28</v>
      </c>
      <c r="N109" s="159">
        <v>-28</v>
      </c>
      <c r="O109" s="203">
        <f t="shared" si="9"/>
        <v>-61</v>
      </c>
      <c r="P109" s="171">
        <f t="shared" si="10"/>
        <v>-0.9838709677419355</v>
      </c>
      <c r="Q109" s="194"/>
      <c r="R109" s="67" t="str">
        <f>IF($C$4="High Inventory",IF(AND(O109&gt;=Summary!$C$128,P109&gt;=Summary!$C$129),"X"," "),IF(AND(O109&lt;=-Summary!$C$128,P109&lt;=-Summary!$C$129),"X"," "))</f>
        <v xml:space="preserve"> </v>
      </c>
      <c r="S109" s="11" t="str">
        <f>IF($C$4="High Inventory",IF(AND(L109-I109&gt;=Summary!$C$132,N109-K109&gt;Summary!$C$132,N109&gt;0),"X"," "),IF(AND(I109-L109&gt;=Summary!$C$132,K109-N109&gt;Summary!$C$132,N109&lt;0),"X"," "))</f>
        <v xml:space="preserve"> </v>
      </c>
      <c r="W109" t="str">
        <f>IF($C$4="High Inventory",IF(O109&gt;Summary!$C$128,"X"," "),IF(O109&lt;-Summary!$C$128,"X"," "))</f>
        <v xml:space="preserve"> </v>
      </c>
      <c r="X109" t="str">
        <f>IF($C$4="High Inventory",IF(P109&gt;Summary!$C$129,"X"," "),IF(P109&lt;-Summary!$C$129,"X"," "))</f>
        <v xml:space="preserve"> </v>
      </c>
    </row>
    <row r="110" spans="1:24" x14ac:dyDescent="0.2">
      <c r="A110" s="28">
        <v>18287</v>
      </c>
      <c r="B110" s="160" t="s">
        <v>27</v>
      </c>
      <c r="C110" s="172">
        <v>0</v>
      </c>
      <c r="D110" s="5">
        <v>1</v>
      </c>
      <c r="E110" s="70">
        <v>-1</v>
      </c>
      <c r="F110" s="6">
        <v>0</v>
      </c>
      <c r="G110" s="5">
        <v>1</v>
      </c>
      <c r="H110" s="159">
        <v>-1</v>
      </c>
      <c r="I110" s="172">
        <v>0</v>
      </c>
      <c r="J110" s="5">
        <v>0</v>
      </c>
      <c r="K110" s="70">
        <v>0</v>
      </c>
      <c r="L110" s="6">
        <v>0</v>
      </c>
      <c r="M110" s="5">
        <v>0</v>
      </c>
      <c r="N110" s="159">
        <v>0</v>
      </c>
      <c r="O110" s="203">
        <f t="shared" si="9"/>
        <v>-2</v>
      </c>
      <c r="P110" s="171">
        <f t="shared" si="10"/>
        <v>-0.66666666666666663</v>
      </c>
      <c r="Q110" s="193"/>
      <c r="R110" s="67" t="str">
        <f>IF($C$4="High Inventory",IF(AND(O110&gt;=Summary!$C$128,P110&gt;=Summary!$C$129),"X"," "),IF(AND(O110&lt;=-Summary!$C$128,P110&lt;=-Summary!$C$129),"X"," "))</f>
        <v xml:space="preserve"> </v>
      </c>
      <c r="S110" s="11" t="str">
        <f>IF($C$4="High Inventory",IF(AND(L110-I110&gt;=Summary!$C$132,N110-K110&gt;Summary!$C$132,N110&gt;0),"X"," "),IF(AND(I110-L110&gt;=Summary!$C$132,K110-N110&gt;Summary!$C$132,N110&lt;0),"X"," "))</f>
        <v xml:space="preserve"> </v>
      </c>
      <c r="W110" t="str">
        <f>IF($C$4="High Inventory",IF(O110&gt;Summary!$C$128,"X"," "),IF(O110&lt;-Summary!$C$128,"X"," "))</f>
        <v xml:space="preserve"> </v>
      </c>
      <c r="X110" t="str">
        <f>IF($C$4="High Inventory",IF(P110&gt;Summary!$C$129,"X"," "),IF(P110&lt;-Summary!$C$129,"X"," "))</f>
        <v xml:space="preserve"> </v>
      </c>
    </row>
    <row r="111" spans="1:24" x14ac:dyDescent="0.2">
      <c r="A111" s="28">
        <v>20566</v>
      </c>
      <c r="B111" s="160" t="s">
        <v>27</v>
      </c>
      <c r="C111" s="172">
        <v>0</v>
      </c>
      <c r="D111" s="5">
        <v>0</v>
      </c>
      <c r="E111" s="70">
        <v>0</v>
      </c>
      <c r="F111" s="6">
        <v>0</v>
      </c>
      <c r="G111" s="5">
        <v>0</v>
      </c>
      <c r="H111" s="159">
        <v>0</v>
      </c>
      <c r="I111" s="172">
        <v>0</v>
      </c>
      <c r="J111" s="5">
        <v>0</v>
      </c>
      <c r="K111" s="70">
        <v>0</v>
      </c>
      <c r="L111" s="6">
        <v>0</v>
      </c>
      <c r="M111" s="5">
        <v>0</v>
      </c>
      <c r="N111" s="159">
        <v>0</v>
      </c>
      <c r="O111" s="203">
        <f t="shared" si="9"/>
        <v>0</v>
      </c>
      <c r="P111" s="171">
        <f t="shared" si="10"/>
        <v>0</v>
      </c>
      <c r="Q111" s="193"/>
      <c r="R111" s="67" t="str">
        <f>IF($C$4="High Inventory",IF(AND(O111&gt;=Summary!$C$128,P111&gt;=Summary!$C$129),"X"," "),IF(AND(O111&lt;=-Summary!$C$128,P111&lt;=-Summary!$C$129),"X"," "))</f>
        <v xml:space="preserve"> </v>
      </c>
      <c r="S111" s="11" t="str">
        <f>IF($C$4="High Inventory",IF(AND(L111-I111&gt;=Summary!$C$132,N111-K111&gt;Summary!$C$132,N111&gt;0),"X"," "),IF(AND(I111-L111&gt;=Summary!$C$132,K111-N111&gt;Summary!$C$132,N111&lt;0),"X"," "))</f>
        <v xml:space="preserve"> </v>
      </c>
      <c r="W111" t="str">
        <f>IF($C$4="High Inventory",IF(O111&gt;Summary!$C$128,"X"," "),IF(O111&lt;-Summary!$C$128,"X"," "))</f>
        <v xml:space="preserve"> </v>
      </c>
      <c r="X111" t="str">
        <f>IF($C$4="High Inventory",IF(P111&gt;Summary!$C$129,"X"," "),IF(P111&lt;-Summary!$C$129,"X"," "))</f>
        <v xml:space="preserve"> </v>
      </c>
    </row>
    <row r="112" spans="1:24" x14ac:dyDescent="0.2">
      <c r="A112" s="28">
        <v>22256</v>
      </c>
      <c r="B112" s="160" t="s">
        <v>27</v>
      </c>
      <c r="C112" s="172">
        <v>0</v>
      </c>
      <c r="D112" s="5">
        <v>0</v>
      </c>
      <c r="E112" s="70">
        <v>0</v>
      </c>
      <c r="F112" s="6">
        <v>0</v>
      </c>
      <c r="G112" s="5">
        <v>0</v>
      </c>
      <c r="H112" s="159">
        <v>0</v>
      </c>
      <c r="I112" s="172">
        <v>0</v>
      </c>
      <c r="J112" s="5">
        <v>0</v>
      </c>
      <c r="K112" s="70">
        <v>0</v>
      </c>
      <c r="L112" s="6">
        <v>0</v>
      </c>
      <c r="M112" s="5">
        <v>0</v>
      </c>
      <c r="N112" s="159">
        <v>0</v>
      </c>
      <c r="O112" s="203">
        <f t="shared" si="9"/>
        <v>0</v>
      </c>
      <c r="P112" s="171">
        <f t="shared" si="10"/>
        <v>0</v>
      </c>
      <c r="Q112" s="193"/>
      <c r="R112" s="67" t="str">
        <f>IF($C$4="High Inventory",IF(AND(O112&gt;=Summary!$C$128,P112&gt;=Summary!$C$129),"X"," "),IF(AND(O112&lt;=-Summary!$C$128,P112&lt;=-Summary!$C$129),"X"," "))</f>
        <v xml:space="preserve"> </v>
      </c>
      <c r="S112" s="11" t="str">
        <f>IF($C$4="High Inventory",IF(AND(L112-I112&gt;=Summary!$C$132,N112-K112&gt;Summary!$C$132,N112&gt;0),"X"," "),IF(AND(I112-L112&gt;=Summary!$C$132,K112-N112&gt;Summary!$C$132,N112&lt;0),"X"," "))</f>
        <v xml:space="preserve"> </v>
      </c>
      <c r="W112" t="str">
        <f>IF($C$4="High Inventory",IF(O112&gt;Summary!$C$128,"X"," "),IF(O112&lt;-Summary!$C$128,"X"," "))</f>
        <v xml:space="preserve"> </v>
      </c>
      <c r="X112" t="str">
        <f>IF($C$4="High Inventory",IF(P112&gt;Summary!$C$129,"X"," "),IF(P112&lt;-Summary!$C$129,"X"," "))</f>
        <v xml:space="preserve"> </v>
      </c>
    </row>
    <row r="113" spans="1:24" x14ac:dyDescent="0.2">
      <c r="A113" s="28">
        <v>23159</v>
      </c>
      <c r="B113" s="160" t="s">
        <v>27</v>
      </c>
      <c r="C113" s="172">
        <v>0</v>
      </c>
      <c r="D113" s="5">
        <v>64</v>
      </c>
      <c r="E113" s="70">
        <v>-64</v>
      </c>
      <c r="F113" s="6">
        <v>0</v>
      </c>
      <c r="G113" s="5">
        <v>68</v>
      </c>
      <c r="H113" s="159">
        <v>-68</v>
      </c>
      <c r="I113" s="172">
        <v>0</v>
      </c>
      <c r="J113" s="5">
        <v>73</v>
      </c>
      <c r="K113" s="70">
        <v>-73</v>
      </c>
      <c r="L113" s="6">
        <v>0</v>
      </c>
      <c r="M113" s="5">
        <v>61</v>
      </c>
      <c r="N113" s="159">
        <v>-61</v>
      </c>
      <c r="O113" s="203">
        <f t="shared" si="9"/>
        <v>-205</v>
      </c>
      <c r="P113" s="171">
        <f t="shared" si="10"/>
        <v>-0.99514563106796117</v>
      </c>
      <c r="Q113" s="195"/>
      <c r="R113" s="67" t="str">
        <f>IF($C$4="High Inventory",IF(AND(O113&gt;=Summary!$C$128,P113&gt;=Summary!$C$129),"X"," "),IF(AND(O113&lt;=-Summary!$C$128,P113&lt;=-Summary!$C$129),"X"," "))</f>
        <v xml:space="preserve"> </v>
      </c>
      <c r="S113" s="11" t="str">
        <f>IF($C$4="High Inventory",IF(AND(L113-I113&gt;=Summary!$C$132,N113-K113&gt;Summary!$C$132,N113&gt;0),"X"," "),IF(AND(I113-L113&gt;=Summary!$C$132,K113-N113&gt;Summary!$C$132,N113&lt;0),"X"," "))</f>
        <v xml:space="preserve"> </v>
      </c>
      <c r="W113" t="str">
        <f>IF($C$4="High Inventory",IF(O113&gt;Summary!$C$128,"X"," "),IF(O113&lt;-Summary!$C$128,"X"," "))</f>
        <v xml:space="preserve"> </v>
      </c>
      <c r="X113" t="str">
        <f>IF($C$4="High Inventory",IF(P113&gt;Summary!$C$129,"X"," "),IF(P113&lt;-Summary!$C$129,"X"," "))</f>
        <v xml:space="preserve"> </v>
      </c>
    </row>
    <row r="114" spans="1:24" x14ac:dyDescent="0.2">
      <c r="A114" s="28">
        <v>30149</v>
      </c>
      <c r="B114" s="160" t="s">
        <v>27</v>
      </c>
      <c r="C114" s="172">
        <v>0</v>
      </c>
      <c r="D114" s="5">
        <v>0</v>
      </c>
      <c r="E114" s="70">
        <v>0</v>
      </c>
      <c r="F114" s="6">
        <v>0</v>
      </c>
      <c r="G114" s="5">
        <v>0</v>
      </c>
      <c r="H114" s="159">
        <v>0</v>
      </c>
      <c r="I114" s="172">
        <v>0</v>
      </c>
      <c r="J114" s="5">
        <v>0</v>
      </c>
      <c r="K114" s="70">
        <v>0</v>
      </c>
      <c r="L114" s="6">
        <v>0</v>
      </c>
      <c r="M114" s="5">
        <v>0</v>
      </c>
      <c r="N114" s="159">
        <v>0</v>
      </c>
      <c r="O114" s="203">
        <f t="shared" si="9"/>
        <v>0</v>
      </c>
      <c r="P114" s="171">
        <f t="shared" si="10"/>
        <v>0</v>
      </c>
      <c r="Q114" s="193"/>
      <c r="R114" s="67" t="str">
        <f>IF($C$4="High Inventory",IF(AND(O114&gt;=Summary!$C$128,P114&gt;=Summary!$C$129),"X"," "),IF(AND(O114&lt;=-Summary!$C$128,P114&lt;=-Summary!$C$129),"X"," "))</f>
        <v xml:space="preserve"> </v>
      </c>
      <c r="S114" s="11" t="str">
        <f>IF($C$4="High Inventory",IF(AND(L114-I114&gt;=Summary!$C$132,N114-K114&gt;Summary!$C$132,N114&gt;0),"X"," "),IF(AND(I114-L114&gt;=Summary!$C$132,K114-N114&gt;Summary!$C$132,N114&lt;0),"X"," "))</f>
        <v xml:space="preserve"> </v>
      </c>
      <c r="W114" t="str">
        <f>IF($C$4="High Inventory",IF(O114&gt;Summary!$C$128,"X"," "),IF(O114&lt;-Summary!$C$128,"X"," "))</f>
        <v xml:space="preserve"> </v>
      </c>
      <c r="X114" t="str">
        <f>IF($C$4="High Inventory",IF(P114&gt;Summary!$C$129,"X"," "),IF(P114&lt;-Summary!$C$129,"X"," "))</f>
        <v xml:space="preserve"> </v>
      </c>
    </row>
    <row r="115" spans="1:24" x14ac:dyDescent="0.2">
      <c r="A115" s="28">
        <v>30511</v>
      </c>
      <c r="B115" s="160" t="s">
        <v>27</v>
      </c>
      <c r="C115" s="172">
        <v>840</v>
      </c>
      <c r="D115" s="5">
        <v>0</v>
      </c>
      <c r="E115" s="70">
        <v>840</v>
      </c>
      <c r="F115" s="6">
        <v>840</v>
      </c>
      <c r="G115" s="5">
        <v>0</v>
      </c>
      <c r="H115" s="159">
        <v>840</v>
      </c>
      <c r="I115" s="172">
        <v>840</v>
      </c>
      <c r="J115" s="5">
        <v>0</v>
      </c>
      <c r="K115" s="70">
        <v>840</v>
      </c>
      <c r="L115" s="6">
        <v>840</v>
      </c>
      <c r="M115" s="5">
        <v>0</v>
      </c>
      <c r="N115" s="159">
        <v>840</v>
      </c>
      <c r="O115" s="203">
        <f t="shared" si="9"/>
        <v>2520</v>
      </c>
      <c r="P115" s="171">
        <f t="shared" si="10"/>
        <v>2520</v>
      </c>
      <c r="Q115" s="193"/>
      <c r="R115" s="67" t="str">
        <f>IF($C$4="High Inventory",IF(AND(O115&gt;=Summary!$C$128,P115&gt;=Summary!$C$129),"X"," "),IF(AND(O115&lt;=-Summary!$C$128,P115&lt;=-Summary!$C$129),"X"," "))</f>
        <v xml:space="preserve"> </v>
      </c>
      <c r="S115" s="11" t="str">
        <f>IF($C$4="High Inventory",IF(AND(L115-I115&gt;=Summary!$C$132,N115-K115&gt;Summary!$C$132,N115&gt;0),"X"," "),IF(AND(I115-L115&gt;=Summary!$C$132,K115-N115&gt;Summary!$C$132,N115&lt;0),"X"," "))</f>
        <v xml:space="preserve"> </v>
      </c>
      <c r="W115" t="str">
        <f>IF($C$4="High Inventory",IF(O115&gt;Summary!$C$128,"X"," "),IF(O115&lt;-Summary!$C$128,"X"," "))</f>
        <v xml:space="preserve"> </v>
      </c>
      <c r="X115" t="str">
        <f>IF($C$4="High Inventory",IF(P115&gt;Summary!$C$129,"X"," "),IF(P115&lt;-Summary!$C$129,"X"," "))</f>
        <v>X</v>
      </c>
    </row>
    <row r="116" spans="1:24" x14ac:dyDescent="0.2">
      <c r="A116" s="28">
        <v>32593</v>
      </c>
      <c r="B116" s="160" t="s">
        <v>27</v>
      </c>
      <c r="C116" s="172">
        <v>60000</v>
      </c>
      <c r="D116" s="5">
        <v>55372</v>
      </c>
      <c r="E116" s="70">
        <v>4628</v>
      </c>
      <c r="F116" s="6">
        <v>59931</v>
      </c>
      <c r="G116" s="5">
        <v>49453</v>
      </c>
      <c r="H116" s="159">
        <v>10478</v>
      </c>
      <c r="I116" s="172">
        <v>60000</v>
      </c>
      <c r="J116" s="5">
        <v>53404</v>
      </c>
      <c r="K116" s="70">
        <v>6596</v>
      </c>
      <c r="L116" s="6">
        <v>53000</v>
      </c>
      <c r="M116" s="5">
        <v>49839</v>
      </c>
      <c r="N116" s="159">
        <v>3161</v>
      </c>
      <c r="O116" s="203">
        <f t="shared" si="9"/>
        <v>21702</v>
      </c>
      <c r="P116" s="171">
        <f t="shared" si="10"/>
        <v>0.13715477469506415</v>
      </c>
      <c r="Q116" s="195" t="s">
        <v>59</v>
      </c>
      <c r="R116" s="67" t="str">
        <f>IF($C$4="High Inventory",IF(AND(O116&gt;=Summary!$C$128,P116&gt;=Summary!$C$129),"X"," "),IF(AND(O116&lt;=-Summary!$C$128,P116&lt;=-Summary!$C$129),"X"," "))</f>
        <v>X</v>
      </c>
      <c r="S116" s="11" t="str">
        <f>IF($C$4="High Inventory",IF(AND(L116-I116&gt;=Summary!$C$132,N116-K116&gt;Summary!$C$132,N116&gt;0),"X"," "),IF(AND(I116-L116&gt;=Summary!$C$132,K116-N116&gt;Summary!$C$132,N116&lt;0),"X"," "))</f>
        <v xml:space="preserve"> </v>
      </c>
      <c r="W116" t="str">
        <f>IF($C$4="High Inventory",IF(O116&gt;Summary!$C$128,"X"," "),IF(O116&lt;-Summary!$C$128,"X"," "))</f>
        <v>X</v>
      </c>
      <c r="X116" t="str">
        <f>IF($C$4="High Inventory",IF(P116&gt;Summary!$C$129,"X"," "),IF(P116&lt;-Summary!$C$129,"X"," "))</f>
        <v>X</v>
      </c>
    </row>
    <row r="117" spans="1:24" x14ac:dyDescent="0.2">
      <c r="A117" s="28">
        <v>33353</v>
      </c>
      <c r="B117" s="160" t="s">
        <v>27</v>
      </c>
      <c r="C117" s="172">
        <v>9969</v>
      </c>
      <c r="D117" s="5">
        <v>15845</v>
      </c>
      <c r="E117" s="70">
        <v>-5876</v>
      </c>
      <c r="F117" s="6">
        <v>8984</v>
      </c>
      <c r="G117" s="5">
        <v>15870</v>
      </c>
      <c r="H117" s="159">
        <v>-6886</v>
      </c>
      <c r="I117" s="172">
        <v>15723</v>
      </c>
      <c r="J117" s="5">
        <v>15102</v>
      </c>
      <c r="K117" s="70">
        <v>621</v>
      </c>
      <c r="L117" s="6">
        <v>25010</v>
      </c>
      <c r="M117" s="5">
        <v>15726</v>
      </c>
      <c r="N117" s="159">
        <v>9284</v>
      </c>
      <c r="O117" s="6">
        <f t="shared" si="9"/>
        <v>-12141</v>
      </c>
      <c r="P117" s="88">
        <f t="shared" si="10"/>
        <v>-0.25932333717800848</v>
      </c>
      <c r="Q117" s="195" t="s">
        <v>59</v>
      </c>
      <c r="R117" s="67" t="str">
        <f>IF($C$4="High Inventory",IF(AND(O117&gt;=Summary!$C$128,P117&gt;=Summary!$C$129),"X"," "),IF(AND(O117&lt;=-Summary!$C$128,P117&lt;=-Summary!$C$129),"X"," "))</f>
        <v xml:space="preserve"> </v>
      </c>
      <c r="S117" s="11" t="str">
        <f>IF($C$4="High Inventory",IF(AND(L117-I117&gt;=Summary!$C$132,N117-K117&gt;Summary!$C$132,N117&gt;0),"X"," "),IF(AND(I117-L117&gt;=Summary!$C$132,K117-N117&gt;Summary!$C$132,N117&lt;0),"X"," "))</f>
        <v>X</v>
      </c>
      <c r="W117" t="str">
        <f>IF($C$4="High Inventory",IF(O117&gt;Summary!$C$128,"X"," "),IF(O117&lt;-Summary!$C$128,"X"," "))</f>
        <v xml:space="preserve"> </v>
      </c>
      <c r="X117" t="str">
        <f>IF($C$4="High Inventory",IF(P117&gt;Summary!$C$129,"X"," "),IF(P117&lt;-Summary!$C$129,"X"," "))</f>
        <v xml:space="preserve"> </v>
      </c>
    </row>
    <row r="118" spans="1:24" x14ac:dyDescent="0.2">
      <c r="A118" s="2" t="s">
        <v>28</v>
      </c>
      <c r="B118" s="2"/>
      <c r="C118" s="3"/>
      <c r="D118" s="3"/>
      <c r="E118" s="3">
        <f>SUM(E10:E117)</f>
        <v>70326</v>
      </c>
      <c r="F118" s="3"/>
      <c r="G118" s="3"/>
      <c r="H118" s="3">
        <f>SUM(H10:H117)</f>
        <v>222254</v>
      </c>
      <c r="I118" s="3"/>
      <c r="J118" s="3"/>
      <c r="K118" s="3">
        <f>SUM(K10:K117)</f>
        <v>416574</v>
      </c>
      <c r="L118" s="3"/>
      <c r="M118" s="3">
        <f>SUM(M10:M117)</f>
        <v>2493552</v>
      </c>
      <c r="N118" s="3">
        <f>SUM(N10:N117)</f>
        <v>-65475</v>
      </c>
      <c r="O118" s="3"/>
      <c r="P118" s="12"/>
    </row>
    <row r="119" spans="1:24" x14ac:dyDescent="0.2">
      <c r="M119" s="89" t="s">
        <v>56</v>
      </c>
      <c r="N119" s="90">
        <f>N118/M118</f>
        <v>-2.6257723921538433E-2</v>
      </c>
      <c r="P119" s="1"/>
    </row>
  </sheetData>
  <phoneticPr fontId="0" type="noConversion"/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R99"/>
  <sheetViews>
    <sheetView zoomScale="75" workbookViewId="0">
      <pane xSplit="2" ySplit="9" topLeftCell="C82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5546875" defaultRowHeight="12.75" x14ac:dyDescent="0.2"/>
  <cols>
    <col min="1" max="2" width="9.140625" customWidth="1"/>
    <col min="3" max="3" width="9.42578125" style="29" customWidth="1"/>
    <col min="4" max="4" width="10" style="29" customWidth="1"/>
    <col min="5" max="21" width="10" customWidth="1"/>
    <col min="22" max="24" width="10" hidden="1" customWidth="1"/>
    <col min="25" max="44" width="7.85546875" style="15" customWidth="1"/>
    <col min="45" max="254" width="9.140625" customWidth="1"/>
  </cols>
  <sheetData>
    <row r="1" spans="3:44" ht="18" x14ac:dyDescent="0.25">
      <c r="C1" s="57" t="s">
        <v>0</v>
      </c>
    </row>
    <row r="2" spans="3:44" ht="20.25" customHeight="1" x14ac:dyDescent="0.2">
      <c r="C2" s="87" t="s">
        <v>34</v>
      </c>
    </row>
    <row r="3" spans="3:44" ht="15.75" x14ac:dyDescent="0.25">
      <c r="C3" s="58" t="s">
        <v>35</v>
      </c>
      <c r="E3" s="10">
        <f>N8</f>
        <v>0</v>
      </c>
      <c r="F3" s="9"/>
    </row>
    <row r="4" spans="3:44" ht="15.75" x14ac:dyDescent="0.25">
      <c r="C4" s="58" t="s">
        <v>36</v>
      </c>
      <c r="E4" s="4" t="s">
        <v>37</v>
      </c>
      <c r="G4" s="97" t="s">
        <v>63</v>
      </c>
      <c r="I4" s="4" t="s">
        <v>65</v>
      </c>
    </row>
    <row r="5" spans="3:44" ht="16.5" thickBot="1" x14ac:dyDescent="0.3">
      <c r="C5" s="58" t="s">
        <v>39</v>
      </c>
      <c r="E5" s="4" t="s">
        <v>58</v>
      </c>
      <c r="G5" s="58"/>
    </row>
    <row r="6" spans="3:44" ht="21.75" customHeight="1" thickBot="1" x14ac:dyDescent="0.25">
      <c r="T6" s="152" t="s">
        <v>41</v>
      </c>
      <c r="U6" s="153"/>
    </row>
    <row r="7" spans="3:44" s="62" customFormat="1" ht="54" customHeight="1" thickBot="1" x14ac:dyDescent="0.25">
      <c r="C7" s="59" t="s">
        <v>18</v>
      </c>
      <c r="D7" s="60" t="s">
        <v>43</v>
      </c>
      <c r="E7" s="59" t="s">
        <v>44</v>
      </c>
      <c r="F7" s="61" t="s">
        <v>45</v>
      </c>
      <c r="G7" s="60" t="s">
        <v>46</v>
      </c>
      <c r="H7" s="59" t="s">
        <v>44</v>
      </c>
      <c r="I7" s="61" t="s">
        <v>45</v>
      </c>
      <c r="J7" s="60" t="s">
        <v>46</v>
      </c>
      <c r="K7" s="59" t="s">
        <v>44</v>
      </c>
      <c r="L7" s="61" t="s">
        <v>45</v>
      </c>
      <c r="M7" s="60" t="s">
        <v>46</v>
      </c>
      <c r="N7" s="59" t="s">
        <v>44</v>
      </c>
      <c r="O7" s="61" t="s">
        <v>45</v>
      </c>
      <c r="P7" s="60" t="s">
        <v>46</v>
      </c>
      <c r="Q7" s="59" t="s">
        <v>47</v>
      </c>
      <c r="R7" s="60" t="s">
        <v>48</v>
      </c>
      <c r="S7" s="59" t="s">
        <v>49</v>
      </c>
      <c r="T7" s="60" t="s">
        <v>14</v>
      </c>
      <c r="U7" s="83" t="s">
        <v>50</v>
      </c>
      <c r="V7" s="59" t="s">
        <v>15</v>
      </c>
      <c r="W7" s="77" t="s">
        <v>16</v>
      </c>
      <c r="X7" s="7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95"/>
      <c r="AQ7" s="95"/>
      <c r="AR7" s="95"/>
    </row>
    <row r="8" spans="3:44" s="177" customFormat="1" ht="15.95" customHeight="1" thickBot="1" x14ac:dyDescent="0.25">
      <c r="C8" s="178"/>
      <c r="D8" s="179"/>
      <c r="E8" s="182">
        <f>E9</f>
        <v>0</v>
      </c>
      <c r="F8" s="180"/>
      <c r="G8" s="181" t="str">
        <f>TEXT(WEEKDAY(E8),"dddd")</f>
        <v>Saturday</v>
      </c>
      <c r="H8" s="182">
        <f>H9</f>
        <v>0</v>
      </c>
      <c r="I8" s="180"/>
      <c r="J8" s="181" t="str">
        <f>TEXT(WEEKDAY(H8),"dddd")</f>
        <v>Saturday</v>
      </c>
      <c r="K8" s="182">
        <f>K9</f>
        <v>0</v>
      </c>
      <c r="L8" s="180"/>
      <c r="M8" s="181" t="str">
        <f>TEXT(WEEKDAY(K8),"dddd")</f>
        <v>Saturday</v>
      </c>
      <c r="N8" s="182">
        <f>N9</f>
        <v>0</v>
      </c>
      <c r="O8" s="180"/>
      <c r="P8" s="181" t="str">
        <f>TEXT(WEEKDAY(N8),"dddd")</f>
        <v>Saturday</v>
      </c>
      <c r="Q8" s="183"/>
      <c r="R8" s="184"/>
      <c r="S8" s="185"/>
      <c r="T8" s="186"/>
      <c r="U8" s="192">
        <f>Summary!$C$132</f>
        <v>5000</v>
      </c>
      <c r="V8" s="185"/>
      <c r="W8" s="187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</row>
    <row r="9" spans="3:44" x14ac:dyDescent="0.2">
      <c r="C9" s="28"/>
      <c r="D9" s="56"/>
      <c r="E9" s="155"/>
      <c r="F9" s="157"/>
      <c r="G9" s="157"/>
      <c r="H9" s="158"/>
      <c r="I9" s="157"/>
      <c r="J9" s="157"/>
      <c r="K9" s="158"/>
      <c r="L9" s="157"/>
      <c r="M9" s="157"/>
      <c r="N9" s="158"/>
      <c r="O9" s="157"/>
      <c r="P9" s="157"/>
      <c r="Q9" s="6">
        <f t="shared" ref="Q9:Q40" si="0">M9+J9+G9</f>
        <v>0</v>
      </c>
      <c r="R9" s="70"/>
      <c r="S9" s="66"/>
      <c r="T9" s="64"/>
      <c r="U9" s="71"/>
      <c r="V9" s="66"/>
      <c r="W9" s="65"/>
    </row>
    <row r="10" spans="3:44" x14ac:dyDescent="0.2">
      <c r="C10" s="28"/>
      <c r="D10" s="56"/>
      <c r="E10" s="6"/>
      <c r="F10" s="5"/>
      <c r="G10" s="5"/>
      <c r="H10" s="6"/>
      <c r="I10" s="5"/>
      <c r="J10" s="5"/>
      <c r="K10" s="6"/>
      <c r="L10" s="5"/>
      <c r="M10" s="5"/>
      <c r="N10" s="6"/>
      <c r="O10" s="5"/>
      <c r="P10" s="5"/>
      <c r="Q10" s="6">
        <f t="shared" si="0"/>
        <v>0</v>
      </c>
      <c r="R10" s="72">
        <f t="shared" ref="R10:R41" si="1">Q10/(L10+I10+F10+1)</f>
        <v>0</v>
      </c>
      <c r="S10" s="76" t="str">
        <f t="shared" ref="S10:S16" si="2">" "</f>
        <v xml:space="preserve"> </v>
      </c>
      <c r="T10" s="67" t="str">
        <f>IF($E$4="High Inventory",IF(AND(Q10&gt;=Summary!$C$128,R10&gt;=Summary!$C$129),"X"," "),IF(AND(Q10&lt;=-Summary!$C$128,R10&lt;=-Summary!$C$129),"X"," "))</f>
        <v xml:space="preserve"> </v>
      </c>
      <c r="U10" s="85" t="str">
        <f>IF($E$4="High Inventory",IF(AND(N10-K10&gt;=Summary!$C$132,P10-M10&gt;Summary!$C$132,P10&gt;0),"X"," "),IF(AND(K10-N10&gt;=Summary!$C$132,M10-P10&gt;Summary!$C$132,P10&lt;0),"X"," "))</f>
        <v xml:space="preserve"> </v>
      </c>
      <c r="V10" s="8" t="str">
        <f>IF($E$4="High Inventory",IF(AND($Q10&gt;=Summary!$C$128,$R10&gt;=0%),"X"," "),IF(AND($Q10&lt;=-Summary!$C$128,$R10&lt;=0%),"X"," "))</f>
        <v xml:space="preserve"> </v>
      </c>
      <c r="W10" s="11" t="str">
        <f>IF($E$4="High Inventory",IF(AND($Q10&gt;=0,$R10&gt;=Summary!$C$129),"X"," "),IF(AND($Q10&lt;=0,$R10&lt;=-Summary!$C$129),"X"," "))</f>
        <v xml:space="preserve"> </v>
      </c>
      <c r="X10" t="str">
        <f t="shared" ref="X10:X41" si="3">IF(U10 = "X",N10-K10," ")</f>
        <v xml:space="preserve"> </v>
      </c>
    </row>
    <row r="11" spans="3:44" x14ac:dyDescent="0.2">
      <c r="C11" s="28"/>
      <c r="D11" s="56"/>
      <c r="E11" s="6"/>
      <c r="F11" s="5"/>
      <c r="G11" s="5"/>
      <c r="H11" s="6"/>
      <c r="I11" s="5"/>
      <c r="J11" s="5"/>
      <c r="K11" s="6"/>
      <c r="L11" s="5"/>
      <c r="M11" s="5"/>
      <c r="N11" s="6"/>
      <c r="O11" s="5"/>
      <c r="P11" s="5"/>
      <c r="Q11" s="6">
        <f t="shared" si="0"/>
        <v>0</v>
      </c>
      <c r="R11" s="72">
        <f t="shared" si="1"/>
        <v>0</v>
      </c>
      <c r="S11" s="76" t="str">
        <f t="shared" si="2"/>
        <v xml:space="preserve"> </v>
      </c>
      <c r="T11" s="67" t="str">
        <f>IF($E$4="High Inventory",IF(AND(Q11&gt;=Summary!$C$128,R11&gt;=Summary!$C$129),"X"," "),IF(AND(Q11&lt;=-Summary!$C$128,R11&lt;=-Summary!$C$129),"X"," "))</f>
        <v xml:space="preserve"> </v>
      </c>
      <c r="U11" s="85" t="str">
        <f>IF($E$4="High Inventory",IF(AND(N11-K11&gt;=Summary!$C$132,P11-M11&gt;Summary!$C$132,P11&gt;0),"X"," "),IF(AND(K11-N11&gt;=Summary!$C$132,M11-P11&gt;Summary!$C$132,P11&lt;0),"X"," "))</f>
        <v xml:space="preserve"> </v>
      </c>
      <c r="V11" s="8" t="str">
        <f>IF($E$4="High Inventory",IF(AND($Q11&gt;=Summary!$C$128,$R11&gt;=0%),"X"," "),IF(AND($Q11&lt;=-Summary!$C$128,$R11&lt;=0%),"X"," "))</f>
        <v xml:space="preserve"> </v>
      </c>
      <c r="W11" s="11" t="str">
        <f>IF($E$4="High Inventory",IF(AND($Q11&gt;=0,$R11&gt;=Summary!$C$129),"X"," "),IF(AND($Q11&lt;=0,$R11&lt;=-Summary!$C$129),"X"," "))</f>
        <v xml:space="preserve"> </v>
      </c>
      <c r="X11" t="str">
        <f t="shared" si="3"/>
        <v xml:space="preserve"> </v>
      </c>
    </row>
    <row r="12" spans="3:44" x14ac:dyDescent="0.2">
      <c r="C12" s="28"/>
      <c r="D12" s="56"/>
      <c r="E12" s="6"/>
      <c r="F12" s="5"/>
      <c r="G12" s="5"/>
      <c r="H12" s="6"/>
      <c r="I12" s="5"/>
      <c r="J12" s="5"/>
      <c r="K12" s="6"/>
      <c r="L12" s="5"/>
      <c r="M12" s="5"/>
      <c r="N12" s="6"/>
      <c r="O12" s="5"/>
      <c r="P12" s="5"/>
      <c r="Q12" s="6">
        <f t="shared" si="0"/>
        <v>0</v>
      </c>
      <c r="R12" s="72">
        <f t="shared" si="1"/>
        <v>0</v>
      </c>
      <c r="S12" s="76" t="str">
        <f t="shared" si="2"/>
        <v xml:space="preserve"> </v>
      </c>
      <c r="T12" s="67" t="str">
        <f>IF($E$4="High Inventory",IF(AND(Q12&gt;=Summary!$C$128,R12&gt;=Summary!$C$129),"X"," "),IF(AND(Q12&lt;=-Summary!$C$128,R12&lt;=-Summary!$C$129),"X"," "))</f>
        <v xml:space="preserve"> </v>
      </c>
      <c r="U12" s="85" t="str">
        <f>IF($E$4="High Inventory",IF(AND(N12-K12&gt;=Summary!$C$132,P12-M12&gt;Summary!$C$132,P12&gt;0),"X"," "),IF(AND(K12-N12&gt;=Summary!$C$132,M12-P12&gt;Summary!$C$132,P12&lt;0),"X"," "))</f>
        <v xml:space="preserve"> </v>
      </c>
      <c r="V12" s="8" t="str">
        <f>IF($E$4="High Inventory",IF(AND($Q12&gt;=Summary!$C$128,$R12&gt;=0%),"X"," "),IF(AND($Q12&lt;=-Summary!$C$128,$R12&lt;=0%),"X"," "))</f>
        <v xml:space="preserve"> </v>
      </c>
      <c r="W12" s="11" t="str">
        <f>IF($E$4="High Inventory",IF(AND($Q12&gt;=0,$R12&gt;=Summary!$C$129),"X"," "),IF(AND($Q12&lt;=0,$R12&lt;=-Summary!$C$129),"X"," "))</f>
        <v xml:space="preserve"> </v>
      </c>
      <c r="X12" t="str">
        <f t="shared" si="3"/>
        <v xml:space="preserve"> </v>
      </c>
    </row>
    <row r="13" spans="3:44" x14ac:dyDescent="0.2">
      <c r="C13" s="28"/>
      <c r="D13" s="56"/>
      <c r="E13" s="6"/>
      <c r="F13" s="5"/>
      <c r="G13" s="5"/>
      <c r="H13" s="6"/>
      <c r="I13" s="5"/>
      <c r="J13" s="5"/>
      <c r="K13" s="6"/>
      <c r="L13" s="5"/>
      <c r="M13" s="5"/>
      <c r="N13" s="6"/>
      <c r="O13" s="5"/>
      <c r="P13" s="5"/>
      <c r="Q13" s="6">
        <f t="shared" si="0"/>
        <v>0</v>
      </c>
      <c r="R13" s="72">
        <f t="shared" si="1"/>
        <v>0</v>
      </c>
      <c r="S13" s="76" t="str">
        <f t="shared" si="2"/>
        <v xml:space="preserve"> </v>
      </c>
      <c r="T13" s="67" t="str">
        <f>IF($E$4="High Inventory",IF(AND(Q13&gt;=Summary!$C$128,R13&gt;=Summary!$C$129),"X"," "),IF(AND(Q13&lt;=-Summary!$C$128,R13&lt;=-Summary!$C$129),"X"," "))</f>
        <v xml:space="preserve"> </v>
      </c>
      <c r="U13" s="85" t="str">
        <f>IF($E$4="High Inventory",IF(AND(N13-K13&gt;=Summary!$C$132,P13-M13&gt;Summary!$C$132,P13&gt;0),"X"," "),IF(AND(K13-N13&gt;=Summary!$C$132,M13-P13&gt;Summary!$C$132,P13&lt;0),"X"," "))</f>
        <v xml:space="preserve"> </v>
      </c>
      <c r="V13" s="8" t="str">
        <f>IF($E$4="High Inventory",IF(AND($Q13&gt;=Summary!$C$128,$R13&gt;=0%),"X"," "),IF(AND($Q13&lt;=-Summary!$C$128,$R13&lt;=0%),"X"," "))</f>
        <v xml:space="preserve"> </v>
      </c>
      <c r="W13" s="11" t="str">
        <f>IF($E$4="High Inventory",IF(AND($Q13&gt;=0,$R13&gt;=Summary!$C$129),"X"," "),IF(AND($Q13&lt;=0,$R13&lt;=-Summary!$C$129),"X"," "))</f>
        <v xml:space="preserve"> </v>
      </c>
      <c r="X13" t="str">
        <f t="shared" si="3"/>
        <v xml:space="preserve"> </v>
      </c>
    </row>
    <row r="14" spans="3:44" x14ac:dyDescent="0.2">
      <c r="C14" s="28"/>
      <c r="D14" s="56"/>
      <c r="E14" s="6"/>
      <c r="F14" s="5"/>
      <c r="G14" s="5"/>
      <c r="H14" s="6"/>
      <c r="I14" s="5"/>
      <c r="J14" s="5"/>
      <c r="K14" s="6"/>
      <c r="L14" s="5"/>
      <c r="M14" s="5"/>
      <c r="N14" s="6"/>
      <c r="O14" s="5"/>
      <c r="P14" s="5"/>
      <c r="Q14" s="6">
        <f t="shared" si="0"/>
        <v>0</v>
      </c>
      <c r="R14" s="72">
        <f t="shared" si="1"/>
        <v>0</v>
      </c>
      <c r="S14" s="76" t="str">
        <f t="shared" si="2"/>
        <v xml:space="preserve"> </v>
      </c>
      <c r="T14" s="67" t="str">
        <f>IF($E$4="High Inventory",IF(AND(Q14&gt;=Summary!$C$128,R14&gt;=Summary!$C$129),"X"," "),IF(AND(Q14&lt;=-Summary!$C$128,R14&lt;=-Summary!$C$129),"X"," "))</f>
        <v xml:space="preserve"> </v>
      </c>
      <c r="U14" s="85" t="str">
        <f>IF($E$4="High Inventory",IF(AND(N14-K14&gt;=Summary!$C$132,P14-M14&gt;Summary!$C$132,P14&gt;0),"X"," "),IF(AND(K14-N14&gt;=Summary!$C$132,M14-P14&gt;Summary!$C$132,P14&lt;0),"X"," "))</f>
        <v xml:space="preserve"> </v>
      </c>
      <c r="V14" s="8" t="str">
        <f>IF($E$4="High Inventory",IF(AND($Q14&gt;=Summary!$C$128,$R14&gt;=0%),"X"," "),IF(AND($Q14&lt;=-Summary!$C$128,$R14&lt;=0%),"X"," "))</f>
        <v xml:space="preserve"> </v>
      </c>
      <c r="W14" s="11" t="str">
        <f>IF($E$4="High Inventory",IF(AND($Q14&gt;=0,$R14&gt;=Summary!$C$129),"X"," "),IF(AND($Q14&lt;=0,$R14&lt;=-Summary!$C$129),"X"," "))</f>
        <v xml:space="preserve"> </v>
      </c>
      <c r="X14" t="str">
        <f t="shared" si="3"/>
        <v xml:space="preserve"> </v>
      </c>
    </row>
    <row r="15" spans="3:44" x14ac:dyDescent="0.2">
      <c r="C15" s="28"/>
      <c r="D15" s="56"/>
      <c r="E15" s="6"/>
      <c r="F15" s="5"/>
      <c r="G15" s="5"/>
      <c r="H15" s="6"/>
      <c r="I15" s="5"/>
      <c r="J15" s="5"/>
      <c r="K15" s="6"/>
      <c r="L15" s="5"/>
      <c r="M15" s="5"/>
      <c r="N15" s="6"/>
      <c r="O15" s="5"/>
      <c r="P15" s="5"/>
      <c r="Q15" s="6">
        <f t="shared" si="0"/>
        <v>0</v>
      </c>
      <c r="R15" s="72">
        <f t="shared" si="1"/>
        <v>0</v>
      </c>
      <c r="S15" s="76" t="str">
        <f t="shared" si="2"/>
        <v xml:space="preserve"> </v>
      </c>
      <c r="T15" s="67" t="str">
        <f>IF($E$4="High Inventory",IF(AND(Q15&gt;=Summary!$C$128,R15&gt;=Summary!$C$129),"X"," "),IF(AND(Q15&lt;=-Summary!$C$128,R15&lt;=-Summary!$C$129),"X"," "))</f>
        <v xml:space="preserve"> </v>
      </c>
      <c r="U15" s="85" t="str">
        <f>IF($E$4="High Inventory",IF(AND(N15-K15&gt;=Summary!$C$132,P15-M15&gt;Summary!$C$132,P15&gt;0),"X"," "),IF(AND(K15-N15&gt;=Summary!$C$132,M15-P15&gt;Summary!$C$132,P15&lt;0),"X"," "))</f>
        <v xml:space="preserve"> </v>
      </c>
      <c r="V15" s="8" t="str">
        <f>IF($E$4="High Inventory",IF(AND($Q15&gt;=Summary!$C$128,$R15&gt;=0%),"X"," "),IF(AND($Q15&lt;=-Summary!$C$128,$R15&lt;=0%),"X"," "))</f>
        <v xml:space="preserve"> </v>
      </c>
      <c r="W15" s="11" t="str">
        <f>IF($E$4="High Inventory",IF(AND($Q15&gt;=0,$R15&gt;=Summary!$C$129),"X"," "),IF(AND($Q15&lt;=0,$R15&lt;=-Summary!$C$129),"X"," "))</f>
        <v xml:space="preserve"> </v>
      </c>
      <c r="X15" t="str">
        <f t="shared" si="3"/>
        <v xml:space="preserve"> </v>
      </c>
    </row>
    <row r="16" spans="3:44" x14ac:dyDescent="0.2">
      <c r="C16" s="28"/>
      <c r="D16" s="56"/>
      <c r="E16" s="6"/>
      <c r="F16" s="5"/>
      <c r="G16" s="5"/>
      <c r="H16" s="6"/>
      <c r="I16" s="5"/>
      <c r="J16" s="5"/>
      <c r="K16" s="6"/>
      <c r="L16" s="5"/>
      <c r="M16" s="5"/>
      <c r="N16" s="6"/>
      <c r="O16" s="5"/>
      <c r="P16" s="5"/>
      <c r="Q16" s="6">
        <f t="shared" si="0"/>
        <v>0</v>
      </c>
      <c r="R16" s="72">
        <f t="shared" si="1"/>
        <v>0</v>
      </c>
      <c r="S16" s="76" t="str">
        <f t="shared" si="2"/>
        <v xml:space="preserve"> </v>
      </c>
      <c r="T16" s="67" t="str">
        <f>IF($E$4="High Inventory",IF(AND(Q16&gt;=Summary!$C$128,R16&gt;=Summary!$C$129),"X"," "),IF(AND(Q16&lt;=-Summary!$C$128,R16&lt;=-Summary!$C$129),"X"," "))</f>
        <v xml:space="preserve"> </v>
      </c>
      <c r="U16" s="85" t="str">
        <f>IF($E$4="High Inventory",IF(AND(N16-K16&gt;=Summary!$C$132,P16-M16&gt;Summary!$C$132,P16&gt;0),"X"," "),IF(AND(K16-N16&gt;=Summary!$C$132,M16-P16&gt;Summary!$C$132,P16&lt;0),"X"," "))</f>
        <v xml:space="preserve"> </v>
      </c>
      <c r="V16" s="8" t="str">
        <f>IF($E$4="High Inventory",IF(AND($Q16&gt;=Summary!$C$128,$R16&gt;=0%),"X"," "),IF(AND($Q16&lt;=-Summary!$C$128,$R16&lt;=0%),"X"," "))</f>
        <v xml:space="preserve"> </v>
      </c>
      <c r="W16" s="11" t="str">
        <f>IF($E$4="High Inventory",IF(AND($Q16&gt;=0,$R16&gt;=Summary!$C$129),"X"," "),IF(AND($Q16&lt;=0,$R16&lt;=-Summary!$C$129),"X"," "))</f>
        <v xml:space="preserve"> </v>
      </c>
      <c r="X16" t="str">
        <f t="shared" si="3"/>
        <v xml:space="preserve"> </v>
      </c>
    </row>
    <row r="17" spans="3:24" x14ac:dyDescent="0.2">
      <c r="C17" s="28"/>
      <c r="D17" s="56"/>
      <c r="E17" s="6"/>
      <c r="F17" s="5"/>
      <c r="G17" s="5"/>
      <c r="H17" s="6"/>
      <c r="I17" s="5"/>
      <c r="J17" s="5"/>
      <c r="K17" s="6"/>
      <c r="L17" s="5"/>
      <c r="M17" s="5"/>
      <c r="N17" s="6"/>
      <c r="O17" s="5"/>
      <c r="P17" s="5"/>
      <c r="Q17" s="6">
        <f t="shared" si="0"/>
        <v>0</v>
      </c>
      <c r="R17" s="72">
        <f t="shared" si="1"/>
        <v>0</v>
      </c>
      <c r="S17" s="76"/>
      <c r="T17" s="67" t="str">
        <f>IF($E$4="High Inventory",IF(AND(Q17&gt;=Summary!$C$128,R17&gt;=Summary!$C$129),"X"," "),IF(AND(Q17&lt;=-Summary!$C$128,R17&lt;=-Summary!$C$129),"X"," "))</f>
        <v xml:space="preserve"> </v>
      </c>
      <c r="U17" s="85" t="str">
        <f>IF($E$4="High Inventory",IF(AND(N17-K17&gt;=Summary!$C$132,P17-M17&gt;Summary!$C$132,P17&gt;0),"X"," "),IF(AND(K17-N17&gt;=Summary!$C$132,M17-P17&gt;Summary!$C$132,P17&lt;0),"X"," "))</f>
        <v xml:space="preserve"> </v>
      </c>
      <c r="V17" s="8" t="str">
        <f>IF($E$4="High Inventory",IF(AND($Q17&gt;=Summary!$C$128,$R17&gt;=0%),"X"," "),IF(AND($Q17&lt;=-Summary!$C$128,$R17&lt;=0%),"X"," "))</f>
        <v xml:space="preserve"> </v>
      </c>
      <c r="W17" s="11" t="str">
        <f>IF($E$4="High Inventory",IF(AND($Q17&gt;=0,$R17&gt;=Summary!$C$129),"X"," "),IF(AND($Q17&lt;=0,$R17&lt;=-Summary!$C$129),"X"," "))</f>
        <v xml:space="preserve"> </v>
      </c>
      <c r="X17" t="str">
        <f t="shared" si="3"/>
        <v xml:space="preserve"> </v>
      </c>
    </row>
    <row r="18" spans="3:24" x14ac:dyDescent="0.2">
      <c r="C18" s="28"/>
      <c r="D18" s="56"/>
      <c r="E18" s="6"/>
      <c r="F18" s="5"/>
      <c r="G18" s="5"/>
      <c r="H18" s="6"/>
      <c r="I18" s="5"/>
      <c r="J18" s="5"/>
      <c r="K18" s="6"/>
      <c r="L18" s="5"/>
      <c r="M18" s="5"/>
      <c r="N18" s="6"/>
      <c r="O18" s="5"/>
      <c r="P18" s="5"/>
      <c r="Q18" s="6">
        <f t="shared" si="0"/>
        <v>0</v>
      </c>
      <c r="R18" s="72">
        <f t="shared" si="1"/>
        <v>0</v>
      </c>
      <c r="S18" s="76"/>
      <c r="T18" s="67" t="str">
        <f>IF($E$4="High Inventory",IF(AND(Q18&gt;=Summary!$C$128,R18&gt;=Summary!$C$129),"X"," "),IF(AND(Q18&lt;=-Summary!$C$128,R18&lt;=-Summary!$C$129),"X"," "))</f>
        <v xml:space="preserve"> </v>
      </c>
      <c r="U18" s="85" t="str">
        <f>IF($E$4="High Inventory",IF(AND(N18-K18&gt;=Summary!$C$132,P18-M18&gt;Summary!$C$132,P18&gt;0),"X"," "),IF(AND(K18-N18&gt;=Summary!$C$132,M18-P18&gt;Summary!$C$132,P18&lt;0),"X"," "))</f>
        <v xml:space="preserve"> </v>
      </c>
      <c r="V18" s="8" t="str">
        <f>IF($E$4="High Inventory",IF(AND($Q18&gt;=Summary!$C$128,$R18&gt;=0%),"X"," "),IF(AND($Q18&lt;=-Summary!$C$128,$R18&lt;=0%),"X"," "))</f>
        <v xml:space="preserve"> </v>
      </c>
      <c r="W18" s="11" t="str">
        <f>IF($E$4="High Inventory",IF(AND($Q18&gt;=0,$R18&gt;=Summary!$C$129),"X"," "),IF(AND($Q18&lt;=0,$R18&lt;=-Summary!$C$129),"X"," "))</f>
        <v xml:space="preserve"> </v>
      </c>
      <c r="X18" t="str">
        <f t="shared" si="3"/>
        <v xml:space="preserve"> </v>
      </c>
    </row>
    <row r="19" spans="3:24" x14ac:dyDescent="0.2">
      <c r="C19" s="28"/>
      <c r="D19" s="56"/>
      <c r="E19" s="6"/>
      <c r="F19" s="5"/>
      <c r="G19" s="5"/>
      <c r="H19" s="6"/>
      <c r="I19" s="5"/>
      <c r="J19" s="5"/>
      <c r="K19" s="6"/>
      <c r="L19" s="5"/>
      <c r="M19" s="5"/>
      <c r="N19" s="6"/>
      <c r="O19" s="5"/>
      <c r="P19" s="5"/>
      <c r="Q19" s="6">
        <f t="shared" si="0"/>
        <v>0</v>
      </c>
      <c r="R19" s="72">
        <f t="shared" si="1"/>
        <v>0</v>
      </c>
      <c r="S19" s="76"/>
      <c r="T19" s="67" t="str">
        <f>IF($E$4="High Inventory",IF(AND(Q19&gt;=Summary!$C$128,R19&gt;=Summary!$C$129),"X"," "),IF(AND(Q19&lt;=-Summary!$C$128,R19&lt;=-Summary!$C$129),"X"," "))</f>
        <v xml:space="preserve"> </v>
      </c>
      <c r="U19" s="85" t="str">
        <f>IF($E$4="High Inventory",IF(AND(N19-K19&gt;=Summary!$C$132,P19-M19&gt;Summary!$C$132,P19&gt;0),"X"," "),IF(AND(K19-N19&gt;=Summary!$C$132,M19-P19&gt;Summary!$C$132,P19&lt;0),"X"," "))</f>
        <v xml:space="preserve"> </v>
      </c>
      <c r="V19" s="8" t="str">
        <f>IF($E$4="High Inventory",IF(AND($Q19&gt;=Summary!$C$128,$R19&gt;=0%),"X"," "),IF(AND($Q19&lt;=-Summary!$C$128,$R19&lt;=0%),"X"," "))</f>
        <v xml:space="preserve"> </v>
      </c>
      <c r="W19" s="11" t="str">
        <f>IF($E$4="High Inventory",IF(AND($Q19&gt;=0,$R19&gt;=Summary!$C$129),"X"," "),IF(AND($Q19&lt;=0,$R19&lt;=-Summary!$C$129),"X"," "))</f>
        <v xml:space="preserve"> </v>
      </c>
      <c r="X19" t="str">
        <f t="shared" si="3"/>
        <v xml:space="preserve"> </v>
      </c>
    </row>
    <row r="20" spans="3:24" x14ac:dyDescent="0.2">
      <c r="C20" s="28"/>
      <c r="D20" s="56"/>
      <c r="E20" s="6"/>
      <c r="F20" s="5"/>
      <c r="G20" s="5"/>
      <c r="H20" s="6"/>
      <c r="I20" s="5"/>
      <c r="J20" s="5"/>
      <c r="K20" s="6"/>
      <c r="L20" s="5"/>
      <c r="M20" s="5"/>
      <c r="N20" s="6"/>
      <c r="O20" s="5"/>
      <c r="P20" s="5"/>
      <c r="Q20" s="6">
        <f t="shared" si="0"/>
        <v>0</v>
      </c>
      <c r="R20" s="72">
        <f t="shared" si="1"/>
        <v>0</v>
      </c>
      <c r="S20" s="76"/>
      <c r="T20" s="67" t="str">
        <f>IF($E$4="High Inventory",IF(AND(Q20&gt;=Summary!$C$128,R20&gt;=Summary!$C$129),"X"," "),IF(AND(Q20&lt;=-Summary!$C$128,R20&lt;=-Summary!$C$129),"X"," "))</f>
        <v xml:space="preserve"> </v>
      </c>
      <c r="U20" s="85" t="str">
        <f>IF($E$4="High Inventory",IF(AND(N20-K20&gt;=Summary!$C$132,P20-M20&gt;Summary!$C$132,P20&gt;0),"X"," "),IF(AND(K20-N20&gt;=Summary!$C$132,M20-P20&gt;Summary!$C$132,P20&lt;0),"X"," "))</f>
        <v xml:space="preserve"> </v>
      </c>
      <c r="V20" s="8" t="str">
        <f>IF($E$4="High Inventory",IF(AND($Q20&gt;=Summary!$C$128,$R20&gt;=0%),"X"," "),IF(AND($Q20&lt;=-Summary!$C$128,$R20&lt;=0%),"X"," "))</f>
        <v xml:space="preserve"> </v>
      </c>
      <c r="W20" s="11" t="str">
        <f>IF($E$4="High Inventory",IF(AND($Q20&gt;=0,$R20&gt;=Summary!$C$129),"X"," "),IF(AND($Q20&lt;=0,$R20&lt;=-Summary!$C$129),"X"," "))</f>
        <v xml:space="preserve"> </v>
      </c>
      <c r="X20" t="str">
        <f t="shared" si="3"/>
        <v xml:space="preserve"> </v>
      </c>
    </row>
    <row r="21" spans="3:24" x14ac:dyDescent="0.2">
      <c r="C21" s="28"/>
      <c r="D21" s="56"/>
      <c r="E21" s="6"/>
      <c r="F21" s="5"/>
      <c r="G21" s="5"/>
      <c r="H21" s="6"/>
      <c r="I21" s="5"/>
      <c r="J21" s="5"/>
      <c r="K21" s="6"/>
      <c r="L21" s="5"/>
      <c r="M21" s="5"/>
      <c r="N21" s="6"/>
      <c r="O21" s="5"/>
      <c r="P21" s="5"/>
      <c r="Q21" s="6">
        <f t="shared" si="0"/>
        <v>0</v>
      </c>
      <c r="R21" s="72">
        <f t="shared" si="1"/>
        <v>0</v>
      </c>
      <c r="S21" s="76"/>
      <c r="T21" s="67" t="str">
        <f>IF($E$4="High Inventory",IF(AND(Q21&gt;=Summary!$C$128,R21&gt;=Summary!$C$129),"X"," "),IF(AND(Q21&lt;=-Summary!$C$128,R21&lt;=-Summary!$C$129),"X"," "))</f>
        <v xml:space="preserve"> </v>
      </c>
      <c r="U21" s="85" t="str">
        <f>IF($E$4="High Inventory",IF(AND(N21-K21&gt;=Summary!$C$132,P21-M21&gt;Summary!$C$132,P21&gt;0),"X"," "),IF(AND(K21-N21&gt;=Summary!$C$132,M21-P21&gt;Summary!$C$132,P21&lt;0),"X"," "))</f>
        <v xml:space="preserve"> </v>
      </c>
      <c r="V21" s="8" t="str">
        <f>IF($E$4="High Inventory",IF(AND($Q21&gt;=Summary!$C$128,$R21&gt;=0%),"X"," "),IF(AND($Q21&lt;=-Summary!$C$128,$R21&lt;=0%),"X"," "))</f>
        <v xml:space="preserve"> </v>
      </c>
      <c r="W21" s="11" t="str">
        <f>IF($E$4="High Inventory",IF(AND($Q21&gt;=0,$R21&gt;=Summary!$C$129),"X"," "),IF(AND($Q21&lt;=0,$R21&lt;=-Summary!$C$129),"X"," "))</f>
        <v xml:space="preserve"> </v>
      </c>
      <c r="X21" t="str">
        <f t="shared" si="3"/>
        <v xml:space="preserve"> </v>
      </c>
    </row>
    <row r="22" spans="3:24" x14ac:dyDescent="0.2">
      <c r="C22" s="28"/>
      <c r="D22" s="56"/>
      <c r="E22" s="6"/>
      <c r="F22" s="5"/>
      <c r="G22" s="5"/>
      <c r="H22" s="6"/>
      <c r="I22" s="5"/>
      <c r="J22" s="5"/>
      <c r="K22" s="6"/>
      <c r="L22" s="5"/>
      <c r="M22" s="5"/>
      <c r="N22" s="6"/>
      <c r="O22" s="5"/>
      <c r="P22" s="5"/>
      <c r="Q22" s="6">
        <f t="shared" si="0"/>
        <v>0</v>
      </c>
      <c r="R22" s="72">
        <f t="shared" si="1"/>
        <v>0</v>
      </c>
      <c r="S22" s="76"/>
      <c r="T22" s="67" t="str">
        <f>IF($E$4="High Inventory",IF(AND(Q22&gt;=Summary!$C$128,R22&gt;=Summary!$C$129),"X"," "),IF(AND(Q22&lt;=-Summary!$C$128,R22&lt;=-Summary!$C$129),"X"," "))</f>
        <v xml:space="preserve"> </v>
      </c>
      <c r="U22" s="85" t="str">
        <f>IF($E$4="High Inventory",IF(AND(N22-K22&gt;=Summary!$C$132,P22-M22&gt;Summary!$C$132,P22&gt;0),"X"," "),IF(AND(K22-N22&gt;=Summary!$C$132,M22-P22&gt;Summary!$C$132,P22&lt;0),"X"," "))</f>
        <v xml:space="preserve"> </v>
      </c>
      <c r="V22" s="8" t="str">
        <f>IF($E$4="High Inventory",IF(AND($Q22&gt;=Summary!$C$128,$R22&gt;=0%),"X"," "),IF(AND($Q22&lt;=-Summary!$C$128,$R22&lt;=0%),"X"," "))</f>
        <v xml:space="preserve"> </v>
      </c>
      <c r="W22" s="11" t="str">
        <f>IF($E$4="High Inventory",IF(AND($Q22&gt;=0,$R22&gt;=Summary!$C$129),"X"," "),IF(AND($Q22&lt;=0,$R22&lt;=-Summary!$C$129),"X"," "))</f>
        <v xml:space="preserve"> </v>
      </c>
      <c r="X22" t="str">
        <f t="shared" si="3"/>
        <v xml:space="preserve"> </v>
      </c>
    </row>
    <row r="23" spans="3:24" x14ac:dyDescent="0.2">
      <c r="C23" s="28"/>
      <c r="D23" s="56"/>
      <c r="E23" s="6"/>
      <c r="F23" s="5"/>
      <c r="G23" s="5"/>
      <c r="H23" s="6"/>
      <c r="I23" s="5"/>
      <c r="J23" s="5"/>
      <c r="K23" s="6"/>
      <c r="L23" s="5"/>
      <c r="M23" s="5"/>
      <c r="N23" s="6"/>
      <c r="O23" s="5"/>
      <c r="P23" s="5"/>
      <c r="Q23" s="6">
        <f t="shared" si="0"/>
        <v>0</v>
      </c>
      <c r="R23" s="72">
        <f t="shared" si="1"/>
        <v>0</v>
      </c>
      <c r="S23" s="76"/>
      <c r="T23" s="67" t="str">
        <f>IF($E$4="High Inventory",IF(AND(Q23&gt;=Summary!$C$128,R23&gt;=Summary!$C$129),"X"," "),IF(AND(Q23&lt;=-Summary!$C$128,R23&lt;=-Summary!$C$129),"X"," "))</f>
        <v xml:space="preserve"> </v>
      </c>
      <c r="U23" s="85" t="str">
        <f>IF($E$4="High Inventory",IF(AND(N23-K23&gt;=Summary!$C$132,P23-M23&gt;Summary!$C$132,P23&gt;0),"X"," "),IF(AND(K23-N23&gt;=Summary!$C$132,M23-P23&gt;Summary!$C$132,P23&lt;0),"X"," "))</f>
        <v xml:space="preserve"> </v>
      </c>
      <c r="V23" s="8" t="str">
        <f>IF($E$4="High Inventory",IF(AND($Q23&gt;=Summary!$C$128,$R23&gt;=0%),"X"," "),IF(AND($Q23&lt;=-Summary!$C$128,$R23&lt;=0%),"X"," "))</f>
        <v xml:space="preserve"> </v>
      </c>
      <c r="W23" s="11" t="str">
        <f>IF($E$4="High Inventory",IF(AND($Q23&gt;=0,$R23&gt;=Summary!$C$129),"X"," "),IF(AND($Q23&lt;=0,$R23&lt;=-Summary!$C$129),"X"," "))</f>
        <v xml:space="preserve"> </v>
      </c>
      <c r="X23" t="str">
        <f t="shared" si="3"/>
        <v xml:space="preserve"> </v>
      </c>
    </row>
    <row r="24" spans="3:24" x14ac:dyDescent="0.2">
      <c r="C24" s="28"/>
      <c r="D24" s="56"/>
      <c r="E24" s="6"/>
      <c r="F24" s="5"/>
      <c r="G24" s="5"/>
      <c r="H24" s="6"/>
      <c r="I24" s="5"/>
      <c r="J24" s="5"/>
      <c r="K24" s="6"/>
      <c r="L24" s="5"/>
      <c r="M24" s="5"/>
      <c r="N24" s="6"/>
      <c r="O24" s="5"/>
      <c r="P24" s="5"/>
      <c r="Q24" s="6">
        <f t="shared" si="0"/>
        <v>0</v>
      </c>
      <c r="R24" s="72">
        <f t="shared" si="1"/>
        <v>0</v>
      </c>
      <c r="S24" s="76"/>
      <c r="T24" s="67" t="str">
        <f>IF($E$4="High Inventory",IF(AND(Q24&gt;=Summary!$C$128,R24&gt;=Summary!$C$129),"X"," "),IF(AND(Q24&lt;=-Summary!$C$128,R24&lt;=-Summary!$C$129),"X"," "))</f>
        <v xml:space="preserve"> </v>
      </c>
      <c r="U24" s="85" t="str">
        <f>IF($E$4="High Inventory",IF(AND(N24-K24&gt;=Summary!$C$132,P24-M24&gt;Summary!$C$132,P24&gt;0),"X"," "),IF(AND(K24-N24&gt;=Summary!$C$132,M24-P24&gt;Summary!$C$132,P24&lt;0),"X"," "))</f>
        <v xml:space="preserve"> </v>
      </c>
      <c r="V24" s="8" t="str">
        <f>IF($E$4="High Inventory",IF(AND($Q24&gt;=Summary!$C$128,$R24&gt;=0%),"X"," "),IF(AND($Q24&lt;=-Summary!$C$128,$R24&lt;=0%),"X"," "))</f>
        <v xml:space="preserve"> </v>
      </c>
      <c r="W24" s="11" t="str">
        <f>IF($E$4="High Inventory",IF(AND($Q24&gt;=0,$R24&gt;=Summary!$C$129),"X"," "),IF(AND($Q24&lt;=0,$R24&lt;=-Summary!$C$129),"X"," "))</f>
        <v xml:space="preserve"> </v>
      </c>
      <c r="X24" t="str">
        <f t="shared" si="3"/>
        <v xml:space="preserve"> </v>
      </c>
    </row>
    <row r="25" spans="3:24" x14ac:dyDescent="0.2">
      <c r="C25" s="28"/>
      <c r="D25" s="56"/>
      <c r="E25" s="6"/>
      <c r="F25" s="5"/>
      <c r="G25" s="5"/>
      <c r="H25" s="6"/>
      <c r="I25" s="5"/>
      <c r="J25" s="5"/>
      <c r="K25" s="6"/>
      <c r="L25" s="5"/>
      <c r="M25" s="5"/>
      <c r="N25" s="6"/>
      <c r="O25" s="5"/>
      <c r="P25" s="5"/>
      <c r="Q25" s="6">
        <f t="shared" si="0"/>
        <v>0</v>
      </c>
      <c r="R25" s="72">
        <f t="shared" si="1"/>
        <v>0</v>
      </c>
      <c r="S25" s="76"/>
      <c r="T25" s="67" t="str">
        <f>IF($E$4="High Inventory",IF(AND(Q25&gt;=Summary!$C$128,R25&gt;=Summary!$C$129),"X"," "),IF(AND(Q25&lt;=-Summary!$C$128,R25&lt;=-Summary!$C$129),"X"," "))</f>
        <v xml:space="preserve"> </v>
      </c>
      <c r="U25" s="85" t="str">
        <f>IF($E$4="High Inventory",IF(AND(N25-K25&gt;=Summary!$C$132,P25-M25&gt;Summary!$C$132,P25&gt;0),"X"," "),IF(AND(K25-N25&gt;=Summary!$C$132,M25-P25&gt;Summary!$C$132,P25&lt;0),"X"," "))</f>
        <v xml:space="preserve"> </v>
      </c>
      <c r="V25" s="8" t="str">
        <f>IF($E$4="High Inventory",IF(AND($Q25&gt;=Summary!$C$128,$R25&gt;=0%),"X"," "),IF(AND($Q25&lt;=-Summary!$C$128,$R25&lt;=0%),"X"," "))</f>
        <v xml:space="preserve"> </v>
      </c>
      <c r="W25" s="11" t="str">
        <f>IF($E$4="High Inventory",IF(AND($Q25&gt;=0,$R25&gt;=Summary!$C$129),"X"," "),IF(AND($Q25&lt;=0,$R25&lt;=-Summary!$C$129),"X"," "))</f>
        <v xml:space="preserve"> </v>
      </c>
      <c r="X25" t="str">
        <f t="shared" si="3"/>
        <v xml:space="preserve"> </v>
      </c>
    </row>
    <row r="26" spans="3:24" x14ac:dyDescent="0.2">
      <c r="C26" s="28"/>
      <c r="D26" s="56"/>
      <c r="E26" s="6"/>
      <c r="F26" s="5"/>
      <c r="G26" s="5"/>
      <c r="H26" s="6"/>
      <c r="I26" s="5"/>
      <c r="J26" s="5"/>
      <c r="K26" s="6"/>
      <c r="L26" s="5"/>
      <c r="M26" s="5"/>
      <c r="N26" s="6"/>
      <c r="O26" s="5"/>
      <c r="P26" s="5"/>
      <c r="Q26" s="6">
        <f t="shared" si="0"/>
        <v>0</v>
      </c>
      <c r="R26" s="72">
        <f t="shared" si="1"/>
        <v>0</v>
      </c>
      <c r="S26" s="76"/>
      <c r="T26" s="67" t="str">
        <f>IF($E$4="High Inventory",IF(AND(Q26&gt;=Summary!$C$128,R26&gt;=Summary!$C$129),"X"," "),IF(AND(Q26&lt;=-Summary!$C$128,R26&lt;=-Summary!$C$129),"X"," "))</f>
        <v xml:space="preserve"> </v>
      </c>
      <c r="U26" s="85" t="str">
        <f>IF($E$4="High Inventory",IF(AND(N26-K26&gt;=Summary!$C$132,P26-M26&gt;Summary!$C$132,P26&gt;0),"X"," "),IF(AND(K26-N26&gt;=Summary!$C$132,M26-P26&gt;Summary!$C$132,P26&lt;0),"X"," "))</f>
        <v xml:space="preserve"> </v>
      </c>
      <c r="V26" s="8" t="str">
        <f>IF($E$4="High Inventory",IF(AND($Q26&gt;=Summary!$C$128,$R26&gt;=0%),"X"," "),IF(AND($Q26&lt;=-Summary!$C$128,$R26&lt;=0%),"X"," "))</f>
        <v xml:space="preserve"> </v>
      </c>
      <c r="W26" s="11" t="str">
        <f>IF($E$4="High Inventory",IF(AND($Q26&gt;=0,$R26&gt;=Summary!$C$129),"X"," "),IF(AND($Q26&lt;=0,$R26&lt;=-Summary!$C$129),"X"," "))</f>
        <v xml:space="preserve"> </v>
      </c>
      <c r="X26" t="str">
        <f t="shared" si="3"/>
        <v xml:space="preserve"> </v>
      </c>
    </row>
    <row r="27" spans="3:24" x14ac:dyDescent="0.2">
      <c r="C27" s="28"/>
      <c r="D27" s="56"/>
      <c r="E27" s="6"/>
      <c r="F27" s="5"/>
      <c r="G27" s="5"/>
      <c r="H27" s="6"/>
      <c r="I27" s="5"/>
      <c r="J27" s="5"/>
      <c r="K27" s="6"/>
      <c r="L27" s="5"/>
      <c r="M27" s="5"/>
      <c r="N27" s="6"/>
      <c r="O27" s="5"/>
      <c r="P27" s="5"/>
      <c r="Q27" s="6">
        <f t="shared" si="0"/>
        <v>0</v>
      </c>
      <c r="R27" s="72">
        <f t="shared" si="1"/>
        <v>0</v>
      </c>
      <c r="S27" s="6"/>
      <c r="T27" s="67" t="str">
        <f>IF($E$4="High Inventory",IF(AND(Q27&gt;=Summary!$C$128,R27&gt;=Summary!$C$129),"X"," "),IF(AND(Q27&lt;=-Summary!$C$128,R27&lt;=-Summary!$C$129),"X"," "))</f>
        <v xml:space="preserve"> </v>
      </c>
      <c r="U27" s="85" t="str">
        <f>IF($E$4="High Inventory",IF(AND(N27-K27&gt;=Summary!$C$132,P27-M27&gt;Summary!$C$132,P27&gt;0),"X"," "),IF(AND(K27-N27&gt;=Summary!$C$132,M27-P27&gt;Summary!$C$132,P27&lt;0),"X"," "))</f>
        <v xml:space="preserve"> </v>
      </c>
      <c r="V27" s="8" t="str">
        <f>IF($E$4="High Inventory",IF(AND($Q27&gt;=Summary!$C$128,$R27&gt;=0%),"X"," "),IF(AND($Q27&lt;=-Summary!$C$128,$R27&lt;=0%),"X"," "))</f>
        <v xml:space="preserve"> </v>
      </c>
      <c r="W27" s="11" t="str">
        <f>IF($E$4="High Inventory",IF(AND($Q27&gt;=0,$R27&gt;=Summary!$C$129),"X"," "),IF(AND($Q27&lt;=0,$R27&lt;=-Summary!$C$129),"X"," "))</f>
        <v xml:space="preserve"> </v>
      </c>
      <c r="X27" t="str">
        <f t="shared" si="3"/>
        <v xml:space="preserve"> </v>
      </c>
    </row>
    <row r="28" spans="3:24" x14ac:dyDescent="0.2">
      <c r="C28" s="28"/>
      <c r="D28" s="56"/>
      <c r="E28" s="6"/>
      <c r="F28" s="5"/>
      <c r="G28" s="5"/>
      <c r="H28" s="6"/>
      <c r="I28" s="5"/>
      <c r="J28" s="5"/>
      <c r="K28" s="6"/>
      <c r="L28" s="5"/>
      <c r="M28" s="5"/>
      <c r="N28" s="6"/>
      <c r="O28" s="5"/>
      <c r="P28" s="5"/>
      <c r="Q28" s="6">
        <f t="shared" si="0"/>
        <v>0</v>
      </c>
      <c r="R28" s="72">
        <f t="shared" si="1"/>
        <v>0</v>
      </c>
      <c r="S28" s="6"/>
      <c r="T28" s="67" t="str">
        <f>IF($E$4="High Inventory",IF(AND(Q28&gt;=Summary!$C$128,R28&gt;=Summary!$C$129),"X"," "),IF(AND(Q28&lt;=-Summary!$C$128,R28&lt;=-Summary!$C$129),"X"," "))</f>
        <v xml:space="preserve"> </v>
      </c>
      <c r="U28" s="85" t="str">
        <f>IF($E$4="High Inventory",IF(AND(N28-K28&gt;=Summary!$C$132,P28-M28&gt;Summary!$C$132,P28&gt;0),"X"," "),IF(AND(K28-N28&gt;=Summary!$C$132,M28-P28&gt;Summary!$C$132,P28&lt;0),"X"," "))</f>
        <v xml:space="preserve"> </v>
      </c>
      <c r="V28" s="8" t="str">
        <f>IF($E$4="High Inventory",IF(AND($Q28&gt;=Summary!$C$128,$R28&gt;=0%),"X"," "),IF(AND($Q28&lt;=-Summary!$C$128,$R28&lt;=0%),"X"," "))</f>
        <v xml:space="preserve"> </v>
      </c>
      <c r="W28" s="11" t="str">
        <f>IF($E$4="High Inventory",IF(AND($Q28&gt;=0,$R28&gt;=Summary!$C$129),"X"," "),IF(AND($Q28&lt;=0,$R28&lt;=-Summary!$C$129),"X"," "))</f>
        <v xml:space="preserve"> </v>
      </c>
      <c r="X28" t="str">
        <f t="shared" si="3"/>
        <v xml:space="preserve"> </v>
      </c>
    </row>
    <row r="29" spans="3:24" x14ac:dyDescent="0.2">
      <c r="C29" s="28"/>
      <c r="D29" s="56"/>
      <c r="E29" s="7"/>
      <c r="F29" s="5"/>
      <c r="G29" s="5"/>
      <c r="H29" s="7"/>
      <c r="I29" s="5"/>
      <c r="J29" s="5"/>
      <c r="K29" s="7"/>
      <c r="L29" s="5"/>
      <c r="M29" s="5"/>
      <c r="N29" s="7"/>
      <c r="O29" s="5"/>
      <c r="P29" s="5"/>
      <c r="Q29" s="6">
        <f t="shared" si="0"/>
        <v>0</v>
      </c>
      <c r="R29" s="72">
        <f t="shared" si="1"/>
        <v>0</v>
      </c>
      <c r="S29" s="7"/>
      <c r="T29" s="67" t="str">
        <f>IF($E$4="High Inventory",IF(AND(Q29&gt;=Summary!$C$128,R29&gt;=Summary!$C$129),"X"," "),IF(AND(Q29&lt;=-Summary!$C$128,R29&lt;=-Summary!$C$129),"X"," "))</f>
        <v xml:space="preserve"> </v>
      </c>
      <c r="U29" s="85" t="str">
        <f>IF($E$4="High Inventory",IF(AND(N29-K29&gt;=Summary!$C$132,P29-M29&gt;Summary!$C$132,P29&gt;0),"X"," "),IF(AND(K29-N29&gt;=Summary!$C$132,M29-P29&gt;Summary!$C$132,P29&lt;0),"X"," "))</f>
        <v xml:space="preserve"> </v>
      </c>
      <c r="V29" s="8" t="str">
        <f>IF($E$4="High Inventory",IF(AND($Q29&gt;=Summary!$C$128,$R29&gt;=0%),"X"," "),IF(AND($Q29&lt;=-Summary!$C$128,$R29&lt;=0%),"X"," "))</f>
        <v xml:space="preserve"> </v>
      </c>
      <c r="W29" s="11" t="str">
        <f>IF($E$4="High Inventory",IF(AND($Q29&gt;=0,$R29&gt;=Summary!$C$129),"X"," "),IF(AND($Q29&lt;=0,$R29&lt;=-Summary!$C$129),"X"," "))</f>
        <v xml:space="preserve"> </v>
      </c>
      <c r="X29" t="str">
        <f t="shared" si="3"/>
        <v xml:space="preserve"> </v>
      </c>
    </row>
    <row r="30" spans="3:24" x14ac:dyDescent="0.2">
      <c r="C30" s="28"/>
      <c r="D30" s="56"/>
      <c r="E30" s="6"/>
      <c r="F30" s="5"/>
      <c r="G30" s="5"/>
      <c r="H30" s="6"/>
      <c r="I30" s="5"/>
      <c r="J30" s="5"/>
      <c r="K30" s="6"/>
      <c r="L30" s="5"/>
      <c r="M30" s="5"/>
      <c r="N30" s="6"/>
      <c r="O30" s="5"/>
      <c r="P30" s="5"/>
      <c r="Q30" s="6">
        <f t="shared" si="0"/>
        <v>0</v>
      </c>
      <c r="R30" s="72">
        <f t="shared" si="1"/>
        <v>0</v>
      </c>
      <c r="S30" s="6"/>
      <c r="T30" s="67" t="str">
        <f>IF($E$4="High Inventory",IF(AND(Q30&gt;=Summary!$C$128,R30&gt;=Summary!$C$129),"X"," "),IF(AND(Q30&lt;=-Summary!$C$128,R30&lt;=-Summary!$C$129),"X"," "))</f>
        <v xml:space="preserve"> </v>
      </c>
      <c r="U30" s="85" t="str">
        <f>IF($E$4="High Inventory",IF(AND(N30-K30&gt;=Summary!$C$132,P30-M30&gt;Summary!$C$132,P30&gt;0),"X"," "),IF(AND(K30-N30&gt;=Summary!$C$132,M30-P30&gt;Summary!$C$132,P30&lt;0),"X"," "))</f>
        <v xml:space="preserve"> </v>
      </c>
      <c r="V30" s="8" t="str">
        <f>IF($E$4="High Inventory",IF(AND($Q30&gt;=Summary!$C$128,$R30&gt;=0%),"X"," "),IF(AND($Q30&lt;=-Summary!$C$128,$R30&lt;=0%),"X"," "))</f>
        <v xml:space="preserve"> </v>
      </c>
      <c r="W30" s="11" t="str">
        <f>IF($E$4="High Inventory",IF(AND($Q30&gt;=0,$R30&gt;=Summary!$C$129),"X"," "),IF(AND($Q30&lt;=0,$R30&lt;=-Summary!$C$129),"X"," "))</f>
        <v xml:space="preserve"> </v>
      </c>
      <c r="X30" t="str">
        <f t="shared" si="3"/>
        <v xml:space="preserve"> </v>
      </c>
    </row>
    <row r="31" spans="3:24" x14ac:dyDescent="0.2">
      <c r="C31" s="28"/>
      <c r="D31" s="56"/>
      <c r="E31" s="6"/>
      <c r="F31" s="5"/>
      <c r="G31" s="5"/>
      <c r="H31" s="6"/>
      <c r="I31" s="5"/>
      <c r="J31" s="5"/>
      <c r="K31" s="6"/>
      <c r="L31" s="5"/>
      <c r="M31" s="5"/>
      <c r="N31" s="6"/>
      <c r="O31" s="5"/>
      <c r="P31" s="5"/>
      <c r="Q31" s="6">
        <f t="shared" si="0"/>
        <v>0</v>
      </c>
      <c r="R31" s="72">
        <f t="shared" si="1"/>
        <v>0</v>
      </c>
      <c r="S31" s="8"/>
      <c r="T31" s="67" t="str">
        <f>IF($E$4="High Inventory",IF(AND(Q31&gt;=Summary!$C$128,R31&gt;=Summary!$C$129),"X"," "),IF(AND(Q31&lt;=-Summary!$C$128,R31&lt;=-Summary!$C$129),"X"," "))</f>
        <v xml:space="preserve"> </v>
      </c>
      <c r="U31" s="85" t="str">
        <f>IF($E$4="High Inventory",IF(AND(N31-K31&gt;=Summary!$C$132,P31-M31&gt;Summary!$C$132,P31&gt;0),"X"," "),IF(AND(K31-N31&gt;=Summary!$C$132,M31-P31&gt;Summary!$C$132,P31&lt;0),"X"," "))</f>
        <v xml:space="preserve"> </v>
      </c>
      <c r="V31" s="8" t="str">
        <f>IF($E$4="High Inventory",IF(AND($Q31&gt;=Summary!$C$128,$R31&gt;=0%),"X"," "),IF(AND($Q31&lt;=-Summary!$C$128,$R31&lt;=0%),"X"," "))</f>
        <v xml:space="preserve"> </v>
      </c>
      <c r="W31" s="11" t="str">
        <f>IF($E$4="High Inventory",IF(AND($Q31&gt;=0,$R31&gt;=Summary!$C$129),"X"," "),IF(AND($Q31&lt;=0,$R31&lt;=-Summary!$C$129),"X"," "))</f>
        <v xml:space="preserve"> </v>
      </c>
      <c r="X31" t="str">
        <f t="shared" si="3"/>
        <v xml:space="preserve"> </v>
      </c>
    </row>
    <row r="32" spans="3:24" x14ac:dyDescent="0.2">
      <c r="C32" s="28"/>
      <c r="D32" s="56"/>
      <c r="E32" s="6"/>
      <c r="F32" s="5"/>
      <c r="G32" s="5"/>
      <c r="H32" s="6"/>
      <c r="I32" s="5"/>
      <c r="J32" s="5"/>
      <c r="K32" s="6"/>
      <c r="L32" s="5"/>
      <c r="M32" s="5"/>
      <c r="N32" s="6"/>
      <c r="O32" s="5"/>
      <c r="P32" s="5"/>
      <c r="Q32" s="6">
        <f t="shared" si="0"/>
        <v>0</v>
      </c>
      <c r="R32" s="72">
        <f t="shared" si="1"/>
        <v>0</v>
      </c>
      <c r="S32" s="76"/>
      <c r="T32" s="67" t="str">
        <f>IF($E$4="High Inventory",IF(AND(Q32&gt;=Summary!$C$128,R32&gt;=Summary!$C$129),"X"," "),IF(AND(Q32&lt;=-Summary!$C$128,R32&lt;=-Summary!$C$129),"X"," "))</f>
        <v xml:space="preserve"> </v>
      </c>
      <c r="U32" s="85" t="str">
        <f>IF($E$4="High Inventory",IF(AND(N32-K32&gt;=Summary!$C$132,P32-M32&gt;Summary!$C$132,P32&gt;0),"X"," "),IF(AND(K32-N32&gt;=Summary!$C$132,M32-P32&gt;Summary!$C$132,P32&lt;0),"X"," "))</f>
        <v xml:space="preserve"> </v>
      </c>
      <c r="V32" s="8" t="str">
        <f>IF($E$4="High Inventory",IF(AND($Q32&gt;=Summary!$C$128,$R32&gt;=0%),"X"," "),IF(AND($Q32&lt;=-Summary!$C$128,$R32&lt;=0%),"X"," "))</f>
        <v xml:space="preserve"> </v>
      </c>
      <c r="W32" s="11" t="str">
        <f>IF($E$4="High Inventory",IF(AND($Q32&gt;=0,$R32&gt;=Summary!$C$129),"X"," "),IF(AND($Q32&lt;=0,$R32&lt;=-Summary!$C$129),"X"," "))</f>
        <v xml:space="preserve"> </v>
      </c>
      <c r="X32" t="str">
        <f t="shared" si="3"/>
        <v xml:space="preserve"> </v>
      </c>
    </row>
    <row r="33" spans="3:24" x14ac:dyDescent="0.2">
      <c r="C33" s="28"/>
      <c r="D33" s="56"/>
      <c r="E33" s="6"/>
      <c r="F33" s="5"/>
      <c r="G33" s="5"/>
      <c r="H33" s="6"/>
      <c r="I33" s="5"/>
      <c r="J33" s="5"/>
      <c r="K33" s="6"/>
      <c r="L33" s="5"/>
      <c r="M33" s="5"/>
      <c r="N33" s="6"/>
      <c r="O33" s="5"/>
      <c r="P33" s="5"/>
      <c r="Q33" s="6">
        <f t="shared" si="0"/>
        <v>0</v>
      </c>
      <c r="R33" s="72">
        <f t="shared" si="1"/>
        <v>0</v>
      </c>
      <c r="S33" s="8"/>
      <c r="T33" s="67" t="str">
        <f>IF($E$4="High Inventory",IF(AND(Q33&gt;=Summary!$C$128,R33&gt;=Summary!$C$129),"X"," "),IF(AND(Q33&lt;=-Summary!$C$128,R33&lt;=-Summary!$C$129),"X"," "))</f>
        <v xml:space="preserve"> </v>
      </c>
      <c r="U33" s="85" t="str">
        <f>IF($E$4="High Inventory",IF(AND(N33-K33&gt;=Summary!$C$132,P33-M33&gt;Summary!$C$132,P33&gt;0),"X"," "),IF(AND(K33-N33&gt;=Summary!$C$132,M33-P33&gt;Summary!$C$132,P33&lt;0),"X"," "))</f>
        <v xml:space="preserve"> </v>
      </c>
      <c r="V33" s="8" t="str">
        <f>IF($E$4="High Inventory",IF(AND($Q33&gt;=Summary!$C$128,$R33&gt;=0%),"X"," "),IF(AND($Q33&lt;=-Summary!$C$128,$R33&lt;=0%),"X"," "))</f>
        <v xml:space="preserve"> </v>
      </c>
      <c r="W33" s="11" t="str">
        <f>IF($E$4="High Inventory",IF(AND($Q33&gt;=0,$R33&gt;=Summary!$C$129),"X"," "),IF(AND($Q33&lt;=0,$R33&lt;=-Summary!$C$129),"X"," "))</f>
        <v xml:space="preserve"> </v>
      </c>
      <c r="X33" t="str">
        <f t="shared" si="3"/>
        <v xml:space="preserve"> </v>
      </c>
    </row>
    <row r="34" spans="3:24" x14ac:dyDescent="0.2">
      <c r="C34" s="28"/>
      <c r="D34" s="56"/>
      <c r="E34" s="6"/>
      <c r="F34" s="5"/>
      <c r="G34" s="5"/>
      <c r="H34" s="6"/>
      <c r="I34" s="5"/>
      <c r="J34" s="5"/>
      <c r="K34" s="6"/>
      <c r="L34" s="5"/>
      <c r="M34" s="5"/>
      <c r="N34" s="6"/>
      <c r="O34" s="5"/>
      <c r="P34" s="5"/>
      <c r="Q34" s="6">
        <f t="shared" si="0"/>
        <v>0</v>
      </c>
      <c r="R34" s="72">
        <f t="shared" si="1"/>
        <v>0</v>
      </c>
      <c r="S34" s="76"/>
      <c r="T34" s="67" t="str">
        <f>IF($E$4="High Inventory",IF(AND(Q34&gt;=Summary!$C$128,R34&gt;=Summary!$C$129),"X"," "),IF(AND(Q34&lt;=-Summary!$C$128,R34&lt;=-Summary!$C$129),"X"," "))</f>
        <v xml:space="preserve"> </v>
      </c>
      <c r="U34" s="85" t="str">
        <f>IF($E$4="High Inventory",IF(AND(N34-K34&gt;=Summary!$C$132,P34-M34&gt;Summary!$C$132,P34&gt;0),"X"," "),IF(AND(K34-N34&gt;=Summary!$C$132,M34-P34&gt;Summary!$C$132,P34&lt;0),"X"," "))</f>
        <v xml:space="preserve"> </v>
      </c>
      <c r="V34" s="8" t="str">
        <f>IF($E$4="High Inventory",IF(AND($Q34&gt;=Summary!$C$128,$R34&gt;=0%),"X"," "),IF(AND($Q34&lt;=-Summary!$C$128,$R34&lt;=0%),"X"," "))</f>
        <v xml:space="preserve"> </v>
      </c>
      <c r="W34" s="11" t="str">
        <f>IF($E$4="High Inventory",IF(AND($Q34&gt;=0,$R34&gt;=Summary!$C$129),"X"," "),IF(AND($Q34&lt;=0,$R34&lt;=-Summary!$C$129),"X"," "))</f>
        <v xml:space="preserve"> </v>
      </c>
      <c r="X34" t="str">
        <f t="shared" si="3"/>
        <v xml:space="preserve"> </v>
      </c>
    </row>
    <row r="35" spans="3:24" x14ac:dyDescent="0.2">
      <c r="C35" s="28"/>
      <c r="D35" s="56"/>
      <c r="E35" s="6"/>
      <c r="F35" s="5"/>
      <c r="G35" s="5"/>
      <c r="H35" s="6"/>
      <c r="I35" s="5"/>
      <c r="J35" s="5"/>
      <c r="K35" s="6"/>
      <c r="L35" s="5"/>
      <c r="M35" s="5"/>
      <c r="N35" s="6"/>
      <c r="O35" s="5"/>
      <c r="P35" s="5"/>
      <c r="Q35" s="6">
        <f t="shared" si="0"/>
        <v>0</v>
      </c>
      <c r="R35" s="72">
        <f t="shared" si="1"/>
        <v>0</v>
      </c>
      <c r="S35" s="76"/>
      <c r="T35" s="67" t="str">
        <f>IF($E$4="High Inventory",IF(AND(Q35&gt;=Summary!$C$128,R35&gt;=Summary!$C$129),"X"," "),IF(AND(Q35&lt;=-Summary!$C$128,R35&lt;=-Summary!$C$129),"X"," "))</f>
        <v xml:space="preserve"> </v>
      </c>
      <c r="U35" s="85" t="str">
        <f>IF($E$4="High Inventory",IF(AND(N35-K35&gt;=Summary!$C$132,P35-M35&gt;Summary!$C$132,P35&gt;0),"X"," "),IF(AND(K35-N35&gt;=Summary!$C$132,M35-P35&gt;Summary!$C$132,P35&lt;0),"X"," "))</f>
        <v xml:space="preserve"> </v>
      </c>
      <c r="V35" s="8" t="str">
        <f>IF($E$4="High Inventory",IF(AND($Q35&gt;=Summary!$C$128,$R35&gt;=0%),"X"," "),IF(AND($Q35&lt;=-Summary!$C$128,$R35&lt;=0%),"X"," "))</f>
        <v xml:space="preserve"> </v>
      </c>
      <c r="W35" s="11" t="str">
        <f>IF($E$4="High Inventory",IF(AND($Q35&gt;=0,$R35&gt;=Summary!$C$129),"X"," "),IF(AND($Q35&lt;=0,$R35&lt;=-Summary!$C$129),"X"," "))</f>
        <v xml:space="preserve"> </v>
      </c>
      <c r="X35" t="str">
        <f t="shared" si="3"/>
        <v xml:space="preserve"> </v>
      </c>
    </row>
    <row r="36" spans="3:24" x14ac:dyDescent="0.2">
      <c r="C36" s="28"/>
      <c r="D36" s="56"/>
      <c r="E36" s="6"/>
      <c r="F36" s="5"/>
      <c r="G36" s="5"/>
      <c r="H36" s="6"/>
      <c r="I36" s="5"/>
      <c r="J36" s="5"/>
      <c r="K36" s="6"/>
      <c r="L36" s="5"/>
      <c r="M36" s="5"/>
      <c r="N36" s="6"/>
      <c r="O36" s="5"/>
      <c r="P36" s="5"/>
      <c r="Q36" s="6">
        <f t="shared" si="0"/>
        <v>0</v>
      </c>
      <c r="R36" s="72">
        <f t="shared" si="1"/>
        <v>0</v>
      </c>
      <c r="S36" s="76"/>
      <c r="T36" s="67" t="str">
        <f>IF($E$4="High Inventory",IF(AND(Q36&gt;=Summary!$C$128,R36&gt;=Summary!$C$129),"X"," "),IF(AND(Q36&lt;=-Summary!$C$128,R36&lt;=-Summary!$C$129),"X"," "))</f>
        <v xml:space="preserve"> </v>
      </c>
      <c r="U36" s="85" t="str">
        <f>IF($E$4="High Inventory",IF(AND(N36-K36&gt;=Summary!$C$132,P36-M36&gt;Summary!$C$132,P36&gt;0),"X"," "),IF(AND(K36-N36&gt;=Summary!$C$132,M36-P36&gt;Summary!$C$132,P36&lt;0),"X"," "))</f>
        <v xml:space="preserve"> </v>
      </c>
      <c r="V36" s="8" t="str">
        <f>IF($E$4="High Inventory",IF(AND($Q36&gt;=Summary!$C$128,$R36&gt;=0%),"X"," "),IF(AND($Q36&lt;=-Summary!$C$128,$R36&lt;=0%),"X"," "))</f>
        <v xml:space="preserve"> </v>
      </c>
      <c r="W36" s="11" t="str">
        <f>IF($E$4="High Inventory",IF(AND($Q36&gt;=0,$R36&gt;=Summary!$C$129),"X"," "),IF(AND($Q36&lt;=0,$R36&lt;=-Summary!$C$129),"X"," "))</f>
        <v xml:space="preserve"> </v>
      </c>
      <c r="X36" t="str">
        <f t="shared" si="3"/>
        <v xml:space="preserve"> </v>
      </c>
    </row>
    <row r="37" spans="3:24" x14ac:dyDescent="0.2">
      <c r="C37" s="28"/>
      <c r="D37" s="56"/>
      <c r="E37" s="6"/>
      <c r="F37" s="5"/>
      <c r="G37" s="5"/>
      <c r="H37" s="6"/>
      <c r="I37" s="5"/>
      <c r="J37" s="5"/>
      <c r="K37" s="6"/>
      <c r="L37" s="5"/>
      <c r="M37" s="5"/>
      <c r="N37" s="6"/>
      <c r="O37" s="5"/>
      <c r="P37" s="5"/>
      <c r="Q37" s="6">
        <f t="shared" si="0"/>
        <v>0</v>
      </c>
      <c r="R37" s="72">
        <f t="shared" si="1"/>
        <v>0</v>
      </c>
      <c r="S37" s="76"/>
      <c r="T37" s="67" t="str">
        <f>IF($E$4="High Inventory",IF(AND(Q37&gt;=Summary!$C$128,R37&gt;=Summary!$C$129),"X"," "),IF(AND(Q37&lt;=-Summary!$C$128,R37&lt;=-Summary!$C$129),"X"," "))</f>
        <v xml:space="preserve"> </v>
      </c>
      <c r="U37" s="85" t="str">
        <f>IF($E$4="High Inventory",IF(AND(N37-K37&gt;=Summary!$C$132,P37-M37&gt;Summary!$C$132,P37&gt;0),"X"," "),IF(AND(K37-N37&gt;=Summary!$C$132,M37-P37&gt;Summary!$C$132,P37&lt;0),"X"," "))</f>
        <v xml:space="preserve"> </v>
      </c>
      <c r="V37" s="8" t="str">
        <f>IF($E$4="High Inventory",IF(AND($Q37&gt;=Summary!$C$128,$R37&gt;=0%),"X"," "),IF(AND($Q37&lt;=-Summary!$C$128,$R37&lt;=0%),"X"," "))</f>
        <v xml:space="preserve"> </v>
      </c>
      <c r="W37" s="11" t="str">
        <f>IF($E$4="High Inventory",IF(AND($Q37&gt;=0,$R37&gt;=Summary!$C$129),"X"," "),IF(AND($Q37&lt;=0,$R37&lt;=-Summary!$C$129),"X"," "))</f>
        <v xml:space="preserve"> </v>
      </c>
      <c r="X37" t="str">
        <f t="shared" si="3"/>
        <v xml:space="preserve"> </v>
      </c>
    </row>
    <row r="38" spans="3:24" x14ac:dyDescent="0.2">
      <c r="C38" s="28"/>
      <c r="D38" s="56"/>
      <c r="E38" s="6"/>
      <c r="F38" s="5"/>
      <c r="G38" s="5"/>
      <c r="H38" s="6"/>
      <c r="I38" s="5"/>
      <c r="J38" s="5"/>
      <c r="K38" s="6"/>
      <c r="L38" s="5"/>
      <c r="M38" s="5"/>
      <c r="N38" s="6"/>
      <c r="O38" s="5"/>
      <c r="P38" s="5"/>
      <c r="Q38" s="6">
        <f t="shared" si="0"/>
        <v>0</v>
      </c>
      <c r="R38" s="72">
        <f t="shared" si="1"/>
        <v>0</v>
      </c>
      <c r="S38" s="8"/>
      <c r="T38" s="67" t="str">
        <f>IF($E$4="High Inventory",IF(AND(Q38&gt;=Summary!$C$128,R38&gt;=Summary!$C$129),"X"," "),IF(AND(Q38&lt;=-Summary!$C$128,R38&lt;=-Summary!$C$129),"X"," "))</f>
        <v xml:space="preserve"> </v>
      </c>
      <c r="U38" s="85" t="str">
        <f>IF($E$4="High Inventory",IF(AND(N38-K38&gt;=Summary!$C$132,P38-M38&gt;Summary!$C$132,P38&gt;0),"X"," "),IF(AND(K38-N38&gt;=Summary!$C$132,M38-P38&gt;Summary!$C$132,P38&lt;0),"X"," "))</f>
        <v xml:space="preserve"> </v>
      </c>
      <c r="V38" s="8" t="str">
        <f>IF($E$4="High Inventory",IF(AND($Q38&gt;=Summary!$C$128,$R38&gt;=0%),"X"," "),IF(AND($Q38&lt;=-Summary!$C$128,$R38&lt;=0%),"X"," "))</f>
        <v xml:space="preserve"> </v>
      </c>
      <c r="W38" s="11" t="str">
        <f>IF($E$4="High Inventory",IF(AND($Q38&gt;=0,$R38&gt;=Summary!$C$129),"X"," "),IF(AND($Q38&lt;=0,$R38&lt;=-Summary!$C$129),"X"," "))</f>
        <v xml:space="preserve"> </v>
      </c>
      <c r="X38" t="str">
        <f t="shared" si="3"/>
        <v xml:space="preserve"> </v>
      </c>
    </row>
    <row r="39" spans="3:24" x14ac:dyDescent="0.2">
      <c r="C39" s="28"/>
      <c r="D39" s="56"/>
      <c r="E39" s="6"/>
      <c r="F39" s="5"/>
      <c r="G39" s="5"/>
      <c r="H39" s="6"/>
      <c r="I39" s="5"/>
      <c r="J39" s="5"/>
      <c r="K39" s="6"/>
      <c r="L39" s="5"/>
      <c r="M39" s="5"/>
      <c r="N39" s="6"/>
      <c r="O39" s="5"/>
      <c r="P39" s="5"/>
      <c r="Q39" s="6">
        <f t="shared" si="0"/>
        <v>0</v>
      </c>
      <c r="R39" s="72">
        <f t="shared" si="1"/>
        <v>0</v>
      </c>
      <c r="S39" s="76"/>
      <c r="T39" s="67" t="str">
        <f>IF($E$4="High Inventory",IF(AND(Q39&gt;=Summary!$C$128,R39&gt;=Summary!$C$129),"X"," "),IF(AND(Q39&lt;=-Summary!$C$128,R39&lt;=-Summary!$C$129),"X"," "))</f>
        <v xml:space="preserve"> </v>
      </c>
      <c r="U39" s="85" t="str">
        <f>IF($E$4="High Inventory",IF(AND(N39-K39&gt;=Summary!$C$132,P39-M39&gt;Summary!$C$132,P39&gt;0),"X"," "),IF(AND(K39-N39&gt;=Summary!$C$132,M39-P39&gt;Summary!$C$132,P39&lt;0),"X"," "))</f>
        <v xml:space="preserve"> </v>
      </c>
      <c r="V39" s="8" t="str">
        <f>IF($E$4="High Inventory",IF(AND($Q39&gt;=Summary!$C$128,$R39&gt;=0%),"X"," "),IF(AND($Q39&lt;=-Summary!$C$128,$R39&lt;=0%),"X"," "))</f>
        <v xml:space="preserve"> </v>
      </c>
      <c r="W39" s="11" t="str">
        <f>IF($E$4="High Inventory",IF(AND($Q39&gt;=0,$R39&gt;=Summary!$C$129),"X"," "),IF(AND($Q39&lt;=0,$R39&lt;=-Summary!$C$129),"X"," "))</f>
        <v xml:space="preserve"> </v>
      </c>
      <c r="X39" t="str">
        <f t="shared" si="3"/>
        <v xml:space="preserve"> </v>
      </c>
    </row>
    <row r="40" spans="3:24" x14ac:dyDescent="0.2">
      <c r="C40" s="28"/>
      <c r="D40" s="56"/>
      <c r="E40" s="6"/>
      <c r="F40" s="5"/>
      <c r="G40" s="5"/>
      <c r="H40" s="6"/>
      <c r="I40" s="5"/>
      <c r="J40" s="5"/>
      <c r="K40" s="6"/>
      <c r="L40" s="5"/>
      <c r="M40" s="5"/>
      <c r="N40" s="6"/>
      <c r="O40" s="5"/>
      <c r="P40" s="5"/>
      <c r="Q40" s="6">
        <f t="shared" si="0"/>
        <v>0</v>
      </c>
      <c r="R40" s="72">
        <f t="shared" si="1"/>
        <v>0</v>
      </c>
      <c r="S40" s="76"/>
      <c r="T40" s="67" t="str">
        <f>IF($E$4="High Inventory",IF(AND(Q40&gt;=Summary!$C$128,R40&gt;=Summary!$C$129),"X"," "),IF(AND(Q40&lt;=-Summary!$C$128,R40&lt;=-Summary!$C$129),"X"," "))</f>
        <v xml:space="preserve"> </v>
      </c>
      <c r="U40" s="85" t="str">
        <f>IF($E$4="High Inventory",IF(AND(N40-K40&gt;=Summary!$C$132,P40-M40&gt;Summary!$C$132,P40&gt;0),"X"," "),IF(AND(K40-N40&gt;=Summary!$C$132,M40-P40&gt;Summary!$C$132,P40&lt;0),"X"," "))</f>
        <v xml:space="preserve"> </v>
      </c>
      <c r="V40" s="8" t="str">
        <f>IF($E$4="High Inventory",IF(AND($Q40&gt;=Summary!$C$128,$R40&gt;=0%),"X"," "),IF(AND($Q40&lt;=-Summary!$C$128,$R40&lt;=0%),"X"," "))</f>
        <v xml:space="preserve"> </v>
      </c>
      <c r="W40" s="11" t="str">
        <f>IF($E$4="High Inventory",IF(AND($Q40&gt;=0,$R40&gt;=Summary!$C$129),"X"," "),IF(AND($Q40&lt;=0,$R40&lt;=-Summary!$C$129),"X"," "))</f>
        <v xml:space="preserve"> </v>
      </c>
      <c r="X40" t="str">
        <f t="shared" si="3"/>
        <v xml:space="preserve"> </v>
      </c>
    </row>
    <row r="41" spans="3:24" x14ac:dyDescent="0.2">
      <c r="C41" s="28"/>
      <c r="D41" s="56"/>
      <c r="E41" s="6"/>
      <c r="F41" s="5"/>
      <c r="G41" s="5"/>
      <c r="H41" s="6"/>
      <c r="I41" s="5"/>
      <c r="J41" s="5"/>
      <c r="K41" s="6"/>
      <c r="L41" s="5"/>
      <c r="M41" s="5"/>
      <c r="N41" s="6"/>
      <c r="O41" s="5"/>
      <c r="P41" s="5"/>
      <c r="Q41" s="6">
        <f t="shared" ref="Q41:Q72" si="4">M41+J41+G41</f>
        <v>0</v>
      </c>
      <c r="R41" s="72">
        <f t="shared" si="1"/>
        <v>0</v>
      </c>
      <c r="S41" s="76"/>
      <c r="T41" s="67" t="str">
        <f>IF($E$4="High Inventory",IF(AND(Q41&gt;=Summary!$C$128,R41&gt;=Summary!$C$129),"X"," "),IF(AND(Q41&lt;=-Summary!$C$128,R41&lt;=-Summary!$C$129),"X"," "))</f>
        <v xml:space="preserve"> </v>
      </c>
      <c r="U41" s="85" t="str">
        <f>IF($E$4="High Inventory",IF(AND(N41-K41&gt;=Summary!$C$132,P41-M41&gt;Summary!$C$132,P41&gt;0),"X"," "),IF(AND(K41-N41&gt;=Summary!$C$132,M41-P41&gt;Summary!$C$132,P41&lt;0),"X"," "))</f>
        <v xml:space="preserve"> </v>
      </c>
      <c r="V41" s="8" t="str">
        <f>IF($E$4="High Inventory",IF(AND($Q41&gt;=Summary!$C$128,$R41&gt;=0%),"X"," "),IF(AND($Q41&lt;=-Summary!$C$128,$R41&lt;=0%),"X"," "))</f>
        <v xml:space="preserve"> </v>
      </c>
      <c r="W41" s="11" t="str">
        <f>IF($E$4="High Inventory",IF(AND($Q41&gt;=0,$R41&gt;=Summary!$C$129),"X"," "),IF(AND($Q41&lt;=0,$R41&lt;=-Summary!$C$129),"X"," "))</f>
        <v xml:space="preserve"> </v>
      </c>
      <c r="X41" t="str">
        <f t="shared" si="3"/>
        <v xml:space="preserve"> </v>
      </c>
    </row>
    <row r="42" spans="3:24" x14ac:dyDescent="0.2">
      <c r="C42" s="28"/>
      <c r="D42" s="56"/>
      <c r="E42" s="6"/>
      <c r="F42" s="5"/>
      <c r="G42" s="5"/>
      <c r="H42" s="6"/>
      <c r="I42" s="5"/>
      <c r="J42" s="5"/>
      <c r="K42" s="6"/>
      <c r="L42" s="5"/>
      <c r="M42" s="5"/>
      <c r="N42" s="6"/>
      <c r="O42" s="5"/>
      <c r="P42" s="5"/>
      <c r="Q42" s="6">
        <f t="shared" si="4"/>
        <v>0</v>
      </c>
      <c r="R42" s="72">
        <f t="shared" ref="R42:R73" si="5">Q42/(L42+I42+F42+1)</f>
        <v>0</v>
      </c>
      <c r="S42" s="76"/>
      <c r="T42" s="67" t="str">
        <f>IF($E$4="High Inventory",IF(AND(Q42&gt;=Summary!$C$128,R42&gt;=Summary!$C$129),"X"," "),IF(AND(Q42&lt;=-Summary!$C$128,R42&lt;=-Summary!$C$129),"X"," "))</f>
        <v xml:space="preserve"> </v>
      </c>
      <c r="U42" s="85" t="str">
        <f>IF($E$4="High Inventory",IF(AND(N42-K42&gt;=Summary!$C$132,P42-M42&gt;Summary!$C$132,P42&gt;0),"X"," "),IF(AND(K42-N42&gt;=Summary!$C$132,M42-P42&gt;Summary!$C$132,P42&lt;0),"X"," "))</f>
        <v xml:space="preserve"> </v>
      </c>
      <c r="V42" s="8" t="str">
        <f>IF($E$4="High Inventory",IF(AND($Q42&gt;=Summary!$C$128,$R42&gt;=0%),"X"," "),IF(AND($Q42&lt;=-Summary!$C$128,$R42&lt;=0%),"X"," "))</f>
        <v xml:space="preserve"> </v>
      </c>
      <c r="W42" s="11" t="str">
        <f>IF($E$4="High Inventory",IF(AND($Q42&gt;=0,$R42&gt;=Summary!$C$129),"X"," "),IF(AND($Q42&lt;=0,$R42&lt;=-Summary!$C$129),"X"," "))</f>
        <v xml:space="preserve"> </v>
      </c>
      <c r="X42" t="str">
        <f t="shared" ref="X42:X73" si="6">IF(U42 = "X",N42-K42," ")</f>
        <v xml:space="preserve"> </v>
      </c>
    </row>
    <row r="43" spans="3:24" x14ac:dyDescent="0.2">
      <c r="C43" s="28"/>
      <c r="D43" s="56"/>
      <c r="E43" s="6"/>
      <c r="F43" s="5"/>
      <c r="G43" s="5"/>
      <c r="H43" s="6"/>
      <c r="I43" s="5"/>
      <c r="J43" s="5"/>
      <c r="K43" s="6"/>
      <c r="L43" s="5"/>
      <c r="M43" s="5"/>
      <c r="N43" s="6"/>
      <c r="O43" s="5"/>
      <c r="P43" s="5"/>
      <c r="Q43" s="6">
        <f t="shared" si="4"/>
        <v>0</v>
      </c>
      <c r="R43" s="72">
        <f t="shared" si="5"/>
        <v>0</v>
      </c>
      <c r="S43" s="8"/>
      <c r="T43" s="67" t="str">
        <f>IF($E$4="High Inventory",IF(AND(Q43&gt;=Summary!$C$128,R43&gt;=Summary!$C$129),"X"," "),IF(AND(Q43&lt;=-Summary!$C$128,R43&lt;=-Summary!$C$129),"X"," "))</f>
        <v xml:space="preserve"> </v>
      </c>
      <c r="U43" s="85" t="str">
        <f>IF($E$4="High Inventory",IF(AND(N43-K43&gt;=Summary!$C$132,P43-M43&gt;Summary!$C$132,P43&gt;0),"X"," "),IF(AND(K43-N43&gt;=Summary!$C$132,M43-P43&gt;Summary!$C$132,P43&lt;0),"X"," "))</f>
        <v xml:space="preserve"> </v>
      </c>
      <c r="V43" s="8" t="str">
        <f>IF($E$4="High Inventory",IF(AND($Q43&gt;=Summary!$C$128,$R43&gt;=0%),"X"," "),IF(AND($Q43&lt;=-Summary!$C$128,$R43&lt;=0%),"X"," "))</f>
        <v xml:space="preserve"> </v>
      </c>
      <c r="W43" s="11" t="str">
        <f>IF($E$4="High Inventory",IF(AND($Q43&gt;=0,$R43&gt;=Summary!$C$129),"X"," "),IF(AND($Q43&lt;=0,$R43&lt;=-Summary!$C$129),"X"," "))</f>
        <v xml:space="preserve"> </v>
      </c>
      <c r="X43" t="str">
        <f t="shared" si="6"/>
        <v xml:space="preserve"> </v>
      </c>
    </row>
    <row r="44" spans="3:24" x14ac:dyDescent="0.2">
      <c r="C44" s="28"/>
      <c r="D44" s="56"/>
      <c r="E44" s="6"/>
      <c r="F44" s="5"/>
      <c r="G44" s="5"/>
      <c r="H44" s="6"/>
      <c r="I44" s="5"/>
      <c r="J44" s="5"/>
      <c r="K44" s="6"/>
      <c r="L44" s="5"/>
      <c r="M44" s="5"/>
      <c r="N44" s="6"/>
      <c r="O44" s="5"/>
      <c r="P44" s="5"/>
      <c r="Q44" s="6">
        <f t="shared" si="4"/>
        <v>0</v>
      </c>
      <c r="R44" s="72">
        <f t="shared" si="5"/>
        <v>0</v>
      </c>
      <c r="S44" s="8"/>
      <c r="T44" s="67" t="str">
        <f>IF($E$4="High Inventory",IF(AND(Q44&gt;=Summary!$C$128,R44&gt;=Summary!$C$129),"X"," "),IF(AND(Q44&lt;=-Summary!$C$128,R44&lt;=-Summary!$C$129),"X"," "))</f>
        <v xml:space="preserve"> </v>
      </c>
      <c r="U44" s="85" t="str">
        <f>IF($E$4="High Inventory",IF(AND(N44-K44&gt;=Summary!$C$132,P44-M44&gt;Summary!$C$132,P44&gt;0),"X"," "),IF(AND(K44-N44&gt;=Summary!$C$132,M44-P44&gt;Summary!$C$132,P44&lt;0),"X"," "))</f>
        <v xml:space="preserve"> </v>
      </c>
      <c r="V44" s="8" t="str">
        <f>IF($E$4="High Inventory",IF(AND($Q44&gt;=Summary!$C$128,$R44&gt;=0%),"X"," "),IF(AND($Q44&lt;=-Summary!$C$128,$R44&lt;=0%),"X"," "))</f>
        <v xml:space="preserve"> </v>
      </c>
      <c r="W44" s="11" t="str">
        <f>IF($E$4="High Inventory",IF(AND($Q44&gt;=0,$R44&gt;=Summary!$C$129),"X"," "),IF(AND($Q44&lt;=0,$R44&lt;=-Summary!$C$129),"X"," "))</f>
        <v xml:space="preserve"> </v>
      </c>
      <c r="X44" t="str">
        <f t="shared" si="6"/>
        <v xml:space="preserve"> </v>
      </c>
    </row>
    <row r="45" spans="3:24" x14ac:dyDescent="0.2">
      <c r="C45" s="28"/>
      <c r="D45" s="56"/>
      <c r="E45" s="6"/>
      <c r="F45" s="5"/>
      <c r="G45" s="5"/>
      <c r="H45" s="6"/>
      <c r="I45" s="5"/>
      <c r="J45" s="5"/>
      <c r="K45" s="6"/>
      <c r="L45" s="5"/>
      <c r="M45" s="5"/>
      <c r="N45" s="6"/>
      <c r="O45" s="5"/>
      <c r="P45" s="5"/>
      <c r="Q45" s="6">
        <f t="shared" si="4"/>
        <v>0</v>
      </c>
      <c r="R45" s="72">
        <f t="shared" si="5"/>
        <v>0</v>
      </c>
      <c r="S45" s="76"/>
      <c r="T45" s="67" t="str">
        <f>IF($E$4="High Inventory",IF(AND(Q45&gt;=Summary!$C$128,R45&gt;=Summary!$C$129),"X"," "),IF(AND(Q45&lt;=-Summary!$C$128,R45&lt;=-Summary!$C$129),"X"," "))</f>
        <v xml:space="preserve"> </v>
      </c>
      <c r="U45" s="85" t="str">
        <f>IF($E$4="High Inventory",IF(AND(N45-K45&gt;=Summary!$C$132,P45-M45&gt;Summary!$C$132,P45&gt;0),"X"," "),IF(AND(K45-N45&gt;=Summary!$C$132,M45-P45&gt;Summary!$C$132,P45&lt;0),"X"," "))</f>
        <v xml:space="preserve"> </v>
      </c>
      <c r="V45" s="8" t="str">
        <f>IF($E$4="High Inventory",IF(AND($Q45&gt;=Summary!$C$128,$R45&gt;=0%),"X"," "),IF(AND($Q45&lt;=-Summary!$C$128,$R45&lt;=0%),"X"," "))</f>
        <v xml:space="preserve"> </v>
      </c>
      <c r="W45" s="11" t="str">
        <f>IF($E$4="High Inventory",IF(AND($Q45&gt;=0,$R45&gt;=Summary!$C$129),"X"," "),IF(AND($Q45&lt;=0,$R45&lt;=-Summary!$C$129),"X"," "))</f>
        <v xml:space="preserve"> </v>
      </c>
      <c r="X45" t="str">
        <f t="shared" si="6"/>
        <v xml:space="preserve"> </v>
      </c>
    </row>
    <row r="46" spans="3:24" x14ac:dyDescent="0.2">
      <c r="C46" s="28"/>
      <c r="D46" s="56"/>
      <c r="E46" s="6"/>
      <c r="F46" s="5"/>
      <c r="G46" s="5"/>
      <c r="H46" s="6"/>
      <c r="I46" s="5"/>
      <c r="J46" s="5"/>
      <c r="K46" s="6"/>
      <c r="L46" s="5"/>
      <c r="M46" s="5"/>
      <c r="N46" s="6"/>
      <c r="O46" s="5"/>
      <c r="P46" s="5"/>
      <c r="Q46" s="6">
        <f t="shared" si="4"/>
        <v>0</v>
      </c>
      <c r="R46" s="72">
        <f t="shared" si="5"/>
        <v>0</v>
      </c>
      <c r="S46" s="76"/>
      <c r="T46" s="67" t="str">
        <f>IF($E$4="High Inventory",IF(AND(Q46&gt;=Summary!$C$128,R46&gt;=Summary!$C$129),"X"," "),IF(AND(Q46&lt;=-Summary!$C$128,R46&lt;=-Summary!$C$129),"X"," "))</f>
        <v xml:space="preserve"> </v>
      </c>
      <c r="U46" s="85" t="str">
        <f>IF($E$4="High Inventory",IF(AND(N46-K46&gt;=Summary!$C$132,P46-M46&gt;Summary!$C$132,P46&gt;0),"X"," "),IF(AND(K46-N46&gt;=Summary!$C$132,M46-P46&gt;Summary!$C$132,P46&lt;0),"X"," "))</f>
        <v xml:space="preserve"> </v>
      </c>
      <c r="V46" s="8" t="str">
        <f>IF($E$4="High Inventory",IF(AND($Q46&gt;=Summary!$C$128,$R46&gt;=0%),"X"," "),IF(AND($Q46&lt;=-Summary!$C$128,$R46&lt;=0%),"X"," "))</f>
        <v xml:space="preserve"> </v>
      </c>
      <c r="W46" s="11" t="str">
        <f>IF($E$4="High Inventory",IF(AND($Q46&gt;=0,$R46&gt;=Summary!$C$129),"X"," "),IF(AND($Q46&lt;=0,$R46&lt;=-Summary!$C$129),"X"," "))</f>
        <v xml:space="preserve"> </v>
      </c>
      <c r="X46" t="str">
        <f t="shared" si="6"/>
        <v xml:space="preserve"> </v>
      </c>
    </row>
    <row r="47" spans="3:24" x14ac:dyDescent="0.2">
      <c r="C47" s="28"/>
      <c r="D47" s="56"/>
      <c r="E47" s="6"/>
      <c r="F47" s="5"/>
      <c r="G47" s="5"/>
      <c r="H47" s="6"/>
      <c r="I47" s="5"/>
      <c r="J47" s="5"/>
      <c r="K47" s="6"/>
      <c r="L47" s="5"/>
      <c r="M47" s="5"/>
      <c r="N47" s="6"/>
      <c r="O47" s="5"/>
      <c r="P47" s="5"/>
      <c r="Q47" s="6">
        <f t="shared" si="4"/>
        <v>0</v>
      </c>
      <c r="R47" s="72">
        <f t="shared" si="5"/>
        <v>0</v>
      </c>
      <c r="S47" s="76"/>
      <c r="T47" s="67" t="str">
        <f>IF($E$4="High Inventory",IF(AND(Q47&gt;=Summary!$C$128,R47&gt;=Summary!$C$129),"X"," "),IF(AND(Q47&lt;=-Summary!$C$128,R47&lt;=-Summary!$C$129),"X"," "))</f>
        <v xml:space="preserve"> </v>
      </c>
      <c r="U47" s="85" t="str">
        <f>IF($E$4="High Inventory",IF(AND(N47-K47&gt;=Summary!$C$132,P47-M47&gt;Summary!$C$132,P47&gt;0),"X"," "),IF(AND(K47-N47&gt;=Summary!$C$132,M47-P47&gt;Summary!$C$132,P47&lt;0),"X"," "))</f>
        <v xml:space="preserve"> </v>
      </c>
      <c r="V47" s="8" t="str">
        <f>IF($E$4="High Inventory",IF(AND($Q47&gt;=Summary!$C$128,$R47&gt;=0%),"X"," "),IF(AND($Q47&lt;=-Summary!$C$128,$R47&lt;=0%),"X"," "))</f>
        <v xml:space="preserve"> </v>
      </c>
      <c r="W47" s="11" t="str">
        <f>IF($E$4="High Inventory",IF(AND($Q47&gt;=0,$R47&gt;=Summary!$C$129),"X"," "),IF(AND($Q47&lt;=0,$R47&lt;=-Summary!$C$129),"X"," "))</f>
        <v xml:space="preserve"> </v>
      </c>
      <c r="X47" t="str">
        <f t="shared" si="6"/>
        <v xml:space="preserve"> </v>
      </c>
    </row>
    <row r="48" spans="3:24" x14ac:dyDescent="0.2">
      <c r="C48" s="28"/>
      <c r="D48" s="56"/>
      <c r="E48" s="6"/>
      <c r="F48" s="5"/>
      <c r="G48" s="5"/>
      <c r="H48" s="6"/>
      <c r="I48" s="5"/>
      <c r="J48" s="5"/>
      <c r="K48" s="6"/>
      <c r="L48" s="5"/>
      <c r="M48" s="5"/>
      <c r="N48" s="6"/>
      <c r="O48" s="5"/>
      <c r="P48" s="5"/>
      <c r="Q48" s="6">
        <f t="shared" si="4"/>
        <v>0</v>
      </c>
      <c r="R48" s="72">
        <f t="shared" si="5"/>
        <v>0</v>
      </c>
      <c r="S48" s="76"/>
      <c r="T48" s="67" t="str">
        <f>IF($E$4="High Inventory",IF(AND(Q48&gt;=Summary!$C$128,R48&gt;=Summary!$C$129),"X"," "),IF(AND(Q48&lt;=-Summary!$C$128,R48&lt;=-Summary!$C$129),"X"," "))</f>
        <v xml:space="preserve"> </v>
      </c>
      <c r="U48" s="85" t="str">
        <f>IF($E$4="High Inventory",IF(AND(N48-K48&gt;=Summary!$C$132,P48-M48&gt;Summary!$C$132,P48&gt;0),"X"," "),IF(AND(K48-N48&gt;=Summary!$C$132,M48-P48&gt;Summary!$C$132,P48&lt;0),"X"," "))</f>
        <v xml:space="preserve"> </v>
      </c>
      <c r="V48" s="8" t="str">
        <f>IF($E$4="High Inventory",IF(AND($Q48&gt;=Summary!$C$128,$R48&gt;=0%),"X"," "),IF(AND($Q48&lt;=-Summary!$C$128,$R48&lt;=0%),"X"," "))</f>
        <v xml:space="preserve"> </v>
      </c>
      <c r="W48" s="11" t="str">
        <f>IF($E$4="High Inventory",IF(AND($Q48&gt;=0,$R48&gt;=Summary!$C$129),"X"," "),IF(AND($Q48&lt;=0,$R48&lt;=-Summary!$C$129),"X"," "))</f>
        <v xml:space="preserve"> </v>
      </c>
      <c r="X48" t="str">
        <f t="shared" si="6"/>
        <v xml:space="preserve"> </v>
      </c>
    </row>
    <row r="49" spans="3:24" x14ac:dyDescent="0.2">
      <c r="C49" s="28"/>
      <c r="D49" s="56"/>
      <c r="E49" s="6"/>
      <c r="F49" s="5"/>
      <c r="G49" s="5"/>
      <c r="H49" s="6"/>
      <c r="I49" s="5"/>
      <c r="J49" s="5"/>
      <c r="K49" s="6"/>
      <c r="L49" s="5"/>
      <c r="M49" s="5"/>
      <c r="N49" s="6"/>
      <c r="O49" s="5"/>
      <c r="P49" s="5"/>
      <c r="Q49" s="6">
        <f t="shared" si="4"/>
        <v>0</v>
      </c>
      <c r="R49" s="72">
        <f t="shared" si="5"/>
        <v>0</v>
      </c>
      <c r="S49" s="76"/>
      <c r="T49" s="67" t="str">
        <f>IF($E$4="High Inventory",IF(AND(Q49&gt;=Summary!$C$128,R49&gt;=Summary!$C$129),"X"," "),IF(AND(Q49&lt;=-Summary!$C$128,R49&lt;=-Summary!$C$129),"X"," "))</f>
        <v xml:space="preserve"> </v>
      </c>
      <c r="U49" s="85" t="str">
        <f>IF($E$4="High Inventory",IF(AND(N49-K49&gt;=Summary!$C$132,P49-M49&gt;Summary!$C$132,P49&gt;0),"X"," "),IF(AND(K49-N49&gt;=Summary!$C$132,M49-P49&gt;Summary!$C$132,P49&lt;0),"X"," "))</f>
        <v xml:space="preserve"> </v>
      </c>
      <c r="V49" s="8" t="str">
        <f>IF($E$4="High Inventory",IF(AND($Q49&gt;=Summary!$C$128,$R49&gt;=0%),"X"," "),IF(AND($Q49&lt;=-Summary!$C$128,$R49&lt;=0%),"X"," "))</f>
        <v xml:space="preserve"> </v>
      </c>
      <c r="W49" s="11" t="str">
        <f>IF($E$4="High Inventory",IF(AND($Q49&gt;=0,$R49&gt;=Summary!$C$129),"X"," "),IF(AND($Q49&lt;=0,$R49&lt;=-Summary!$C$129),"X"," "))</f>
        <v xml:space="preserve"> </v>
      </c>
      <c r="X49" t="str">
        <f t="shared" si="6"/>
        <v xml:space="preserve"> </v>
      </c>
    </row>
    <row r="50" spans="3:24" x14ac:dyDescent="0.2">
      <c r="C50" s="28"/>
      <c r="D50" s="56"/>
      <c r="E50" s="6"/>
      <c r="F50" s="5"/>
      <c r="G50" s="5"/>
      <c r="H50" s="6"/>
      <c r="I50" s="5"/>
      <c r="J50" s="5"/>
      <c r="K50" s="6"/>
      <c r="L50" s="5"/>
      <c r="M50" s="5"/>
      <c r="N50" s="6"/>
      <c r="O50" s="5"/>
      <c r="P50" s="5"/>
      <c r="Q50" s="6">
        <f t="shared" si="4"/>
        <v>0</v>
      </c>
      <c r="R50" s="72">
        <f t="shared" si="5"/>
        <v>0</v>
      </c>
      <c r="S50" s="8"/>
      <c r="T50" s="67" t="str">
        <f>IF($E$4="High Inventory",IF(AND(Q50&gt;=Summary!$C$128,R50&gt;=Summary!$C$129),"X"," "),IF(AND(Q50&lt;=-Summary!$C$128,R50&lt;=-Summary!$C$129),"X"," "))</f>
        <v xml:space="preserve"> </v>
      </c>
      <c r="U50" s="85" t="str">
        <f>IF($E$4="High Inventory",IF(AND(N50-K50&gt;=Summary!$C$132,P50-M50&gt;Summary!$C$132,P50&gt;0),"X"," "),IF(AND(K50-N50&gt;=Summary!$C$132,M50-P50&gt;Summary!$C$132,P50&lt;0),"X"," "))</f>
        <v xml:space="preserve"> </v>
      </c>
      <c r="V50" s="8" t="str">
        <f>IF($E$4="High Inventory",IF(AND($Q50&gt;=Summary!$C$128,$R50&gt;=0%),"X"," "),IF(AND($Q50&lt;=-Summary!$C$128,$R50&lt;=0%),"X"," "))</f>
        <v xml:space="preserve"> </v>
      </c>
      <c r="W50" s="11" t="str">
        <f>IF($E$4="High Inventory",IF(AND($Q50&gt;=0,$R50&gt;=Summary!$C$129),"X"," "),IF(AND($Q50&lt;=0,$R50&lt;=-Summary!$C$129),"X"," "))</f>
        <v xml:space="preserve"> </v>
      </c>
      <c r="X50" t="str">
        <f t="shared" si="6"/>
        <v xml:space="preserve"> </v>
      </c>
    </row>
    <row r="51" spans="3:24" x14ac:dyDescent="0.2">
      <c r="C51" s="28"/>
      <c r="D51" s="56"/>
      <c r="E51" s="6"/>
      <c r="F51" s="5"/>
      <c r="G51" s="5"/>
      <c r="H51" s="6"/>
      <c r="I51" s="5"/>
      <c r="J51" s="5"/>
      <c r="K51" s="6"/>
      <c r="L51" s="5"/>
      <c r="M51" s="5"/>
      <c r="N51" s="6"/>
      <c r="O51" s="5"/>
      <c r="P51" s="5"/>
      <c r="Q51" s="6">
        <f t="shared" si="4"/>
        <v>0</v>
      </c>
      <c r="R51" s="72">
        <f t="shared" si="5"/>
        <v>0</v>
      </c>
      <c r="S51" s="76"/>
      <c r="T51" s="67" t="str">
        <f>IF($E$4="High Inventory",IF(AND(Q51&gt;=Summary!$C$128,R51&gt;=Summary!$C$129),"X"," "),IF(AND(Q51&lt;=-Summary!$C$128,R51&lt;=-Summary!$C$129),"X"," "))</f>
        <v xml:space="preserve"> </v>
      </c>
      <c r="U51" s="85" t="str">
        <f>IF($E$4="High Inventory",IF(AND(N51-K51&gt;=Summary!$C$132,P51-M51&gt;Summary!$C$132,P51&gt;0),"X"," "),IF(AND(K51-N51&gt;=Summary!$C$132,M51-P51&gt;Summary!$C$132,P51&lt;0),"X"," "))</f>
        <v xml:space="preserve"> </v>
      </c>
      <c r="V51" s="8" t="str">
        <f>IF($E$4="High Inventory",IF(AND($Q51&gt;=Summary!$C$128,$R51&gt;=0%),"X"," "),IF(AND($Q51&lt;=-Summary!$C$128,$R51&lt;=0%),"X"," "))</f>
        <v xml:space="preserve"> </v>
      </c>
      <c r="W51" s="11" t="str">
        <f>IF($E$4="High Inventory",IF(AND($Q51&gt;=0,$R51&gt;=Summary!$C$129),"X"," "),IF(AND($Q51&lt;=0,$R51&lt;=-Summary!$C$129),"X"," "))</f>
        <v xml:space="preserve"> </v>
      </c>
      <c r="X51" t="str">
        <f t="shared" si="6"/>
        <v xml:space="preserve"> </v>
      </c>
    </row>
    <row r="52" spans="3:24" x14ac:dyDescent="0.2">
      <c r="C52" s="28"/>
      <c r="D52" s="56"/>
      <c r="E52" s="6"/>
      <c r="F52" s="5"/>
      <c r="G52" s="5"/>
      <c r="H52" s="6"/>
      <c r="I52" s="5"/>
      <c r="J52" s="5"/>
      <c r="K52" s="6"/>
      <c r="L52" s="5"/>
      <c r="M52" s="5"/>
      <c r="N52" s="6"/>
      <c r="O52" s="5"/>
      <c r="P52" s="5"/>
      <c r="Q52" s="6">
        <f t="shared" si="4"/>
        <v>0</v>
      </c>
      <c r="R52" s="72">
        <f t="shared" si="5"/>
        <v>0</v>
      </c>
      <c r="S52" s="76"/>
      <c r="T52" s="67" t="str">
        <f>IF($E$4="High Inventory",IF(AND(Q52&gt;=Summary!$C$128,R52&gt;=Summary!$C$129),"X"," "),IF(AND(Q52&lt;=-Summary!$C$128,R52&lt;=-Summary!$C$129),"X"," "))</f>
        <v xml:space="preserve"> </v>
      </c>
      <c r="U52" s="85" t="str">
        <f>IF($E$4="High Inventory",IF(AND(N52-K52&gt;=Summary!$C$132,P52-M52&gt;Summary!$C$132,P52&gt;0),"X"," "),IF(AND(K52-N52&gt;=Summary!$C$132,M52-P52&gt;Summary!$C$132,P52&lt;0),"X"," "))</f>
        <v xml:space="preserve"> </v>
      </c>
      <c r="V52" s="8" t="str">
        <f>IF($E$4="High Inventory",IF(AND($Q52&gt;=Summary!$C$128,$R52&gt;=0%),"X"," "),IF(AND($Q52&lt;=-Summary!$C$128,$R52&lt;=0%),"X"," "))</f>
        <v xml:space="preserve"> </v>
      </c>
      <c r="W52" s="11" t="str">
        <f>IF($E$4="High Inventory",IF(AND($Q52&gt;=0,$R52&gt;=Summary!$C$129),"X"," "),IF(AND($Q52&lt;=0,$R52&lt;=-Summary!$C$129),"X"," "))</f>
        <v xml:space="preserve"> </v>
      </c>
      <c r="X52" t="str">
        <f t="shared" si="6"/>
        <v xml:space="preserve"> </v>
      </c>
    </row>
    <row r="53" spans="3:24" x14ac:dyDescent="0.2">
      <c r="C53" s="28"/>
      <c r="D53" s="56"/>
      <c r="E53" s="6"/>
      <c r="F53" s="5"/>
      <c r="G53" s="5"/>
      <c r="H53" s="6"/>
      <c r="I53" s="5"/>
      <c r="J53" s="5"/>
      <c r="K53" s="6"/>
      <c r="L53" s="5"/>
      <c r="M53" s="5"/>
      <c r="N53" s="6"/>
      <c r="O53" s="5"/>
      <c r="P53" s="5"/>
      <c r="Q53" s="6">
        <f t="shared" si="4"/>
        <v>0</v>
      </c>
      <c r="R53" s="72">
        <f t="shared" si="5"/>
        <v>0</v>
      </c>
      <c r="S53" s="76"/>
      <c r="T53" s="67" t="str">
        <f>IF($E$4="High Inventory",IF(AND(Q53&gt;=Summary!$C$128,R53&gt;=Summary!$C$129),"X"," "),IF(AND(Q53&lt;=-Summary!$C$128,R53&lt;=-Summary!$C$129),"X"," "))</f>
        <v xml:space="preserve"> </v>
      </c>
      <c r="U53" s="85" t="str">
        <f>IF($E$4="High Inventory",IF(AND(N53-K53&gt;=Summary!$C$132,P53-M53&gt;Summary!$C$132,P53&gt;0),"X"," "),IF(AND(K53-N53&gt;=Summary!$C$132,M53-P53&gt;Summary!$C$132,P53&lt;0),"X"," "))</f>
        <v xml:space="preserve"> </v>
      </c>
      <c r="V53" s="8" t="str">
        <f>IF($E$4="High Inventory",IF(AND($Q53&gt;=Summary!$C$128,$R53&gt;=0%),"X"," "),IF(AND($Q53&lt;=-Summary!$C$128,$R53&lt;=0%),"X"," "))</f>
        <v xml:space="preserve"> </v>
      </c>
      <c r="W53" s="11" t="str">
        <f>IF($E$4="High Inventory",IF(AND($Q53&gt;=0,$R53&gt;=Summary!$C$129),"X"," "),IF(AND($Q53&lt;=0,$R53&lt;=-Summary!$C$129),"X"," "))</f>
        <v xml:space="preserve"> </v>
      </c>
      <c r="X53" t="str">
        <f t="shared" si="6"/>
        <v xml:space="preserve"> </v>
      </c>
    </row>
    <row r="54" spans="3:24" x14ac:dyDescent="0.2">
      <c r="C54" s="28"/>
      <c r="D54" s="56"/>
      <c r="E54" s="6"/>
      <c r="F54" s="5"/>
      <c r="G54" s="5"/>
      <c r="H54" s="6"/>
      <c r="I54" s="5"/>
      <c r="J54" s="5"/>
      <c r="K54" s="6"/>
      <c r="L54" s="5"/>
      <c r="M54" s="5"/>
      <c r="N54" s="6"/>
      <c r="O54" s="5"/>
      <c r="P54" s="5"/>
      <c r="Q54" s="6">
        <f t="shared" si="4"/>
        <v>0</v>
      </c>
      <c r="R54" s="72">
        <f t="shared" si="5"/>
        <v>0</v>
      </c>
      <c r="S54" s="76"/>
      <c r="T54" s="67" t="str">
        <f>IF($E$4="High Inventory",IF(AND(Q54&gt;=Summary!$C$128,R54&gt;=Summary!$C$129),"X"," "),IF(AND(Q54&lt;=-Summary!$C$128,R54&lt;=-Summary!$C$129),"X"," "))</f>
        <v xml:space="preserve"> </v>
      </c>
      <c r="U54" s="85" t="str">
        <f>IF($E$4="High Inventory",IF(AND(N54-K54&gt;=Summary!$C$132,P54-M54&gt;Summary!$C$132,P54&gt;0),"X"," "),IF(AND(K54-N54&gt;=Summary!$C$132,M54-P54&gt;Summary!$C$132,P54&lt;0),"X"," "))</f>
        <v xml:space="preserve"> </v>
      </c>
      <c r="V54" s="8" t="str">
        <f>IF($E$4="High Inventory",IF(AND($Q54&gt;=Summary!$C$128,$R54&gt;=0%),"X"," "),IF(AND($Q54&lt;=-Summary!$C$128,$R54&lt;=0%),"X"," "))</f>
        <v xml:space="preserve"> </v>
      </c>
      <c r="W54" s="11" t="str">
        <f>IF($E$4="High Inventory",IF(AND($Q54&gt;=0,$R54&gt;=Summary!$C$129),"X"," "),IF(AND($Q54&lt;=0,$R54&lt;=-Summary!$C$129),"X"," "))</f>
        <v xml:space="preserve"> </v>
      </c>
      <c r="X54" t="str">
        <f t="shared" si="6"/>
        <v xml:space="preserve"> </v>
      </c>
    </row>
    <row r="55" spans="3:24" x14ac:dyDescent="0.2">
      <c r="C55" s="28"/>
      <c r="D55" s="56"/>
      <c r="E55" s="6"/>
      <c r="F55" s="5"/>
      <c r="G55" s="5"/>
      <c r="H55" s="6"/>
      <c r="I55" s="5"/>
      <c r="J55" s="5"/>
      <c r="K55" s="6"/>
      <c r="L55" s="5"/>
      <c r="M55" s="5"/>
      <c r="N55" s="6"/>
      <c r="O55" s="5"/>
      <c r="P55" s="5"/>
      <c r="Q55" s="6">
        <f t="shared" si="4"/>
        <v>0</v>
      </c>
      <c r="R55" s="72">
        <f t="shared" si="5"/>
        <v>0</v>
      </c>
      <c r="S55" s="76"/>
      <c r="T55" s="67" t="str">
        <f>IF($E$4="High Inventory",IF(AND(Q55&gt;=Summary!$C$128,R55&gt;=Summary!$C$129),"X"," "),IF(AND(Q55&lt;=-Summary!$C$128,R55&lt;=-Summary!$C$129),"X"," "))</f>
        <v xml:space="preserve"> </v>
      </c>
      <c r="U55" s="85" t="str">
        <f>IF($E$4="High Inventory",IF(AND(N55-K55&gt;=Summary!$C$132,P55-M55&gt;Summary!$C$132,P55&gt;0),"X"," "),IF(AND(K55-N55&gt;=Summary!$C$132,M55-P55&gt;Summary!$C$132,P55&lt;0),"X"," "))</f>
        <v xml:space="preserve"> </v>
      </c>
      <c r="V55" s="8" t="str">
        <f>IF($E$4="High Inventory",IF(AND($Q55&gt;=Summary!$C$128,$R55&gt;=0%),"X"," "),IF(AND($Q55&lt;=-Summary!$C$128,$R55&lt;=0%),"X"," "))</f>
        <v xml:space="preserve"> </v>
      </c>
      <c r="W55" s="11" t="str">
        <f>IF($E$4="High Inventory",IF(AND($Q55&gt;=0,$R55&gt;=Summary!$C$129),"X"," "),IF(AND($Q55&lt;=0,$R55&lt;=-Summary!$C$129),"X"," "))</f>
        <v xml:space="preserve"> </v>
      </c>
      <c r="X55" t="str">
        <f t="shared" si="6"/>
        <v xml:space="preserve"> </v>
      </c>
    </row>
    <row r="56" spans="3:24" x14ac:dyDescent="0.2">
      <c r="C56" s="28"/>
      <c r="D56" s="56"/>
      <c r="E56" s="6"/>
      <c r="F56" s="5"/>
      <c r="G56" s="5"/>
      <c r="H56" s="6"/>
      <c r="I56" s="5"/>
      <c r="J56" s="5"/>
      <c r="K56" s="6"/>
      <c r="L56" s="5"/>
      <c r="M56" s="5"/>
      <c r="N56" s="6"/>
      <c r="O56" s="5"/>
      <c r="P56" s="5"/>
      <c r="Q56" s="6">
        <f t="shared" si="4"/>
        <v>0</v>
      </c>
      <c r="R56" s="72">
        <f t="shared" si="5"/>
        <v>0</v>
      </c>
      <c r="S56" s="76"/>
      <c r="T56" s="67" t="str">
        <f>IF($E$4="High Inventory",IF(AND(Q56&gt;=Summary!$C$128,R56&gt;=Summary!$C$129),"X"," "),IF(AND(Q56&lt;=-Summary!$C$128,R56&lt;=-Summary!$C$129),"X"," "))</f>
        <v xml:space="preserve"> </v>
      </c>
      <c r="U56" s="85" t="str">
        <f>IF($E$4="High Inventory",IF(AND(N56-K56&gt;=Summary!$C$132,P56-M56&gt;Summary!$C$132,P56&gt;0),"X"," "),IF(AND(K56-N56&gt;=Summary!$C$132,M56-P56&gt;Summary!$C$132,P56&lt;0),"X"," "))</f>
        <v xml:space="preserve"> </v>
      </c>
      <c r="V56" s="8" t="str">
        <f>IF($E$4="High Inventory",IF(AND($Q56&gt;=Summary!$C$128,$R56&gt;=0%),"X"," "),IF(AND($Q56&lt;=-Summary!$C$128,$R56&lt;=0%),"X"," "))</f>
        <v xml:space="preserve"> </v>
      </c>
      <c r="W56" s="11" t="str">
        <f>IF($E$4="High Inventory",IF(AND($Q56&gt;=0,$R56&gt;=Summary!$C$129),"X"," "),IF(AND($Q56&lt;=0,$R56&lt;=-Summary!$C$129),"X"," "))</f>
        <v xml:space="preserve"> </v>
      </c>
      <c r="X56" t="str">
        <f t="shared" si="6"/>
        <v xml:space="preserve"> </v>
      </c>
    </row>
    <row r="57" spans="3:24" x14ac:dyDescent="0.2">
      <c r="C57" s="28"/>
      <c r="D57" s="56"/>
      <c r="E57" s="7"/>
      <c r="F57" s="5"/>
      <c r="G57" s="5"/>
      <c r="H57" s="7"/>
      <c r="I57" s="5"/>
      <c r="J57" s="5"/>
      <c r="K57" s="7"/>
      <c r="L57" s="5"/>
      <c r="M57" s="5"/>
      <c r="N57" s="7"/>
      <c r="O57" s="5"/>
      <c r="P57" s="5"/>
      <c r="Q57" s="6">
        <f t="shared" si="4"/>
        <v>0</v>
      </c>
      <c r="R57" s="72">
        <f t="shared" si="5"/>
        <v>0</v>
      </c>
      <c r="S57" s="76"/>
      <c r="T57" s="67" t="str">
        <f>IF($E$4="High Inventory",IF(AND(Q57&gt;=Summary!$C$128,R57&gt;=Summary!$C$129),"X"," "),IF(AND(Q57&lt;=-Summary!$C$128,R57&lt;=-Summary!$C$129),"X"," "))</f>
        <v xml:space="preserve"> </v>
      </c>
      <c r="U57" s="85" t="str">
        <f>IF($E$4="High Inventory",IF(AND(N57-K57&gt;=Summary!$C$132,P57-M57&gt;Summary!$C$132,P57&gt;0),"X"," "),IF(AND(K57-N57&gt;=Summary!$C$132,M57-P57&gt;Summary!$C$132,P57&lt;0),"X"," "))</f>
        <v xml:space="preserve"> </v>
      </c>
      <c r="V57" s="8" t="str">
        <f>IF($E$4="High Inventory",IF(AND($Q57&gt;=Summary!$C$128,$R57&gt;=0%),"X"," "),IF(AND($Q57&lt;=-Summary!$C$128,$R57&lt;=0%),"X"," "))</f>
        <v xml:space="preserve"> </v>
      </c>
      <c r="W57" s="11" t="str">
        <f>IF($E$4="High Inventory",IF(AND($Q57&gt;=0,$R57&gt;=Summary!$C$129),"X"," "),IF(AND($Q57&lt;=0,$R57&lt;=-Summary!$C$129),"X"," "))</f>
        <v xml:space="preserve"> </v>
      </c>
      <c r="X57" t="str">
        <f t="shared" si="6"/>
        <v xml:space="preserve"> </v>
      </c>
    </row>
    <row r="58" spans="3:24" x14ac:dyDescent="0.2">
      <c r="C58" s="28"/>
      <c r="D58" s="56"/>
      <c r="E58" s="6"/>
      <c r="F58" s="5"/>
      <c r="G58" s="5"/>
      <c r="H58" s="6"/>
      <c r="I58" s="5"/>
      <c r="J58" s="5"/>
      <c r="K58" s="6"/>
      <c r="L58" s="5"/>
      <c r="M58" s="5"/>
      <c r="N58" s="6"/>
      <c r="O58" s="5"/>
      <c r="P58" s="5"/>
      <c r="Q58" s="6">
        <f t="shared" si="4"/>
        <v>0</v>
      </c>
      <c r="R58" s="72">
        <f t="shared" si="5"/>
        <v>0</v>
      </c>
      <c r="S58" s="76"/>
      <c r="T58" s="67" t="str">
        <f>IF($E$4="High Inventory",IF(AND(Q58&gt;=Summary!$C$128,R58&gt;=Summary!$C$129),"X"," "),IF(AND(Q58&lt;=-Summary!$C$128,R58&lt;=-Summary!$C$129),"X"," "))</f>
        <v xml:space="preserve"> </v>
      </c>
      <c r="U58" s="85" t="str">
        <f>IF($E$4="High Inventory",IF(AND(N58-K58&gt;=Summary!$C$132,P58-M58&gt;Summary!$C$132,P58&gt;0),"X"," "),IF(AND(K58-N58&gt;=Summary!$C$132,M58-P58&gt;Summary!$C$132,P58&lt;0),"X"," "))</f>
        <v xml:space="preserve"> </v>
      </c>
      <c r="V58" s="8" t="str">
        <f>IF($E$4="High Inventory",IF(AND($Q58&gt;=Summary!$C$128,$R58&gt;=0%),"X"," "),IF(AND($Q58&lt;=-Summary!$C$128,$R58&lt;=0%),"X"," "))</f>
        <v xml:space="preserve"> </v>
      </c>
      <c r="W58" s="11" t="str">
        <f>IF($E$4="High Inventory",IF(AND($Q58&gt;=0,$R58&gt;=Summary!$C$129),"X"," "),IF(AND($Q58&lt;=0,$R58&lt;=-Summary!$C$129),"X"," "))</f>
        <v xml:space="preserve"> </v>
      </c>
      <c r="X58" t="str">
        <f t="shared" si="6"/>
        <v xml:space="preserve"> </v>
      </c>
    </row>
    <row r="59" spans="3:24" x14ac:dyDescent="0.2">
      <c r="C59" s="28"/>
      <c r="D59" s="56"/>
      <c r="E59" s="6"/>
      <c r="F59" s="5"/>
      <c r="G59" s="5"/>
      <c r="H59" s="6"/>
      <c r="I59" s="5"/>
      <c r="J59" s="5"/>
      <c r="K59" s="6"/>
      <c r="L59" s="5"/>
      <c r="M59" s="5"/>
      <c r="N59" s="6"/>
      <c r="O59" s="5"/>
      <c r="P59" s="5"/>
      <c r="Q59" s="6">
        <f t="shared" si="4"/>
        <v>0</v>
      </c>
      <c r="R59" s="72">
        <f t="shared" si="5"/>
        <v>0</v>
      </c>
      <c r="S59" s="76"/>
      <c r="T59" s="67" t="str">
        <f>IF($E$4="High Inventory",IF(AND(Q59&gt;=Summary!$C$128,R59&gt;=Summary!$C$129),"X"," "),IF(AND(Q59&lt;=-Summary!$C$128,R59&lt;=-Summary!$C$129),"X"," "))</f>
        <v xml:space="preserve"> </v>
      </c>
      <c r="U59" s="85" t="str">
        <f>IF($E$4="High Inventory",IF(AND(N59-K59&gt;=Summary!$C$132,P59-M59&gt;Summary!$C$132,P59&gt;0),"X"," "),IF(AND(K59-N59&gt;=Summary!$C$132,M59-P59&gt;Summary!$C$132,P59&lt;0),"X"," "))</f>
        <v xml:space="preserve"> </v>
      </c>
      <c r="V59" s="8" t="str">
        <f>IF($E$4="High Inventory",IF(AND($Q59&gt;=Summary!$C$128,$R59&gt;=0%),"X"," "),IF(AND($Q59&lt;=-Summary!$C$128,$R59&lt;=0%),"X"," "))</f>
        <v xml:space="preserve"> </v>
      </c>
      <c r="W59" s="11" t="str">
        <f>IF($E$4="High Inventory",IF(AND($Q59&gt;=0,$R59&gt;=Summary!$C$129),"X"," "),IF(AND($Q59&lt;=0,$R59&lt;=-Summary!$C$129),"X"," "))</f>
        <v xml:space="preserve"> </v>
      </c>
      <c r="X59" t="str">
        <f t="shared" si="6"/>
        <v xml:space="preserve"> </v>
      </c>
    </row>
    <row r="60" spans="3:24" x14ac:dyDescent="0.2">
      <c r="C60" s="28"/>
      <c r="D60" s="56"/>
      <c r="E60" s="6"/>
      <c r="F60" s="5"/>
      <c r="G60" s="5"/>
      <c r="H60" s="6"/>
      <c r="I60" s="5"/>
      <c r="J60" s="5"/>
      <c r="K60" s="6"/>
      <c r="L60" s="5"/>
      <c r="M60" s="5"/>
      <c r="N60" s="6"/>
      <c r="O60" s="5"/>
      <c r="P60" s="5"/>
      <c r="Q60" s="6">
        <f t="shared" si="4"/>
        <v>0</v>
      </c>
      <c r="R60" s="72">
        <f t="shared" si="5"/>
        <v>0</v>
      </c>
      <c r="S60" s="76"/>
      <c r="T60" s="67" t="str">
        <f>IF($E$4="High Inventory",IF(AND(Q60&gt;=Summary!$C$128,R60&gt;=Summary!$C$129),"X"," "),IF(AND(Q60&lt;=-Summary!$C$128,R60&lt;=-Summary!$C$129),"X"," "))</f>
        <v xml:space="preserve"> </v>
      </c>
      <c r="U60" s="85" t="str">
        <f>IF($E$4="High Inventory",IF(AND(N60-K60&gt;=Summary!$C$132,P60-M60&gt;Summary!$C$132,P60&gt;0),"X"," "),IF(AND(K60-N60&gt;=Summary!$C$132,M60-P60&gt;Summary!$C$132,P60&lt;0),"X"," "))</f>
        <v xml:space="preserve"> </v>
      </c>
      <c r="V60" s="8" t="str">
        <f>IF($E$4="High Inventory",IF(AND($Q60&gt;=Summary!$C$128,$R60&gt;=0%),"X"," "),IF(AND($Q60&lt;=-Summary!$C$128,$R60&lt;=0%),"X"," "))</f>
        <v xml:space="preserve"> </v>
      </c>
      <c r="W60" s="11" t="str">
        <f>IF($E$4="High Inventory",IF(AND($Q60&gt;=0,$R60&gt;=Summary!$C$129),"X"," "),IF(AND($Q60&lt;=0,$R60&lt;=-Summary!$C$129),"X"," "))</f>
        <v xml:space="preserve"> </v>
      </c>
      <c r="X60" t="str">
        <f t="shared" si="6"/>
        <v xml:space="preserve"> </v>
      </c>
    </row>
    <row r="61" spans="3:24" x14ac:dyDescent="0.2">
      <c r="C61" s="28"/>
      <c r="D61" s="56"/>
      <c r="E61" s="6"/>
      <c r="F61" s="5"/>
      <c r="G61" s="5"/>
      <c r="H61" s="6"/>
      <c r="I61" s="5"/>
      <c r="J61" s="5"/>
      <c r="K61" s="6"/>
      <c r="L61" s="5"/>
      <c r="M61" s="5"/>
      <c r="N61" s="6"/>
      <c r="O61" s="5"/>
      <c r="P61" s="5"/>
      <c r="Q61" s="6">
        <f t="shared" si="4"/>
        <v>0</v>
      </c>
      <c r="R61" s="72">
        <f t="shared" si="5"/>
        <v>0</v>
      </c>
      <c r="S61" s="76"/>
      <c r="T61" s="67" t="str">
        <f>IF($E$4="High Inventory",IF(AND(Q61&gt;=Summary!$C$128,R61&gt;=Summary!$C$129),"X"," "),IF(AND(Q61&lt;=-Summary!$C$128,R61&lt;=-Summary!$C$129),"X"," "))</f>
        <v xml:space="preserve"> </v>
      </c>
      <c r="U61" s="85" t="str">
        <f>IF($E$4="High Inventory",IF(AND(N61-K61&gt;=Summary!$C$132,P61-M61&gt;Summary!$C$132,P61&gt;0),"X"," "),IF(AND(K61-N61&gt;=Summary!$C$132,M61-P61&gt;Summary!$C$132,P61&lt;0),"X"," "))</f>
        <v xml:space="preserve"> </v>
      </c>
      <c r="V61" s="8" t="str">
        <f>IF($E$4="High Inventory",IF(AND($Q61&gt;=Summary!$C$128,$R61&gt;=0%),"X"," "),IF(AND($Q61&lt;=-Summary!$C$128,$R61&lt;=0%),"X"," "))</f>
        <v xml:space="preserve"> </v>
      </c>
      <c r="W61" s="11" t="str">
        <f>IF($E$4="High Inventory",IF(AND($Q61&gt;=0,$R61&gt;=Summary!$C$129),"X"," "),IF(AND($Q61&lt;=0,$R61&lt;=-Summary!$C$129),"X"," "))</f>
        <v xml:space="preserve"> </v>
      </c>
      <c r="X61" t="str">
        <f t="shared" si="6"/>
        <v xml:space="preserve"> </v>
      </c>
    </row>
    <row r="62" spans="3:24" x14ac:dyDescent="0.2">
      <c r="C62" s="28"/>
      <c r="D62" s="56"/>
      <c r="E62" s="6"/>
      <c r="F62" s="5"/>
      <c r="G62" s="5"/>
      <c r="H62" s="6"/>
      <c r="I62" s="5"/>
      <c r="J62" s="5"/>
      <c r="K62" s="6"/>
      <c r="L62" s="5"/>
      <c r="M62" s="5"/>
      <c r="N62" s="6"/>
      <c r="O62" s="5"/>
      <c r="P62" s="5"/>
      <c r="Q62" s="6">
        <f t="shared" si="4"/>
        <v>0</v>
      </c>
      <c r="R62" s="72">
        <f t="shared" si="5"/>
        <v>0</v>
      </c>
      <c r="S62" s="76"/>
      <c r="T62" s="67" t="str">
        <f>IF($E$4="High Inventory",IF(AND(Q62&gt;=Summary!$C$128,R62&gt;=Summary!$C$129),"X"," "),IF(AND(Q62&lt;=-Summary!$C$128,R62&lt;=-Summary!$C$129),"X"," "))</f>
        <v xml:space="preserve"> </v>
      </c>
      <c r="U62" s="85" t="str">
        <f>IF($E$4="High Inventory",IF(AND(N62-K62&gt;=Summary!$C$132,P62-M62&gt;Summary!$C$132,P62&gt;0),"X"," "),IF(AND(K62-N62&gt;=Summary!$C$132,M62-P62&gt;Summary!$C$132,P62&lt;0),"X"," "))</f>
        <v xml:space="preserve"> </v>
      </c>
      <c r="V62" s="8" t="str">
        <f>IF($E$4="High Inventory",IF(AND($Q62&gt;=Summary!$C$128,$R62&gt;=0%),"X"," "),IF(AND($Q62&lt;=-Summary!$C$128,$R62&lt;=0%),"X"," "))</f>
        <v xml:space="preserve"> </v>
      </c>
      <c r="W62" s="11" t="str">
        <f>IF($E$4="High Inventory",IF(AND($Q62&gt;=0,$R62&gt;=Summary!$C$129),"X"," "),IF(AND($Q62&lt;=0,$R62&lt;=-Summary!$C$129),"X"," "))</f>
        <v xml:space="preserve"> </v>
      </c>
      <c r="X62" t="str">
        <f t="shared" si="6"/>
        <v xml:space="preserve"> </v>
      </c>
    </row>
    <row r="63" spans="3:24" x14ac:dyDescent="0.2">
      <c r="C63" s="28"/>
      <c r="D63" s="56"/>
      <c r="E63" s="6"/>
      <c r="F63" s="5"/>
      <c r="G63" s="5"/>
      <c r="H63" s="6"/>
      <c r="I63" s="5"/>
      <c r="J63" s="5"/>
      <c r="K63" s="6"/>
      <c r="L63" s="5"/>
      <c r="M63" s="5"/>
      <c r="N63" s="6"/>
      <c r="O63" s="5"/>
      <c r="P63" s="5"/>
      <c r="Q63" s="6">
        <f t="shared" si="4"/>
        <v>0</v>
      </c>
      <c r="R63" s="72">
        <f t="shared" si="5"/>
        <v>0</v>
      </c>
      <c r="S63" s="76"/>
      <c r="T63" s="67" t="str">
        <f>IF($E$4="High Inventory",IF(AND(Q63&gt;=Summary!$C$128,R63&gt;=Summary!$C$129),"X"," "),IF(AND(Q63&lt;=-Summary!$C$128,R63&lt;=-Summary!$C$129),"X"," "))</f>
        <v xml:space="preserve"> </v>
      </c>
      <c r="U63" s="85" t="str">
        <f>IF($E$4="High Inventory",IF(AND(N63-K63&gt;=Summary!$C$132,P63-M63&gt;Summary!$C$132,P63&gt;0),"X"," "),IF(AND(K63-N63&gt;=Summary!$C$132,M63-P63&gt;Summary!$C$132,P63&lt;0),"X"," "))</f>
        <v xml:space="preserve"> </v>
      </c>
      <c r="V63" s="8" t="str">
        <f>IF($E$4="High Inventory",IF(AND($Q63&gt;=Summary!$C$128,$R63&gt;=0%),"X"," "),IF(AND($Q63&lt;=-Summary!$C$128,$R63&lt;=0%),"X"," "))</f>
        <v xml:space="preserve"> </v>
      </c>
      <c r="W63" s="11" t="str">
        <f>IF($E$4="High Inventory",IF(AND($Q63&gt;=0,$R63&gt;=Summary!$C$129),"X"," "),IF(AND($Q63&lt;=0,$R63&lt;=-Summary!$C$129),"X"," "))</f>
        <v xml:space="preserve"> </v>
      </c>
      <c r="X63" t="str">
        <f t="shared" si="6"/>
        <v xml:space="preserve"> </v>
      </c>
    </row>
    <row r="64" spans="3:24" x14ac:dyDescent="0.2">
      <c r="C64" s="28"/>
      <c r="D64" s="56"/>
      <c r="E64" s="6"/>
      <c r="F64" s="5"/>
      <c r="G64" s="5"/>
      <c r="H64" s="6"/>
      <c r="I64" s="5"/>
      <c r="J64" s="5"/>
      <c r="K64" s="6"/>
      <c r="L64" s="5"/>
      <c r="M64" s="5"/>
      <c r="N64" s="6"/>
      <c r="O64" s="5"/>
      <c r="P64" s="5"/>
      <c r="Q64" s="6">
        <f t="shared" si="4"/>
        <v>0</v>
      </c>
      <c r="R64" s="72">
        <f t="shared" si="5"/>
        <v>0</v>
      </c>
      <c r="S64" s="76"/>
      <c r="T64" s="67" t="str">
        <f>IF($E$4="High Inventory",IF(AND(Q64&gt;=Summary!$C$128,R64&gt;=Summary!$C$129),"X"," "),IF(AND(Q64&lt;=-Summary!$C$128,R64&lt;=-Summary!$C$129),"X"," "))</f>
        <v xml:space="preserve"> </v>
      </c>
      <c r="U64" s="85" t="str">
        <f>IF($E$4="High Inventory",IF(AND(N64-K64&gt;=Summary!$C$132,P64-M64&gt;Summary!$C$132,P64&gt;0),"X"," "),IF(AND(K64-N64&gt;=Summary!$C$132,M64-P64&gt;Summary!$C$132,P64&lt;0),"X"," "))</f>
        <v xml:space="preserve"> </v>
      </c>
      <c r="V64" s="8" t="str">
        <f>IF($E$4="High Inventory",IF(AND($Q64&gt;=Summary!$C$128,$R64&gt;=0%),"X"," "),IF(AND($Q64&lt;=-Summary!$C$128,$R64&lt;=0%),"X"," "))</f>
        <v xml:space="preserve"> </v>
      </c>
      <c r="W64" s="11" t="str">
        <f>IF($E$4="High Inventory",IF(AND($Q64&gt;=0,$R64&gt;=Summary!$C$129),"X"," "),IF(AND($Q64&lt;=0,$R64&lt;=-Summary!$C$129),"X"," "))</f>
        <v xml:space="preserve"> </v>
      </c>
      <c r="X64" t="str">
        <f t="shared" si="6"/>
        <v xml:space="preserve"> </v>
      </c>
    </row>
    <row r="65" spans="3:24" x14ac:dyDescent="0.2">
      <c r="C65" s="28"/>
      <c r="D65" s="56"/>
      <c r="E65" s="6"/>
      <c r="F65" s="5"/>
      <c r="G65" s="5"/>
      <c r="H65" s="6"/>
      <c r="I65" s="5"/>
      <c r="J65" s="5"/>
      <c r="K65" s="6"/>
      <c r="L65" s="5"/>
      <c r="M65" s="5"/>
      <c r="N65" s="6"/>
      <c r="O65" s="5"/>
      <c r="P65" s="5"/>
      <c r="Q65" s="6">
        <f t="shared" si="4"/>
        <v>0</v>
      </c>
      <c r="R65" s="72">
        <f t="shared" si="5"/>
        <v>0</v>
      </c>
      <c r="S65" s="76"/>
      <c r="T65" s="67" t="str">
        <f>IF($E$4="High Inventory",IF(AND(Q65&gt;=Summary!$C$128,R65&gt;=Summary!$C$129),"X"," "),IF(AND(Q65&lt;=-Summary!$C$128,R65&lt;=-Summary!$C$129),"X"," "))</f>
        <v xml:space="preserve"> </v>
      </c>
      <c r="U65" s="85" t="str">
        <f>IF($E$4="High Inventory",IF(AND(N65-K65&gt;=Summary!$C$132,P65-M65&gt;Summary!$C$132,P65&gt;0),"X"," "),IF(AND(K65-N65&gt;=Summary!$C$132,M65-P65&gt;Summary!$C$132,P65&lt;0),"X"," "))</f>
        <v xml:space="preserve"> </v>
      </c>
      <c r="V65" s="8" t="str">
        <f>IF($E$4="High Inventory",IF(AND($Q65&gt;=Summary!$C$128,$R65&gt;=0%),"X"," "),IF(AND($Q65&lt;=-Summary!$C$128,$R65&lt;=0%),"X"," "))</f>
        <v xml:space="preserve"> </v>
      </c>
      <c r="W65" s="11" t="str">
        <f>IF($E$4="High Inventory",IF(AND($Q65&gt;=0,$R65&gt;=Summary!$C$129),"X"," "),IF(AND($Q65&lt;=0,$R65&lt;=-Summary!$C$129),"X"," "))</f>
        <v xml:space="preserve"> </v>
      </c>
      <c r="X65" t="str">
        <f t="shared" si="6"/>
        <v xml:space="preserve"> </v>
      </c>
    </row>
    <row r="66" spans="3:24" x14ac:dyDescent="0.2">
      <c r="C66" s="28"/>
      <c r="D66" s="56"/>
      <c r="E66" s="6"/>
      <c r="F66" s="5"/>
      <c r="G66" s="5"/>
      <c r="H66" s="6"/>
      <c r="I66" s="5"/>
      <c r="J66" s="5"/>
      <c r="K66" s="6"/>
      <c r="L66" s="5"/>
      <c r="M66" s="5"/>
      <c r="N66" s="6"/>
      <c r="O66" s="5"/>
      <c r="P66" s="5"/>
      <c r="Q66" s="6">
        <f t="shared" si="4"/>
        <v>0</v>
      </c>
      <c r="R66" s="72">
        <f t="shared" si="5"/>
        <v>0</v>
      </c>
      <c r="S66" s="76"/>
      <c r="T66" s="67" t="str">
        <f>IF($E$4="High Inventory",IF(AND(Q66&gt;=Summary!$C$128,R66&gt;=Summary!$C$129),"X"," "),IF(AND(Q66&lt;=-Summary!$C$128,R66&lt;=-Summary!$C$129),"X"," "))</f>
        <v xml:space="preserve"> </v>
      </c>
      <c r="U66" s="85" t="str">
        <f>IF($E$4="High Inventory",IF(AND(N66-K66&gt;=Summary!$C$132,P66-M66&gt;Summary!$C$132,P66&gt;0),"X"," "),IF(AND(K66-N66&gt;=Summary!$C$132,M66-P66&gt;Summary!$C$132,P66&lt;0),"X"," "))</f>
        <v xml:space="preserve"> </v>
      </c>
      <c r="V66" s="8" t="str">
        <f>IF($E$4="High Inventory",IF(AND($Q66&gt;=Summary!$C$128,$R66&gt;=0%),"X"," "),IF(AND($Q66&lt;=-Summary!$C$128,$R66&lt;=0%),"X"," "))</f>
        <v xml:space="preserve"> </v>
      </c>
      <c r="W66" s="11" t="str">
        <f>IF($E$4="High Inventory",IF(AND($Q66&gt;=0,$R66&gt;=Summary!$C$129),"X"," "),IF(AND($Q66&lt;=0,$R66&lt;=-Summary!$C$129),"X"," "))</f>
        <v xml:space="preserve"> </v>
      </c>
      <c r="X66" t="str">
        <f t="shared" si="6"/>
        <v xml:space="preserve"> </v>
      </c>
    </row>
    <row r="67" spans="3:24" x14ac:dyDescent="0.2">
      <c r="C67" s="28"/>
      <c r="D67" s="56"/>
      <c r="E67" s="6"/>
      <c r="F67" s="5"/>
      <c r="G67" s="5"/>
      <c r="H67" s="6"/>
      <c r="I67" s="5"/>
      <c r="J67" s="5"/>
      <c r="K67" s="6"/>
      <c r="L67" s="5"/>
      <c r="M67" s="5"/>
      <c r="N67" s="6"/>
      <c r="O67" s="5"/>
      <c r="P67" s="5"/>
      <c r="Q67" s="6">
        <f t="shared" si="4"/>
        <v>0</v>
      </c>
      <c r="R67" s="72">
        <f t="shared" si="5"/>
        <v>0</v>
      </c>
      <c r="S67" s="76"/>
      <c r="T67" s="67" t="str">
        <f>IF($E$4="High Inventory",IF(AND(Q67&gt;=Summary!$C$128,R67&gt;=Summary!$C$129),"X"," "),IF(AND(Q67&lt;=-Summary!$C$128,R67&lt;=-Summary!$C$129),"X"," "))</f>
        <v xml:space="preserve"> </v>
      </c>
      <c r="U67" s="85" t="str">
        <f>IF($E$4="High Inventory",IF(AND(N67-K67&gt;=Summary!$C$132,P67-M67&gt;Summary!$C$132,P67&gt;0),"X"," "),IF(AND(K67-N67&gt;=Summary!$C$132,M67-P67&gt;Summary!$C$132,P67&lt;0),"X"," "))</f>
        <v xml:space="preserve"> </v>
      </c>
      <c r="V67" s="8" t="str">
        <f>IF($E$4="High Inventory",IF(AND($Q67&gt;=Summary!$C$128,$R67&gt;=0%),"X"," "),IF(AND($Q67&lt;=-Summary!$C$128,$R67&lt;=0%),"X"," "))</f>
        <v xml:space="preserve"> </v>
      </c>
      <c r="W67" s="11" t="str">
        <f>IF($E$4="High Inventory",IF(AND($Q67&gt;=0,$R67&gt;=Summary!$C$129),"X"," "),IF(AND($Q67&lt;=0,$R67&lt;=-Summary!$C$129),"X"," "))</f>
        <v xml:space="preserve"> </v>
      </c>
      <c r="X67" t="str">
        <f t="shared" si="6"/>
        <v xml:space="preserve"> </v>
      </c>
    </row>
    <row r="68" spans="3:24" x14ac:dyDescent="0.2">
      <c r="C68" s="28"/>
      <c r="D68" s="56"/>
      <c r="E68" s="6"/>
      <c r="F68" s="5"/>
      <c r="G68" s="5"/>
      <c r="H68" s="6"/>
      <c r="I68" s="5"/>
      <c r="J68" s="5"/>
      <c r="K68" s="6"/>
      <c r="L68" s="5"/>
      <c r="M68" s="5"/>
      <c r="N68" s="6"/>
      <c r="O68" s="5"/>
      <c r="P68" s="5"/>
      <c r="Q68" s="6">
        <f t="shared" si="4"/>
        <v>0</v>
      </c>
      <c r="R68" s="72">
        <f t="shared" si="5"/>
        <v>0</v>
      </c>
      <c r="S68" s="76"/>
      <c r="T68" s="67" t="str">
        <f>IF($E$4="High Inventory",IF(AND(Q68&gt;=Summary!$C$128,R68&gt;=Summary!$C$129),"X"," "),IF(AND(Q68&lt;=-Summary!$C$128,R68&lt;=-Summary!$C$129),"X"," "))</f>
        <v xml:space="preserve"> </v>
      </c>
      <c r="U68" s="85" t="str">
        <f>IF($E$4="High Inventory",IF(AND(N68-K68&gt;=Summary!$C$132,P68-M68&gt;Summary!$C$132,P68&gt;0),"X"," "),IF(AND(K68-N68&gt;=Summary!$C$132,M68-P68&gt;Summary!$C$132,P68&lt;0),"X"," "))</f>
        <v xml:space="preserve"> </v>
      </c>
      <c r="V68" s="8" t="str">
        <f>IF($E$4="High Inventory",IF(AND($Q68&gt;=Summary!$C$128,$R68&gt;=0%),"X"," "),IF(AND($Q68&lt;=-Summary!$C$128,$R68&lt;=0%),"X"," "))</f>
        <v xml:space="preserve"> </v>
      </c>
      <c r="W68" s="11" t="str">
        <f>IF($E$4="High Inventory",IF(AND($Q68&gt;=0,$R68&gt;=Summary!$C$129),"X"," "),IF(AND($Q68&lt;=0,$R68&lt;=-Summary!$C$129),"X"," "))</f>
        <v xml:space="preserve"> </v>
      </c>
      <c r="X68" t="str">
        <f t="shared" si="6"/>
        <v xml:space="preserve"> </v>
      </c>
    </row>
    <row r="69" spans="3:24" x14ac:dyDescent="0.2">
      <c r="C69" s="28"/>
      <c r="D69" s="56"/>
      <c r="E69" s="6"/>
      <c r="F69" s="5"/>
      <c r="G69" s="5"/>
      <c r="H69" s="6"/>
      <c r="I69" s="5"/>
      <c r="J69" s="5"/>
      <c r="K69" s="6"/>
      <c r="L69" s="5"/>
      <c r="M69" s="5"/>
      <c r="N69" s="6"/>
      <c r="O69" s="5"/>
      <c r="P69" s="5"/>
      <c r="Q69" s="6">
        <f t="shared" si="4"/>
        <v>0</v>
      </c>
      <c r="R69" s="72">
        <f t="shared" si="5"/>
        <v>0</v>
      </c>
      <c r="S69" s="76"/>
      <c r="T69" s="67" t="str">
        <f>IF($E$4="High Inventory",IF(AND(Q69&gt;=Summary!$C$128,R69&gt;=Summary!$C$129),"X"," "),IF(AND(Q69&lt;=-Summary!$C$128,R69&lt;=-Summary!$C$129),"X"," "))</f>
        <v xml:space="preserve"> </v>
      </c>
      <c r="U69" s="85" t="str">
        <f>IF($E$4="High Inventory",IF(AND(N69-K69&gt;=Summary!$C$132,P69-M69&gt;Summary!$C$132,P69&gt;0),"X"," "),IF(AND(K69-N69&gt;=Summary!$C$132,M69-P69&gt;Summary!$C$132,P69&lt;0),"X"," "))</f>
        <v xml:space="preserve"> </v>
      </c>
      <c r="V69" s="8" t="str">
        <f>IF($E$4="High Inventory",IF(AND($Q69&gt;=Summary!$C$128,$R69&gt;=0%),"X"," "),IF(AND($Q69&lt;=-Summary!$C$128,$R69&lt;=0%),"X"," "))</f>
        <v xml:space="preserve"> </v>
      </c>
      <c r="W69" s="11" t="str">
        <f>IF($E$4="High Inventory",IF(AND($Q69&gt;=0,$R69&gt;=Summary!$C$129),"X"," "),IF(AND($Q69&lt;=0,$R69&lt;=-Summary!$C$129),"X"," "))</f>
        <v xml:space="preserve"> </v>
      </c>
      <c r="X69" t="str">
        <f t="shared" si="6"/>
        <v xml:space="preserve"> </v>
      </c>
    </row>
    <row r="70" spans="3:24" x14ac:dyDescent="0.2">
      <c r="C70" s="28"/>
      <c r="D70" s="56"/>
      <c r="E70" s="6"/>
      <c r="F70" s="5"/>
      <c r="G70" s="5"/>
      <c r="H70" s="6"/>
      <c r="I70" s="5"/>
      <c r="J70" s="5"/>
      <c r="K70" s="6"/>
      <c r="L70" s="5"/>
      <c r="M70" s="5"/>
      <c r="N70" s="6"/>
      <c r="O70" s="5"/>
      <c r="P70" s="5"/>
      <c r="Q70" s="6">
        <f t="shared" si="4"/>
        <v>0</v>
      </c>
      <c r="R70" s="72">
        <f t="shared" si="5"/>
        <v>0</v>
      </c>
      <c r="S70" s="76"/>
      <c r="T70" s="67" t="str">
        <f>IF($E$4="High Inventory",IF(AND(Q70&gt;=Summary!$C$128,R70&gt;=Summary!$C$129),"X"," "),IF(AND(Q70&lt;=-Summary!$C$128,R70&lt;=-Summary!$C$129),"X"," "))</f>
        <v xml:space="preserve"> </v>
      </c>
      <c r="U70" s="85" t="str">
        <f>IF($E$4="High Inventory",IF(AND(N70-K70&gt;=Summary!$C$132,P70-M70&gt;Summary!$C$132,P70&gt;0),"X"," "),IF(AND(K70-N70&gt;=Summary!$C$132,M70-P70&gt;Summary!$C$132,P70&lt;0),"X"," "))</f>
        <v xml:space="preserve"> </v>
      </c>
      <c r="V70" s="8" t="str">
        <f>IF($E$4="High Inventory",IF(AND($Q70&gt;=Summary!$C$128,$R70&gt;=0%),"X"," "),IF(AND($Q70&lt;=-Summary!$C$128,$R70&lt;=0%),"X"," "))</f>
        <v xml:space="preserve"> </v>
      </c>
      <c r="W70" s="11" t="str">
        <f>IF($E$4="High Inventory",IF(AND($Q70&gt;=0,$R70&gt;=Summary!$C$129),"X"," "),IF(AND($Q70&lt;=0,$R70&lt;=-Summary!$C$129),"X"," "))</f>
        <v xml:space="preserve"> </v>
      </c>
      <c r="X70" t="str">
        <f t="shared" si="6"/>
        <v xml:space="preserve"> </v>
      </c>
    </row>
    <row r="71" spans="3:24" x14ac:dyDescent="0.2">
      <c r="C71" s="28"/>
      <c r="D71" s="56"/>
      <c r="E71" s="6"/>
      <c r="F71" s="5"/>
      <c r="G71" s="5"/>
      <c r="H71" s="6"/>
      <c r="I71" s="5"/>
      <c r="J71" s="5"/>
      <c r="K71" s="6"/>
      <c r="L71" s="5"/>
      <c r="M71" s="5"/>
      <c r="N71" s="6"/>
      <c r="O71" s="5"/>
      <c r="P71" s="5"/>
      <c r="Q71" s="6">
        <f t="shared" si="4"/>
        <v>0</v>
      </c>
      <c r="R71" s="72">
        <f t="shared" si="5"/>
        <v>0</v>
      </c>
      <c r="S71" s="76"/>
      <c r="T71" s="67" t="str">
        <f>IF($E$4="High Inventory",IF(AND(Q71&gt;=Summary!$C$128,R71&gt;=Summary!$C$129),"X"," "),IF(AND(Q71&lt;=-Summary!$C$128,R71&lt;=-Summary!$C$129),"X"," "))</f>
        <v xml:space="preserve"> </v>
      </c>
      <c r="U71" s="85" t="str">
        <f>IF($E$4="High Inventory",IF(AND(N71-K71&gt;=Summary!$C$132,P71-M71&gt;Summary!$C$132,P71&gt;0),"X"," "),IF(AND(K71-N71&gt;=Summary!$C$132,M71-P71&gt;Summary!$C$132,P71&lt;0),"X"," "))</f>
        <v xml:space="preserve"> </v>
      </c>
      <c r="V71" s="8" t="str">
        <f>IF($E$4="High Inventory",IF(AND($Q71&gt;=Summary!$C$128,$R71&gt;=0%),"X"," "),IF(AND($Q71&lt;=-Summary!$C$128,$R71&lt;=0%),"X"," "))</f>
        <v xml:space="preserve"> </v>
      </c>
      <c r="W71" s="11" t="str">
        <f>IF($E$4="High Inventory",IF(AND($Q71&gt;=0,$R71&gt;=Summary!$C$129),"X"," "),IF(AND($Q71&lt;=0,$R71&lt;=-Summary!$C$129),"X"," "))</f>
        <v xml:space="preserve"> </v>
      </c>
      <c r="X71" t="str">
        <f t="shared" si="6"/>
        <v xml:space="preserve"> </v>
      </c>
    </row>
    <row r="72" spans="3:24" x14ac:dyDescent="0.2">
      <c r="C72" s="28"/>
      <c r="D72" s="56"/>
      <c r="E72" s="6"/>
      <c r="F72" s="5"/>
      <c r="G72" s="5"/>
      <c r="H72" s="6"/>
      <c r="I72" s="5"/>
      <c r="J72" s="5"/>
      <c r="K72" s="6"/>
      <c r="L72" s="5"/>
      <c r="M72" s="5"/>
      <c r="N72" s="6"/>
      <c r="O72" s="5"/>
      <c r="P72" s="5"/>
      <c r="Q72" s="6">
        <f t="shared" si="4"/>
        <v>0</v>
      </c>
      <c r="R72" s="72">
        <f t="shared" si="5"/>
        <v>0</v>
      </c>
      <c r="S72" s="76"/>
      <c r="T72" s="67" t="str">
        <f>IF($E$4="High Inventory",IF(AND(Q72&gt;=Summary!$C$128,R72&gt;=Summary!$C$129),"X"," "),IF(AND(Q72&lt;=-Summary!$C$128,R72&lt;=-Summary!$C$129),"X"," "))</f>
        <v xml:space="preserve"> </v>
      </c>
      <c r="U72" s="85" t="str">
        <f>IF($E$4="High Inventory",IF(AND(N72-K72&gt;=Summary!$C$132,P72-M72&gt;Summary!$C$132,P72&gt;0),"X"," "),IF(AND(K72-N72&gt;=Summary!$C$132,M72-P72&gt;Summary!$C$132,P72&lt;0),"X"," "))</f>
        <v xml:space="preserve"> </v>
      </c>
      <c r="V72" s="8" t="str">
        <f>IF($E$4="High Inventory",IF(AND($Q72&gt;=Summary!$C$128,$R72&gt;=0%),"X"," "),IF(AND($Q72&lt;=-Summary!$C$128,$R72&lt;=0%),"X"," "))</f>
        <v xml:space="preserve"> </v>
      </c>
      <c r="W72" s="11" t="str">
        <f>IF($E$4="High Inventory",IF(AND($Q72&gt;=0,$R72&gt;=Summary!$C$129),"X"," "),IF(AND($Q72&lt;=0,$R72&lt;=-Summary!$C$129),"X"," "))</f>
        <v xml:space="preserve"> </v>
      </c>
      <c r="X72" t="str">
        <f t="shared" si="6"/>
        <v xml:space="preserve"> </v>
      </c>
    </row>
    <row r="73" spans="3:24" x14ac:dyDescent="0.2">
      <c r="C73" s="28"/>
      <c r="D73" s="56"/>
      <c r="E73" s="6"/>
      <c r="F73" s="5"/>
      <c r="G73" s="5"/>
      <c r="H73" s="6"/>
      <c r="I73" s="5"/>
      <c r="J73" s="5"/>
      <c r="K73" s="6"/>
      <c r="L73" s="5"/>
      <c r="M73" s="5"/>
      <c r="N73" s="6"/>
      <c r="O73" s="5"/>
      <c r="P73" s="5"/>
      <c r="Q73" s="6">
        <f t="shared" ref="Q73:Q96" si="7">M73+J73+G73</f>
        <v>0</v>
      </c>
      <c r="R73" s="72">
        <f t="shared" si="5"/>
        <v>0</v>
      </c>
      <c r="S73" s="76"/>
      <c r="T73" s="67" t="str">
        <f>IF($E$4="High Inventory",IF(AND(Q73&gt;=Summary!$C$128,R73&gt;=Summary!$C$129),"X"," "),IF(AND(Q73&lt;=-Summary!$C$128,R73&lt;=-Summary!$C$129),"X"," "))</f>
        <v xml:space="preserve"> </v>
      </c>
      <c r="U73" s="85" t="str">
        <f>IF($E$4="High Inventory",IF(AND(N73-K73&gt;=Summary!$C$132,P73-M73&gt;Summary!$C$132,P73&gt;0),"X"," "),IF(AND(K73-N73&gt;=Summary!$C$132,M73-P73&gt;Summary!$C$132,P73&lt;0),"X"," "))</f>
        <v xml:space="preserve"> </v>
      </c>
      <c r="V73" s="8" t="str">
        <f>IF($E$4="High Inventory",IF(AND($Q73&gt;=Summary!$C$128,$R73&gt;=0%),"X"," "),IF(AND($Q73&lt;=-Summary!$C$128,$R73&lt;=0%),"X"," "))</f>
        <v xml:space="preserve"> </v>
      </c>
      <c r="W73" s="11" t="str">
        <f>IF($E$4="High Inventory",IF(AND($Q73&gt;=0,$R73&gt;=Summary!$C$129),"X"," "),IF(AND($Q73&lt;=0,$R73&lt;=-Summary!$C$129),"X"," "))</f>
        <v xml:space="preserve"> </v>
      </c>
      <c r="X73" t="str">
        <f t="shared" si="6"/>
        <v xml:space="preserve"> </v>
      </c>
    </row>
    <row r="74" spans="3:24" x14ac:dyDescent="0.2">
      <c r="C74" s="28"/>
      <c r="D74" s="56"/>
      <c r="E74" s="6"/>
      <c r="F74" s="5"/>
      <c r="G74" s="5"/>
      <c r="H74" s="6"/>
      <c r="I74" s="5"/>
      <c r="J74" s="5"/>
      <c r="K74" s="6"/>
      <c r="L74" s="5"/>
      <c r="M74" s="5"/>
      <c r="N74" s="6"/>
      <c r="O74" s="5"/>
      <c r="P74" s="5"/>
      <c r="Q74" s="6">
        <f t="shared" si="7"/>
        <v>0</v>
      </c>
      <c r="R74" s="72">
        <f t="shared" ref="R74:R96" si="8">Q74/(L74+I74+F74+1)</f>
        <v>0</v>
      </c>
      <c r="S74" s="76"/>
      <c r="T74" s="67" t="str">
        <f>IF($E$4="High Inventory",IF(AND(Q74&gt;=Summary!$C$128,R74&gt;=Summary!$C$129),"X"," "),IF(AND(Q74&lt;=-Summary!$C$128,R74&lt;=-Summary!$C$129),"X"," "))</f>
        <v xml:space="preserve"> </v>
      </c>
      <c r="U74" s="85" t="str">
        <f>IF($E$4="High Inventory",IF(AND(N74-K74&gt;=Summary!$C$132,P74-M74&gt;Summary!$C$132,P74&gt;0),"X"," "),IF(AND(K74-N74&gt;=Summary!$C$132,M74-P74&gt;Summary!$C$132,P74&lt;0),"X"," "))</f>
        <v xml:space="preserve"> </v>
      </c>
      <c r="V74" s="8" t="str">
        <f>IF($E$4="High Inventory",IF(AND($Q74&gt;=Summary!$C$128,$R74&gt;=0%),"X"," "),IF(AND($Q74&lt;=-Summary!$C$128,$R74&lt;=0%),"X"," "))</f>
        <v xml:space="preserve"> </v>
      </c>
      <c r="W74" s="11" t="str">
        <f>IF($E$4="High Inventory",IF(AND($Q74&gt;=0,$R74&gt;=Summary!$C$129),"X"," "),IF(AND($Q74&lt;=0,$R74&lt;=-Summary!$C$129),"X"," "))</f>
        <v xml:space="preserve"> </v>
      </c>
      <c r="X74" t="str">
        <f t="shared" ref="X74:X96" si="9">IF(U74 = "X",N74-K74," ")</f>
        <v xml:space="preserve"> </v>
      </c>
    </row>
    <row r="75" spans="3:24" x14ac:dyDescent="0.2">
      <c r="C75" s="28"/>
      <c r="D75" s="56"/>
      <c r="E75" s="6"/>
      <c r="F75" s="5"/>
      <c r="G75" s="5"/>
      <c r="H75" s="6"/>
      <c r="I75" s="5"/>
      <c r="J75" s="5"/>
      <c r="K75" s="6"/>
      <c r="L75" s="5"/>
      <c r="M75" s="5"/>
      <c r="N75" s="6"/>
      <c r="O75" s="5"/>
      <c r="P75" s="5"/>
      <c r="Q75" s="6">
        <f t="shared" si="7"/>
        <v>0</v>
      </c>
      <c r="R75" s="72">
        <f t="shared" si="8"/>
        <v>0</v>
      </c>
      <c r="S75" s="76"/>
      <c r="T75" s="67" t="str">
        <f>IF($E$4="High Inventory",IF(AND(Q75&gt;=Summary!$C$128,R75&gt;=Summary!$C$129),"X"," "),IF(AND(Q75&lt;=-Summary!$C$128,R75&lt;=-Summary!$C$129),"X"," "))</f>
        <v xml:space="preserve"> </v>
      </c>
      <c r="U75" s="85" t="str">
        <f>IF($E$4="High Inventory",IF(AND(N75-K75&gt;=Summary!$C$132,P75-M75&gt;Summary!$C$132,P75&gt;0),"X"," "),IF(AND(K75-N75&gt;=Summary!$C$132,M75-P75&gt;Summary!$C$132,P75&lt;0),"X"," "))</f>
        <v xml:space="preserve"> </v>
      </c>
      <c r="V75" s="8" t="str">
        <f>IF($E$4="High Inventory",IF(AND($Q75&gt;=Summary!$C$128,$R75&gt;=0%),"X"," "),IF(AND($Q75&lt;=-Summary!$C$128,$R75&lt;=0%),"X"," "))</f>
        <v xml:space="preserve"> </v>
      </c>
      <c r="W75" s="11" t="str">
        <f>IF($E$4="High Inventory",IF(AND($Q75&gt;=0,$R75&gt;=Summary!$C$129),"X"," "),IF(AND($Q75&lt;=0,$R75&lt;=-Summary!$C$129),"X"," "))</f>
        <v xml:space="preserve"> </v>
      </c>
      <c r="X75" t="str">
        <f t="shared" si="9"/>
        <v xml:space="preserve"> </v>
      </c>
    </row>
    <row r="76" spans="3:24" x14ac:dyDescent="0.2">
      <c r="C76" s="28"/>
      <c r="D76" s="56"/>
      <c r="E76" s="6"/>
      <c r="F76" s="5"/>
      <c r="G76" s="5"/>
      <c r="H76" s="6"/>
      <c r="I76" s="5"/>
      <c r="J76" s="5"/>
      <c r="K76" s="6"/>
      <c r="L76" s="5"/>
      <c r="M76" s="5"/>
      <c r="N76" s="6"/>
      <c r="O76" s="5"/>
      <c r="P76" s="5"/>
      <c r="Q76" s="6">
        <f t="shared" si="7"/>
        <v>0</v>
      </c>
      <c r="R76" s="72">
        <f t="shared" si="8"/>
        <v>0</v>
      </c>
      <c r="S76" s="76"/>
      <c r="T76" s="67" t="str">
        <f>IF($E$4="High Inventory",IF(AND(Q76&gt;=Summary!$C$128,R76&gt;=Summary!$C$129),"X"," "),IF(AND(Q76&lt;=-Summary!$C$128,R76&lt;=-Summary!$C$129),"X"," "))</f>
        <v xml:space="preserve"> </v>
      </c>
      <c r="U76" s="85" t="str">
        <f>IF($E$4="High Inventory",IF(AND(N76-K76&gt;=Summary!$C$132,P76-M76&gt;Summary!$C$132,P76&gt;0),"X"," "),IF(AND(K76-N76&gt;=Summary!$C$132,M76-P76&gt;Summary!$C$132,P76&lt;0),"X"," "))</f>
        <v xml:space="preserve"> </v>
      </c>
      <c r="V76" s="8" t="str">
        <f>IF($E$4="High Inventory",IF(AND($Q76&gt;=Summary!$C$128,$R76&gt;=0%),"X"," "),IF(AND($Q76&lt;=-Summary!$C$128,$R76&lt;=0%),"X"," "))</f>
        <v xml:space="preserve"> </v>
      </c>
      <c r="W76" s="11" t="str">
        <f>IF($E$4="High Inventory",IF(AND($Q76&gt;=0,$R76&gt;=Summary!$C$129),"X"," "),IF(AND($Q76&lt;=0,$R76&lt;=-Summary!$C$129),"X"," "))</f>
        <v xml:space="preserve"> </v>
      </c>
      <c r="X76" t="str">
        <f t="shared" si="9"/>
        <v xml:space="preserve"> </v>
      </c>
    </row>
    <row r="77" spans="3:24" x14ac:dyDescent="0.2">
      <c r="C77" s="28"/>
      <c r="D77" s="56"/>
      <c r="E77" s="6"/>
      <c r="F77" s="5"/>
      <c r="G77" s="5"/>
      <c r="H77" s="6"/>
      <c r="I77" s="5"/>
      <c r="J77" s="5"/>
      <c r="K77" s="6"/>
      <c r="L77" s="5"/>
      <c r="M77" s="5"/>
      <c r="N77" s="6"/>
      <c r="O77" s="5"/>
      <c r="P77" s="5"/>
      <c r="Q77" s="6">
        <f t="shared" si="7"/>
        <v>0</v>
      </c>
      <c r="R77" s="72">
        <f t="shared" si="8"/>
        <v>0</v>
      </c>
      <c r="S77" s="76"/>
      <c r="T77" s="67" t="str">
        <f>IF($E$4="High Inventory",IF(AND(Q77&gt;=Summary!$C$128,R77&gt;=Summary!$C$129),"X"," "),IF(AND(Q77&lt;=-Summary!$C$128,R77&lt;=-Summary!$C$129),"X"," "))</f>
        <v xml:space="preserve"> </v>
      </c>
      <c r="U77" s="85" t="str">
        <f>IF($E$4="High Inventory",IF(AND(N77-K77&gt;=Summary!$C$132,P77-M77&gt;Summary!$C$132,P77&gt;0),"X"," "),IF(AND(K77-N77&gt;=Summary!$C$132,M77-P77&gt;Summary!$C$132,P77&lt;0),"X"," "))</f>
        <v xml:space="preserve"> </v>
      </c>
      <c r="V77" s="8" t="str">
        <f>IF($E$4="High Inventory",IF(AND($Q77&gt;=Summary!$C$128,$R77&gt;=0%),"X"," "),IF(AND($Q77&lt;=-Summary!$C$128,$R77&lt;=0%),"X"," "))</f>
        <v xml:space="preserve"> </v>
      </c>
      <c r="W77" s="11" t="str">
        <f>IF($E$4="High Inventory",IF(AND($Q77&gt;=0,$R77&gt;=Summary!$C$129),"X"," "),IF(AND($Q77&lt;=0,$R77&lt;=-Summary!$C$129),"X"," "))</f>
        <v xml:space="preserve"> </v>
      </c>
      <c r="X77" t="str">
        <f t="shared" si="9"/>
        <v xml:space="preserve"> </v>
      </c>
    </row>
    <row r="78" spans="3:24" x14ac:dyDescent="0.2">
      <c r="C78" s="28"/>
      <c r="D78" s="56"/>
      <c r="E78" s="6"/>
      <c r="F78" s="5"/>
      <c r="G78" s="5"/>
      <c r="H78" s="6"/>
      <c r="I78" s="5"/>
      <c r="J78" s="5"/>
      <c r="K78" s="6"/>
      <c r="L78" s="5"/>
      <c r="M78" s="5"/>
      <c r="N78" s="6"/>
      <c r="O78" s="5"/>
      <c r="P78" s="5"/>
      <c r="Q78" s="6">
        <f t="shared" si="7"/>
        <v>0</v>
      </c>
      <c r="R78" s="72">
        <f t="shared" si="8"/>
        <v>0</v>
      </c>
      <c r="S78" s="76"/>
      <c r="T78" s="67" t="str">
        <f>IF($E$4="High Inventory",IF(AND(Q78&gt;=Summary!$C$128,R78&gt;=Summary!$C$129),"X"," "),IF(AND(Q78&lt;=-Summary!$C$128,R78&lt;=-Summary!$C$129),"X"," "))</f>
        <v xml:space="preserve"> </v>
      </c>
      <c r="U78" s="85" t="str">
        <f>IF($E$4="High Inventory",IF(AND(N78-K78&gt;=Summary!$C$132,P78-M78&gt;Summary!$C$132,P78&gt;0),"X"," "),IF(AND(K78-N78&gt;=Summary!$C$132,M78-P78&gt;Summary!$C$132,P78&lt;0),"X"," "))</f>
        <v xml:space="preserve"> </v>
      </c>
      <c r="V78" s="8" t="str">
        <f>IF($E$4="High Inventory",IF(AND($Q78&gt;=Summary!$C$128,$R78&gt;=0%),"X"," "),IF(AND($Q78&lt;=-Summary!$C$128,$R78&lt;=0%),"X"," "))</f>
        <v xml:space="preserve"> </v>
      </c>
      <c r="W78" s="11" t="str">
        <f>IF($E$4="High Inventory",IF(AND($Q78&gt;=0,$R78&gt;=Summary!$C$129),"X"," "),IF(AND($Q78&lt;=0,$R78&lt;=-Summary!$C$129),"X"," "))</f>
        <v xml:space="preserve"> </v>
      </c>
      <c r="X78" t="str">
        <f t="shared" si="9"/>
        <v xml:space="preserve"> </v>
      </c>
    </row>
    <row r="79" spans="3:24" x14ac:dyDescent="0.2">
      <c r="C79" s="28"/>
      <c r="D79" s="56"/>
      <c r="E79" s="6"/>
      <c r="F79" s="5"/>
      <c r="G79" s="5"/>
      <c r="H79" s="6"/>
      <c r="I79" s="5"/>
      <c r="J79" s="5"/>
      <c r="K79" s="6"/>
      <c r="L79" s="5"/>
      <c r="M79" s="5"/>
      <c r="N79" s="6"/>
      <c r="O79" s="5"/>
      <c r="P79" s="5"/>
      <c r="Q79" s="6">
        <f t="shared" si="7"/>
        <v>0</v>
      </c>
      <c r="R79" s="72">
        <f t="shared" si="8"/>
        <v>0</v>
      </c>
      <c r="S79" s="76"/>
      <c r="T79" s="67" t="str">
        <f>IF($E$4="High Inventory",IF(AND(Q79&gt;=Summary!$C$128,R79&gt;=Summary!$C$129),"X"," "),IF(AND(Q79&lt;=-Summary!$C$128,R79&lt;=-Summary!$C$129),"X"," "))</f>
        <v xml:space="preserve"> </v>
      </c>
      <c r="U79" s="85" t="str">
        <f>IF($E$4="High Inventory",IF(AND(N79-K79&gt;=Summary!$C$132,P79-M79&gt;Summary!$C$132,P79&gt;0),"X"," "),IF(AND(K79-N79&gt;=Summary!$C$132,M79-P79&gt;Summary!$C$132,P79&lt;0),"X"," "))</f>
        <v xml:space="preserve"> </v>
      </c>
      <c r="V79" s="8" t="str">
        <f>IF($E$4="High Inventory",IF(AND($Q79&gt;=Summary!$C$128,$R79&gt;=0%),"X"," "),IF(AND($Q79&lt;=-Summary!$C$128,$R79&lt;=0%),"X"," "))</f>
        <v xml:space="preserve"> </v>
      </c>
      <c r="W79" s="11" t="str">
        <f>IF($E$4="High Inventory",IF(AND($Q79&gt;=0,$R79&gt;=Summary!$C$129),"X"," "),IF(AND($Q79&lt;=0,$R79&lt;=-Summary!$C$129),"X"," "))</f>
        <v xml:space="preserve"> </v>
      </c>
      <c r="X79" t="str">
        <f t="shared" si="9"/>
        <v xml:space="preserve"> </v>
      </c>
    </row>
    <row r="80" spans="3:24" x14ac:dyDescent="0.2">
      <c r="C80" s="28"/>
      <c r="D80" s="56"/>
      <c r="E80" s="6"/>
      <c r="F80" s="5"/>
      <c r="G80" s="5"/>
      <c r="H80" s="6"/>
      <c r="I80" s="5"/>
      <c r="J80" s="5"/>
      <c r="K80" s="6"/>
      <c r="L80" s="5"/>
      <c r="M80" s="5"/>
      <c r="N80" s="6"/>
      <c r="O80" s="5"/>
      <c r="P80" s="5"/>
      <c r="Q80" s="6">
        <f t="shared" si="7"/>
        <v>0</v>
      </c>
      <c r="R80" s="72">
        <f t="shared" si="8"/>
        <v>0</v>
      </c>
      <c r="S80" s="76"/>
      <c r="T80" s="67" t="str">
        <f>IF($E$4="High Inventory",IF(AND(Q80&gt;=Summary!$C$128,R80&gt;=Summary!$C$129),"X"," "),IF(AND(Q80&lt;=-Summary!$C$128,R80&lt;=-Summary!$C$129),"X"," "))</f>
        <v xml:space="preserve"> </v>
      </c>
      <c r="U80" s="85" t="str">
        <f>IF($E$4="High Inventory",IF(AND(N80-K80&gt;=Summary!$C$132,P80-M80&gt;Summary!$C$132,P80&gt;0),"X"," "),IF(AND(K80-N80&gt;=Summary!$C$132,M80-P80&gt;Summary!$C$132,P80&lt;0),"X"," "))</f>
        <v xml:space="preserve"> </v>
      </c>
      <c r="V80" s="8" t="str">
        <f>IF($E$4="High Inventory",IF(AND($Q80&gt;=Summary!$C$128,$R80&gt;=0%),"X"," "),IF(AND($Q80&lt;=-Summary!$C$128,$R80&lt;=0%),"X"," "))</f>
        <v xml:space="preserve"> </v>
      </c>
      <c r="W80" s="11" t="str">
        <f>IF($E$4="High Inventory",IF(AND($Q80&gt;=0,$R80&gt;=Summary!$C$129),"X"," "),IF(AND($Q80&lt;=0,$R80&lt;=-Summary!$C$129),"X"," "))</f>
        <v xml:space="preserve"> </v>
      </c>
      <c r="X80" t="str">
        <f t="shared" si="9"/>
        <v xml:space="preserve"> </v>
      </c>
    </row>
    <row r="81" spans="3:24" x14ac:dyDescent="0.2">
      <c r="C81" s="28"/>
      <c r="D81" s="56"/>
      <c r="E81" s="6"/>
      <c r="F81" s="5"/>
      <c r="G81" s="5"/>
      <c r="H81" s="6"/>
      <c r="I81" s="5"/>
      <c r="J81" s="5"/>
      <c r="K81" s="6"/>
      <c r="L81" s="5"/>
      <c r="M81" s="5"/>
      <c r="N81" s="6"/>
      <c r="O81" s="5"/>
      <c r="P81" s="5"/>
      <c r="Q81" s="6">
        <f t="shared" si="7"/>
        <v>0</v>
      </c>
      <c r="R81" s="72">
        <f t="shared" si="8"/>
        <v>0</v>
      </c>
      <c r="S81" s="76"/>
      <c r="T81" s="67" t="str">
        <f>IF($E$4="High Inventory",IF(AND(Q81&gt;=Summary!$C$128,R81&gt;=Summary!$C$129),"X"," "),IF(AND(Q81&lt;=-Summary!$C$128,R81&lt;=-Summary!$C$129),"X"," "))</f>
        <v xml:space="preserve"> </v>
      </c>
      <c r="U81" s="85" t="str">
        <f>IF($E$4="High Inventory",IF(AND(N81-K81&gt;=Summary!$C$132,P81-M81&gt;Summary!$C$132,P81&gt;0),"X"," "),IF(AND(K81-N81&gt;=Summary!$C$132,M81-P81&gt;Summary!$C$132,P81&lt;0),"X"," "))</f>
        <v xml:space="preserve"> </v>
      </c>
      <c r="V81" s="8" t="str">
        <f>IF($E$4="High Inventory",IF(AND($Q81&gt;=Summary!$C$128,$R81&gt;=0%),"X"," "),IF(AND($Q81&lt;=-Summary!$C$128,$R81&lt;=0%),"X"," "))</f>
        <v xml:space="preserve"> </v>
      </c>
      <c r="W81" s="11" t="str">
        <f>IF($E$4="High Inventory",IF(AND($Q81&gt;=0,$R81&gt;=Summary!$C$129),"X"," "),IF(AND($Q81&lt;=0,$R81&lt;=-Summary!$C$129),"X"," "))</f>
        <v xml:space="preserve"> </v>
      </c>
      <c r="X81" t="str">
        <f t="shared" si="9"/>
        <v xml:space="preserve"> </v>
      </c>
    </row>
    <row r="82" spans="3:24" x14ac:dyDescent="0.2">
      <c r="C82" s="28"/>
      <c r="D82" s="56"/>
      <c r="E82" s="6"/>
      <c r="F82" s="5"/>
      <c r="G82" s="5"/>
      <c r="H82" s="6"/>
      <c r="I82" s="5"/>
      <c r="J82" s="5"/>
      <c r="K82" s="6"/>
      <c r="L82" s="5"/>
      <c r="M82" s="5"/>
      <c r="N82" s="6"/>
      <c r="O82" s="5"/>
      <c r="P82" s="5"/>
      <c r="Q82" s="6">
        <f t="shared" si="7"/>
        <v>0</v>
      </c>
      <c r="R82" s="72">
        <f t="shared" si="8"/>
        <v>0</v>
      </c>
      <c r="S82" s="76"/>
      <c r="T82" s="67" t="str">
        <f>IF($E$4="High Inventory",IF(AND(Q82&gt;=Summary!$C$128,R82&gt;=Summary!$C$129),"X"," "),IF(AND(Q82&lt;=-Summary!$C$128,R82&lt;=-Summary!$C$129),"X"," "))</f>
        <v xml:space="preserve"> </v>
      </c>
      <c r="U82" s="85" t="str">
        <f>IF($E$4="High Inventory",IF(AND(N82-K82&gt;=Summary!$C$132,P82-M82&gt;Summary!$C$132,P82&gt;0),"X"," "),IF(AND(K82-N82&gt;=Summary!$C$132,M82-P82&gt;Summary!$C$132,P82&lt;0),"X"," "))</f>
        <v xml:space="preserve"> </v>
      </c>
      <c r="V82" s="8" t="str">
        <f>IF($E$4="High Inventory",IF(AND($Q82&gt;=Summary!$C$128,$R82&gt;=0%),"X"," "),IF(AND($Q82&lt;=-Summary!$C$128,$R82&lt;=0%),"X"," "))</f>
        <v xml:space="preserve"> </v>
      </c>
      <c r="W82" s="11" t="str">
        <f>IF($E$4="High Inventory",IF(AND($Q82&gt;=0,$R82&gt;=Summary!$C$129),"X"," "),IF(AND($Q82&lt;=0,$R82&lt;=-Summary!$C$129),"X"," "))</f>
        <v xml:space="preserve"> </v>
      </c>
      <c r="X82" t="str">
        <f t="shared" si="9"/>
        <v xml:space="preserve"> </v>
      </c>
    </row>
    <row r="83" spans="3:24" x14ac:dyDescent="0.2">
      <c r="C83" s="28"/>
      <c r="D83" s="56"/>
      <c r="E83" s="6"/>
      <c r="F83" s="5"/>
      <c r="G83" s="5"/>
      <c r="H83" s="6"/>
      <c r="I83" s="5"/>
      <c r="J83" s="5"/>
      <c r="K83" s="6"/>
      <c r="L83" s="5"/>
      <c r="M83" s="5"/>
      <c r="N83" s="6"/>
      <c r="O83" s="5"/>
      <c r="P83" s="5"/>
      <c r="Q83" s="6">
        <f t="shared" si="7"/>
        <v>0</v>
      </c>
      <c r="R83" s="72">
        <f t="shared" si="8"/>
        <v>0</v>
      </c>
      <c r="S83" s="76"/>
      <c r="T83" s="67" t="str">
        <f>IF($E$4="High Inventory",IF(AND(Q83&gt;=Summary!$C$128,R83&gt;=Summary!$C$129),"X"," "),IF(AND(Q83&lt;=-Summary!$C$128,R83&lt;=-Summary!$C$129),"X"," "))</f>
        <v xml:space="preserve"> </v>
      </c>
      <c r="U83" s="85" t="str">
        <f>IF($E$4="High Inventory",IF(AND(N83-K83&gt;=Summary!$C$132,P83-M83&gt;Summary!$C$132,P83&gt;0),"X"," "),IF(AND(K83-N83&gt;=Summary!$C$132,M83-P83&gt;Summary!$C$132,P83&lt;0),"X"," "))</f>
        <v xml:space="preserve"> </v>
      </c>
      <c r="V83" s="8" t="str">
        <f>IF($E$4="High Inventory",IF(AND($Q83&gt;=Summary!$C$128,$R83&gt;=0%),"X"," "),IF(AND($Q83&lt;=-Summary!$C$128,$R83&lt;=0%),"X"," "))</f>
        <v xml:space="preserve"> </v>
      </c>
      <c r="W83" s="11" t="str">
        <f>IF($E$4="High Inventory",IF(AND($Q83&gt;=0,$R83&gt;=Summary!$C$129),"X"," "),IF(AND($Q83&lt;=0,$R83&lt;=-Summary!$C$129),"X"," "))</f>
        <v xml:space="preserve"> </v>
      </c>
      <c r="X83" t="str">
        <f t="shared" si="9"/>
        <v xml:space="preserve"> </v>
      </c>
    </row>
    <row r="84" spans="3:24" x14ac:dyDescent="0.2">
      <c r="C84" s="28"/>
      <c r="D84" s="56"/>
      <c r="E84" s="6"/>
      <c r="F84" s="5"/>
      <c r="G84" s="5"/>
      <c r="H84" s="6"/>
      <c r="I84" s="5"/>
      <c r="J84" s="5"/>
      <c r="K84" s="6"/>
      <c r="L84" s="5"/>
      <c r="M84" s="5"/>
      <c r="N84" s="6"/>
      <c r="O84" s="5"/>
      <c r="P84" s="5"/>
      <c r="Q84" s="6">
        <f t="shared" si="7"/>
        <v>0</v>
      </c>
      <c r="R84" s="72">
        <f t="shared" si="8"/>
        <v>0</v>
      </c>
      <c r="S84" s="76"/>
      <c r="T84" s="67" t="str">
        <f>IF($E$4="High Inventory",IF(AND(Q84&gt;=Summary!$C$128,R84&gt;=Summary!$C$129),"X"," "),IF(AND(Q84&lt;=-Summary!$C$128,R84&lt;=-Summary!$C$129),"X"," "))</f>
        <v xml:space="preserve"> </v>
      </c>
      <c r="U84" s="85" t="str">
        <f>IF($E$4="High Inventory",IF(AND(N84-K84&gt;=Summary!$C$132,P84-M84&gt;Summary!$C$132,P84&gt;0),"X"," "),IF(AND(K84-N84&gt;=Summary!$C$132,M84-P84&gt;Summary!$C$132,P84&lt;0),"X"," "))</f>
        <v xml:space="preserve"> </v>
      </c>
      <c r="V84" s="8" t="str">
        <f>IF($E$4="High Inventory",IF(AND($Q84&gt;=Summary!$C$128,$R84&gt;=0%),"X"," "),IF(AND($Q84&lt;=-Summary!$C$128,$R84&lt;=0%),"X"," "))</f>
        <v xml:space="preserve"> </v>
      </c>
      <c r="W84" s="11" t="str">
        <f>IF($E$4="High Inventory",IF(AND($Q84&gt;=0,$R84&gt;=Summary!$C$129),"X"," "),IF(AND($Q84&lt;=0,$R84&lt;=-Summary!$C$129),"X"," "))</f>
        <v xml:space="preserve"> </v>
      </c>
      <c r="X84" t="str">
        <f t="shared" si="9"/>
        <v xml:space="preserve"> </v>
      </c>
    </row>
    <row r="85" spans="3:24" x14ac:dyDescent="0.2">
      <c r="C85" s="28"/>
      <c r="D85" s="56"/>
      <c r="E85" s="6"/>
      <c r="F85" s="5"/>
      <c r="G85" s="5"/>
      <c r="H85" s="6"/>
      <c r="I85" s="5"/>
      <c r="J85" s="5"/>
      <c r="K85" s="6"/>
      <c r="L85" s="5"/>
      <c r="M85" s="5"/>
      <c r="N85" s="6"/>
      <c r="O85" s="5"/>
      <c r="P85" s="5"/>
      <c r="Q85" s="6">
        <f t="shared" si="7"/>
        <v>0</v>
      </c>
      <c r="R85" s="72">
        <f t="shared" si="8"/>
        <v>0</v>
      </c>
      <c r="S85" s="76"/>
      <c r="T85" s="67" t="str">
        <f>IF($E$4="High Inventory",IF(AND(Q85&gt;=Summary!$C$128,R85&gt;=Summary!$C$129),"X"," "),IF(AND(Q85&lt;=-Summary!$C$128,R85&lt;=-Summary!$C$129),"X"," "))</f>
        <v xml:space="preserve"> </v>
      </c>
      <c r="U85" s="85" t="str">
        <f>IF($E$4="High Inventory",IF(AND(N85-K85&gt;=Summary!$C$132,P85-M85&gt;Summary!$C$132,P85&gt;0),"X"," "),IF(AND(K85-N85&gt;=Summary!$C$132,M85-P85&gt;Summary!$C$132,P85&lt;0),"X"," "))</f>
        <v xml:space="preserve"> </v>
      </c>
      <c r="V85" s="8" t="str">
        <f>IF($E$4="High Inventory",IF(AND($Q85&gt;=Summary!$C$128,$R85&gt;=0%),"X"," "),IF(AND($Q85&lt;=-Summary!$C$128,$R85&lt;=0%),"X"," "))</f>
        <v xml:space="preserve"> </v>
      </c>
      <c r="W85" s="11" t="str">
        <f>IF($E$4="High Inventory",IF(AND($Q85&gt;=0,$R85&gt;=Summary!$C$129),"X"," "),IF(AND($Q85&lt;=0,$R85&lt;=-Summary!$C$129),"X"," "))</f>
        <v xml:space="preserve"> </v>
      </c>
      <c r="X85" t="str">
        <f t="shared" si="9"/>
        <v xml:space="preserve"> </v>
      </c>
    </row>
    <row r="86" spans="3:24" x14ac:dyDescent="0.2">
      <c r="C86" s="28"/>
      <c r="D86" s="56"/>
      <c r="E86" s="6"/>
      <c r="F86" s="5"/>
      <c r="G86" s="5"/>
      <c r="H86" s="6"/>
      <c r="I86" s="5"/>
      <c r="J86" s="5"/>
      <c r="K86" s="6"/>
      <c r="L86" s="5"/>
      <c r="M86" s="5"/>
      <c r="N86" s="6"/>
      <c r="O86" s="5"/>
      <c r="P86" s="5"/>
      <c r="Q86" s="6">
        <f t="shared" si="7"/>
        <v>0</v>
      </c>
      <c r="R86" s="72">
        <f t="shared" si="8"/>
        <v>0</v>
      </c>
      <c r="S86" s="76"/>
      <c r="T86" s="67" t="str">
        <f>IF($E$4="High Inventory",IF(AND(Q86&gt;=Summary!$C$128,R86&gt;=Summary!$C$129),"X"," "),IF(AND(Q86&lt;=-Summary!$C$128,R86&lt;=-Summary!$C$129),"X"," "))</f>
        <v xml:space="preserve"> </v>
      </c>
      <c r="U86" s="85" t="str">
        <f>IF($E$4="High Inventory",IF(AND(N86-K86&gt;=Summary!$C$132,P86-M86&gt;Summary!$C$132,P86&gt;0),"X"," "),IF(AND(K86-N86&gt;=Summary!$C$132,M86-P86&gt;Summary!$C$132,P86&lt;0),"X"," "))</f>
        <v xml:space="preserve"> </v>
      </c>
      <c r="V86" s="8" t="str">
        <f>IF($E$4="High Inventory",IF(AND($Q86&gt;=Summary!$C$128,$R86&gt;=0%),"X"," "),IF(AND($Q86&lt;=-Summary!$C$128,$R86&lt;=0%),"X"," "))</f>
        <v xml:space="preserve"> </v>
      </c>
      <c r="W86" s="11" t="str">
        <f>IF($E$4="High Inventory",IF(AND($Q86&gt;=0,$R86&gt;=Summary!$C$129),"X"," "),IF(AND($Q86&lt;=0,$R86&lt;=-Summary!$C$129),"X"," "))</f>
        <v xml:space="preserve"> </v>
      </c>
      <c r="X86" t="str">
        <f t="shared" si="9"/>
        <v xml:space="preserve"> </v>
      </c>
    </row>
    <row r="87" spans="3:24" x14ac:dyDescent="0.2">
      <c r="C87" s="28"/>
      <c r="D87" s="56"/>
      <c r="E87" s="6"/>
      <c r="F87" s="5"/>
      <c r="G87" s="5"/>
      <c r="H87" s="6"/>
      <c r="I87" s="5"/>
      <c r="J87" s="5"/>
      <c r="K87" s="6"/>
      <c r="L87" s="5"/>
      <c r="M87" s="5"/>
      <c r="N87" s="6"/>
      <c r="O87" s="5"/>
      <c r="P87" s="5"/>
      <c r="Q87" s="6">
        <f t="shared" si="7"/>
        <v>0</v>
      </c>
      <c r="R87" s="72">
        <f t="shared" si="8"/>
        <v>0</v>
      </c>
      <c r="S87" s="76"/>
      <c r="T87" s="67" t="str">
        <f>IF($E$4="High Inventory",IF(AND(Q87&gt;=Summary!$C$128,R87&gt;=Summary!$C$129),"X"," "),IF(AND(Q87&lt;=-Summary!$C$128,R87&lt;=-Summary!$C$129),"X"," "))</f>
        <v xml:space="preserve"> </v>
      </c>
      <c r="U87" s="85" t="str">
        <f>IF($E$4="High Inventory",IF(AND(N87-K87&gt;=Summary!$C$132,P87-M87&gt;Summary!$C$132,P87&gt;0),"X"," "),IF(AND(K87-N87&gt;=Summary!$C$132,M87-P87&gt;Summary!$C$132,P87&lt;0),"X"," "))</f>
        <v xml:space="preserve"> </v>
      </c>
      <c r="V87" s="8" t="str">
        <f>IF($E$4="High Inventory",IF(AND($Q87&gt;=Summary!$C$128,$R87&gt;=0%),"X"," "),IF(AND($Q87&lt;=-Summary!$C$128,$R87&lt;=0%),"X"," "))</f>
        <v xml:space="preserve"> </v>
      </c>
      <c r="W87" s="11" t="str">
        <f>IF($E$4="High Inventory",IF(AND($Q87&gt;=0,$R87&gt;=Summary!$C$129),"X"," "),IF(AND($Q87&lt;=0,$R87&lt;=-Summary!$C$129),"X"," "))</f>
        <v xml:space="preserve"> </v>
      </c>
      <c r="X87" t="str">
        <f t="shared" si="9"/>
        <v xml:space="preserve"> </v>
      </c>
    </row>
    <row r="88" spans="3:24" x14ac:dyDescent="0.2">
      <c r="C88" s="28"/>
      <c r="D88" s="56"/>
      <c r="E88" s="6"/>
      <c r="F88" s="5"/>
      <c r="G88" s="5"/>
      <c r="H88" s="6"/>
      <c r="I88" s="5"/>
      <c r="J88" s="5"/>
      <c r="K88" s="6"/>
      <c r="L88" s="5"/>
      <c r="M88" s="5"/>
      <c r="N88" s="6"/>
      <c r="O88" s="5"/>
      <c r="P88" s="5"/>
      <c r="Q88" s="6">
        <f t="shared" si="7"/>
        <v>0</v>
      </c>
      <c r="R88" s="72">
        <f t="shared" si="8"/>
        <v>0</v>
      </c>
      <c r="S88" s="76"/>
      <c r="T88" s="67" t="str">
        <f>IF($E$4="High Inventory",IF(AND(Q88&gt;=Summary!$C$128,R88&gt;=Summary!$C$129),"X"," "),IF(AND(Q88&lt;=-Summary!$C$128,R88&lt;=-Summary!$C$129),"X"," "))</f>
        <v xml:space="preserve"> </v>
      </c>
      <c r="U88" s="85" t="str">
        <f>IF($E$4="High Inventory",IF(AND(N88-K88&gt;=Summary!$C$132,P88-M88&gt;Summary!$C$132,P88&gt;0),"X"," "),IF(AND(K88-N88&gt;=Summary!$C$132,M88-P88&gt;Summary!$C$132,P88&lt;0),"X"," "))</f>
        <v xml:space="preserve"> </v>
      </c>
      <c r="V88" s="8" t="str">
        <f>IF($E$4="High Inventory",IF(AND($Q88&gt;=Summary!$C$128,$R88&gt;=0%),"X"," "),IF(AND($Q88&lt;=-Summary!$C$128,$R88&lt;=0%),"X"," "))</f>
        <v xml:space="preserve"> </v>
      </c>
      <c r="W88" s="11" t="str">
        <f>IF($E$4="High Inventory",IF(AND($Q88&gt;=0,$R88&gt;=Summary!$C$129),"X"," "),IF(AND($Q88&lt;=0,$R88&lt;=-Summary!$C$129),"X"," "))</f>
        <v xml:space="preserve"> </v>
      </c>
      <c r="X88" t="str">
        <f t="shared" si="9"/>
        <v xml:space="preserve"> </v>
      </c>
    </row>
    <row r="89" spans="3:24" x14ac:dyDescent="0.2">
      <c r="C89" s="28"/>
      <c r="D89" s="56"/>
      <c r="E89" s="6"/>
      <c r="F89" s="5"/>
      <c r="G89" s="5"/>
      <c r="H89" s="6"/>
      <c r="I89" s="5"/>
      <c r="J89" s="5"/>
      <c r="K89" s="6"/>
      <c r="L89" s="5"/>
      <c r="M89" s="5"/>
      <c r="N89" s="6"/>
      <c r="O89" s="5"/>
      <c r="P89" s="5"/>
      <c r="Q89" s="6">
        <f t="shared" si="7"/>
        <v>0</v>
      </c>
      <c r="R89" s="72">
        <f t="shared" si="8"/>
        <v>0</v>
      </c>
      <c r="S89" s="76"/>
      <c r="T89" s="67" t="str">
        <f>IF($E$4="High Inventory",IF(AND(Q89&gt;=Summary!$C$128,R89&gt;=Summary!$C$129),"X"," "),IF(AND(Q89&lt;=-Summary!$C$128,R89&lt;=-Summary!$C$129),"X"," "))</f>
        <v xml:space="preserve"> </v>
      </c>
      <c r="U89" s="85" t="str">
        <f>IF($E$4="High Inventory",IF(AND(N89-K89&gt;=Summary!$C$132,P89-M89&gt;Summary!$C$132,P89&gt;0),"X"," "),IF(AND(K89-N89&gt;=Summary!$C$132,M89-P89&gt;Summary!$C$132,P89&lt;0),"X"," "))</f>
        <v xml:space="preserve"> </v>
      </c>
      <c r="V89" s="8" t="str">
        <f>IF($E$4="High Inventory",IF(AND($Q89&gt;=Summary!$C$128,$R89&gt;=0%),"X"," "),IF(AND($Q89&lt;=-Summary!$C$128,$R89&lt;=0%),"X"," "))</f>
        <v xml:space="preserve"> </v>
      </c>
      <c r="W89" s="11" t="str">
        <f>IF($E$4="High Inventory",IF(AND($Q89&gt;=0,$R89&gt;=Summary!$C$129),"X"," "),IF(AND($Q89&lt;=0,$R89&lt;=-Summary!$C$129),"X"," "))</f>
        <v xml:space="preserve"> </v>
      </c>
      <c r="X89" t="str">
        <f t="shared" si="9"/>
        <v xml:space="preserve"> </v>
      </c>
    </row>
    <row r="90" spans="3:24" x14ac:dyDescent="0.2">
      <c r="C90" s="28"/>
      <c r="D90" s="56"/>
      <c r="E90" s="6"/>
      <c r="F90" s="5"/>
      <c r="G90" s="5"/>
      <c r="H90" s="6"/>
      <c r="I90" s="5"/>
      <c r="J90" s="5"/>
      <c r="K90" s="6"/>
      <c r="L90" s="5"/>
      <c r="M90" s="5"/>
      <c r="N90" s="6"/>
      <c r="O90" s="5"/>
      <c r="P90" s="5"/>
      <c r="Q90" s="6">
        <f t="shared" si="7"/>
        <v>0</v>
      </c>
      <c r="R90" s="72">
        <f t="shared" si="8"/>
        <v>0</v>
      </c>
      <c r="S90" s="76"/>
      <c r="T90" s="67" t="str">
        <f>IF($E$4="High Inventory",IF(AND(Q90&gt;=Summary!$C$128,R90&gt;=Summary!$C$129),"X"," "),IF(AND(Q90&lt;=-Summary!$C$128,R90&lt;=-Summary!$C$129),"X"," "))</f>
        <v xml:space="preserve"> </v>
      </c>
      <c r="U90" s="85" t="str">
        <f>IF($E$4="High Inventory",IF(AND(N90-K90&gt;=Summary!$C$132,P90-M90&gt;Summary!$C$132,P90&gt;0),"X"," "),IF(AND(K90-N90&gt;=Summary!$C$132,M90-P90&gt;Summary!$C$132,P90&lt;0),"X"," "))</f>
        <v xml:space="preserve"> </v>
      </c>
      <c r="V90" s="8" t="str">
        <f>IF($E$4="High Inventory",IF(AND($Q90&gt;=Summary!$C$128,$R90&gt;=0%),"X"," "),IF(AND($Q90&lt;=-Summary!$C$128,$R90&lt;=0%),"X"," "))</f>
        <v xml:space="preserve"> </v>
      </c>
      <c r="W90" s="11" t="str">
        <f>IF($E$4="High Inventory",IF(AND($Q90&gt;=0,$R90&gt;=Summary!$C$129),"X"," "),IF(AND($Q90&lt;=0,$R90&lt;=-Summary!$C$129),"X"," "))</f>
        <v xml:space="preserve"> </v>
      </c>
      <c r="X90" t="str">
        <f t="shared" si="9"/>
        <v xml:space="preserve"> </v>
      </c>
    </row>
    <row r="91" spans="3:24" x14ac:dyDescent="0.2">
      <c r="C91" s="28"/>
      <c r="D91" s="56"/>
      <c r="E91" s="6"/>
      <c r="F91" s="5"/>
      <c r="G91" s="5"/>
      <c r="H91" s="6"/>
      <c r="I91" s="5"/>
      <c r="J91" s="5"/>
      <c r="K91" s="6"/>
      <c r="L91" s="5"/>
      <c r="M91" s="5"/>
      <c r="N91" s="6"/>
      <c r="O91" s="5"/>
      <c r="P91" s="5"/>
      <c r="Q91" s="6">
        <f t="shared" si="7"/>
        <v>0</v>
      </c>
      <c r="R91" s="72">
        <f t="shared" si="8"/>
        <v>0</v>
      </c>
      <c r="S91" s="76"/>
      <c r="T91" s="67" t="str">
        <f>IF($E$4="High Inventory",IF(AND(Q91&gt;=Summary!$C$128,R91&gt;=Summary!$C$129),"X"," "),IF(AND(Q91&lt;=-Summary!$C$128,R91&lt;=-Summary!$C$129),"X"," "))</f>
        <v xml:space="preserve"> </v>
      </c>
      <c r="U91" s="85" t="str">
        <f>IF($E$4="High Inventory",IF(AND(N91-K91&gt;=Summary!$C$132,P91-M91&gt;Summary!$C$132,P91&gt;0),"X"," "),IF(AND(K91-N91&gt;=Summary!$C$132,M91-P91&gt;Summary!$C$132,P91&lt;0),"X"," "))</f>
        <v xml:space="preserve"> </v>
      </c>
      <c r="V91" s="8" t="str">
        <f>IF($E$4="High Inventory",IF(AND($Q91&gt;=Summary!$C$128,$R91&gt;=0%),"X"," "),IF(AND($Q91&lt;=-Summary!$C$128,$R91&lt;=0%),"X"," "))</f>
        <v xml:space="preserve"> </v>
      </c>
      <c r="W91" s="11" t="str">
        <f>IF($E$4="High Inventory",IF(AND($Q91&gt;=0,$R91&gt;=Summary!$C$129),"X"," "),IF(AND($Q91&lt;=0,$R91&lt;=-Summary!$C$129),"X"," "))</f>
        <v xml:space="preserve"> </v>
      </c>
      <c r="X91" t="str">
        <f t="shared" si="9"/>
        <v xml:space="preserve"> </v>
      </c>
    </row>
    <row r="92" spans="3:24" x14ac:dyDescent="0.2">
      <c r="C92" s="28"/>
      <c r="D92" s="56"/>
      <c r="E92" s="6"/>
      <c r="F92" s="5"/>
      <c r="G92" s="5"/>
      <c r="H92" s="6"/>
      <c r="I92" s="5"/>
      <c r="J92" s="5"/>
      <c r="K92" s="6"/>
      <c r="L92" s="5"/>
      <c r="M92" s="5"/>
      <c r="N92" s="6"/>
      <c r="O92" s="5"/>
      <c r="P92" s="5"/>
      <c r="Q92" s="6">
        <f t="shared" si="7"/>
        <v>0</v>
      </c>
      <c r="R92" s="72">
        <f t="shared" si="8"/>
        <v>0</v>
      </c>
      <c r="S92" s="76"/>
      <c r="T92" s="67" t="str">
        <f>IF($E$4="High Inventory",IF(AND(Q92&gt;=Summary!$C$128,R92&gt;=Summary!$C$129),"X"," "),IF(AND(Q92&lt;=-Summary!$C$128,R92&lt;=-Summary!$C$129),"X"," "))</f>
        <v xml:space="preserve"> </v>
      </c>
      <c r="U92" s="85" t="str">
        <f>IF($E$4="High Inventory",IF(AND(N92-K92&gt;=Summary!$C$132,P92-M92&gt;Summary!$C$132,P92&gt;0),"X"," "),IF(AND(K92-N92&gt;=Summary!$C$132,M92-P92&gt;Summary!$C$132,P92&lt;0),"X"," "))</f>
        <v xml:space="preserve"> </v>
      </c>
      <c r="V92" s="8" t="str">
        <f>IF($E$4="High Inventory",IF(AND($Q92&gt;=Summary!$C$128,$R92&gt;=0%),"X"," "),IF(AND($Q92&lt;=-Summary!$C$128,$R92&lt;=0%),"X"," "))</f>
        <v xml:space="preserve"> </v>
      </c>
      <c r="W92" s="11" t="str">
        <f>IF($E$4="High Inventory",IF(AND($Q92&gt;=0,$R92&gt;=Summary!$C$129),"X"," "),IF(AND($Q92&lt;=0,$R92&lt;=-Summary!$C$129),"X"," "))</f>
        <v xml:space="preserve"> </v>
      </c>
      <c r="X92" t="str">
        <f t="shared" si="9"/>
        <v xml:space="preserve"> </v>
      </c>
    </row>
    <row r="93" spans="3:24" x14ac:dyDescent="0.2">
      <c r="C93" s="28"/>
      <c r="D93" s="56"/>
      <c r="E93" s="6"/>
      <c r="F93" s="5"/>
      <c r="G93" s="5"/>
      <c r="H93" s="6"/>
      <c r="I93" s="5"/>
      <c r="J93" s="5"/>
      <c r="K93" s="6"/>
      <c r="L93" s="5"/>
      <c r="M93" s="5"/>
      <c r="N93" s="6"/>
      <c r="O93" s="5"/>
      <c r="P93" s="5"/>
      <c r="Q93" s="6">
        <f t="shared" si="7"/>
        <v>0</v>
      </c>
      <c r="R93" s="72">
        <f t="shared" si="8"/>
        <v>0</v>
      </c>
      <c r="S93" s="76"/>
      <c r="T93" s="67" t="str">
        <f>IF($E$4="High Inventory",IF(AND(Q93&gt;=Summary!$C$128,R93&gt;=Summary!$C$129),"X"," "),IF(AND(Q93&lt;=-Summary!$C$128,R93&lt;=-Summary!$C$129),"X"," "))</f>
        <v xml:space="preserve"> </v>
      </c>
      <c r="U93" s="85" t="str">
        <f>IF($E$4="High Inventory",IF(AND(N93-K93&gt;=Summary!$C$132,P93-M93&gt;Summary!$C$132,P93&gt;0),"X"," "),IF(AND(K93-N93&gt;=Summary!$C$132,M93-P93&gt;Summary!$C$132,P93&lt;0),"X"," "))</f>
        <v xml:space="preserve"> </v>
      </c>
      <c r="V93" s="8" t="str">
        <f>IF($E$4="High Inventory",IF(AND($Q93&gt;=Summary!$C$128,$R93&gt;=0%),"X"," "),IF(AND($Q93&lt;=-Summary!$C$128,$R93&lt;=0%),"X"," "))</f>
        <v xml:space="preserve"> </v>
      </c>
      <c r="W93" s="11" t="str">
        <f>IF($E$4="High Inventory",IF(AND($Q93&gt;=0,$R93&gt;=Summary!$C$129),"X"," "),IF(AND($Q93&lt;=0,$R93&lt;=-Summary!$C$129),"X"," "))</f>
        <v xml:space="preserve"> </v>
      </c>
      <c r="X93" t="str">
        <f t="shared" si="9"/>
        <v xml:space="preserve"> </v>
      </c>
    </row>
    <row r="94" spans="3:24" x14ac:dyDescent="0.2">
      <c r="C94" s="28"/>
      <c r="D94" s="56"/>
      <c r="E94" s="6"/>
      <c r="F94" s="5"/>
      <c r="G94" s="5"/>
      <c r="H94" s="6"/>
      <c r="I94" s="5"/>
      <c r="J94" s="5"/>
      <c r="K94" s="6"/>
      <c r="L94" s="5"/>
      <c r="M94" s="5"/>
      <c r="N94" s="6"/>
      <c r="O94" s="5"/>
      <c r="P94" s="5"/>
      <c r="Q94" s="6">
        <f t="shared" si="7"/>
        <v>0</v>
      </c>
      <c r="R94" s="72">
        <f t="shared" si="8"/>
        <v>0</v>
      </c>
      <c r="S94" s="76"/>
      <c r="T94" s="67" t="str">
        <f>IF($E$4="High Inventory",IF(AND(Q94&gt;=Summary!$C$128,R94&gt;=Summary!$C$129),"X"," "),IF(AND(Q94&lt;=-Summary!$C$128,R94&lt;=-Summary!$C$129),"X"," "))</f>
        <v xml:space="preserve"> </v>
      </c>
      <c r="U94" s="85" t="str">
        <f>IF($E$4="High Inventory",IF(AND(N94-K94&gt;=Summary!$C$132,P94-M94&gt;Summary!$C$132,P94&gt;0),"X"," "),IF(AND(K94-N94&gt;=Summary!$C$132,M94-P94&gt;Summary!$C$132,P94&lt;0),"X"," "))</f>
        <v xml:space="preserve"> </v>
      </c>
      <c r="V94" s="8" t="str">
        <f>IF($E$4="High Inventory",IF(AND($Q94&gt;=Summary!$C$128,$R94&gt;=0%),"X"," "),IF(AND($Q94&lt;=-Summary!$C$128,$R94&lt;=0%),"X"," "))</f>
        <v xml:space="preserve"> </v>
      </c>
      <c r="W94" s="11" t="str">
        <f>IF($E$4="High Inventory",IF(AND($Q94&gt;=0,$R94&gt;=Summary!$C$129),"X"," "),IF(AND($Q94&lt;=0,$R94&lt;=-Summary!$C$129),"X"," "))</f>
        <v xml:space="preserve"> </v>
      </c>
      <c r="X94" t="str">
        <f t="shared" si="9"/>
        <v xml:space="preserve"> </v>
      </c>
    </row>
    <row r="95" spans="3:24" x14ac:dyDescent="0.2">
      <c r="C95" s="28"/>
      <c r="D95" s="56"/>
      <c r="E95" s="6"/>
      <c r="F95" s="5"/>
      <c r="G95" s="5"/>
      <c r="H95" s="6"/>
      <c r="I95" s="5"/>
      <c r="J95" s="5"/>
      <c r="K95" s="6"/>
      <c r="L95" s="5"/>
      <c r="M95" s="5"/>
      <c r="N95" s="6"/>
      <c r="O95" s="5"/>
      <c r="P95" s="5"/>
      <c r="Q95" s="6">
        <f t="shared" si="7"/>
        <v>0</v>
      </c>
      <c r="R95" s="72">
        <f t="shared" si="8"/>
        <v>0</v>
      </c>
      <c r="S95" s="76"/>
      <c r="T95" s="67" t="str">
        <f>IF($E$4="High Inventory",IF(AND(Q95&gt;=Summary!$C$128,R95&gt;=Summary!$C$129),"X"," "),IF(AND(Q95&lt;=-Summary!$C$128,R95&lt;=-Summary!$C$129),"X"," "))</f>
        <v xml:space="preserve"> </v>
      </c>
      <c r="U95" s="85" t="str">
        <f>IF($E$4="High Inventory",IF(AND(N95-K95&gt;=Summary!$C$132,P95-M95&gt;Summary!$C$132,P95&gt;0),"X"," "),IF(AND(K95-N95&gt;=Summary!$C$132,M95-P95&gt;Summary!$C$132,P95&lt;0),"X"," "))</f>
        <v xml:space="preserve"> </v>
      </c>
      <c r="V95" s="8" t="str">
        <f>IF($E$4="High Inventory",IF(AND($Q95&gt;=Summary!$C$128,$R95&gt;=0%),"X"," "),IF(AND($Q95&lt;=-Summary!$C$128,$R95&lt;=0%),"X"," "))</f>
        <v xml:space="preserve"> </v>
      </c>
      <c r="W95" s="11" t="str">
        <f>IF($E$4="High Inventory",IF(AND($Q95&gt;=0,$R95&gt;=Summary!$C$129),"X"," "),IF(AND($Q95&lt;=0,$R95&lt;=-Summary!$C$129),"X"," "))</f>
        <v xml:space="preserve"> </v>
      </c>
      <c r="X95" t="str">
        <f t="shared" si="9"/>
        <v xml:space="preserve"> </v>
      </c>
    </row>
    <row r="96" spans="3:24" ht="13.5" thickBot="1" x14ac:dyDescent="0.25">
      <c r="C96" s="28"/>
      <c r="D96" s="56"/>
      <c r="E96" s="6"/>
      <c r="F96" s="5"/>
      <c r="G96" s="5"/>
      <c r="H96" s="6"/>
      <c r="I96" s="5"/>
      <c r="J96" s="5"/>
      <c r="K96" s="6"/>
      <c r="L96" s="5"/>
      <c r="M96" s="5"/>
      <c r="N96" s="6"/>
      <c r="O96" s="5"/>
      <c r="P96" s="5"/>
      <c r="Q96" s="6">
        <f t="shared" si="7"/>
        <v>0</v>
      </c>
      <c r="R96" s="72">
        <f t="shared" si="8"/>
        <v>0</v>
      </c>
      <c r="S96" s="91"/>
      <c r="T96" s="92" t="str">
        <f>IF($E$4="High Inventory",IF(AND(Q96&gt;=Summary!$C$128,R96&gt;=Summary!$C$129),"X"," "),IF(AND(Q96&lt;=-Summary!$C$128,R96&lt;=-Summary!$C$129),"X"," "))</f>
        <v xml:space="preserve"> </v>
      </c>
      <c r="U96" s="85" t="str">
        <f>IF($E$4="High Inventory",IF(AND(N96-K96&gt;=Summary!$C$132,P96-M96&gt;Summary!$C$132,P96&gt;0),"X"," "),IF(AND(K96-N96&gt;=Summary!$C$132,M96-P96&gt;Summary!$C$132,P96&lt;0),"X"," "))</f>
        <v xml:space="preserve"> </v>
      </c>
      <c r="V96" s="96" t="str">
        <f>IF($E$4="High Inventory",IF(AND($Q96&gt;=Summary!$C$128,$R96&gt;=0%),"X"," "),IF(AND($Q96&lt;=-Summary!$C$128,$R96&lt;=0%),"X"," "))</f>
        <v xml:space="preserve"> </v>
      </c>
      <c r="W96" s="13" t="str">
        <f>IF($E$4="High Inventory",IF(AND($Q96&gt;=0,$R96&gt;=Summary!$C$129),"X"," "),IF(AND($Q96&lt;=0,$R96&lt;=-Summary!$C$129),"X"," "))</f>
        <v xml:space="preserve"> </v>
      </c>
      <c r="X96" t="str">
        <f t="shared" si="9"/>
        <v xml:space="preserve"> </v>
      </c>
    </row>
    <row r="97" spans="3:44" s="3" customFormat="1" x14ac:dyDescent="0.2">
      <c r="C97" s="2" t="s">
        <v>28</v>
      </c>
      <c r="D97" s="2"/>
      <c r="G97" s="3">
        <f>SUM(G10:G96)</f>
        <v>0</v>
      </c>
      <c r="J97" s="3">
        <f>SUM(J8:J96)</f>
        <v>0</v>
      </c>
      <c r="M97" s="3">
        <f>SUM(M8:M96)</f>
        <v>0</v>
      </c>
      <c r="O97" s="3">
        <f>SUM(O8:O96)</f>
        <v>0</v>
      </c>
      <c r="P97" s="3">
        <f>SUM(P8:P96)</f>
        <v>0</v>
      </c>
      <c r="R97" s="12"/>
      <c r="S97" s="2">
        <f>COUNTIF(S10:S96,"X")</f>
        <v>0</v>
      </c>
      <c r="T97" s="2">
        <f>COUNTIF(T10:T96,"X")</f>
        <v>0</v>
      </c>
      <c r="U97" s="2">
        <f>COUNTIF(U10:U96,"X")</f>
        <v>0</v>
      </c>
      <c r="V97" s="2">
        <f>COUNTIF(V10:V96,"X")</f>
        <v>0</v>
      </c>
      <c r="W97" s="2">
        <f>COUNTIF(W10:W96,"X")</f>
        <v>0</v>
      </c>
      <c r="X97">
        <f>SUM(X$59:X$89)+SUM(X$31:X$53)+SUM(X$10:X$26)</f>
        <v>0</v>
      </c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</row>
    <row r="98" spans="3:44" x14ac:dyDescent="0.2">
      <c r="O98" s="89" t="s">
        <v>56</v>
      </c>
      <c r="P98" s="90" t="e">
        <f>P97/O97</f>
        <v>#DIV/0!</v>
      </c>
      <c r="R98" s="1"/>
      <c r="T98" s="2" t="str">
        <f>IF(AND(Q98&gt;=5000,R98&gt;=10%),"X"," ")</f>
        <v xml:space="preserve"> </v>
      </c>
      <c r="U98" s="2" t="e">
        <f>IF(AND(N98-K98&gt;=5000,P98-M98&gt;5000,P98&gt;0),"X"," ")</f>
        <v>#DIV/0!</v>
      </c>
    </row>
    <row r="99" spans="3:44" x14ac:dyDescent="0.2">
      <c r="R99" s="1"/>
      <c r="T99" s="2" t="str">
        <f>IF(AND(Q99&gt;=5000,R99&gt;=10%),"X"," ")</f>
        <v xml:space="preserve"> </v>
      </c>
      <c r="U99" s="2" t="str">
        <f>IF(AND(N99-K99&gt;=5000,P99-M99&gt;5000,P99&gt;0),"X","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zoomScale="75" workbookViewId="0">
      <pane xSplit="1" ySplit="9" topLeftCell="B20" activePane="bottomRight" state="frozen"/>
      <selection activeCell="B1" sqref="B1"/>
      <selection pane="topRight" activeCell="E1" sqref="E1"/>
      <selection pane="bottomLeft" activeCell="B10" sqref="B10"/>
      <selection pane="bottomRight" activeCell="O90" sqref="O90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235" width="9.140625" customWidth="1"/>
  </cols>
  <sheetData>
    <row r="1" spans="1:24" ht="18" customHeight="1" x14ac:dyDescent="0.25">
      <c r="A1" s="57" t="s">
        <v>0</v>
      </c>
    </row>
    <row r="2" spans="1:24" ht="19.5" customHeight="1" x14ac:dyDescent="0.2">
      <c r="A2" s="87" t="s">
        <v>34</v>
      </c>
    </row>
    <row r="3" spans="1:24" ht="15.75" x14ac:dyDescent="0.25">
      <c r="A3" s="58" t="s">
        <v>35</v>
      </c>
      <c r="C3" s="10">
        <f>L8</f>
        <v>36712</v>
      </c>
      <c r="D3" s="9"/>
    </row>
    <row r="4" spans="1:24" ht="15.75" x14ac:dyDescent="0.25">
      <c r="A4" s="58" t="s">
        <v>36</v>
      </c>
      <c r="C4" s="4" t="s">
        <v>37</v>
      </c>
      <c r="E4" s="4" t="s">
        <v>38</v>
      </c>
      <c r="G4" s="4" t="s">
        <v>66</v>
      </c>
    </row>
    <row r="5" spans="1:24" ht="16.5" thickBot="1" x14ac:dyDescent="0.3">
      <c r="A5" s="58" t="s">
        <v>39</v>
      </c>
      <c r="C5" s="4" t="s">
        <v>40</v>
      </c>
    </row>
    <row r="6" spans="1:24" ht="24.95" customHeight="1" thickBot="1" x14ac:dyDescent="0.25">
      <c r="R6" s="152" t="s">
        <v>41</v>
      </c>
      <c r="S6" s="153"/>
      <c r="T6" s="81"/>
      <c r="U6" s="82"/>
    </row>
    <row r="7" spans="1:24" s="62" customFormat="1" ht="54" customHeight="1" thickBot="1" x14ac:dyDescent="0.25">
      <c r="A7" s="59" t="s">
        <v>42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9" t="s">
        <v>48</v>
      </c>
      <c r="Q7" s="59" t="s">
        <v>49</v>
      </c>
      <c r="R7" s="60" t="s">
        <v>14</v>
      </c>
      <c r="S7" s="83" t="s">
        <v>50</v>
      </c>
      <c r="T7" s="73" t="s">
        <v>15</v>
      </c>
      <c r="U7" s="77" t="s">
        <v>16</v>
      </c>
      <c r="V7" s="73"/>
      <c r="W7" s="222" t="s">
        <v>67</v>
      </c>
      <c r="X7" s="222" t="s">
        <v>68</v>
      </c>
    </row>
    <row r="8" spans="1:24" s="177" customFormat="1" ht="15.95" customHeight="1" thickBot="1" x14ac:dyDescent="0.25">
      <c r="A8" s="178"/>
      <c r="B8" s="179"/>
      <c r="C8" s="182">
        <f>C9</f>
        <v>36709</v>
      </c>
      <c r="D8" s="180"/>
      <c r="E8" s="181" t="str">
        <f>TEXT(WEEKDAY(C8),"dddd")</f>
        <v>Sunday</v>
      </c>
      <c r="F8" s="182">
        <f>F9</f>
        <v>36710</v>
      </c>
      <c r="G8" s="180"/>
      <c r="H8" s="181" t="str">
        <f>TEXT(WEEKDAY(F8),"dddd")</f>
        <v>Monday</v>
      </c>
      <c r="I8" s="182">
        <f>I9</f>
        <v>36711</v>
      </c>
      <c r="J8" s="180"/>
      <c r="K8" s="181" t="str">
        <f>TEXT(WEEKDAY(I8),"dddd")</f>
        <v>Tuesday</v>
      </c>
      <c r="L8" s="182">
        <f>L9</f>
        <v>36712</v>
      </c>
      <c r="M8" s="180"/>
      <c r="N8" s="181" t="str">
        <f>TEXT(WEEKDAY(L8),"dddd")</f>
        <v>Wednesday</v>
      </c>
      <c r="O8" s="183"/>
      <c r="P8" s="184"/>
      <c r="Q8" s="183"/>
      <c r="R8" s="189"/>
      <c r="S8" s="192">
        <f>Summary!$C$132</f>
        <v>5000</v>
      </c>
      <c r="T8" s="190"/>
      <c r="U8" s="191"/>
    </row>
    <row r="9" spans="1:24" hidden="1" x14ac:dyDescent="0.2">
      <c r="A9" s="28"/>
      <c r="B9" s="56"/>
      <c r="C9" s="155">
        <v>36709</v>
      </c>
      <c r="D9" s="154">
        <v>36709</v>
      </c>
      <c r="E9" s="154">
        <v>36709</v>
      </c>
      <c r="F9" s="155">
        <v>36710</v>
      </c>
      <c r="G9" s="154">
        <v>36710</v>
      </c>
      <c r="H9" s="154">
        <v>36710</v>
      </c>
      <c r="I9" s="155">
        <v>36711</v>
      </c>
      <c r="J9" s="154">
        <v>36711</v>
      </c>
      <c r="K9" s="154">
        <v>36711</v>
      </c>
      <c r="L9" s="155">
        <v>36712</v>
      </c>
      <c r="M9" s="154">
        <v>36712</v>
      </c>
      <c r="N9" s="154">
        <v>36712</v>
      </c>
      <c r="O9" s="7"/>
      <c r="P9" s="156"/>
      <c r="Q9" s="66"/>
      <c r="R9" s="64"/>
      <c r="S9" s="78"/>
    </row>
    <row r="10" spans="1:24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/>
      <c r="P10" s="88"/>
      <c r="Q10" s="80"/>
      <c r="R10" s="67"/>
      <c r="S10" s="84"/>
      <c r="T10" s="74" t="str">
        <f>IF($C$4="High Inventory",IF(AND($O10&gt;=Summary!$C$128,$P10&gt;=0%),"X"," "),IF(AND($O10&lt;=-Summary!$C$128,$P10&lt;=0%),"X"," "))</f>
        <v xml:space="preserve"> </v>
      </c>
      <c r="U10" s="11" t="str">
        <f>IF($C$4="High Inventory",IF(AND($O10&gt;=0,$P10&gt;=Summary!$C$129),"X"," "),IF(AND($O10&lt;=0,$P10&lt;=-Summary!$C$129),"X"," "))</f>
        <v xml:space="preserve"> </v>
      </c>
      <c r="V10" t="str">
        <f t="shared" ref="V10:V38" si="0">IF(S10 = "X",L10-I10," ")</f>
        <v xml:space="preserve"> </v>
      </c>
    </row>
    <row r="11" spans="1:24" x14ac:dyDescent="0.2">
      <c r="A11" s="28">
        <v>1117</v>
      </c>
      <c r="B11" s="56" t="s">
        <v>25</v>
      </c>
      <c r="C11" s="6">
        <v>167</v>
      </c>
      <c r="D11" s="5">
        <v>193</v>
      </c>
      <c r="E11" s="5">
        <v>-26</v>
      </c>
      <c r="F11" s="6">
        <v>167</v>
      </c>
      <c r="G11" s="5">
        <v>228</v>
      </c>
      <c r="H11" s="5">
        <v>-61</v>
      </c>
      <c r="I11" s="6">
        <v>167</v>
      </c>
      <c r="J11" s="5">
        <v>185</v>
      </c>
      <c r="K11" s="5">
        <v>-18</v>
      </c>
      <c r="L11" s="6">
        <v>0</v>
      </c>
      <c r="M11" s="5">
        <v>201</v>
      </c>
      <c r="N11" s="5">
        <v>-201</v>
      </c>
      <c r="O11" s="6">
        <f t="shared" ref="O11:O27" si="1">K11+H11+E11</f>
        <v>-105</v>
      </c>
      <c r="P11" s="72">
        <f t="shared" ref="P11:P27" si="2">O11/(J11+G11+D11+1)</f>
        <v>-0.17298187808896212</v>
      </c>
      <c r="Q11" s="76" t="str">
        <f t="shared" ref="Q11:Q67" si="3"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74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0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24" x14ac:dyDescent="0.2">
      <c r="A12" s="28">
        <v>1126</v>
      </c>
      <c r="B12" s="56" t="s">
        <v>25</v>
      </c>
      <c r="C12" s="6">
        <v>0</v>
      </c>
      <c r="D12" s="5">
        <v>206</v>
      </c>
      <c r="E12" s="5">
        <v>-206</v>
      </c>
      <c r="F12" s="6">
        <v>0</v>
      </c>
      <c r="G12" s="5">
        <v>249</v>
      </c>
      <c r="H12" s="5">
        <v>-249</v>
      </c>
      <c r="I12" s="6">
        <v>0</v>
      </c>
      <c r="J12" s="5">
        <v>210</v>
      </c>
      <c r="K12" s="5">
        <v>-210</v>
      </c>
      <c r="L12" s="6">
        <v>0</v>
      </c>
      <c r="M12" s="5">
        <v>237</v>
      </c>
      <c r="N12" s="5">
        <v>-237</v>
      </c>
      <c r="O12" s="6">
        <f t="shared" si="1"/>
        <v>-665</v>
      </c>
      <c r="P12" s="72">
        <f t="shared" si="2"/>
        <v>-0.99849849849849848</v>
      </c>
      <c r="Q12" s="76" t="str">
        <f t="shared" si="3"/>
        <v xml:space="preserve"> </v>
      </c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74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0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24" x14ac:dyDescent="0.2">
      <c r="A13" s="28">
        <v>1157</v>
      </c>
      <c r="B13" s="56" t="s">
        <v>25</v>
      </c>
      <c r="C13" s="6">
        <v>100</v>
      </c>
      <c r="D13" s="5">
        <v>108</v>
      </c>
      <c r="E13" s="5">
        <v>-8</v>
      </c>
      <c r="F13" s="6">
        <v>100</v>
      </c>
      <c r="G13" s="5">
        <v>134</v>
      </c>
      <c r="H13" s="5">
        <v>-34</v>
      </c>
      <c r="I13" s="6">
        <v>100</v>
      </c>
      <c r="J13" s="5">
        <v>117</v>
      </c>
      <c r="K13" s="5">
        <v>-17</v>
      </c>
      <c r="L13" s="6">
        <v>100</v>
      </c>
      <c r="M13" s="5">
        <v>135</v>
      </c>
      <c r="N13" s="5">
        <v>-35</v>
      </c>
      <c r="O13" s="6">
        <f t="shared" si="1"/>
        <v>-59</v>
      </c>
      <c r="P13" s="72">
        <f t="shared" si="2"/>
        <v>-0.16388888888888889</v>
      </c>
      <c r="Q13" s="76" t="str">
        <f t="shared" si="3"/>
        <v xml:space="preserve"> </v>
      </c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74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0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24" x14ac:dyDescent="0.2">
      <c r="A14" s="28">
        <v>1780</v>
      </c>
      <c r="B14" s="56" t="s">
        <v>25</v>
      </c>
      <c r="C14" s="6">
        <v>1171</v>
      </c>
      <c r="D14" s="5">
        <v>853</v>
      </c>
      <c r="E14" s="5">
        <v>318</v>
      </c>
      <c r="F14" s="6">
        <v>1171</v>
      </c>
      <c r="G14" s="5">
        <v>1027</v>
      </c>
      <c r="H14" s="5">
        <v>144</v>
      </c>
      <c r="I14" s="6">
        <v>1171</v>
      </c>
      <c r="J14" s="5">
        <v>861</v>
      </c>
      <c r="K14" s="5">
        <v>310</v>
      </c>
      <c r="L14" s="6">
        <v>965</v>
      </c>
      <c r="M14" s="5">
        <v>965</v>
      </c>
      <c r="N14" s="5">
        <v>0</v>
      </c>
      <c r="O14" s="6">
        <f t="shared" si="1"/>
        <v>772</v>
      </c>
      <c r="P14" s="72">
        <f t="shared" si="2"/>
        <v>0.28154631655725748</v>
      </c>
      <c r="Q14" s="76" t="str">
        <f t="shared" si="3"/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74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0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24" x14ac:dyDescent="0.2">
      <c r="A15" s="28">
        <v>2280</v>
      </c>
      <c r="B15" s="56" t="s">
        <v>25</v>
      </c>
      <c r="C15" s="6">
        <v>627</v>
      </c>
      <c r="D15" s="5">
        <v>805</v>
      </c>
      <c r="E15" s="5">
        <v>-178</v>
      </c>
      <c r="F15" s="6">
        <v>782</v>
      </c>
      <c r="G15" s="5">
        <v>939</v>
      </c>
      <c r="H15" s="5">
        <v>-157</v>
      </c>
      <c r="I15" s="6">
        <v>782</v>
      </c>
      <c r="J15" s="5">
        <v>766</v>
      </c>
      <c r="K15" s="5">
        <v>16</v>
      </c>
      <c r="L15" s="6">
        <v>782</v>
      </c>
      <c r="M15" s="5">
        <v>837</v>
      </c>
      <c r="N15" s="5">
        <v>-55</v>
      </c>
      <c r="O15" s="6">
        <f t="shared" si="1"/>
        <v>-319</v>
      </c>
      <c r="P15" s="72">
        <f t="shared" si="2"/>
        <v>-0.12704101951413779</v>
      </c>
      <c r="Q15" s="76" t="str">
        <f t="shared" si="3"/>
        <v xml:space="preserve"> </v>
      </c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74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0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24" x14ac:dyDescent="0.2">
      <c r="A16" s="28">
        <v>2584</v>
      </c>
      <c r="B16" s="56" t="s">
        <v>25</v>
      </c>
      <c r="C16" s="6">
        <v>2550</v>
      </c>
      <c r="D16" s="5">
        <v>2676</v>
      </c>
      <c r="E16" s="5">
        <v>-126</v>
      </c>
      <c r="F16" s="6">
        <v>2550</v>
      </c>
      <c r="G16" s="5">
        <v>3122</v>
      </c>
      <c r="H16" s="5">
        <v>-572</v>
      </c>
      <c r="I16" s="6">
        <v>2550</v>
      </c>
      <c r="J16" s="5">
        <v>2548</v>
      </c>
      <c r="K16" s="5">
        <v>2</v>
      </c>
      <c r="L16" s="6">
        <v>2786</v>
      </c>
      <c r="M16" s="5">
        <v>2787</v>
      </c>
      <c r="N16" s="5">
        <v>-1</v>
      </c>
      <c r="O16" s="6">
        <f t="shared" si="1"/>
        <v>-696</v>
      </c>
      <c r="P16" s="72">
        <f t="shared" si="2"/>
        <v>-8.338325146759315E-2</v>
      </c>
      <c r="Q16" s="76" t="str">
        <f t="shared" si="3"/>
        <v xml:space="preserve"> </v>
      </c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74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0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5427</v>
      </c>
      <c r="E17" s="5">
        <v>-1692</v>
      </c>
      <c r="F17" s="6">
        <v>3735</v>
      </c>
      <c r="G17" s="5">
        <v>6345</v>
      </c>
      <c r="H17" s="5">
        <v>-2610</v>
      </c>
      <c r="I17" s="6">
        <v>3735</v>
      </c>
      <c r="J17" s="5">
        <v>5187</v>
      </c>
      <c r="K17" s="5">
        <v>-1452</v>
      </c>
      <c r="L17" s="6">
        <v>5466</v>
      </c>
      <c r="M17" s="5">
        <v>5686</v>
      </c>
      <c r="N17" s="5">
        <v>-220</v>
      </c>
      <c r="O17" s="6">
        <f t="shared" si="1"/>
        <v>-5754</v>
      </c>
      <c r="P17" s="72">
        <f t="shared" si="2"/>
        <v>-0.33926886792452832</v>
      </c>
      <c r="Q17" s="76" t="str">
        <f t="shared" si="3"/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74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 t="str">
        <f t="shared" si="0"/>
        <v xml:space="preserve"> 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845</v>
      </c>
      <c r="E18" s="5">
        <v>-45</v>
      </c>
      <c r="F18" s="6">
        <v>800</v>
      </c>
      <c r="G18" s="5">
        <v>997</v>
      </c>
      <c r="H18" s="5">
        <v>-197</v>
      </c>
      <c r="I18" s="6">
        <v>800</v>
      </c>
      <c r="J18" s="5">
        <v>822</v>
      </c>
      <c r="K18" s="5">
        <v>-22</v>
      </c>
      <c r="L18" s="6">
        <v>872</v>
      </c>
      <c r="M18" s="5">
        <v>907</v>
      </c>
      <c r="N18" s="5">
        <v>-35</v>
      </c>
      <c r="O18" s="6">
        <f t="shared" si="1"/>
        <v>-264</v>
      </c>
      <c r="P18" s="72">
        <f t="shared" si="2"/>
        <v>-9.9061913696060044E-2</v>
      </c>
      <c r="Q18" s="76" t="str">
        <f t="shared" si="3"/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74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0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4224</v>
      </c>
      <c r="D19" s="5">
        <v>4193</v>
      </c>
      <c r="E19" s="5">
        <v>31</v>
      </c>
      <c r="F19" s="6">
        <v>4224</v>
      </c>
      <c r="G19" s="5">
        <v>4895</v>
      </c>
      <c r="H19" s="5">
        <v>-671</v>
      </c>
      <c r="I19" s="6">
        <v>4223</v>
      </c>
      <c r="J19" s="5">
        <v>3995</v>
      </c>
      <c r="K19" s="5">
        <v>228</v>
      </c>
      <c r="L19" s="6">
        <v>4224</v>
      </c>
      <c r="M19" s="5">
        <v>4368</v>
      </c>
      <c r="N19" s="5">
        <v>-144</v>
      </c>
      <c r="O19" s="6">
        <f t="shared" si="1"/>
        <v>-412</v>
      </c>
      <c r="P19" s="72">
        <f t="shared" si="2"/>
        <v>-3.1488841332925711E-2</v>
      </c>
      <c r="Q19" s="76" t="str">
        <f t="shared" si="3"/>
        <v xml:space="preserve"> </v>
      </c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74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0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1"/>
        <v>0</v>
      </c>
      <c r="P20" s="72">
        <f t="shared" si="2"/>
        <v>0</v>
      </c>
      <c r="Q20" s="76" t="str">
        <f t="shared" si="3"/>
        <v xml:space="preserve"> </v>
      </c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74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0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3152</v>
      </c>
      <c r="B21" s="56" t="s">
        <v>25</v>
      </c>
      <c r="C21" s="6">
        <v>4816</v>
      </c>
      <c r="D21" s="5">
        <v>2879</v>
      </c>
      <c r="E21" s="5">
        <v>1937</v>
      </c>
      <c r="F21" s="6">
        <v>4816</v>
      </c>
      <c r="G21" s="5">
        <v>3463</v>
      </c>
      <c r="H21" s="5">
        <v>1353</v>
      </c>
      <c r="I21" s="6">
        <v>4816</v>
      </c>
      <c r="J21" s="5">
        <v>2895</v>
      </c>
      <c r="K21" s="5">
        <v>1921</v>
      </c>
      <c r="L21" s="6">
        <v>3250</v>
      </c>
      <c r="M21" s="5">
        <v>3251</v>
      </c>
      <c r="N21" s="5">
        <v>-1</v>
      </c>
      <c r="O21" s="6">
        <f t="shared" si="1"/>
        <v>5211</v>
      </c>
      <c r="P21" s="72">
        <f t="shared" si="2"/>
        <v>0.56408313487767914</v>
      </c>
      <c r="Q21" s="76" t="str">
        <f t="shared" si="3"/>
        <v xml:space="preserve"> </v>
      </c>
      <c r="R21" s="67" t="str">
        <f>IF($C$4="High Inventory",IF(AND(O21&gt;=Summary!$C$128,P21&gt;=Summary!$C$129),"X"," "),IF(AND(O21&lt;=-Summary!$C$128,P21&lt;=-Summary!$C$129),"X"," "))</f>
        <v>X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74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>X</v>
      </c>
      <c r="V21" t="str">
        <f t="shared" si="0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>X</v>
      </c>
    </row>
    <row r="22" spans="1:24" x14ac:dyDescent="0.2">
      <c r="A22" s="28">
        <v>4303</v>
      </c>
      <c r="B22" s="56" t="s">
        <v>25</v>
      </c>
      <c r="C22" s="6">
        <v>2402</v>
      </c>
      <c r="D22" s="5">
        <v>2174</v>
      </c>
      <c r="E22" s="5">
        <v>228</v>
      </c>
      <c r="F22" s="6">
        <v>2212</v>
      </c>
      <c r="G22" s="5">
        <v>2561</v>
      </c>
      <c r="H22" s="5">
        <v>-349</v>
      </c>
      <c r="I22" s="6">
        <v>2402</v>
      </c>
      <c r="J22" s="5">
        <v>2106</v>
      </c>
      <c r="K22" s="5">
        <v>296</v>
      </c>
      <c r="L22" s="6">
        <v>2340</v>
      </c>
      <c r="M22" s="5">
        <v>2319</v>
      </c>
      <c r="N22" s="5">
        <v>21</v>
      </c>
      <c r="O22" s="6">
        <f t="shared" si="1"/>
        <v>175</v>
      </c>
      <c r="P22" s="72">
        <f t="shared" si="2"/>
        <v>2.5577316574101141E-2</v>
      </c>
      <c r="Q22" s="76" t="str">
        <f t="shared" si="3"/>
        <v xml:space="preserve"> </v>
      </c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74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0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6500</v>
      </c>
      <c r="B23" s="56" t="s">
        <v>25</v>
      </c>
      <c r="C23" s="6">
        <v>387863</v>
      </c>
      <c r="D23" s="5">
        <v>390908</v>
      </c>
      <c r="E23" s="5">
        <v>-3045</v>
      </c>
      <c r="F23" s="6">
        <v>484326</v>
      </c>
      <c r="G23" s="5">
        <v>471502</v>
      </c>
      <c r="H23" s="5">
        <v>12824</v>
      </c>
      <c r="I23" s="6">
        <v>404833</v>
      </c>
      <c r="J23" s="5">
        <v>395131</v>
      </c>
      <c r="K23" s="5">
        <v>9702</v>
      </c>
      <c r="L23" s="6">
        <v>441720</v>
      </c>
      <c r="M23" s="5">
        <v>443251</v>
      </c>
      <c r="N23" s="5">
        <v>-1531</v>
      </c>
      <c r="O23" s="6">
        <f t="shared" si="1"/>
        <v>19481</v>
      </c>
      <c r="P23" s="72">
        <f t="shared" si="2"/>
        <v>1.5491331502248037E-2</v>
      </c>
      <c r="Q23" s="76" t="str">
        <f t="shared" si="3"/>
        <v xml:space="preserve"> </v>
      </c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74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0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10656</v>
      </c>
      <c r="B24" s="56" t="s">
        <v>25</v>
      </c>
      <c r="C24" s="6">
        <v>231</v>
      </c>
      <c r="D24" s="5">
        <v>180</v>
      </c>
      <c r="E24" s="5">
        <v>51</v>
      </c>
      <c r="F24" s="6">
        <v>231</v>
      </c>
      <c r="G24" s="5">
        <v>238</v>
      </c>
      <c r="H24" s="5">
        <v>-7</v>
      </c>
      <c r="I24" s="6">
        <v>231</v>
      </c>
      <c r="J24" s="5">
        <v>218</v>
      </c>
      <c r="K24" s="5">
        <v>13</v>
      </c>
      <c r="L24" s="6">
        <v>0</v>
      </c>
      <c r="M24" s="5">
        <v>262</v>
      </c>
      <c r="N24" s="5">
        <v>-262</v>
      </c>
      <c r="O24" s="6">
        <f>K24+H24+E24</f>
        <v>57</v>
      </c>
      <c r="P24" s="72">
        <f>O24/(J24+G24+D24+1)</f>
        <v>8.9481946624803771E-2</v>
      </c>
      <c r="Q24" s="76" t="str">
        <f t="shared" si="3"/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74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0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12296</v>
      </c>
      <c r="B25" s="56" t="s">
        <v>25</v>
      </c>
      <c r="C25" s="6">
        <v>2774</v>
      </c>
      <c r="D25" s="5">
        <v>2649</v>
      </c>
      <c r="E25" s="5">
        <v>125</v>
      </c>
      <c r="F25" s="6">
        <v>2774</v>
      </c>
      <c r="G25" s="5">
        <v>3078</v>
      </c>
      <c r="H25" s="5">
        <v>-304</v>
      </c>
      <c r="I25" s="6">
        <v>2774</v>
      </c>
      <c r="J25" s="5">
        <v>2496</v>
      </c>
      <c r="K25" s="5">
        <v>278</v>
      </c>
      <c r="L25" s="6">
        <v>2730</v>
      </c>
      <c r="M25" s="5">
        <v>2712</v>
      </c>
      <c r="N25" s="5">
        <v>18</v>
      </c>
      <c r="O25" s="6">
        <f t="shared" si="1"/>
        <v>99</v>
      </c>
      <c r="P25" s="72">
        <f t="shared" si="2"/>
        <v>1.2037937743190662E-2</v>
      </c>
      <c r="Q25" s="76" t="str">
        <f t="shared" si="3"/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74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0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16786</v>
      </c>
      <c r="B26" s="56" t="s">
        <v>25</v>
      </c>
      <c r="C26" s="6">
        <v>0</v>
      </c>
      <c r="D26" s="5">
        <v>3191</v>
      </c>
      <c r="E26" s="5">
        <v>-3191</v>
      </c>
      <c r="F26" s="6">
        <v>795</v>
      </c>
      <c r="G26" s="5">
        <v>3796</v>
      </c>
      <c r="H26" s="5">
        <v>-3001</v>
      </c>
      <c r="I26" s="6">
        <v>3106</v>
      </c>
      <c r="J26" s="5">
        <v>3145</v>
      </c>
      <c r="K26" s="5">
        <v>-39</v>
      </c>
      <c r="L26" s="6">
        <v>3106</v>
      </c>
      <c r="M26" s="5">
        <v>3490</v>
      </c>
      <c r="N26" s="5">
        <v>-384</v>
      </c>
      <c r="O26" s="6">
        <f t="shared" si="1"/>
        <v>-6231</v>
      </c>
      <c r="P26" s="72">
        <f t="shared" si="2"/>
        <v>-0.61492154347182471</v>
      </c>
      <c r="Q26" s="76" t="str">
        <f t="shared" si="3"/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74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0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17791</v>
      </c>
      <c r="B27" s="56" t="s">
        <v>25</v>
      </c>
      <c r="C27" s="6">
        <v>200</v>
      </c>
      <c r="D27" s="5">
        <v>149</v>
      </c>
      <c r="E27" s="5">
        <v>51</v>
      </c>
      <c r="F27" s="6">
        <v>200</v>
      </c>
      <c r="G27" s="5">
        <v>185</v>
      </c>
      <c r="H27" s="5">
        <v>15</v>
      </c>
      <c r="I27" s="6">
        <v>200</v>
      </c>
      <c r="J27" s="5">
        <v>160</v>
      </c>
      <c r="K27" s="5">
        <v>40</v>
      </c>
      <c r="L27" s="6">
        <v>184</v>
      </c>
      <c r="M27" s="5">
        <v>184</v>
      </c>
      <c r="N27" s="5">
        <v>0</v>
      </c>
      <c r="O27" s="6">
        <f t="shared" si="1"/>
        <v>106</v>
      </c>
      <c r="P27" s="72">
        <f t="shared" si="2"/>
        <v>0.21414141414141413</v>
      </c>
      <c r="Q27" s="76" t="str">
        <f t="shared" si="3"/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74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0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1117</v>
      </c>
      <c r="B28" s="56" t="s">
        <v>26</v>
      </c>
      <c r="C28" s="6">
        <v>57599</v>
      </c>
      <c r="D28" s="5">
        <v>44686</v>
      </c>
      <c r="E28" s="5">
        <v>12913</v>
      </c>
      <c r="F28" s="6">
        <v>59313</v>
      </c>
      <c r="G28" s="5">
        <v>56565</v>
      </c>
      <c r="H28" s="5">
        <v>2748</v>
      </c>
      <c r="I28" s="6">
        <v>57352</v>
      </c>
      <c r="J28" s="5">
        <v>48767</v>
      </c>
      <c r="K28" s="5">
        <v>8585</v>
      </c>
      <c r="L28" s="6">
        <v>57358</v>
      </c>
      <c r="M28" s="5">
        <v>67186</v>
      </c>
      <c r="N28" s="5">
        <v>-9828</v>
      </c>
      <c r="O28" s="6">
        <f t="shared" ref="O28:O52" si="4">K28+H28+E28</f>
        <v>24246</v>
      </c>
      <c r="P28" s="72">
        <f t="shared" ref="P28:P52" si="5">O28/(J28+G28+D28+1)</f>
        <v>0.16161952819309555</v>
      </c>
      <c r="Q28" s="76" t="str">
        <f t="shared" si="3"/>
        <v xml:space="preserve"> </v>
      </c>
      <c r="R28" s="67" t="str">
        <f>IF($C$4="High Inventory",IF(AND(O28&gt;=Summary!$C$128,P28&gt;=Summary!$C$129),"X"," "),IF(AND(O28&lt;=-Summary!$C$128,P28&lt;=-Summary!$C$129),"X"," "))</f>
        <v>X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74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0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">
      <c r="A29" s="28">
        <v>1126</v>
      </c>
      <c r="B29" s="56" t="s">
        <v>26</v>
      </c>
      <c r="C29" s="6">
        <v>28209</v>
      </c>
      <c r="D29" s="5">
        <v>27247</v>
      </c>
      <c r="E29" s="5">
        <v>962</v>
      </c>
      <c r="F29" s="6">
        <v>28209</v>
      </c>
      <c r="G29" s="5">
        <v>28884</v>
      </c>
      <c r="H29" s="5">
        <v>-675</v>
      </c>
      <c r="I29" s="6">
        <v>28209</v>
      </c>
      <c r="J29" s="5">
        <v>27884</v>
      </c>
      <c r="K29" s="5">
        <v>325</v>
      </c>
      <c r="L29" s="6">
        <v>27209</v>
      </c>
      <c r="M29" s="5">
        <v>29283</v>
      </c>
      <c r="N29" s="5">
        <v>-2074</v>
      </c>
      <c r="O29" s="6">
        <f t="shared" si="4"/>
        <v>612</v>
      </c>
      <c r="P29" s="72">
        <f t="shared" si="5"/>
        <v>7.2843267948962103E-3</v>
      </c>
      <c r="Q29" s="76" t="str">
        <f t="shared" si="3"/>
        <v xml:space="preserve"> </v>
      </c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74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0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148645</v>
      </c>
      <c r="D30" s="5">
        <v>87777</v>
      </c>
      <c r="E30" s="5">
        <v>60868</v>
      </c>
      <c r="F30" s="6">
        <v>152560</v>
      </c>
      <c r="G30" s="5">
        <v>109719</v>
      </c>
      <c r="H30" s="5">
        <v>42841</v>
      </c>
      <c r="I30" s="6">
        <v>156758</v>
      </c>
      <c r="J30" s="5">
        <v>91521</v>
      </c>
      <c r="K30" s="5">
        <v>65237</v>
      </c>
      <c r="L30" s="6">
        <v>114070</v>
      </c>
      <c r="M30" s="5">
        <v>113998</v>
      </c>
      <c r="N30" s="5">
        <v>72</v>
      </c>
      <c r="O30" s="6">
        <f t="shared" si="4"/>
        <v>168946</v>
      </c>
      <c r="P30" s="72">
        <f t="shared" si="5"/>
        <v>0.58455182722183396</v>
      </c>
      <c r="Q30" s="76" t="str">
        <f t="shared" si="3"/>
        <v xml:space="preserve"> </v>
      </c>
      <c r="R30" s="67" t="str">
        <f>IF($C$4="High Inventory",IF(AND(O30&gt;=Summary!$C$128,P30&gt;=Summary!$C$129),"X"," "),IF(AND(O30&lt;=-Summary!$C$128,P30&lt;=-Summary!$C$129),"X"," "))</f>
        <v>X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74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0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">
      <c r="A31" s="28">
        <v>1281</v>
      </c>
      <c r="B31" s="56" t="s">
        <v>26</v>
      </c>
      <c r="C31" s="6">
        <v>17878</v>
      </c>
      <c r="D31" s="5">
        <v>12677</v>
      </c>
      <c r="E31" s="5">
        <v>5201</v>
      </c>
      <c r="F31" s="6">
        <v>21305</v>
      </c>
      <c r="G31" s="5">
        <v>18859</v>
      </c>
      <c r="H31" s="5">
        <v>2446</v>
      </c>
      <c r="I31" s="6">
        <v>20988</v>
      </c>
      <c r="J31" s="5">
        <v>12530</v>
      </c>
      <c r="K31" s="5">
        <v>8458</v>
      </c>
      <c r="L31" s="6">
        <v>37058</v>
      </c>
      <c r="M31" s="5">
        <v>22160</v>
      </c>
      <c r="N31" s="5">
        <v>14898</v>
      </c>
      <c r="O31" s="6">
        <f t="shared" si="4"/>
        <v>16105</v>
      </c>
      <c r="P31" s="72">
        <f t="shared" si="5"/>
        <v>0.3654662218893957</v>
      </c>
      <c r="Q31" s="76" t="str">
        <f t="shared" si="3"/>
        <v xml:space="preserve"> </v>
      </c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>X</v>
      </c>
      <c r="T31" s="74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>
        <f t="shared" si="0"/>
        <v>16070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6818</v>
      </c>
      <c r="D32" s="5">
        <v>5663</v>
      </c>
      <c r="E32" s="5">
        <v>1155</v>
      </c>
      <c r="F32" s="6">
        <v>6818</v>
      </c>
      <c r="G32" s="5">
        <v>4967</v>
      </c>
      <c r="H32" s="5">
        <v>1851</v>
      </c>
      <c r="I32" s="6">
        <v>6818</v>
      </c>
      <c r="J32" s="5">
        <v>3650</v>
      </c>
      <c r="K32" s="5">
        <v>3168</v>
      </c>
      <c r="L32" s="6">
        <v>5143</v>
      </c>
      <c r="M32" s="5">
        <v>6302</v>
      </c>
      <c r="N32" s="5">
        <v>-1159</v>
      </c>
      <c r="O32" s="6">
        <f t="shared" si="4"/>
        <v>6174</v>
      </c>
      <c r="P32" s="72">
        <f t="shared" si="5"/>
        <v>0.43232266647993839</v>
      </c>
      <c r="Q32" s="76" t="str">
        <f t="shared" si="3"/>
        <v xml:space="preserve"> </v>
      </c>
      <c r="R32" s="67" t="str">
        <f>IF($C$4="High Inventory",IF(AND(O32&gt;=Summary!$C$128,P32&gt;=Summary!$C$129),"X"," "),IF(AND(O32&lt;=-Summary!$C$128,P32&lt;=-Summary!$C$129),"X"," "))</f>
        <v>X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74" t="str">
        <f>IF($C$4="High Inventory",IF(AND($O32&gt;=Summary!$C$128,$P32&gt;=0%),"X"," "),IF(AND($O32&lt;=-Summary!$C$128,$P32&lt;=0%),"X"," "))</f>
        <v>X</v>
      </c>
      <c r="U32" s="11" t="str">
        <f>IF($C$4="High Inventory",IF(AND($O32&gt;=0,$P32&gt;=Summary!$C$129),"X"," "),IF(AND($O32&lt;=0,$P32&lt;=-Summary!$C$129),"X"," "))</f>
        <v>X</v>
      </c>
      <c r="V32" t="str">
        <f t="shared" si="0"/>
        <v xml:space="preserve"> </v>
      </c>
      <c r="W32" t="str">
        <f>IF($C$4="High Inventory",IF(O32&gt;Summary!$C$128,"X"," "),IF(O32&lt;-Summary!$C$128,"X"," "))</f>
        <v>X</v>
      </c>
      <c r="X32" t="str">
        <f>IF($C$4="High Inventory",IF(P32&gt;Summary!$C$129,"X"," "),IF(P32&lt;-Summary!$C$129,"X"," "))</f>
        <v>X</v>
      </c>
    </row>
    <row r="33" spans="1:24" x14ac:dyDescent="0.2">
      <c r="A33" s="28">
        <v>1377</v>
      </c>
      <c r="B33" s="56" t="s">
        <v>26</v>
      </c>
      <c r="C33" s="6">
        <v>95749</v>
      </c>
      <c r="D33" s="5">
        <v>106411</v>
      </c>
      <c r="E33" s="5">
        <v>-10662</v>
      </c>
      <c r="F33" s="6">
        <v>92639</v>
      </c>
      <c r="G33" s="5">
        <v>109612</v>
      </c>
      <c r="H33" s="5">
        <v>-16973</v>
      </c>
      <c r="I33" s="6">
        <v>100796</v>
      </c>
      <c r="J33" s="5">
        <v>110659</v>
      </c>
      <c r="K33" s="5">
        <v>-9863</v>
      </c>
      <c r="L33" s="6">
        <v>90917</v>
      </c>
      <c r="M33" s="5">
        <v>111288</v>
      </c>
      <c r="N33" s="5">
        <v>-20371</v>
      </c>
      <c r="O33" s="6">
        <f t="shared" si="4"/>
        <v>-37498</v>
      </c>
      <c r="P33" s="72">
        <f t="shared" si="5"/>
        <v>-0.11478405671553157</v>
      </c>
      <c r="Q33" s="76" t="str">
        <f t="shared" si="3"/>
        <v xml:space="preserve"> </v>
      </c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74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0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4"/>
        <v>-3</v>
      </c>
      <c r="P34" s="72">
        <f t="shared" si="5"/>
        <v>-0.75</v>
      </c>
      <c r="Q34" s="76" t="str">
        <f t="shared" si="3"/>
        <v xml:space="preserve"> </v>
      </c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74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0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425063</v>
      </c>
      <c r="D35" s="5">
        <v>409935</v>
      </c>
      <c r="E35" s="5">
        <v>15128</v>
      </c>
      <c r="F35" s="6">
        <v>467690</v>
      </c>
      <c r="G35" s="5">
        <v>469047</v>
      </c>
      <c r="H35" s="5">
        <v>-1357</v>
      </c>
      <c r="I35" s="6">
        <v>439530</v>
      </c>
      <c r="J35" s="5">
        <v>273536</v>
      </c>
      <c r="K35" s="5">
        <v>165994</v>
      </c>
      <c r="L35" s="6">
        <v>360606</v>
      </c>
      <c r="M35" s="5">
        <v>339688</v>
      </c>
      <c r="N35" s="5">
        <v>20918</v>
      </c>
      <c r="O35" s="6">
        <f t="shared" si="4"/>
        <v>179765</v>
      </c>
      <c r="P35" s="72">
        <f t="shared" si="5"/>
        <v>0.1559757366256001</v>
      </c>
      <c r="Q35" s="76" t="str">
        <f t="shared" si="3"/>
        <v xml:space="preserve"> </v>
      </c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74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0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">
      <c r="A36" s="28">
        <v>1922</v>
      </c>
      <c r="B36" s="56" t="s">
        <v>26</v>
      </c>
      <c r="C36" s="6">
        <v>63825</v>
      </c>
      <c r="D36" s="5">
        <v>41796</v>
      </c>
      <c r="E36" s="5">
        <v>22029</v>
      </c>
      <c r="F36" s="6">
        <v>71992</v>
      </c>
      <c r="G36" s="5">
        <v>48164</v>
      </c>
      <c r="H36" s="5">
        <v>23828</v>
      </c>
      <c r="I36" s="6">
        <v>71992</v>
      </c>
      <c r="J36" s="5">
        <v>39524</v>
      </c>
      <c r="K36" s="5">
        <v>32468</v>
      </c>
      <c r="L36" s="6">
        <v>48675</v>
      </c>
      <c r="M36" s="5">
        <v>48848</v>
      </c>
      <c r="N36" s="5">
        <v>-173</v>
      </c>
      <c r="O36" s="6">
        <f t="shared" si="4"/>
        <v>78325</v>
      </c>
      <c r="P36" s="72">
        <f t="shared" si="5"/>
        <v>0.60489632003706995</v>
      </c>
      <c r="Q36" s="76" t="str">
        <f t="shared" si="3"/>
        <v xml:space="preserve"> </v>
      </c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74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0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">
      <c r="A37" s="28">
        <v>1928</v>
      </c>
      <c r="B37" s="56" t="s">
        <v>26</v>
      </c>
      <c r="C37" s="6">
        <v>14084</v>
      </c>
      <c r="D37" s="5">
        <v>13840</v>
      </c>
      <c r="E37" s="5">
        <v>244</v>
      </c>
      <c r="F37" s="6">
        <v>14084</v>
      </c>
      <c r="G37" s="5">
        <v>15471</v>
      </c>
      <c r="H37" s="5">
        <v>-1387</v>
      </c>
      <c r="I37" s="6">
        <v>14084</v>
      </c>
      <c r="J37" s="5">
        <v>12872</v>
      </c>
      <c r="K37" s="5">
        <v>1212</v>
      </c>
      <c r="L37" s="6">
        <v>14084</v>
      </c>
      <c r="M37" s="5">
        <v>16265</v>
      </c>
      <c r="N37" s="5">
        <v>-2181</v>
      </c>
      <c r="O37" s="6">
        <f t="shared" si="4"/>
        <v>69</v>
      </c>
      <c r="P37" s="72">
        <f t="shared" si="5"/>
        <v>1.6356912573487579E-3</v>
      </c>
      <c r="Q37" s="76" t="str">
        <f t="shared" si="3"/>
        <v xml:space="preserve"> </v>
      </c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74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0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2056</v>
      </c>
      <c r="B38" s="56" t="s">
        <v>26</v>
      </c>
      <c r="C38" s="6">
        <v>60881</v>
      </c>
      <c r="D38" s="5">
        <v>62078</v>
      </c>
      <c r="E38" s="5">
        <v>-1197</v>
      </c>
      <c r="F38" s="6">
        <v>60881</v>
      </c>
      <c r="G38" s="5">
        <v>59891</v>
      </c>
      <c r="H38" s="5">
        <v>990</v>
      </c>
      <c r="I38" s="6">
        <v>64861</v>
      </c>
      <c r="J38" s="5">
        <v>63024</v>
      </c>
      <c r="K38" s="5">
        <v>1837</v>
      </c>
      <c r="L38" s="6">
        <v>56901</v>
      </c>
      <c r="M38" s="5">
        <v>62347</v>
      </c>
      <c r="N38" s="5">
        <v>-5446</v>
      </c>
      <c r="O38" s="6">
        <f t="shared" si="4"/>
        <v>1630</v>
      </c>
      <c r="P38" s="72">
        <f t="shared" si="5"/>
        <v>8.8110965761051714E-3</v>
      </c>
      <c r="Q38" s="76" t="str">
        <f t="shared" si="3"/>
        <v xml:space="preserve"> </v>
      </c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74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si="0"/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6128</v>
      </c>
      <c r="D39" s="5">
        <v>4580</v>
      </c>
      <c r="E39" s="5">
        <v>1548</v>
      </c>
      <c r="F39" s="6">
        <v>8556</v>
      </c>
      <c r="G39" s="5">
        <v>7383</v>
      </c>
      <c r="H39" s="5">
        <v>1173</v>
      </c>
      <c r="I39" s="6">
        <v>8556</v>
      </c>
      <c r="J39" s="5">
        <v>4927</v>
      </c>
      <c r="K39" s="5">
        <v>3629</v>
      </c>
      <c r="L39" s="6">
        <v>8032</v>
      </c>
      <c r="M39" s="5">
        <v>9436</v>
      </c>
      <c r="N39" s="5">
        <v>-1404</v>
      </c>
      <c r="O39" s="6">
        <f t="shared" si="4"/>
        <v>6350</v>
      </c>
      <c r="P39" s="72">
        <f t="shared" si="5"/>
        <v>0.37593984962406013</v>
      </c>
      <c r="Q39" s="76" t="str">
        <f t="shared" si="3"/>
        <v xml:space="preserve"> </v>
      </c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74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ref="V39:V66" si="6">IF(S39 = "X",L39-I39," ")</f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">
      <c r="A40" s="28">
        <v>2584</v>
      </c>
      <c r="B40" s="56" t="s">
        <v>26</v>
      </c>
      <c r="C40" s="6">
        <v>78210</v>
      </c>
      <c r="D40" s="5">
        <v>46839</v>
      </c>
      <c r="E40" s="5">
        <v>31371</v>
      </c>
      <c r="F40" s="6">
        <v>78182</v>
      </c>
      <c r="G40" s="5">
        <v>57505</v>
      </c>
      <c r="H40" s="5">
        <v>20677</v>
      </c>
      <c r="I40" s="6">
        <v>78177</v>
      </c>
      <c r="J40" s="5">
        <v>50282</v>
      </c>
      <c r="K40" s="5">
        <v>27895</v>
      </c>
      <c r="L40" s="6">
        <v>56298</v>
      </c>
      <c r="M40" s="5">
        <v>66073</v>
      </c>
      <c r="N40" s="5">
        <v>-9775</v>
      </c>
      <c r="O40" s="6">
        <f t="shared" si="4"/>
        <v>79943</v>
      </c>
      <c r="P40" s="72">
        <f t="shared" si="5"/>
        <v>0.51700543889488904</v>
      </c>
      <c r="Q40" s="76" t="str">
        <f t="shared" si="3"/>
        <v xml:space="preserve"> 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74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6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">
      <c r="A41" s="28">
        <v>2771</v>
      </c>
      <c r="B41" s="56" t="s">
        <v>26</v>
      </c>
      <c r="C41" s="6">
        <v>20817</v>
      </c>
      <c r="D41" s="5">
        <v>23011</v>
      </c>
      <c r="E41" s="5">
        <v>-2194</v>
      </c>
      <c r="F41" s="6">
        <v>33088</v>
      </c>
      <c r="G41" s="5">
        <v>35353</v>
      </c>
      <c r="H41" s="5">
        <v>-2265</v>
      </c>
      <c r="I41" s="6">
        <v>35618</v>
      </c>
      <c r="J41" s="5">
        <v>25871</v>
      </c>
      <c r="K41" s="5">
        <v>9747</v>
      </c>
      <c r="L41" s="6">
        <v>30781</v>
      </c>
      <c r="M41" s="5">
        <v>44637</v>
      </c>
      <c r="N41" s="5">
        <v>-13856</v>
      </c>
      <c r="O41" s="6">
        <f t="shared" si="4"/>
        <v>5288</v>
      </c>
      <c r="P41" s="72">
        <f t="shared" si="5"/>
        <v>6.2776010256897288E-2</v>
      </c>
      <c r="Q41" s="76" t="str">
        <f t="shared" si="3"/>
        <v xml:space="preserve"> </v>
      </c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74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6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 xml:space="preserve"> </v>
      </c>
    </row>
    <row r="42" spans="1:24" x14ac:dyDescent="0.2">
      <c r="A42" s="28">
        <v>2832</v>
      </c>
      <c r="B42" s="56" t="s">
        <v>26</v>
      </c>
      <c r="C42" s="6">
        <v>2801</v>
      </c>
      <c r="D42" s="5">
        <v>1914</v>
      </c>
      <c r="E42" s="5">
        <v>887</v>
      </c>
      <c r="F42" s="6">
        <v>2801</v>
      </c>
      <c r="G42" s="5">
        <v>1829</v>
      </c>
      <c r="H42" s="5">
        <v>972</v>
      </c>
      <c r="I42" s="6">
        <v>2801</v>
      </c>
      <c r="J42" s="5">
        <v>1863</v>
      </c>
      <c r="K42" s="5">
        <v>938</v>
      </c>
      <c r="L42" s="6">
        <v>2729</v>
      </c>
      <c r="M42" s="5">
        <v>2670</v>
      </c>
      <c r="N42" s="5">
        <v>59</v>
      </c>
      <c r="O42" s="6">
        <f t="shared" si="4"/>
        <v>2797</v>
      </c>
      <c r="P42" s="72">
        <f t="shared" si="5"/>
        <v>0.498840734795791</v>
      </c>
      <c r="Q42" s="76" t="str">
        <f t="shared" si="3"/>
        <v xml:space="preserve"> </v>
      </c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74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6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2892</v>
      </c>
      <c r="B43" s="56" t="s">
        <v>26</v>
      </c>
      <c r="C43" s="6">
        <v>170</v>
      </c>
      <c r="D43" s="5">
        <v>231</v>
      </c>
      <c r="E43" s="5">
        <v>-61</v>
      </c>
      <c r="F43" s="6">
        <v>170</v>
      </c>
      <c r="G43" s="5">
        <v>198</v>
      </c>
      <c r="H43" s="5">
        <v>-28</v>
      </c>
      <c r="I43" s="6">
        <v>170</v>
      </c>
      <c r="J43" s="5">
        <v>170</v>
      </c>
      <c r="K43" s="5">
        <v>0</v>
      </c>
      <c r="L43" s="6">
        <v>170</v>
      </c>
      <c r="M43" s="5">
        <v>188</v>
      </c>
      <c r="N43" s="5">
        <v>-18</v>
      </c>
      <c r="O43" s="6">
        <f>K43+H43+E43</f>
        <v>-89</v>
      </c>
      <c r="P43" s="72">
        <f>O43/(J43+G43+D43+1)</f>
        <v>-0.14833333333333334</v>
      </c>
      <c r="Q43" s="76" t="str">
        <f t="shared" si="3"/>
        <v xml:space="preserve"> </v>
      </c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74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6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10368</v>
      </c>
      <c r="D44" s="5">
        <v>7022</v>
      </c>
      <c r="E44" s="5">
        <v>3346</v>
      </c>
      <c r="F44" s="6">
        <v>10368</v>
      </c>
      <c r="G44" s="5">
        <v>8213</v>
      </c>
      <c r="H44" s="5">
        <v>2155</v>
      </c>
      <c r="I44" s="6">
        <v>10368</v>
      </c>
      <c r="J44" s="5">
        <v>6823</v>
      </c>
      <c r="K44" s="5">
        <v>3545</v>
      </c>
      <c r="L44" s="6">
        <v>10368</v>
      </c>
      <c r="M44" s="5">
        <v>8968</v>
      </c>
      <c r="N44" s="5">
        <v>1400</v>
      </c>
      <c r="O44" s="6">
        <f t="shared" si="4"/>
        <v>9046</v>
      </c>
      <c r="P44" s="72">
        <f t="shared" si="5"/>
        <v>0.41008205267691195</v>
      </c>
      <c r="Q44" s="76" t="str">
        <f t="shared" si="3"/>
        <v xml:space="preserve"> </v>
      </c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74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6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">
      <c r="A45" s="28">
        <v>4303</v>
      </c>
      <c r="B45" s="56" t="s">
        <v>26</v>
      </c>
      <c r="C45" s="6">
        <v>2827</v>
      </c>
      <c r="D45" s="5">
        <v>1932</v>
      </c>
      <c r="E45" s="5">
        <v>895</v>
      </c>
      <c r="F45" s="6">
        <v>2827</v>
      </c>
      <c r="G45" s="5">
        <v>2462</v>
      </c>
      <c r="H45" s="5">
        <v>365</v>
      </c>
      <c r="I45" s="6">
        <v>2827</v>
      </c>
      <c r="J45" s="5">
        <v>1895</v>
      </c>
      <c r="K45" s="5">
        <v>932</v>
      </c>
      <c r="L45" s="6">
        <v>2314</v>
      </c>
      <c r="M45" s="5">
        <v>3123</v>
      </c>
      <c r="N45" s="5">
        <v>-809</v>
      </c>
      <c r="O45" s="6">
        <f t="shared" si="4"/>
        <v>2192</v>
      </c>
      <c r="P45" s="72">
        <f t="shared" si="5"/>
        <v>0.34848966613672494</v>
      </c>
      <c r="Q45" s="76" t="str">
        <f t="shared" si="3"/>
        <v xml:space="preserve"> </v>
      </c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74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>X</v>
      </c>
      <c r="V45" t="str">
        <f t="shared" si="6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>X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4"/>
        <v>0</v>
      </c>
      <c r="P46" s="72">
        <f t="shared" si="5"/>
        <v>0</v>
      </c>
      <c r="Q46" s="76" t="str">
        <f t="shared" si="3"/>
        <v xml:space="preserve"> </v>
      </c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74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6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202507</v>
      </c>
      <c r="D47" s="5">
        <v>148481</v>
      </c>
      <c r="E47" s="5">
        <v>54026</v>
      </c>
      <c r="F47" s="6">
        <v>233118</v>
      </c>
      <c r="G47" s="5">
        <v>179500</v>
      </c>
      <c r="H47" s="5">
        <v>53618</v>
      </c>
      <c r="I47" s="6">
        <v>203072</v>
      </c>
      <c r="J47" s="5">
        <v>101610</v>
      </c>
      <c r="K47" s="5">
        <v>101462</v>
      </c>
      <c r="L47" s="6">
        <v>198666</v>
      </c>
      <c r="M47" s="5">
        <v>201036</v>
      </c>
      <c r="N47" s="5">
        <v>-2370</v>
      </c>
      <c r="O47" s="6">
        <f t="shared" si="4"/>
        <v>209106</v>
      </c>
      <c r="P47" s="72">
        <f t="shared" si="5"/>
        <v>0.4867548743924468</v>
      </c>
      <c r="Q47" s="76" t="str">
        <f t="shared" si="3"/>
        <v xml:space="preserve"> </v>
      </c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74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6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">
      <c r="A48" s="28">
        <v>6084</v>
      </c>
      <c r="B48" s="56" t="s">
        <v>26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14</v>
      </c>
      <c r="N48" s="5">
        <v>-14</v>
      </c>
      <c r="O48" s="6">
        <f t="shared" si="4"/>
        <v>0</v>
      </c>
      <c r="P48" s="72">
        <f t="shared" si="5"/>
        <v>0</v>
      </c>
      <c r="Q48" s="76" t="str">
        <f t="shared" si="3"/>
        <v xml:space="preserve"> </v>
      </c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74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6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11834</v>
      </c>
      <c r="E49" s="5">
        <v>-334</v>
      </c>
      <c r="F49" s="6">
        <v>11500</v>
      </c>
      <c r="G49" s="5">
        <v>12198</v>
      </c>
      <c r="H49" s="5">
        <v>-698</v>
      </c>
      <c r="I49" s="6">
        <v>11500</v>
      </c>
      <c r="J49" s="5">
        <v>10944</v>
      </c>
      <c r="K49" s="5">
        <v>556</v>
      </c>
      <c r="L49" s="6">
        <v>11500</v>
      </c>
      <c r="M49" s="5">
        <v>12277</v>
      </c>
      <c r="N49" s="5">
        <v>-777</v>
      </c>
      <c r="O49" s="6">
        <f t="shared" si="4"/>
        <v>-476</v>
      </c>
      <c r="P49" s="72">
        <f t="shared" si="5"/>
        <v>-1.3608943019698659E-2</v>
      </c>
      <c r="Q49" s="76" t="str">
        <f t="shared" si="3"/>
        <v xml:space="preserve"> </v>
      </c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74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6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31026</v>
      </c>
      <c r="D50" s="5">
        <v>25638</v>
      </c>
      <c r="E50" s="5">
        <v>5388</v>
      </c>
      <c r="F50" s="6">
        <v>31026</v>
      </c>
      <c r="G50" s="5">
        <v>26543</v>
      </c>
      <c r="H50" s="5">
        <v>4483</v>
      </c>
      <c r="I50" s="6">
        <v>31026</v>
      </c>
      <c r="J50" s="5">
        <v>24973</v>
      </c>
      <c r="K50" s="5">
        <v>6053</v>
      </c>
      <c r="L50" s="6">
        <v>27256</v>
      </c>
      <c r="M50" s="5">
        <v>30802</v>
      </c>
      <c r="N50" s="5">
        <v>-3546</v>
      </c>
      <c r="O50" s="6">
        <f t="shared" si="4"/>
        <v>15924</v>
      </c>
      <c r="P50" s="72">
        <f t="shared" si="5"/>
        <v>0.20638973494912838</v>
      </c>
      <c r="Q50" s="76" t="str">
        <f t="shared" si="3"/>
        <v xml:space="preserve"> </v>
      </c>
      <c r="R50" s="67" t="str">
        <f>IF($C$4="High Inventory",IF(AND(O50&gt;=Summary!$C$128,P50&gt;=Summary!$C$129),"X"," "),IF(AND(O50&lt;=-Summary!$C$128,P50&lt;=-Summary!$C$129),"X"," "))</f>
        <v>X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74" t="str">
        <f>IF($C$4="High Inventory",IF(AND($O50&gt;=Summary!$C$128,$P50&gt;=0%),"X"," "),IF(AND($O50&lt;=-Summary!$C$128,$P50&lt;=0%),"X"," "))</f>
        <v>X</v>
      </c>
      <c r="U50" s="11" t="str">
        <f>IF($C$4="High Inventory",IF(AND($O50&gt;=0,$P50&gt;=Summary!$C$129),"X"," "),IF(AND($O50&lt;=0,$P50&lt;=-Summary!$C$129),"X"," "))</f>
        <v>X</v>
      </c>
      <c r="V50" t="str">
        <f t="shared" si="6"/>
        <v xml:space="preserve"> </v>
      </c>
      <c r="W50" t="str">
        <f>IF($C$4="High Inventory",IF(O50&gt;Summary!$C$128,"X"," "),IF(O50&lt;-Summary!$C$128,"X"," "))</f>
        <v>X</v>
      </c>
      <c r="X50" t="str">
        <f>IF($C$4="High Inventory",IF(P50&gt;Summary!$C$129,"X"," "),IF(P50&lt;-Summary!$C$129,"X"," "))</f>
        <v>X</v>
      </c>
    </row>
    <row r="51" spans="1:24" x14ac:dyDescent="0.2">
      <c r="A51" s="28">
        <v>15966</v>
      </c>
      <c r="B51" s="56" t="s">
        <v>26</v>
      </c>
      <c r="C51" s="6">
        <v>60570</v>
      </c>
      <c r="D51" s="5">
        <v>54092</v>
      </c>
      <c r="E51" s="5">
        <v>6478</v>
      </c>
      <c r="F51" s="6">
        <v>66489</v>
      </c>
      <c r="G51" s="5">
        <v>58290</v>
      </c>
      <c r="H51" s="5">
        <v>8199</v>
      </c>
      <c r="I51" s="6">
        <v>66421</v>
      </c>
      <c r="J51" s="5">
        <v>12193</v>
      </c>
      <c r="K51" s="5">
        <v>54228</v>
      </c>
      <c r="L51" s="6">
        <v>46761</v>
      </c>
      <c r="M51" s="5">
        <v>50001</v>
      </c>
      <c r="N51" s="5">
        <v>-3240</v>
      </c>
      <c r="O51" s="6">
        <f t="shared" si="4"/>
        <v>68905</v>
      </c>
      <c r="P51" s="72">
        <f t="shared" si="5"/>
        <v>0.55311617004880553</v>
      </c>
      <c r="Q51" s="76" t="str">
        <f t="shared" si="3"/>
        <v xml:space="preserve"> </v>
      </c>
      <c r="R51" s="67" t="str">
        <f>IF($C$4="High Inventory",IF(AND(O51&gt;=Summary!$C$128,P51&gt;=Summary!$C$129),"X"," "),IF(AND(O51&lt;=-Summary!$C$128,P51&lt;=-Summary!$C$129),"X"," "))</f>
        <v>X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74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 t="str">
        <f t="shared" si="6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">
      <c r="A52" s="28">
        <v>30069</v>
      </c>
      <c r="B52" s="56" t="s">
        <v>26</v>
      </c>
      <c r="C52" s="6">
        <v>9505</v>
      </c>
      <c r="D52" s="5">
        <v>10254</v>
      </c>
      <c r="E52" s="5">
        <v>-749</v>
      </c>
      <c r="F52" s="6">
        <v>9417</v>
      </c>
      <c r="G52" s="5">
        <v>10228</v>
      </c>
      <c r="H52" s="5">
        <v>-811</v>
      </c>
      <c r="I52" s="6">
        <v>9519</v>
      </c>
      <c r="J52" s="5">
        <v>10166</v>
      </c>
      <c r="K52" s="5">
        <v>-647</v>
      </c>
      <c r="L52" s="6">
        <v>8728</v>
      </c>
      <c r="M52" s="5">
        <v>10268</v>
      </c>
      <c r="N52" s="5">
        <v>-1540</v>
      </c>
      <c r="O52" s="6">
        <f t="shared" si="4"/>
        <v>-2207</v>
      </c>
      <c r="P52" s="72">
        <f t="shared" si="5"/>
        <v>-7.2008874677803522E-2</v>
      </c>
      <c r="Q52" s="76" t="str">
        <f t="shared" si="3"/>
        <v xml:space="preserve"> </v>
      </c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74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6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ref="O53:O76" si="7">K53+H53+E53</f>
        <v>0</v>
      </c>
      <c r="P53" s="70"/>
      <c r="Q53" s="76" t="str">
        <f t="shared" si="3"/>
        <v xml:space="preserve"> </v>
      </c>
      <c r="R53" s="5"/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74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6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10922</v>
      </c>
      <c r="D54" s="5">
        <v>5788</v>
      </c>
      <c r="E54" s="5">
        <v>5134</v>
      </c>
      <c r="F54" s="6">
        <v>10922</v>
      </c>
      <c r="G54" s="5">
        <v>6906</v>
      </c>
      <c r="H54" s="5">
        <v>4016</v>
      </c>
      <c r="I54" s="6">
        <v>10922</v>
      </c>
      <c r="J54" s="5">
        <v>5799</v>
      </c>
      <c r="K54" s="5">
        <v>5123</v>
      </c>
      <c r="L54" s="6">
        <v>10922</v>
      </c>
      <c r="M54" s="5">
        <v>8382</v>
      </c>
      <c r="N54" s="5">
        <v>2540</v>
      </c>
      <c r="O54" s="6">
        <f t="shared" si="7"/>
        <v>14273</v>
      </c>
      <c r="P54" s="72">
        <f>O54/(J54+G54+D54+1)</f>
        <v>0.77176381529144589</v>
      </c>
      <c r="Q54" s="76" t="str">
        <f t="shared" si="3"/>
        <v xml:space="preserve"> </v>
      </c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74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6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7"/>
        <v>0</v>
      </c>
      <c r="P55" s="72">
        <f>O55/(J55+G55+D55+1)</f>
        <v>0</v>
      </c>
      <c r="Q55" s="76" t="str">
        <f t="shared" si="3"/>
        <v xml:space="preserve"> </v>
      </c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74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6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201</v>
      </c>
      <c r="B56" s="56" t="s">
        <v>27</v>
      </c>
      <c r="C56" s="6">
        <v>0</v>
      </c>
      <c r="D56" s="5">
        <v>10</v>
      </c>
      <c r="E56" s="5">
        <v>-10</v>
      </c>
      <c r="F56" s="6">
        <v>0</v>
      </c>
      <c r="G56" s="5">
        <v>10</v>
      </c>
      <c r="H56" s="5">
        <v>-10</v>
      </c>
      <c r="I56" s="6">
        <v>0</v>
      </c>
      <c r="J56" s="5">
        <v>20</v>
      </c>
      <c r="K56" s="5">
        <v>-20</v>
      </c>
      <c r="L56" s="6">
        <v>0</v>
      </c>
      <c r="M56" s="5">
        <v>226</v>
      </c>
      <c r="N56" s="5">
        <v>-226</v>
      </c>
      <c r="O56" s="6">
        <f>K56+H56+E56</f>
        <v>-40</v>
      </c>
      <c r="P56" s="72">
        <f>O56/(J56+G56+D56+1)</f>
        <v>-0.97560975609756095</v>
      </c>
      <c r="Q56" s="76" t="str">
        <f t="shared" si="3"/>
        <v xml:space="preserve"> </v>
      </c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74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6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7"/>
        <v>0</v>
      </c>
      <c r="P57" s="70"/>
      <c r="Q57" s="76" t="str">
        <f t="shared" si="3"/>
        <v xml:space="preserve"> </v>
      </c>
      <c r="R57" s="5"/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74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6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7"/>
        <v>0</v>
      </c>
      <c r="P58" s="72">
        <f>O58/(J58+G58+D58+1)</f>
        <v>0</v>
      </c>
      <c r="Q58" s="76" t="str">
        <f t="shared" si="3"/>
        <v xml:space="preserve"> </v>
      </c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74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6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7"/>
        <v>0</v>
      </c>
      <c r="P59" s="72">
        <f>O59/(J59+G59+D59+1)</f>
        <v>0</v>
      </c>
      <c r="Q59" s="76" t="str">
        <f t="shared" si="3"/>
        <v xml:space="preserve"> </v>
      </c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74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6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512</v>
      </c>
      <c r="B60" s="56" t="s">
        <v>27</v>
      </c>
      <c r="C60" s="6">
        <v>1700</v>
      </c>
      <c r="D60" s="5">
        <v>2741</v>
      </c>
      <c r="E60" s="5">
        <v>-1041</v>
      </c>
      <c r="F60" s="6">
        <v>1700</v>
      </c>
      <c r="G60" s="5">
        <v>1993</v>
      </c>
      <c r="H60" s="5">
        <v>-293</v>
      </c>
      <c r="I60" s="6">
        <v>1700</v>
      </c>
      <c r="J60" s="5">
        <v>1474</v>
      </c>
      <c r="K60" s="5">
        <v>226</v>
      </c>
      <c r="L60" s="6">
        <v>1700</v>
      </c>
      <c r="M60" s="5">
        <v>1238</v>
      </c>
      <c r="N60" s="5">
        <v>462</v>
      </c>
      <c r="O60" s="6">
        <f t="shared" si="7"/>
        <v>-1108</v>
      </c>
      <c r="P60" s="72">
        <f>O60/(J60+G60+D60+1)</f>
        <v>-0.17845063617329682</v>
      </c>
      <c r="Q60" s="76" t="str">
        <f t="shared" si="3"/>
        <v xml:space="preserve"> </v>
      </c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74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6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757</v>
      </c>
      <c r="B61" s="56" t="s">
        <v>27</v>
      </c>
      <c r="C61" s="6">
        <v>0</v>
      </c>
      <c r="D61" s="5">
        <v>428</v>
      </c>
      <c r="E61" s="5">
        <v>-428</v>
      </c>
      <c r="F61" s="6">
        <v>0</v>
      </c>
      <c r="G61" s="5">
        <v>470</v>
      </c>
      <c r="H61" s="5">
        <v>-470</v>
      </c>
      <c r="I61" s="6">
        <v>0</v>
      </c>
      <c r="J61" s="5">
        <v>493</v>
      </c>
      <c r="K61" s="5">
        <v>-493</v>
      </c>
      <c r="L61" s="6">
        <v>450</v>
      </c>
      <c r="M61" s="5">
        <v>494</v>
      </c>
      <c r="N61" s="5">
        <v>-44</v>
      </c>
      <c r="O61" s="6">
        <f t="shared" si="7"/>
        <v>-1391</v>
      </c>
      <c r="P61" s="72">
        <f>O61/(J61+G61+D61+1)</f>
        <v>-0.99928160919540232</v>
      </c>
      <c r="Q61" s="76" t="str">
        <f t="shared" si="3"/>
        <v xml:space="preserve"> </v>
      </c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74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6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779</v>
      </c>
      <c r="B62" s="56" t="s">
        <v>27</v>
      </c>
      <c r="C62" s="6">
        <v>1000</v>
      </c>
      <c r="D62" s="5">
        <v>264</v>
      </c>
      <c r="E62" s="5">
        <v>736</v>
      </c>
      <c r="F62" s="6">
        <v>1000</v>
      </c>
      <c r="G62" s="5">
        <v>0</v>
      </c>
      <c r="H62" s="5">
        <v>1000</v>
      </c>
      <c r="I62" s="6">
        <v>1000</v>
      </c>
      <c r="J62" s="5">
        <v>0</v>
      </c>
      <c r="K62" s="5">
        <v>1000</v>
      </c>
      <c r="L62" s="6">
        <v>1000</v>
      </c>
      <c r="M62" s="5">
        <v>919</v>
      </c>
      <c r="N62" s="5">
        <v>81</v>
      </c>
      <c r="O62" s="6">
        <f t="shared" si="7"/>
        <v>2736</v>
      </c>
      <c r="P62" s="72">
        <f>O62/(J62+G62+D62+1)</f>
        <v>10.324528301886792</v>
      </c>
      <c r="Q62" s="76" t="str">
        <f t="shared" si="3"/>
        <v xml:space="preserve"> </v>
      </c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74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6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ref="O63:O70" si="8">K63+H63+E63</f>
        <v>0</v>
      </c>
      <c r="P63" s="72">
        <f t="shared" ref="P63:P70" si="9">O63/(J63+G63+D63+1)</f>
        <v>0</v>
      </c>
      <c r="Q63" s="76" t="str">
        <f t="shared" si="3"/>
        <v xml:space="preserve"> </v>
      </c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74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6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8"/>
        <v>0</v>
      </c>
      <c r="P64" s="72">
        <f t="shared" si="9"/>
        <v>0</v>
      </c>
      <c r="Q64" s="76" t="str">
        <f t="shared" si="3"/>
        <v xml:space="preserve"> </v>
      </c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74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6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0</v>
      </c>
      <c r="P65" s="72">
        <f t="shared" si="9"/>
        <v>0</v>
      </c>
      <c r="Q65" s="76" t="str">
        <f t="shared" si="3"/>
        <v xml:space="preserve"> </v>
      </c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74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6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166</v>
      </c>
      <c r="D66" s="5">
        <v>280</v>
      </c>
      <c r="E66" s="5">
        <v>-114</v>
      </c>
      <c r="F66" s="6">
        <v>166</v>
      </c>
      <c r="G66" s="5">
        <v>269</v>
      </c>
      <c r="H66" s="5">
        <v>-103</v>
      </c>
      <c r="I66" s="6">
        <v>166</v>
      </c>
      <c r="J66" s="5">
        <v>276</v>
      </c>
      <c r="K66" s="5">
        <v>-110</v>
      </c>
      <c r="L66" s="6">
        <v>164</v>
      </c>
      <c r="M66" s="5">
        <v>474</v>
      </c>
      <c r="N66" s="5">
        <v>-310</v>
      </c>
      <c r="O66" s="6">
        <f t="shared" si="8"/>
        <v>-327</v>
      </c>
      <c r="P66" s="72">
        <f t="shared" si="9"/>
        <v>-0.39588377723970947</v>
      </c>
      <c r="Q66" s="76" t="str">
        <f t="shared" si="3"/>
        <v xml:space="preserve"> </v>
      </c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74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si="6"/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72">
        <f t="shared" si="9"/>
        <v>0</v>
      </c>
      <c r="Q67" s="76" t="str">
        <f t="shared" si="3"/>
        <v xml:space="preserve"> </v>
      </c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74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ref="V67:V76" si="10">IF(S67 = "X",L67-I67," ")</f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72">
        <f t="shared" si="9"/>
        <v>0</v>
      </c>
      <c r="Q68" s="76" t="str">
        <f t="shared" ref="Q68:Q76" si="11">" "</f>
        <v xml:space="preserve"> </v>
      </c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74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10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7602</v>
      </c>
      <c r="B69" s="56" t="s">
        <v>27</v>
      </c>
      <c r="C69" s="6">
        <v>39744</v>
      </c>
      <c r="D69" s="5">
        <v>3133</v>
      </c>
      <c r="E69" s="5">
        <v>36611</v>
      </c>
      <c r="F69" s="6">
        <v>39744</v>
      </c>
      <c r="G69" s="5">
        <v>23760</v>
      </c>
      <c r="H69" s="5">
        <v>15984</v>
      </c>
      <c r="I69" s="6">
        <v>60000</v>
      </c>
      <c r="J69" s="5">
        <v>39502</v>
      </c>
      <c r="K69" s="5">
        <v>20498</v>
      </c>
      <c r="L69" s="6">
        <v>37500</v>
      </c>
      <c r="M69" s="5">
        <v>41159</v>
      </c>
      <c r="N69" s="5">
        <v>-3659</v>
      </c>
      <c r="O69" s="6">
        <f t="shared" si="8"/>
        <v>73093</v>
      </c>
      <c r="P69" s="72">
        <f t="shared" si="9"/>
        <v>1.1008645099102357</v>
      </c>
      <c r="Q69" s="76" t="str">
        <f t="shared" si="11"/>
        <v xml:space="preserve"> </v>
      </c>
      <c r="R69" s="67" t="str">
        <f>IF($C$4="High Inventory",IF(AND(O69&gt;=Summary!$C$128,P69&gt;=Summary!$C$129),"X"," "),IF(AND(O69&lt;=-Summary!$C$128,P69&lt;=-Summary!$C$129),"X"," "))</f>
        <v>X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74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>X</v>
      </c>
      <c r="V69" t="str">
        <f t="shared" si="10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>X</v>
      </c>
    </row>
    <row r="70" spans="1:24" x14ac:dyDescent="0.2">
      <c r="A70" s="28">
        <v>7604</v>
      </c>
      <c r="B70" s="56" t="s">
        <v>27</v>
      </c>
      <c r="C70" s="6">
        <v>40788</v>
      </c>
      <c r="D70" s="5">
        <v>55559</v>
      </c>
      <c r="E70" s="5">
        <v>-14771</v>
      </c>
      <c r="F70" s="6">
        <v>37647</v>
      </c>
      <c r="G70" s="5">
        <v>52772</v>
      </c>
      <c r="H70" s="5">
        <v>-15125</v>
      </c>
      <c r="I70" s="6">
        <v>45077</v>
      </c>
      <c r="J70" s="5">
        <v>45478</v>
      </c>
      <c r="K70" s="5">
        <v>-401</v>
      </c>
      <c r="L70" s="6">
        <v>44733</v>
      </c>
      <c r="M70" s="5">
        <v>43787</v>
      </c>
      <c r="N70" s="5">
        <v>946</v>
      </c>
      <c r="O70" s="6">
        <f t="shared" si="8"/>
        <v>-30297</v>
      </c>
      <c r="P70" s="72">
        <f t="shared" si="9"/>
        <v>-0.19697678954554321</v>
      </c>
      <c r="Q70" s="76" t="str">
        <f t="shared" si="11"/>
        <v xml:space="preserve"> </v>
      </c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74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10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7610</v>
      </c>
      <c r="B71" s="56" t="s">
        <v>27</v>
      </c>
      <c r="C71" s="6">
        <v>0</v>
      </c>
      <c r="D71" s="5">
        <v>212</v>
      </c>
      <c r="E71" s="5">
        <v>-212</v>
      </c>
      <c r="F71" s="6">
        <v>0</v>
      </c>
      <c r="G71" s="5">
        <v>202</v>
      </c>
      <c r="H71" s="5">
        <v>-202</v>
      </c>
      <c r="I71" s="6">
        <v>0</v>
      </c>
      <c r="J71" s="5">
        <v>188</v>
      </c>
      <c r="K71" s="5">
        <v>-188</v>
      </c>
      <c r="L71" s="6">
        <v>0</v>
      </c>
      <c r="M71" s="5">
        <v>179</v>
      </c>
      <c r="N71" s="5">
        <v>-179</v>
      </c>
      <c r="O71" s="6">
        <f>K71+H71+E71</f>
        <v>-602</v>
      </c>
      <c r="P71" s="72">
        <f>O71/(J71+G71+D71+1)</f>
        <v>-0.99834162520729686</v>
      </c>
      <c r="Q71" s="76" t="str">
        <f t="shared" si="11"/>
        <v xml:space="preserve"> </v>
      </c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74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10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8576</v>
      </c>
      <c r="B72" s="210" t="s">
        <v>27</v>
      </c>
      <c r="C72" s="6">
        <v>0</v>
      </c>
      <c r="D72" s="5">
        <v>0</v>
      </c>
      <c r="E72" s="159">
        <v>0</v>
      </c>
      <c r="F72" s="172">
        <v>0</v>
      </c>
      <c r="G72" s="5">
        <v>0</v>
      </c>
      <c r="H72" s="70">
        <v>0</v>
      </c>
      <c r="I72" s="6">
        <v>0</v>
      </c>
      <c r="J72" s="5">
        <v>0</v>
      </c>
      <c r="K72" s="159">
        <v>0</v>
      </c>
      <c r="L72" s="172">
        <v>0</v>
      </c>
      <c r="M72" s="5">
        <v>0</v>
      </c>
      <c r="N72" s="70">
        <v>0</v>
      </c>
      <c r="O72" s="6">
        <f t="shared" si="7"/>
        <v>0</v>
      </c>
      <c r="P72" s="88">
        <f>O72/(J72+G72+D72+1)</f>
        <v>0</v>
      </c>
      <c r="Q72" s="76" t="str">
        <f t="shared" si="11"/>
        <v xml:space="preserve"> </v>
      </c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74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10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8577</v>
      </c>
      <c r="B73" s="210" t="s">
        <v>27</v>
      </c>
      <c r="C73" s="6">
        <v>0</v>
      </c>
      <c r="D73" s="5">
        <v>0</v>
      </c>
      <c r="E73" s="159">
        <v>0</v>
      </c>
      <c r="F73" s="172">
        <v>0</v>
      </c>
      <c r="G73" s="5">
        <v>0</v>
      </c>
      <c r="H73" s="70">
        <v>0</v>
      </c>
      <c r="I73" s="6">
        <v>0</v>
      </c>
      <c r="J73" s="5">
        <v>0</v>
      </c>
      <c r="K73" s="159">
        <v>0</v>
      </c>
      <c r="L73" s="172">
        <v>0</v>
      </c>
      <c r="M73" s="5">
        <v>0</v>
      </c>
      <c r="N73" s="70">
        <v>0</v>
      </c>
      <c r="O73" s="6">
        <f t="shared" si="7"/>
        <v>0</v>
      </c>
      <c r="P73" s="88">
        <f>O73/(J73+G73+D73+1)</f>
        <v>0</v>
      </c>
      <c r="Q73" s="76" t="str">
        <f t="shared" si="11"/>
        <v xml:space="preserve"> </v>
      </c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74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10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8578</v>
      </c>
      <c r="B74" s="210" t="s">
        <v>27</v>
      </c>
      <c r="C74" s="6">
        <v>0</v>
      </c>
      <c r="D74" s="5">
        <v>0</v>
      </c>
      <c r="E74" s="159">
        <v>0</v>
      </c>
      <c r="F74" s="172">
        <v>0</v>
      </c>
      <c r="G74" s="5">
        <v>0</v>
      </c>
      <c r="H74" s="70">
        <v>0</v>
      </c>
      <c r="I74" s="6">
        <v>0</v>
      </c>
      <c r="J74" s="5">
        <v>0</v>
      </c>
      <c r="K74" s="159">
        <v>0</v>
      </c>
      <c r="L74" s="172">
        <v>0</v>
      </c>
      <c r="M74" s="5">
        <v>0</v>
      </c>
      <c r="N74" s="70">
        <v>0</v>
      </c>
      <c r="O74" s="6">
        <f t="shared" si="7"/>
        <v>0</v>
      </c>
      <c r="P74" s="88">
        <f>O74/(J74+G74+D74+1)</f>
        <v>0</v>
      </c>
      <c r="Q74" s="76" t="str">
        <f t="shared" si="11"/>
        <v xml:space="preserve"> </v>
      </c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74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10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7"/>
        <v>0</v>
      </c>
      <c r="P75" s="72">
        <f t="shared" ref="P75:P87" si="12">O75/(J75+G75+D75+1)</f>
        <v>0</v>
      </c>
      <c r="Q75" s="76" t="str">
        <f t="shared" si="11"/>
        <v xml:space="preserve"> </v>
      </c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74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10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7"/>
        <v>0</v>
      </c>
      <c r="P76" s="72">
        <f>O76/(J76+G76+D76+1)</f>
        <v>0</v>
      </c>
      <c r="Q76" s="76" t="str">
        <f t="shared" si="11"/>
        <v xml:space="preserve"> </v>
      </c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74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10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13636</v>
      </c>
      <c r="B77" s="56" t="s">
        <v>27</v>
      </c>
      <c r="C77" s="6">
        <v>105</v>
      </c>
      <c r="D77" s="5">
        <v>0</v>
      </c>
      <c r="E77" s="5">
        <v>105</v>
      </c>
      <c r="F77" s="6">
        <v>105</v>
      </c>
      <c r="G77" s="5">
        <v>0</v>
      </c>
      <c r="H77" s="5">
        <v>105</v>
      </c>
      <c r="I77" s="6">
        <v>105</v>
      </c>
      <c r="J77" s="5">
        <v>0</v>
      </c>
      <c r="K77" s="5">
        <v>105</v>
      </c>
      <c r="L77" s="6">
        <v>104</v>
      </c>
      <c r="M77" s="5">
        <v>0</v>
      </c>
      <c r="N77" s="5">
        <v>104</v>
      </c>
      <c r="O77" s="6">
        <f t="shared" ref="O77:O87" si="13">K77+H77+E77</f>
        <v>315</v>
      </c>
      <c r="P77" s="72">
        <f t="shared" si="12"/>
        <v>315</v>
      </c>
      <c r="Q77" s="76" t="str">
        <f t="shared" ref="Q77:Q89" si="14">" "</f>
        <v xml:space="preserve"> </v>
      </c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74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ref="V77:V86" si="15">IF(S77 = "X",L77-I77," ")</f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13"/>
        <v>0</v>
      </c>
      <c r="P78" s="72">
        <f t="shared" si="12"/>
        <v>0</v>
      </c>
      <c r="Q78" s="76" t="str">
        <f t="shared" si="14"/>
        <v xml:space="preserve"> </v>
      </c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74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15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13"/>
        <v>0</v>
      </c>
      <c r="P79" s="72">
        <f t="shared" si="12"/>
        <v>0</v>
      </c>
      <c r="Q79" s="76" t="str">
        <f t="shared" si="14"/>
        <v xml:space="preserve"> </v>
      </c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74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15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30049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3</v>
      </c>
      <c r="H80" s="5">
        <v>-3</v>
      </c>
      <c r="I80" s="6">
        <v>0</v>
      </c>
      <c r="J80" s="5">
        <v>0</v>
      </c>
      <c r="K80" s="5">
        <v>0</v>
      </c>
      <c r="L80" s="6">
        <v>0</v>
      </c>
      <c r="M80" s="5">
        <v>6</v>
      </c>
      <c r="N80" s="5">
        <v>-6</v>
      </c>
      <c r="O80" s="6">
        <f t="shared" si="13"/>
        <v>-3</v>
      </c>
      <c r="P80" s="70"/>
      <c r="Q80" s="76" t="str">
        <f t="shared" si="14"/>
        <v xml:space="preserve"> </v>
      </c>
      <c r="R80" s="5"/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74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15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24" x14ac:dyDescent="0.2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13"/>
        <v>0</v>
      </c>
      <c r="P81" s="72">
        <f t="shared" si="12"/>
        <v>0</v>
      </c>
      <c r="Q81" s="76" t="str">
        <f t="shared" si="14"/>
        <v xml:space="preserve"> </v>
      </c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74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15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24" x14ac:dyDescent="0.2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13"/>
        <v>0</v>
      </c>
      <c r="P82" s="72">
        <f t="shared" si="12"/>
        <v>0</v>
      </c>
      <c r="Q82" s="76" t="str">
        <f t="shared" si="14"/>
        <v xml:space="preserve"> </v>
      </c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74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15"/>
        <v xml:space="preserve"> </v>
      </c>
      <c r="W82" t="str">
        <f>IF($C$4="High Inventory",IF(O82&gt;Summary!$E$5,"X"," "),IF(O82&lt;-Summary!$E$5,"X"," "))</f>
        <v xml:space="preserve"> </v>
      </c>
    </row>
    <row r="83" spans="1:24" x14ac:dyDescent="0.2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13"/>
        <v>0</v>
      </c>
      <c r="P83" s="72">
        <f t="shared" si="12"/>
        <v>0</v>
      </c>
      <c r="Q83" s="76" t="str">
        <f t="shared" si="14"/>
        <v xml:space="preserve"> </v>
      </c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74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15"/>
        <v xml:space="preserve"> </v>
      </c>
      <c r="W83" t="str">
        <f>IF($C$4="High Inventory",IF(O83&gt;Summary!$E$5,"X"," "),IF(O83&lt;-Summary!$E$5,"X"," "))</f>
        <v xml:space="preserve"> </v>
      </c>
    </row>
    <row r="84" spans="1:24" x14ac:dyDescent="0.2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13"/>
        <v>0</v>
      </c>
      <c r="P84" s="72">
        <f t="shared" si="12"/>
        <v>0</v>
      </c>
      <c r="Q84" s="76" t="str">
        <f t="shared" si="14"/>
        <v xml:space="preserve"> </v>
      </c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74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15"/>
        <v xml:space="preserve"> </v>
      </c>
      <c r="W84" t="str">
        <f>IF($C$4="High Inventory",IF(O84&gt;Summary!$E$5,"X"," "),IF(O84&lt;-Summary!$E$5,"X"," "))</f>
        <v xml:space="preserve"> </v>
      </c>
    </row>
    <row r="85" spans="1:24" x14ac:dyDescent="0.2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13"/>
        <v>0</v>
      </c>
      <c r="P85" s="72">
        <f t="shared" si="12"/>
        <v>0</v>
      </c>
      <c r="Q85" s="76" t="str">
        <f t="shared" si="14"/>
        <v xml:space="preserve"> </v>
      </c>
      <c r="R85" s="67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74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15"/>
        <v xml:space="preserve"> </v>
      </c>
      <c r="W85" t="str">
        <f>IF($C$4="High Inventory",IF(O85&gt;Summary!$E$5,"X"," "),IF(O85&lt;-Summary!$E$5,"X"," "))</f>
        <v xml:space="preserve"> </v>
      </c>
    </row>
    <row r="86" spans="1:24" x14ac:dyDescent="0.2">
      <c r="A86" s="28"/>
      <c r="B86" s="56"/>
      <c r="C86" s="6"/>
      <c r="D86" s="5"/>
      <c r="E86" s="5"/>
      <c r="F86" s="6"/>
      <c r="G86" s="5"/>
      <c r="H86" s="5"/>
      <c r="I86" s="6"/>
      <c r="J86" s="5"/>
      <c r="K86" s="5"/>
      <c r="L86" s="6"/>
      <c r="M86" s="5"/>
      <c r="N86" s="5"/>
      <c r="O86" s="6">
        <f t="shared" si="13"/>
        <v>0</v>
      </c>
      <c r="P86" s="72">
        <f t="shared" si="12"/>
        <v>0</v>
      </c>
      <c r="Q86" s="76" t="str">
        <f t="shared" si="14"/>
        <v xml:space="preserve"> </v>
      </c>
      <c r="R86" s="67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74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15"/>
        <v xml:space="preserve"> </v>
      </c>
      <c r="W86" t="str">
        <f>IF($C$4="High Inventory",IF(O86&gt;Summary!$E$5,"X"," "),IF(O86&lt;-Summary!$E$5,"X"," "))</f>
        <v xml:space="preserve"> </v>
      </c>
    </row>
    <row r="87" spans="1:24" x14ac:dyDescent="0.2">
      <c r="A87" s="28"/>
      <c r="B87" s="56"/>
      <c r="C87" s="6"/>
      <c r="D87" s="5"/>
      <c r="E87" s="5"/>
      <c r="F87" s="6"/>
      <c r="G87" s="5"/>
      <c r="H87" s="5"/>
      <c r="I87" s="6"/>
      <c r="J87" s="5"/>
      <c r="K87" s="5"/>
      <c r="L87" s="6"/>
      <c r="M87" s="5"/>
      <c r="N87" s="5"/>
      <c r="O87" s="6">
        <f t="shared" si="13"/>
        <v>0</v>
      </c>
      <c r="P87" s="72">
        <f t="shared" si="12"/>
        <v>0</v>
      </c>
      <c r="Q87" s="76" t="str">
        <f t="shared" si="14"/>
        <v xml:space="preserve"> </v>
      </c>
      <c r="R87" s="67" t="str">
        <f>IF($C$4="High Inventory",IF(AND(O87&gt;=Summary!$C$128,P87&gt;=Summary!$C$129),"X"," "),IF(AND(O87&lt;=-Summary!$C$128,P87&lt;=-Summary!$C$129),"X"," "))</f>
        <v xml:space="preserve"> </v>
      </c>
      <c r="S87" s="85" t="str">
        <f>IF($C$4="High Inventory",IF(AND(L87-I87&gt;=Summary!$C$132,N87-K87&gt;Summary!$C$132,N87&gt;0),"X"," "),IF(AND(I87-L87&gt;=Summary!$C$132,K87-N87&gt;Summary!$C$132,N87&lt;0),"X"," "))</f>
        <v xml:space="preserve"> </v>
      </c>
      <c r="T87" s="74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>
        <f>SUM(V$53:V$79)+SUM(V$28:V$50)+SUM(V$10:V$26)</f>
        <v>16070</v>
      </c>
      <c r="W87" t="str">
        <f>IF($C$4="High Inventory",IF(O87&gt;Summary!$E$5,"X"," "),IF(O87&lt;-Summary!$E$5,"X"," "))</f>
        <v xml:space="preserve"> </v>
      </c>
    </row>
    <row r="88" spans="1:24" x14ac:dyDescent="0.2">
      <c r="A88" s="28"/>
      <c r="B88" s="56"/>
      <c r="C88" s="6"/>
      <c r="D88" s="5"/>
      <c r="E88" s="5"/>
      <c r="F88" s="6"/>
      <c r="G88" s="5"/>
      <c r="H88" s="5"/>
      <c r="I88" s="6"/>
      <c r="J88" s="5"/>
      <c r="K88" s="5"/>
      <c r="L88" s="6"/>
      <c r="M88" s="5"/>
      <c r="N88" s="5"/>
      <c r="O88" s="6">
        <f>K88+H88+E88</f>
        <v>0</v>
      </c>
      <c r="P88" s="72">
        <f>O88/(J88+G88+D88+1)</f>
        <v>0</v>
      </c>
      <c r="Q88" s="76" t="str">
        <f t="shared" si="14"/>
        <v xml:space="preserve"> </v>
      </c>
      <c r="R88" s="67" t="str">
        <f>IF($C$4="High Inventory",IF(AND(O88&gt;=Summary!$C$128,P88&gt;=Summary!$C$129),"X"," "),IF(AND(O88&lt;=-Summary!$C$128,P88&lt;=-Summary!$C$129),"X"," "))</f>
        <v xml:space="preserve"> </v>
      </c>
      <c r="S88" s="85" t="str">
        <f>IF($C$4="High Inventory",IF(AND(L88-I88&gt;=Summary!$C$132,N88-K88&gt;Summary!$C$132,N88&gt;0),"X"," "),IF(AND(I88-L88&gt;=Summary!$C$132,K88-N88&gt;Summary!$C$132,N88&lt;0),"X"," "))</f>
        <v xml:space="preserve"> </v>
      </c>
      <c r="T88" s="74" t="str">
        <f>IF($C$4="High Inventory",IF(AND($O88&gt;=Summary!$C$128,$P88&gt;=0%),"X"," "),IF(AND($O88&lt;=-Summary!$C$128,$P88&lt;=0%),"X"," "))</f>
        <v xml:space="preserve"> </v>
      </c>
      <c r="U88" s="11" t="str">
        <f>IF($C$4="High Inventory",IF(AND($O88&gt;=0,$P88&gt;=Summary!$C$129),"X"," "),IF(AND($O88&lt;=0,$P88&lt;=-Summary!$C$129),"X"," "))</f>
        <v xml:space="preserve"> </v>
      </c>
      <c r="W88" t="str">
        <f>IF($C$4="High Inventory",IF(O88&gt;Summary!$E$5,"X"," "),IF(O88&lt;-Summary!$E$5,"X"," "))</f>
        <v xml:space="preserve"> </v>
      </c>
    </row>
    <row r="89" spans="1:24" x14ac:dyDescent="0.2">
      <c r="A89" s="28"/>
      <c r="B89" s="56"/>
      <c r="C89" s="6"/>
      <c r="D89" s="5"/>
      <c r="E89" s="5"/>
      <c r="F89" s="6"/>
      <c r="G89" s="5"/>
      <c r="H89" s="5"/>
      <c r="I89" s="6"/>
      <c r="J89" s="5"/>
      <c r="K89" s="5"/>
      <c r="L89" s="6"/>
      <c r="M89" s="5"/>
      <c r="N89" s="5"/>
      <c r="O89" s="6">
        <f>K89+H89+E89</f>
        <v>0</v>
      </c>
      <c r="P89" s="72">
        <f>O89/(J89+G89+D89+1)</f>
        <v>0</v>
      </c>
      <c r="Q89" s="76" t="str">
        <f t="shared" si="14"/>
        <v xml:space="preserve"> </v>
      </c>
      <c r="R89" s="67" t="str">
        <f>IF($C$4="High Inventory",IF(AND(O89&gt;=Summary!$C$128,P89&gt;=Summary!$C$129),"X"," "),IF(AND(O89&lt;=-Summary!$C$128,P89&lt;=-Summary!$C$129),"X"," "))</f>
        <v xml:space="preserve"> </v>
      </c>
      <c r="S89" s="85" t="str">
        <f>IF($C$4="High Inventory",IF(AND(L89-I89&gt;=Summary!$C$132,N89-K89&gt;Summary!$C$132,N89&gt;0),"X"," "),IF(AND(I89-L89&gt;=Summary!$C$132,K89-N89&gt;Summary!$C$132,N89&lt;0),"X"," "))</f>
        <v xml:space="preserve"> </v>
      </c>
      <c r="T89" s="74" t="str">
        <f>IF($C$4="High Inventory",IF(AND($O89&gt;=Summary!$C$128,$P89&gt;=0%),"X"," "),IF(AND($O89&lt;=-Summary!$C$128,$P89&lt;=0%),"X"," "))</f>
        <v xml:space="preserve"> </v>
      </c>
      <c r="U89" s="11" t="str">
        <f>IF($C$4="High Inventory",IF(AND($O89&gt;=0,$P89&gt;=Summary!$C$129),"X"," "),IF(AND($O89&lt;=0,$P89&lt;=-Summary!$C$129),"X"," "))</f>
        <v xml:space="preserve"> </v>
      </c>
      <c r="W89" t="str">
        <f>IF($C$4="High Inventory",IF(O89&gt;Summary!$E$5,"X"," "),IF(O89&lt;-Summary!$E$5,"X"," "))</f>
        <v xml:space="preserve"> </v>
      </c>
    </row>
    <row r="90" spans="1:24" s="3" customFormat="1" x14ac:dyDescent="0.2">
      <c r="A90" s="2" t="s">
        <v>28</v>
      </c>
      <c r="B90" s="2"/>
      <c r="E90" s="3">
        <f>SUM(E10:E89)</f>
        <v>227475</v>
      </c>
      <c r="H90" s="3">
        <f>SUM(H10:H89)</f>
        <v>153174</v>
      </c>
      <c r="K90" s="3">
        <f>SUM(K10:K89)</f>
        <v>522546</v>
      </c>
      <c r="M90" s="3">
        <f>SUM(M10:M89)</f>
        <v>1825315</v>
      </c>
      <c r="N90" s="3">
        <f>SUM(N10:N89)</f>
        <v>-44593</v>
      </c>
      <c r="O90" s="3">
        <f>SUM(O11:O89)</f>
        <v>903195</v>
      </c>
      <c r="P90" s="12"/>
      <c r="Q90" s="14">
        <f>COUNTIF(Q13:Q89,"X")</f>
        <v>0</v>
      </c>
      <c r="R90" s="68">
        <f>COUNTIF(R13:R89,"X")</f>
        <v>15</v>
      </c>
      <c r="S90" s="86">
        <f>COUNTIF(S13:S89,"X")</f>
        <v>1</v>
      </c>
      <c r="T90" s="75">
        <f>COUNTIF(T13:T89,"X")</f>
        <v>17</v>
      </c>
      <c r="U90" s="79">
        <f>COUNTIF(U13:U89,"X")</f>
        <v>21</v>
      </c>
      <c r="V90"/>
      <c r="W90" s="86">
        <f>COUNTIF(W13:W89,"X")</f>
        <v>17</v>
      </c>
      <c r="X90" s="86">
        <f>COUNTIF(X13:X89,"X")</f>
        <v>21</v>
      </c>
    </row>
    <row r="91" spans="1:24" x14ac:dyDescent="0.2">
      <c r="M91" s="89" t="s">
        <v>56</v>
      </c>
      <c r="N91" s="90">
        <f>N90/M90</f>
        <v>-2.443030381057516E-2</v>
      </c>
      <c r="P91" s="1"/>
      <c r="R91" s="2" t="str">
        <f>IF(AND(O91&gt;=5000,P91&gt;=10%),"X"," ")</f>
        <v xml:space="preserve"> </v>
      </c>
    </row>
    <row r="92" spans="1:24" x14ac:dyDescent="0.2">
      <c r="P92" s="1"/>
      <c r="R92" s="2" t="str">
        <f>IF(AND(O92&gt;=5000,P92&gt;=10%),"X"," ")</f>
        <v xml:space="preserve"> </v>
      </c>
    </row>
  </sheetData>
  <phoneticPr fontId="0" type="noConversion"/>
  <pageMargins left="0.25" right="0.25" top="0.77" bottom="0.81" header="0.5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3" sqref="A3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36713</v>
      </c>
      <c r="D3" s="9"/>
    </row>
    <row r="4" spans="1:42" ht="15.75" x14ac:dyDescent="0.25">
      <c r="A4" s="58" t="s">
        <v>36</v>
      </c>
      <c r="C4" s="4" t="s">
        <v>37</v>
      </c>
      <c r="E4" s="97" t="s">
        <v>38</v>
      </c>
      <c r="G4" s="4" t="s">
        <v>65</v>
      </c>
    </row>
    <row r="5" spans="1:42" ht="16.5" thickBot="1" x14ac:dyDescent="0.3">
      <c r="A5" s="58" t="s">
        <v>39</v>
      </c>
      <c r="C5" s="4" t="s">
        <v>58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36710</v>
      </c>
      <c r="D8" s="180"/>
      <c r="E8" s="181" t="str">
        <f>TEXT(WEEKDAY(C8),"dddd")</f>
        <v>Monday</v>
      </c>
      <c r="F8" s="182">
        <f>F9</f>
        <v>36711</v>
      </c>
      <c r="G8" s="180"/>
      <c r="H8" s="181" t="str">
        <f>TEXT(WEEKDAY(F8),"dddd")</f>
        <v>Tuesday</v>
      </c>
      <c r="I8" s="182">
        <f>I9</f>
        <v>36712</v>
      </c>
      <c r="J8" s="180"/>
      <c r="K8" s="181" t="str">
        <f>TEXT(WEEKDAY(I8),"dddd")</f>
        <v>Wednesday</v>
      </c>
      <c r="L8" s="182">
        <f>L9</f>
        <v>36713</v>
      </c>
      <c r="M8" s="180"/>
      <c r="N8" s="181" t="str">
        <f>TEXT(WEEKDAY(L8),"dddd")</f>
        <v>Thursday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2.75" hidden="1" x14ac:dyDescent="0.2">
      <c r="A9" s="28"/>
      <c r="B9" s="56"/>
      <c r="C9" s="155">
        <v>36710</v>
      </c>
      <c r="D9" s="157">
        <v>36710</v>
      </c>
      <c r="E9" s="157">
        <v>36710</v>
      </c>
      <c r="F9" s="158">
        <v>36711</v>
      </c>
      <c r="G9" s="157">
        <v>36711</v>
      </c>
      <c r="H9" s="157">
        <v>36711</v>
      </c>
      <c r="I9" s="158">
        <v>36712</v>
      </c>
      <c r="J9" s="157">
        <v>36712</v>
      </c>
      <c r="K9" s="157">
        <v>36712</v>
      </c>
      <c r="L9" s="158">
        <v>36713</v>
      </c>
      <c r="M9" s="157">
        <v>36713</v>
      </c>
      <c r="N9" s="157">
        <v>36713</v>
      </c>
      <c r="O9" s="6">
        <f t="shared" ref="O9:O27" si="0">K9+H9+E9</f>
        <v>110133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>K10+H10+E10</f>
        <v>#VALUE!</v>
      </c>
      <c r="P10" s="72" t="e">
        <f>O10/(J10+G10+D10+1)</f>
        <v>#VALUE!</v>
      </c>
      <c r="Q10" s="76" t="str">
        <f t="shared" ref="Q10:Q27" si="1"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167</v>
      </c>
      <c r="D11" s="5">
        <v>228</v>
      </c>
      <c r="E11" s="5">
        <v>-61</v>
      </c>
      <c r="F11" s="6">
        <v>167</v>
      </c>
      <c r="G11" s="5">
        <v>185</v>
      </c>
      <c r="H11" s="5">
        <v>-18</v>
      </c>
      <c r="I11" s="6">
        <v>0</v>
      </c>
      <c r="J11" s="5">
        <v>201</v>
      </c>
      <c r="K11" s="5">
        <v>-201</v>
      </c>
      <c r="L11" s="6">
        <v>167</v>
      </c>
      <c r="M11" s="5">
        <v>215</v>
      </c>
      <c r="N11" s="5">
        <v>-48</v>
      </c>
      <c r="O11" s="6">
        <f t="shared" si="0"/>
        <v>-280</v>
      </c>
      <c r="P11" s="72">
        <f t="shared" ref="P11:P25" si="3">O11/(J11+G11+D11+1)</f>
        <v>-0.45528455284552843</v>
      </c>
      <c r="Q11" s="76" t="str">
        <f t="shared" si="1"/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249</v>
      </c>
      <c r="E12" s="5">
        <v>-249</v>
      </c>
      <c r="F12" s="6">
        <v>0</v>
      </c>
      <c r="G12" s="5">
        <v>210</v>
      </c>
      <c r="H12" s="5">
        <v>-210</v>
      </c>
      <c r="I12" s="6">
        <v>0</v>
      </c>
      <c r="J12" s="5">
        <v>237</v>
      </c>
      <c r="K12" s="5">
        <v>-237</v>
      </c>
      <c r="L12" s="6">
        <v>0</v>
      </c>
      <c r="M12" s="5">
        <v>238</v>
      </c>
      <c r="N12" s="5">
        <v>-238</v>
      </c>
      <c r="O12" s="6">
        <f>K12+H12+E12</f>
        <v>-696</v>
      </c>
      <c r="P12" s="72">
        <f>O12/(J12+G12+D12+1)</f>
        <v>-0.99856527977044474</v>
      </c>
      <c r="Q12" s="76" t="str">
        <f t="shared" si="1"/>
        <v xml:space="preserve"> </v>
      </c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134</v>
      </c>
      <c r="E13" s="5">
        <v>-34</v>
      </c>
      <c r="F13" s="6">
        <v>100</v>
      </c>
      <c r="G13" s="5">
        <v>117</v>
      </c>
      <c r="H13" s="5">
        <v>-17</v>
      </c>
      <c r="I13" s="6">
        <v>100</v>
      </c>
      <c r="J13" s="5">
        <v>135</v>
      </c>
      <c r="K13" s="5">
        <v>-35</v>
      </c>
      <c r="L13" s="6">
        <v>100</v>
      </c>
      <c r="M13" s="5">
        <v>128</v>
      </c>
      <c r="N13" s="5">
        <v>-28</v>
      </c>
      <c r="O13" s="6">
        <f>K13+H13+E13</f>
        <v>-86</v>
      </c>
      <c r="P13" s="72">
        <f>O13/(J13+G13+D13+1)</f>
        <v>-0.22222222222222221</v>
      </c>
      <c r="Q13" s="76" t="str">
        <f t="shared" si="1"/>
        <v xml:space="preserve"> </v>
      </c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1171</v>
      </c>
      <c r="D14" s="5">
        <v>1027</v>
      </c>
      <c r="E14" s="5">
        <v>144</v>
      </c>
      <c r="F14" s="6">
        <v>1171</v>
      </c>
      <c r="G14" s="5">
        <v>861</v>
      </c>
      <c r="H14" s="5">
        <v>310</v>
      </c>
      <c r="I14" s="6">
        <v>965</v>
      </c>
      <c r="J14" s="5">
        <v>965</v>
      </c>
      <c r="K14" s="5">
        <v>0</v>
      </c>
      <c r="L14" s="6">
        <v>1171</v>
      </c>
      <c r="M14" s="5">
        <v>1003</v>
      </c>
      <c r="N14" s="5">
        <v>168</v>
      </c>
      <c r="O14" s="6">
        <f t="shared" si="0"/>
        <v>454</v>
      </c>
      <c r="P14" s="72">
        <f t="shared" si="3"/>
        <v>0.15907498248072879</v>
      </c>
      <c r="Q14" s="76" t="str">
        <f t="shared" si="1"/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42" x14ac:dyDescent="0.2">
      <c r="A15" s="28">
        <v>2280</v>
      </c>
      <c r="B15" s="56" t="s">
        <v>25</v>
      </c>
      <c r="C15" s="6">
        <v>782</v>
      </c>
      <c r="D15" s="5">
        <v>939</v>
      </c>
      <c r="E15" s="5">
        <v>-157</v>
      </c>
      <c r="F15" s="6">
        <v>782</v>
      </c>
      <c r="G15" s="5">
        <v>766</v>
      </c>
      <c r="H15" s="5">
        <v>16</v>
      </c>
      <c r="I15" s="6">
        <v>782</v>
      </c>
      <c r="J15" s="5">
        <v>837</v>
      </c>
      <c r="K15" s="5">
        <v>-55</v>
      </c>
      <c r="L15" s="6">
        <v>782</v>
      </c>
      <c r="M15" s="5">
        <v>896</v>
      </c>
      <c r="N15" s="5">
        <v>-114</v>
      </c>
      <c r="O15" s="6">
        <f t="shared" si="0"/>
        <v>-196</v>
      </c>
      <c r="P15" s="72">
        <f t="shared" si="3"/>
        <v>-7.707432166732206E-2</v>
      </c>
      <c r="Q15" s="76" t="str">
        <f t="shared" si="1"/>
        <v xml:space="preserve"> </v>
      </c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">
      <c r="A16" s="28">
        <v>2584</v>
      </c>
      <c r="B16" s="56" t="s">
        <v>25</v>
      </c>
      <c r="C16" s="6">
        <v>2550</v>
      </c>
      <c r="D16" s="5">
        <v>3122</v>
      </c>
      <c r="E16" s="5">
        <v>-572</v>
      </c>
      <c r="F16" s="6">
        <v>2550</v>
      </c>
      <c r="G16" s="5">
        <v>2548</v>
      </c>
      <c r="H16" s="5">
        <v>2</v>
      </c>
      <c r="I16" s="6">
        <v>2786</v>
      </c>
      <c r="J16" s="5">
        <v>2787</v>
      </c>
      <c r="K16" s="5">
        <v>-1</v>
      </c>
      <c r="L16" s="6">
        <v>2550</v>
      </c>
      <c r="M16" s="5">
        <v>3009</v>
      </c>
      <c r="N16" s="5">
        <v>-459</v>
      </c>
      <c r="O16" s="6">
        <f t="shared" si="0"/>
        <v>-571</v>
      </c>
      <c r="P16" s="72">
        <f t="shared" si="3"/>
        <v>-6.751004965712934E-2</v>
      </c>
      <c r="Q16" s="76" t="str">
        <f t="shared" si="1"/>
        <v xml:space="preserve"> </v>
      </c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6345</v>
      </c>
      <c r="E17" s="5">
        <v>-2610</v>
      </c>
      <c r="F17" s="6">
        <v>3735</v>
      </c>
      <c r="G17" s="5">
        <v>5187</v>
      </c>
      <c r="H17" s="5">
        <v>-1452</v>
      </c>
      <c r="I17" s="6">
        <v>5466</v>
      </c>
      <c r="J17" s="5">
        <v>5686</v>
      </c>
      <c r="K17" s="5">
        <v>-220</v>
      </c>
      <c r="L17" s="6">
        <v>141157</v>
      </c>
      <c r="M17" s="5">
        <v>6067</v>
      </c>
      <c r="N17" s="5">
        <v>135090</v>
      </c>
      <c r="O17" s="6">
        <f t="shared" si="0"/>
        <v>-4282</v>
      </c>
      <c r="P17" s="72">
        <f t="shared" si="3"/>
        <v>-0.24867878506301178</v>
      </c>
      <c r="Q17" s="76" t="str">
        <f t="shared" si="1"/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>
        <f t="shared" si="2"/>
        <v>135691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997</v>
      </c>
      <c r="E18" s="5">
        <v>-197</v>
      </c>
      <c r="F18" s="6">
        <v>800</v>
      </c>
      <c r="G18" s="5">
        <v>822</v>
      </c>
      <c r="H18" s="5">
        <v>-22</v>
      </c>
      <c r="I18" s="6">
        <v>872</v>
      </c>
      <c r="J18" s="5">
        <v>907</v>
      </c>
      <c r="K18" s="5">
        <v>-35</v>
      </c>
      <c r="L18" s="6">
        <v>800</v>
      </c>
      <c r="M18" s="5">
        <v>977</v>
      </c>
      <c r="N18" s="5">
        <v>-177</v>
      </c>
      <c r="O18" s="6">
        <f>K18+H18+E18</f>
        <v>-254</v>
      </c>
      <c r="P18" s="72">
        <f t="shared" si="3"/>
        <v>-9.314264759809314E-2</v>
      </c>
      <c r="Q18" s="76" t="str">
        <f t="shared" si="1"/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4224</v>
      </c>
      <c r="D19" s="5">
        <v>4895</v>
      </c>
      <c r="E19" s="5">
        <v>-671</v>
      </c>
      <c r="F19" s="6">
        <v>4223</v>
      </c>
      <c r="G19" s="5">
        <v>3995</v>
      </c>
      <c r="H19" s="5">
        <v>228</v>
      </c>
      <c r="I19" s="6">
        <v>4224</v>
      </c>
      <c r="J19" s="5">
        <v>4368</v>
      </c>
      <c r="K19" s="5">
        <v>-144</v>
      </c>
      <c r="L19" s="6">
        <v>4224</v>
      </c>
      <c r="M19" s="5">
        <v>4728</v>
      </c>
      <c r="N19" s="5">
        <v>-504</v>
      </c>
      <c r="O19" s="6">
        <f t="shared" si="0"/>
        <v>-587</v>
      </c>
      <c r="P19" s="72">
        <f t="shared" si="3"/>
        <v>-4.4271815370691608E-2</v>
      </c>
      <c r="Q19" s="76" t="str">
        <f t="shared" si="1"/>
        <v xml:space="preserve"> </v>
      </c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3"/>
        <v>0</v>
      </c>
      <c r="Q20" s="76" t="str">
        <f t="shared" si="1"/>
        <v xml:space="preserve"> </v>
      </c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3152</v>
      </c>
      <c r="B21" s="56" t="s">
        <v>25</v>
      </c>
      <c r="C21" s="6">
        <v>4816</v>
      </c>
      <c r="D21" s="5">
        <v>3463</v>
      </c>
      <c r="E21" s="5">
        <v>1353</v>
      </c>
      <c r="F21" s="6">
        <v>4816</v>
      </c>
      <c r="G21" s="5">
        <v>2895</v>
      </c>
      <c r="H21" s="5">
        <v>1921</v>
      </c>
      <c r="I21" s="6">
        <v>3250</v>
      </c>
      <c r="J21" s="5">
        <v>3251</v>
      </c>
      <c r="K21" s="5">
        <v>-1</v>
      </c>
      <c r="L21" s="6">
        <v>4816</v>
      </c>
      <c r="M21" s="5">
        <v>3336</v>
      </c>
      <c r="N21" s="5">
        <v>1480</v>
      </c>
      <c r="O21" s="6">
        <f t="shared" si="0"/>
        <v>3273</v>
      </c>
      <c r="P21" s="72">
        <f t="shared" si="3"/>
        <v>0.34058272632674297</v>
      </c>
      <c r="Q21" s="76" t="str">
        <f t="shared" si="1"/>
        <v xml:space="preserve"> </v>
      </c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">
      <c r="A22" s="28">
        <v>4303</v>
      </c>
      <c r="B22" s="56" t="s">
        <v>25</v>
      </c>
      <c r="C22" s="6">
        <v>2212</v>
      </c>
      <c r="D22" s="5">
        <v>2561</v>
      </c>
      <c r="E22" s="5">
        <v>-349</v>
      </c>
      <c r="F22" s="6">
        <v>2402</v>
      </c>
      <c r="G22" s="5">
        <v>2106</v>
      </c>
      <c r="H22" s="5">
        <v>296</v>
      </c>
      <c r="I22" s="6">
        <v>2340</v>
      </c>
      <c r="J22" s="5">
        <v>2319</v>
      </c>
      <c r="K22" s="5">
        <v>21</v>
      </c>
      <c r="L22" s="6">
        <v>2256</v>
      </c>
      <c r="M22" s="5">
        <v>2450</v>
      </c>
      <c r="N22" s="5">
        <v>-194</v>
      </c>
      <c r="O22" s="6">
        <f t="shared" si="0"/>
        <v>-32</v>
      </c>
      <c r="P22" s="72">
        <f t="shared" si="3"/>
        <v>-4.5799341634464004E-3</v>
      </c>
      <c r="Q22" s="76" t="str">
        <f t="shared" si="1"/>
        <v xml:space="preserve"> </v>
      </c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6500</v>
      </c>
      <c r="B23" s="56" t="s">
        <v>25</v>
      </c>
      <c r="C23" s="6">
        <v>484326</v>
      </c>
      <c r="D23" s="5">
        <v>471502</v>
      </c>
      <c r="E23" s="5">
        <v>12824</v>
      </c>
      <c r="F23" s="6">
        <v>404833</v>
      </c>
      <c r="G23" s="5">
        <v>395131</v>
      </c>
      <c r="H23" s="5">
        <v>9702</v>
      </c>
      <c r="I23" s="6">
        <v>441720</v>
      </c>
      <c r="J23" s="5">
        <v>443251</v>
      </c>
      <c r="K23" s="5">
        <v>-1531</v>
      </c>
      <c r="L23" s="6">
        <v>477576</v>
      </c>
      <c r="M23" s="5">
        <v>463737</v>
      </c>
      <c r="N23" s="5">
        <v>13839</v>
      </c>
      <c r="O23" s="6">
        <f>K23+H23+E23</f>
        <v>20995</v>
      </c>
      <c r="P23" s="72">
        <f>O23/(J23+G23+D23+1)</f>
        <v>1.6028124606358572E-2</v>
      </c>
      <c r="Q23" s="76" t="str">
        <f t="shared" si="1"/>
        <v xml:space="preserve"> </v>
      </c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>X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>
        <f t="shared" si="2"/>
        <v>35856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10656</v>
      </c>
      <c r="B24" s="56" t="s">
        <v>25</v>
      </c>
      <c r="C24" s="6">
        <v>231</v>
      </c>
      <c r="D24" s="5">
        <v>238</v>
      </c>
      <c r="E24" s="5">
        <v>-7</v>
      </c>
      <c r="F24" s="6">
        <v>231</v>
      </c>
      <c r="G24" s="5">
        <v>218</v>
      </c>
      <c r="H24" s="5">
        <v>13</v>
      </c>
      <c r="I24" s="6">
        <v>0</v>
      </c>
      <c r="J24" s="5">
        <v>262</v>
      </c>
      <c r="K24" s="5">
        <v>-262</v>
      </c>
      <c r="L24" s="6">
        <v>231</v>
      </c>
      <c r="M24" s="5">
        <v>229</v>
      </c>
      <c r="N24" s="5">
        <v>2</v>
      </c>
      <c r="O24" s="6">
        <f>K24+H24+E24</f>
        <v>-256</v>
      </c>
      <c r="P24" s="72">
        <f>O24/(J24+G24+D24+1)</f>
        <v>-0.35605006954102919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12296</v>
      </c>
      <c r="B25" s="56" t="s">
        <v>25</v>
      </c>
      <c r="C25" s="6">
        <v>2774</v>
      </c>
      <c r="D25" s="5">
        <v>3078</v>
      </c>
      <c r="E25" s="5">
        <v>-304</v>
      </c>
      <c r="F25" s="6">
        <v>2774</v>
      </c>
      <c r="G25" s="5">
        <v>2496</v>
      </c>
      <c r="H25" s="5">
        <v>278</v>
      </c>
      <c r="I25" s="6">
        <v>2730</v>
      </c>
      <c r="J25" s="5">
        <v>2712</v>
      </c>
      <c r="K25" s="5">
        <v>18</v>
      </c>
      <c r="L25" s="6">
        <v>2774</v>
      </c>
      <c r="M25" s="5">
        <v>2944</v>
      </c>
      <c r="N25" s="5">
        <v>-170</v>
      </c>
      <c r="O25" s="6">
        <f t="shared" si="0"/>
        <v>-8</v>
      </c>
      <c r="P25" s="72">
        <f t="shared" si="3"/>
        <v>-9.6536744298298543E-4</v>
      </c>
      <c r="Q25" s="76" t="str">
        <f t="shared" si="1"/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16786</v>
      </c>
      <c r="B26" s="56" t="s">
        <v>25</v>
      </c>
      <c r="C26" s="6">
        <v>795</v>
      </c>
      <c r="D26" s="5">
        <v>3796</v>
      </c>
      <c r="E26" s="5">
        <v>-3001</v>
      </c>
      <c r="F26" s="6">
        <v>3106</v>
      </c>
      <c r="G26" s="5">
        <v>3145</v>
      </c>
      <c r="H26" s="5">
        <v>-39</v>
      </c>
      <c r="I26" s="6">
        <v>3106</v>
      </c>
      <c r="J26" s="5">
        <v>3490</v>
      </c>
      <c r="K26" s="5">
        <v>-384</v>
      </c>
      <c r="L26" s="6">
        <v>0</v>
      </c>
      <c r="M26" s="5">
        <v>3665</v>
      </c>
      <c r="N26" s="5">
        <v>-3665</v>
      </c>
      <c r="O26" s="6">
        <f t="shared" si="0"/>
        <v>-3424</v>
      </c>
      <c r="P26" s="72">
        <f>O26/(J26+G26+D26+1)</f>
        <v>-0.32822085889570551</v>
      </c>
      <c r="Q26" s="76" t="str">
        <f t="shared" si="1"/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17791</v>
      </c>
      <c r="B27" s="56" t="s">
        <v>25</v>
      </c>
      <c r="C27" s="6">
        <v>200</v>
      </c>
      <c r="D27" s="5">
        <v>185</v>
      </c>
      <c r="E27" s="5">
        <v>15</v>
      </c>
      <c r="F27" s="6">
        <v>200</v>
      </c>
      <c r="G27" s="5">
        <v>160</v>
      </c>
      <c r="H27" s="5">
        <v>40</v>
      </c>
      <c r="I27" s="6">
        <v>184</v>
      </c>
      <c r="J27" s="5">
        <v>184</v>
      </c>
      <c r="K27" s="5">
        <v>0</v>
      </c>
      <c r="L27" s="6">
        <v>200</v>
      </c>
      <c r="M27" s="5">
        <v>176</v>
      </c>
      <c r="N27" s="5">
        <v>24</v>
      </c>
      <c r="O27" s="6">
        <f t="shared" si="0"/>
        <v>55</v>
      </c>
      <c r="P27" s="72">
        <f>O27/(J27+G27+D27+1)</f>
        <v>0.10377358490566038</v>
      </c>
      <c r="Q27" s="76" t="str">
        <f t="shared" si="1"/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1117</v>
      </c>
      <c r="B28" s="56" t="s">
        <v>26</v>
      </c>
      <c r="C28" s="6">
        <v>59313</v>
      </c>
      <c r="D28" s="5">
        <v>56565</v>
      </c>
      <c r="E28" s="5">
        <v>2748</v>
      </c>
      <c r="F28" s="6">
        <v>57352</v>
      </c>
      <c r="G28" s="5">
        <v>48767</v>
      </c>
      <c r="H28" s="5">
        <v>8585</v>
      </c>
      <c r="I28" s="6">
        <v>57358</v>
      </c>
      <c r="J28" s="5">
        <v>67186</v>
      </c>
      <c r="K28" s="5">
        <v>-9828</v>
      </c>
      <c r="L28" s="6">
        <v>120830</v>
      </c>
      <c r="M28" s="5">
        <v>69204</v>
      </c>
      <c r="N28" s="5">
        <v>51626</v>
      </c>
      <c r="O28" s="6">
        <f>K28+H28+E28</f>
        <v>1505</v>
      </c>
      <c r="P28" s="72">
        <f>O28/(J28+G28+D28+1)</f>
        <v>8.7236768124090685E-3</v>
      </c>
      <c r="Q28" s="76" t="str">
        <f>" "</f>
        <v xml:space="preserve"> </v>
      </c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>X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>
        <f t="shared" si="2"/>
        <v>63472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1126</v>
      </c>
      <c r="B29" s="56" t="s">
        <v>26</v>
      </c>
      <c r="C29" s="6">
        <v>28209</v>
      </c>
      <c r="D29" s="5">
        <v>28884</v>
      </c>
      <c r="E29" s="5">
        <v>-675</v>
      </c>
      <c r="F29" s="6">
        <v>28209</v>
      </c>
      <c r="G29" s="5">
        <v>27884</v>
      </c>
      <c r="H29" s="5">
        <v>325</v>
      </c>
      <c r="I29" s="6">
        <v>27209</v>
      </c>
      <c r="J29" s="5">
        <v>29283</v>
      </c>
      <c r="K29" s="5">
        <v>-2074</v>
      </c>
      <c r="L29" s="6">
        <v>56256</v>
      </c>
      <c r="M29" s="5">
        <v>29794</v>
      </c>
      <c r="N29" s="5">
        <v>26462</v>
      </c>
      <c r="O29" s="6">
        <f t="shared" ref="O29:O49" si="4">K29+H29+E29</f>
        <v>-2424</v>
      </c>
      <c r="P29" s="72">
        <f>O29/(J29+G29+D29+1)</f>
        <v>-2.8169014084507043E-2</v>
      </c>
      <c r="Q29" s="76" t="str">
        <f t="shared" ref="Q29:Q85" si="5">" "</f>
        <v xml:space="preserve"> </v>
      </c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>X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>
        <f t="shared" si="2"/>
        <v>29047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152560</v>
      </c>
      <c r="D30" s="5">
        <v>109719</v>
      </c>
      <c r="E30" s="5">
        <v>42841</v>
      </c>
      <c r="F30" s="6">
        <v>156758</v>
      </c>
      <c r="G30" s="5">
        <v>91521</v>
      </c>
      <c r="H30" s="5">
        <v>65237</v>
      </c>
      <c r="I30" s="6">
        <v>114070</v>
      </c>
      <c r="J30" s="5">
        <v>113998</v>
      </c>
      <c r="K30" s="5">
        <v>72</v>
      </c>
      <c r="L30" s="6">
        <v>118397</v>
      </c>
      <c r="M30" s="5">
        <v>117648</v>
      </c>
      <c r="N30" s="5">
        <v>749</v>
      </c>
      <c r="O30" s="6">
        <f>K30+H30+E30</f>
        <v>108150</v>
      </c>
      <c r="P30" s="72">
        <f>O30/(J30+G30+D30+1)</f>
        <v>0.34307303347618789</v>
      </c>
      <c r="Q30" s="8" t="s">
        <v>59</v>
      </c>
      <c r="R30" s="67" t="str">
        <f>IF($C$4="High Inventory",IF(AND(O30&gt;=Summary!$C$128,P30&gt;=Summary!$C$129),"X"," "),IF(AND(O30&lt;=-Summary!$C$128,P30&lt;=-Summary!$C$129),"X"," "))</f>
        <v>X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2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">
      <c r="A31" s="28">
        <v>1281</v>
      </c>
      <c r="B31" s="56" t="s">
        <v>26</v>
      </c>
      <c r="C31" s="6">
        <v>21305</v>
      </c>
      <c r="D31" s="5">
        <v>18859</v>
      </c>
      <c r="E31" s="5">
        <v>2446</v>
      </c>
      <c r="F31" s="6">
        <v>20988</v>
      </c>
      <c r="G31" s="5">
        <v>12530</v>
      </c>
      <c r="H31" s="5">
        <v>8458</v>
      </c>
      <c r="I31" s="6">
        <v>37058</v>
      </c>
      <c r="J31" s="5">
        <v>22160</v>
      </c>
      <c r="K31" s="5">
        <v>14898</v>
      </c>
      <c r="L31" s="6">
        <v>37443</v>
      </c>
      <c r="M31" s="5">
        <v>26878</v>
      </c>
      <c r="N31" s="5">
        <v>10565</v>
      </c>
      <c r="O31" s="6">
        <f t="shared" si="4"/>
        <v>25802</v>
      </c>
      <c r="P31" s="72">
        <f t="shared" ref="P31:P49" si="6">O31/(J31+G31+D31+1)</f>
        <v>0.48183006535947714</v>
      </c>
      <c r="Q31" s="76" t="str">
        <f t="shared" ref="Q31:Q36" si="7">" "</f>
        <v xml:space="preserve"> </v>
      </c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6818</v>
      </c>
      <c r="D32" s="5">
        <v>4967</v>
      </c>
      <c r="E32" s="5">
        <v>1851</v>
      </c>
      <c r="F32" s="6">
        <v>6818</v>
      </c>
      <c r="G32" s="5">
        <v>3650</v>
      </c>
      <c r="H32" s="5">
        <v>3168</v>
      </c>
      <c r="I32" s="6">
        <v>5143</v>
      </c>
      <c r="J32" s="5">
        <v>6302</v>
      </c>
      <c r="K32" s="5">
        <v>-1159</v>
      </c>
      <c r="L32" s="6">
        <v>6821</v>
      </c>
      <c r="M32" s="5">
        <v>7086</v>
      </c>
      <c r="N32" s="5">
        <v>-265</v>
      </c>
      <c r="O32" s="6">
        <f t="shared" si="4"/>
        <v>3860</v>
      </c>
      <c r="P32" s="72">
        <f t="shared" si="6"/>
        <v>0.25871313672922253</v>
      </c>
      <c r="Q32" s="76" t="str">
        <f t="shared" si="7"/>
        <v xml:space="preserve"> </v>
      </c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>X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>X</v>
      </c>
    </row>
    <row r="33" spans="1:24" x14ac:dyDescent="0.2">
      <c r="A33" s="28">
        <v>1377</v>
      </c>
      <c r="B33" s="56" t="s">
        <v>26</v>
      </c>
      <c r="C33" s="6">
        <v>92639</v>
      </c>
      <c r="D33" s="5">
        <v>109612</v>
      </c>
      <c r="E33" s="5">
        <v>-16973</v>
      </c>
      <c r="F33" s="6">
        <v>100796</v>
      </c>
      <c r="G33" s="5">
        <v>110659</v>
      </c>
      <c r="H33" s="5">
        <v>-9863</v>
      </c>
      <c r="I33" s="6">
        <v>90917</v>
      </c>
      <c r="J33" s="5">
        <v>111288</v>
      </c>
      <c r="K33" s="5">
        <v>-20371</v>
      </c>
      <c r="L33" s="6">
        <v>85187</v>
      </c>
      <c r="M33" s="5">
        <v>111837</v>
      </c>
      <c r="N33" s="5">
        <v>-26650</v>
      </c>
      <c r="O33" s="6">
        <f t="shared" si="4"/>
        <v>-47207</v>
      </c>
      <c r="P33" s="72">
        <f>O33/(J33+G33+D33+1)</f>
        <v>-0.14237845337193872</v>
      </c>
      <c r="Q33" s="76" t="str">
        <f t="shared" si="7"/>
        <v xml:space="preserve"> </v>
      </c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>K34+H34+E34</f>
        <v>-3</v>
      </c>
      <c r="P34" s="72">
        <f>O34/(J34+G34+D34+1)</f>
        <v>-0.75</v>
      </c>
      <c r="Q34" s="76" t="str">
        <f t="shared" si="7"/>
        <v xml:space="preserve"> </v>
      </c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467690</v>
      </c>
      <c r="D35" s="5">
        <v>469047</v>
      </c>
      <c r="E35" s="5">
        <v>-1357</v>
      </c>
      <c r="F35" s="6">
        <v>439530</v>
      </c>
      <c r="G35" s="5">
        <v>273536</v>
      </c>
      <c r="H35" s="5">
        <v>165994</v>
      </c>
      <c r="I35" s="6">
        <v>360606</v>
      </c>
      <c r="J35" s="5">
        <v>339688</v>
      </c>
      <c r="K35" s="5">
        <v>20918</v>
      </c>
      <c r="L35" s="6">
        <v>222561</v>
      </c>
      <c r="M35" s="5">
        <v>259883</v>
      </c>
      <c r="N35" s="5">
        <v>-37322</v>
      </c>
      <c r="O35" s="6">
        <f t="shared" si="4"/>
        <v>185555</v>
      </c>
      <c r="P35" s="72">
        <f t="shared" si="6"/>
        <v>0.1714495062239437</v>
      </c>
      <c r="Q35" s="76" t="str">
        <f t="shared" si="7"/>
        <v xml:space="preserve"> </v>
      </c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">
      <c r="A36" s="28">
        <v>1922</v>
      </c>
      <c r="B36" s="56" t="s">
        <v>26</v>
      </c>
      <c r="C36" s="6">
        <v>71992</v>
      </c>
      <c r="D36" s="5">
        <v>48164</v>
      </c>
      <c r="E36" s="5">
        <v>23828</v>
      </c>
      <c r="F36" s="6">
        <v>71992</v>
      </c>
      <c r="G36" s="5">
        <v>39524</v>
      </c>
      <c r="H36" s="5">
        <v>32468</v>
      </c>
      <c r="I36" s="6">
        <v>48675</v>
      </c>
      <c r="J36" s="5">
        <v>48848</v>
      </c>
      <c r="K36" s="5">
        <v>-173</v>
      </c>
      <c r="L36" s="6">
        <v>56930</v>
      </c>
      <c r="M36" s="5">
        <v>52643</v>
      </c>
      <c r="N36" s="5">
        <v>4287</v>
      </c>
      <c r="O36" s="6">
        <f t="shared" si="4"/>
        <v>56123</v>
      </c>
      <c r="P36" s="72">
        <f t="shared" si="6"/>
        <v>0.41104609007082327</v>
      </c>
      <c r="Q36" s="76" t="str">
        <f t="shared" si="7"/>
        <v xml:space="preserve"> </v>
      </c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">
      <c r="A37" s="28">
        <v>1928</v>
      </c>
      <c r="B37" s="56" t="s">
        <v>26</v>
      </c>
      <c r="C37" s="6">
        <v>14084</v>
      </c>
      <c r="D37" s="5">
        <v>15471</v>
      </c>
      <c r="E37" s="5">
        <v>-1387</v>
      </c>
      <c r="F37" s="6">
        <v>14084</v>
      </c>
      <c r="G37" s="5">
        <v>12872</v>
      </c>
      <c r="H37" s="5">
        <v>1212</v>
      </c>
      <c r="I37" s="6">
        <v>14084</v>
      </c>
      <c r="J37" s="5">
        <v>16265</v>
      </c>
      <c r="K37" s="5">
        <v>-2181</v>
      </c>
      <c r="L37" s="6">
        <v>15084</v>
      </c>
      <c r="M37" s="5">
        <v>17007</v>
      </c>
      <c r="N37" s="5">
        <v>-1923</v>
      </c>
      <c r="O37" s="6">
        <f>K37+H37+E37</f>
        <v>-2356</v>
      </c>
      <c r="P37" s="72">
        <f>O37/(J37+G37+D37+1)</f>
        <v>-5.2814454482279359E-2</v>
      </c>
      <c r="Q37" s="8" t="s">
        <v>59</v>
      </c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2056</v>
      </c>
      <c r="B38" s="56" t="s">
        <v>26</v>
      </c>
      <c r="C38" s="6">
        <v>60881</v>
      </c>
      <c r="D38" s="5">
        <v>59891</v>
      </c>
      <c r="E38" s="5">
        <v>990</v>
      </c>
      <c r="F38" s="6">
        <v>64861</v>
      </c>
      <c r="G38" s="5">
        <v>63024</v>
      </c>
      <c r="H38" s="5">
        <v>1837</v>
      </c>
      <c r="I38" s="6">
        <v>56901</v>
      </c>
      <c r="J38" s="5">
        <v>62347</v>
      </c>
      <c r="K38" s="5">
        <v>-5446</v>
      </c>
      <c r="L38" s="6">
        <v>60881</v>
      </c>
      <c r="M38" s="5">
        <v>64570</v>
      </c>
      <c r="N38" s="5">
        <v>-3689</v>
      </c>
      <c r="O38" s="6">
        <f t="shared" si="4"/>
        <v>-2619</v>
      </c>
      <c r="P38" s="72">
        <f t="shared" si="6"/>
        <v>-1.4136659775562308E-2</v>
      </c>
      <c r="Q38" s="76" t="str">
        <f t="shared" si="5"/>
        <v xml:space="preserve"> </v>
      </c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8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8556</v>
      </c>
      <c r="D39" s="5">
        <v>7383</v>
      </c>
      <c r="E39" s="5">
        <v>1173</v>
      </c>
      <c r="F39" s="6">
        <v>8556</v>
      </c>
      <c r="G39" s="5">
        <v>4927</v>
      </c>
      <c r="H39" s="5">
        <v>3629</v>
      </c>
      <c r="I39" s="6">
        <v>8032</v>
      </c>
      <c r="J39" s="5">
        <v>9436</v>
      </c>
      <c r="K39" s="5">
        <v>-1404</v>
      </c>
      <c r="L39" s="6">
        <v>10827</v>
      </c>
      <c r="M39" s="5">
        <v>10024</v>
      </c>
      <c r="N39" s="5">
        <v>803</v>
      </c>
      <c r="O39" s="6">
        <f t="shared" si="4"/>
        <v>3398</v>
      </c>
      <c r="P39" s="72">
        <f t="shared" si="6"/>
        <v>0.15625143697981331</v>
      </c>
      <c r="Q39" s="76" t="str">
        <f>" "</f>
        <v xml:space="preserve"> </v>
      </c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>X</v>
      </c>
      <c r="V39" t="str">
        <f t="shared" si="8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>X</v>
      </c>
    </row>
    <row r="40" spans="1:24" x14ac:dyDescent="0.2">
      <c r="A40" s="28">
        <v>2584</v>
      </c>
      <c r="B40" s="56" t="s">
        <v>26</v>
      </c>
      <c r="C40" s="6">
        <v>78182</v>
      </c>
      <c r="D40" s="5">
        <v>57505</v>
      </c>
      <c r="E40" s="5">
        <v>20677</v>
      </c>
      <c r="F40" s="6">
        <v>78177</v>
      </c>
      <c r="G40" s="5">
        <v>50282</v>
      </c>
      <c r="H40" s="5">
        <v>27895</v>
      </c>
      <c r="I40" s="6">
        <v>56298</v>
      </c>
      <c r="J40" s="5">
        <v>66073</v>
      </c>
      <c r="K40" s="5">
        <v>-9775</v>
      </c>
      <c r="L40" s="6">
        <v>59140</v>
      </c>
      <c r="M40" s="5">
        <v>70573</v>
      </c>
      <c r="N40" s="5">
        <v>-11433</v>
      </c>
      <c r="O40" s="6">
        <f>K40+H40+E40</f>
        <v>38797</v>
      </c>
      <c r="P40" s="72">
        <f>O40/(J40+G40+D40+1)</f>
        <v>0.2231495274961032</v>
      </c>
      <c r="Q40" s="76" t="str">
        <f t="shared" si="5"/>
        <v xml:space="preserve"> 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8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">
      <c r="A41" s="28">
        <v>2771</v>
      </c>
      <c r="B41" s="56" t="s">
        <v>26</v>
      </c>
      <c r="C41" s="6">
        <v>33088</v>
      </c>
      <c r="D41" s="5">
        <v>35353</v>
      </c>
      <c r="E41" s="5">
        <v>-2265</v>
      </c>
      <c r="F41" s="6">
        <v>35618</v>
      </c>
      <c r="G41" s="5">
        <v>25871</v>
      </c>
      <c r="H41" s="5">
        <v>9747</v>
      </c>
      <c r="I41" s="6">
        <v>30781</v>
      </c>
      <c r="J41" s="5">
        <v>44637</v>
      </c>
      <c r="K41" s="5">
        <v>-13856</v>
      </c>
      <c r="L41" s="6">
        <v>41</v>
      </c>
      <c r="M41" s="5">
        <v>49197</v>
      </c>
      <c r="N41" s="5">
        <v>-49156</v>
      </c>
      <c r="O41" s="6">
        <f>K41+H41+E41</f>
        <v>-6374</v>
      </c>
      <c r="P41" s="72">
        <f>O41/(J41+G41+D41+1)</f>
        <v>-6.021046267782585E-2</v>
      </c>
      <c r="Q41" s="76" t="str">
        <f>" "</f>
        <v xml:space="preserve"> </v>
      </c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8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">
      <c r="A42" s="28">
        <v>2832</v>
      </c>
      <c r="B42" s="56" t="s">
        <v>26</v>
      </c>
      <c r="C42" s="6">
        <v>2801</v>
      </c>
      <c r="D42" s="5">
        <v>1829</v>
      </c>
      <c r="E42" s="5">
        <v>972</v>
      </c>
      <c r="F42" s="6">
        <v>2801</v>
      </c>
      <c r="G42" s="5">
        <v>1863</v>
      </c>
      <c r="H42" s="5">
        <v>938</v>
      </c>
      <c r="I42" s="6">
        <v>2729</v>
      </c>
      <c r="J42" s="5">
        <v>2670</v>
      </c>
      <c r="K42" s="5">
        <v>59</v>
      </c>
      <c r="L42" s="6">
        <v>5801</v>
      </c>
      <c r="M42" s="5">
        <v>4080</v>
      </c>
      <c r="N42" s="5">
        <v>1721</v>
      </c>
      <c r="O42" s="6">
        <f>K42+H42+E42</f>
        <v>1969</v>
      </c>
      <c r="P42" s="72">
        <f>O42/(J42+G42+D42+1)</f>
        <v>0.30944523023730947</v>
      </c>
      <c r="Q42" s="76" t="str">
        <f>" "</f>
        <v xml:space="preserve"> </v>
      </c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8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2892</v>
      </c>
      <c r="B43" s="56" t="s">
        <v>26</v>
      </c>
      <c r="C43" s="6">
        <v>170</v>
      </c>
      <c r="D43" s="5">
        <v>198</v>
      </c>
      <c r="E43" s="5">
        <v>-28</v>
      </c>
      <c r="F43" s="6">
        <v>170</v>
      </c>
      <c r="G43" s="5">
        <v>170</v>
      </c>
      <c r="H43" s="5">
        <v>0</v>
      </c>
      <c r="I43" s="6">
        <v>170</v>
      </c>
      <c r="J43" s="5">
        <v>188</v>
      </c>
      <c r="K43" s="5">
        <v>-18</v>
      </c>
      <c r="L43" s="6">
        <v>170</v>
      </c>
      <c r="M43" s="5">
        <v>191</v>
      </c>
      <c r="N43" s="5">
        <v>-21</v>
      </c>
      <c r="O43" s="6">
        <f t="shared" si="4"/>
        <v>-46</v>
      </c>
      <c r="P43" s="72">
        <f t="shared" si="6"/>
        <v>-8.2585278276481155E-2</v>
      </c>
      <c r="Q43" s="76" t="str">
        <f t="shared" si="5"/>
        <v xml:space="preserve"> </v>
      </c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8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10368</v>
      </c>
      <c r="D44" s="5">
        <v>8213</v>
      </c>
      <c r="E44" s="5">
        <v>2155</v>
      </c>
      <c r="F44" s="6">
        <v>10368</v>
      </c>
      <c r="G44" s="5">
        <v>6823</v>
      </c>
      <c r="H44" s="5">
        <v>3545</v>
      </c>
      <c r="I44" s="6">
        <v>10368</v>
      </c>
      <c r="J44" s="5">
        <v>8968</v>
      </c>
      <c r="K44" s="5">
        <v>1400</v>
      </c>
      <c r="L44" s="6">
        <v>8070</v>
      </c>
      <c r="M44" s="5">
        <v>9284</v>
      </c>
      <c r="N44" s="5">
        <v>-1214</v>
      </c>
      <c r="O44" s="6">
        <f t="shared" si="4"/>
        <v>7100</v>
      </c>
      <c r="P44" s="72">
        <f t="shared" si="6"/>
        <v>0.29577171422620285</v>
      </c>
      <c r="Q44" s="76" t="str">
        <f>" "</f>
        <v xml:space="preserve"> </v>
      </c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8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">
      <c r="A45" s="28">
        <v>4303</v>
      </c>
      <c r="B45" s="56" t="s">
        <v>26</v>
      </c>
      <c r="C45" s="6">
        <v>2827</v>
      </c>
      <c r="D45" s="5">
        <v>2462</v>
      </c>
      <c r="E45" s="5">
        <v>365</v>
      </c>
      <c r="F45" s="6">
        <v>2827</v>
      </c>
      <c r="G45" s="5">
        <v>1895</v>
      </c>
      <c r="H45" s="5">
        <v>932</v>
      </c>
      <c r="I45" s="6">
        <v>2314</v>
      </c>
      <c r="J45" s="5">
        <v>3123</v>
      </c>
      <c r="K45" s="5">
        <v>-809</v>
      </c>
      <c r="L45" s="6">
        <v>2827</v>
      </c>
      <c r="M45" s="5">
        <v>3137</v>
      </c>
      <c r="N45" s="5">
        <v>-310</v>
      </c>
      <c r="O45" s="6">
        <f t="shared" si="4"/>
        <v>488</v>
      </c>
      <c r="P45" s="72">
        <f>O45/(J45+G45+D45+1)</f>
        <v>6.5231920866194365E-2</v>
      </c>
      <c r="Q45" s="76" t="str">
        <f t="shared" si="5"/>
        <v xml:space="preserve"> </v>
      </c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8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6852</v>
      </c>
      <c r="M46" s="5">
        <v>0</v>
      </c>
      <c r="N46" s="5">
        <v>6852</v>
      </c>
      <c r="O46" s="6">
        <f>K46+H46+E46</f>
        <v>0</v>
      </c>
      <c r="P46" s="72">
        <f>O46/(J46+G46+D46+1)</f>
        <v>0</v>
      </c>
      <c r="Q46" s="8" t="s">
        <v>59</v>
      </c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>X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>
        <f t="shared" si="8"/>
        <v>6852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233118</v>
      </c>
      <c r="D47" s="5">
        <v>179500</v>
      </c>
      <c r="E47" s="5">
        <v>53618</v>
      </c>
      <c r="F47" s="6">
        <v>203072</v>
      </c>
      <c r="G47" s="5">
        <v>101610</v>
      </c>
      <c r="H47" s="5">
        <v>101462</v>
      </c>
      <c r="I47" s="6">
        <v>198666</v>
      </c>
      <c r="J47" s="5">
        <v>201036</v>
      </c>
      <c r="K47" s="5">
        <v>-2370</v>
      </c>
      <c r="L47" s="6">
        <v>187072</v>
      </c>
      <c r="M47" s="5">
        <v>188026</v>
      </c>
      <c r="N47" s="5">
        <v>-954</v>
      </c>
      <c r="O47" s="6">
        <f t="shared" si="4"/>
        <v>152710</v>
      </c>
      <c r="P47" s="72">
        <f t="shared" si="6"/>
        <v>0.31672913032747274</v>
      </c>
      <c r="Q47" s="8" t="s">
        <v>59</v>
      </c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8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">
      <c r="A48" s="28">
        <v>6084</v>
      </c>
      <c r="B48" s="56" t="s">
        <v>26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14</v>
      </c>
      <c r="K48" s="5">
        <v>-14</v>
      </c>
      <c r="L48" s="6">
        <v>0</v>
      </c>
      <c r="M48" s="5">
        <v>8</v>
      </c>
      <c r="N48" s="5">
        <v>-8</v>
      </c>
      <c r="O48" s="6">
        <f t="shared" si="4"/>
        <v>-14</v>
      </c>
      <c r="P48" s="72">
        <f t="shared" si="6"/>
        <v>-0.93333333333333335</v>
      </c>
      <c r="Q48" s="8" t="s">
        <v>59</v>
      </c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8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12198</v>
      </c>
      <c r="E49" s="5">
        <v>-698</v>
      </c>
      <c r="F49" s="6">
        <v>11500</v>
      </c>
      <c r="G49" s="5">
        <v>10944</v>
      </c>
      <c r="H49" s="5">
        <v>556</v>
      </c>
      <c r="I49" s="6">
        <v>11500</v>
      </c>
      <c r="J49" s="5">
        <v>12277</v>
      </c>
      <c r="K49" s="5">
        <v>-777</v>
      </c>
      <c r="L49" s="6">
        <v>11500</v>
      </c>
      <c r="M49" s="5">
        <v>11793</v>
      </c>
      <c r="N49" s="5">
        <v>-293</v>
      </c>
      <c r="O49" s="6">
        <f t="shared" si="4"/>
        <v>-919</v>
      </c>
      <c r="P49" s="72">
        <f t="shared" si="6"/>
        <v>-2.5945793337097685E-2</v>
      </c>
      <c r="Q49" s="76" t="str">
        <f>" "</f>
        <v xml:space="preserve"> </v>
      </c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8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31026</v>
      </c>
      <c r="D50" s="5">
        <v>26543</v>
      </c>
      <c r="E50" s="5">
        <v>4483</v>
      </c>
      <c r="F50" s="6">
        <v>31026</v>
      </c>
      <c r="G50" s="5">
        <v>24973</v>
      </c>
      <c r="H50" s="5">
        <v>6053</v>
      </c>
      <c r="I50" s="6">
        <v>27256</v>
      </c>
      <c r="J50" s="5">
        <v>30802</v>
      </c>
      <c r="K50" s="5">
        <v>-3546</v>
      </c>
      <c r="L50" s="6">
        <v>28373</v>
      </c>
      <c r="M50" s="5">
        <v>30746</v>
      </c>
      <c r="N50" s="5">
        <v>-2373</v>
      </c>
      <c r="O50" s="6">
        <f>K50+H50+E50</f>
        <v>6990</v>
      </c>
      <c r="P50" s="72">
        <f>O50/(J50+G50+D50+1)</f>
        <v>8.491356794907616E-2</v>
      </c>
      <c r="Q50" s="76" t="str">
        <f>" "</f>
        <v xml:space="preserve"> </v>
      </c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>X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8"/>
        <v xml:space="preserve"> </v>
      </c>
      <c r="W50" t="str">
        <f>IF($C$4="High Inventory",IF(O50&gt;Summary!$C$128,"X"," "),IF(O50&lt;-Summary!$C$128,"X"," "))</f>
        <v>X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66489</v>
      </c>
      <c r="D51" s="5">
        <v>58290</v>
      </c>
      <c r="E51" s="5">
        <v>8199</v>
      </c>
      <c r="F51" s="6">
        <v>66421</v>
      </c>
      <c r="G51" s="5">
        <v>12193</v>
      </c>
      <c r="H51" s="5">
        <v>54228</v>
      </c>
      <c r="I51" s="6">
        <v>46761</v>
      </c>
      <c r="J51" s="5">
        <v>50001</v>
      </c>
      <c r="K51" s="5">
        <v>-3240</v>
      </c>
      <c r="L51" s="6">
        <v>39284</v>
      </c>
      <c r="M51" s="5">
        <v>48462</v>
      </c>
      <c r="N51" s="5">
        <v>-9178</v>
      </c>
      <c r="O51" s="6">
        <f>K51+H51+E51</f>
        <v>59187</v>
      </c>
      <c r="P51" s="72">
        <f>O51/(J51+G51+D51+1)</f>
        <v>0.49123957339087854</v>
      </c>
      <c r="Q51" s="76" t="str">
        <f>" "</f>
        <v xml:space="preserve"> </v>
      </c>
      <c r="R51" s="67" t="str">
        <f>IF($C$4="High Inventory",IF(AND(O51&gt;=Summary!$C$128,P51&gt;=Summary!$C$129),"X"," "),IF(AND(O51&lt;=-Summary!$C$128,P51&lt;=-Summary!$C$129),"X"," "))</f>
        <v>X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 t="str">
        <f t="shared" si="8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">
      <c r="A52" s="28">
        <v>30069</v>
      </c>
      <c r="B52" s="56" t="s">
        <v>26</v>
      </c>
      <c r="C52" s="6">
        <v>9417</v>
      </c>
      <c r="D52" s="5">
        <v>10228</v>
      </c>
      <c r="E52" s="5">
        <v>-811</v>
      </c>
      <c r="F52" s="6">
        <v>9519</v>
      </c>
      <c r="G52" s="5">
        <v>10166</v>
      </c>
      <c r="H52" s="5">
        <v>-647</v>
      </c>
      <c r="I52" s="6">
        <v>8728</v>
      </c>
      <c r="J52" s="5">
        <v>10268</v>
      </c>
      <c r="K52" s="5">
        <v>-1540</v>
      </c>
      <c r="L52" s="6">
        <v>2685</v>
      </c>
      <c r="M52" s="5">
        <v>10685</v>
      </c>
      <c r="N52" s="5">
        <v>-8000</v>
      </c>
      <c r="O52" s="6">
        <f>K52+H52+E52</f>
        <v>-2998</v>
      </c>
      <c r="P52" s="72">
        <f>O52/(J52+G52+D52+1)</f>
        <v>-9.7772559762580313E-2</v>
      </c>
      <c r="Q52" s="76" t="str">
        <f t="shared" si="5"/>
        <v xml:space="preserve"> </v>
      </c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8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ref="O53:O70" si="9">K53+H53+E53</f>
        <v>0</v>
      </c>
      <c r="P53" s="72">
        <f>O53/(J53+G53+D53+1)</f>
        <v>0</v>
      </c>
      <c r="Q53" s="76" t="str">
        <f t="shared" si="5"/>
        <v xml:space="preserve"> </v>
      </c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8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10922</v>
      </c>
      <c r="D54" s="5">
        <v>6906</v>
      </c>
      <c r="E54" s="5">
        <v>4016</v>
      </c>
      <c r="F54" s="6">
        <v>10922</v>
      </c>
      <c r="G54" s="5">
        <v>5799</v>
      </c>
      <c r="H54" s="5">
        <v>5123</v>
      </c>
      <c r="I54" s="6">
        <v>10922</v>
      </c>
      <c r="J54" s="5">
        <v>8382</v>
      </c>
      <c r="K54" s="5">
        <v>2540</v>
      </c>
      <c r="L54" s="6">
        <v>10922</v>
      </c>
      <c r="M54" s="5">
        <v>9044</v>
      </c>
      <c r="N54" s="5">
        <v>1878</v>
      </c>
      <c r="O54" s="6">
        <f>K54+H54+E54</f>
        <v>11679</v>
      </c>
      <c r="P54" s="72">
        <f t="shared" ref="P54:P70" si="10">O54/(J54+G54+D54+1)</f>
        <v>0.55382207890743551</v>
      </c>
      <c r="Q54" s="76" t="str">
        <f t="shared" si="5"/>
        <v xml:space="preserve"> </v>
      </c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8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>K55+H55+E55</f>
        <v>0</v>
      </c>
      <c r="P55" s="72">
        <f t="shared" si="10"/>
        <v>0</v>
      </c>
      <c r="Q55" s="76" t="str">
        <f t="shared" si="5"/>
        <v xml:space="preserve"> </v>
      </c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8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201</v>
      </c>
      <c r="B56" s="56" t="s">
        <v>27</v>
      </c>
      <c r="C56" s="6">
        <v>0</v>
      </c>
      <c r="D56" s="5">
        <v>10</v>
      </c>
      <c r="E56" s="5">
        <v>-10</v>
      </c>
      <c r="F56" s="6">
        <v>0</v>
      </c>
      <c r="G56" s="5">
        <v>20</v>
      </c>
      <c r="H56" s="5">
        <v>-20</v>
      </c>
      <c r="I56" s="6">
        <v>0</v>
      </c>
      <c r="J56" s="5">
        <v>226</v>
      </c>
      <c r="K56" s="5">
        <v>-226</v>
      </c>
      <c r="L56" s="6">
        <v>0</v>
      </c>
      <c r="M56" s="5">
        <v>230</v>
      </c>
      <c r="N56" s="5">
        <v>-230</v>
      </c>
      <c r="O56" s="6">
        <f>K56+H56+E56</f>
        <v>-256</v>
      </c>
      <c r="P56" s="72">
        <f t="shared" si="10"/>
        <v>-0.99610894941634243</v>
      </c>
      <c r="Q56" s="76" t="str">
        <f t="shared" si="5"/>
        <v xml:space="preserve"> </v>
      </c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8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9"/>
        <v>0</v>
      </c>
      <c r="P57" s="72">
        <f t="shared" si="10"/>
        <v>0</v>
      </c>
      <c r="Q57" s="76" t="str">
        <f t="shared" si="5"/>
        <v xml:space="preserve"> </v>
      </c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8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9"/>
        <v>0</v>
      </c>
      <c r="P58" s="72">
        <f t="shared" si="10"/>
        <v>0</v>
      </c>
      <c r="Q58" s="76" t="str">
        <f t="shared" si="5"/>
        <v xml:space="preserve"> </v>
      </c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8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9"/>
        <v>0</v>
      </c>
      <c r="P59" s="72">
        <f t="shared" si="10"/>
        <v>0</v>
      </c>
      <c r="Q59" s="76" t="str">
        <f t="shared" si="5"/>
        <v xml:space="preserve"> </v>
      </c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8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512</v>
      </c>
      <c r="B60" s="56" t="s">
        <v>27</v>
      </c>
      <c r="C60" s="6">
        <v>1700</v>
      </c>
      <c r="D60" s="5">
        <v>1993</v>
      </c>
      <c r="E60" s="5">
        <v>-293</v>
      </c>
      <c r="F60" s="6">
        <v>1700</v>
      </c>
      <c r="G60" s="5">
        <v>1474</v>
      </c>
      <c r="H60" s="5">
        <v>226</v>
      </c>
      <c r="I60" s="6">
        <v>1700</v>
      </c>
      <c r="J60" s="5">
        <v>1238</v>
      </c>
      <c r="K60" s="5">
        <v>462</v>
      </c>
      <c r="L60" s="6">
        <v>1700</v>
      </c>
      <c r="M60" s="5">
        <v>3103</v>
      </c>
      <c r="N60" s="5">
        <v>-1403</v>
      </c>
      <c r="O60" s="6">
        <f t="shared" si="9"/>
        <v>395</v>
      </c>
      <c r="P60" s="72">
        <f t="shared" si="10"/>
        <v>8.3935401614959632E-2</v>
      </c>
      <c r="Q60" s="76" t="str">
        <f t="shared" si="5"/>
        <v xml:space="preserve"> </v>
      </c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8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757</v>
      </c>
      <c r="B61" s="56" t="s">
        <v>27</v>
      </c>
      <c r="C61" s="6">
        <v>0</v>
      </c>
      <c r="D61" s="5">
        <v>470</v>
      </c>
      <c r="E61" s="5">
        <v>-470</v>
      </c>
      <c r="F61" s="6">
        <v>0</v>
      </c>
      <c r="G61" s="5">
        <v>493</v>
      </c>
      <c r="H61" s="5">
        <v>-493</v>
      </c>
      <c r="I61" s="6">
        <v>450</v>
      </c>
      <c r="J61" s="5">
        <v>494</v>
      </c>
      <c r="K61" s="5">
        <v>-44</v>
      </c>
      <c r="L61" s="6">
        <v>0</v>
      </c>
      <c r="M61" s="5">
        <v>494</v>
      </c>
      <c r="N61" s="5">
        <v>-494</v>
      </c>
      <c r="O61" s="6">
        <f t="shared" si="9"/>
        <v>-1007</v>
      </c>
      <c r="P61" s="72">
        <f t="shared" ref="P61:P69" si="11">O61/(J61+G61+D61+1)</f>
        <v>-0.69067215363511658</v>
      </c>
      <c r="Q61" s="76" t="str">
        <f t="shared" si="5"/>
        <v xml:space="preserve"> </v>
      </c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8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779</v>
      </c>
      <c r="B62" s="56" t="s">
        <v>27</v>
      </c>
      <c r="C62" s="6">
        <v>1000</v>
      </c>
      <c r="D62" s="5">
        <v>0</v>
      </c>
      <c r="E62" s="5">
        <v>1000</v>
      </c>
      <c r="F62" s="6">
        <v>1000</v>
      </c>
      <c r="G62" s="5">
        <v>0</v>
      </c>
      <c r="H62" s="5">
        <v>1000</v>
      </c>
      <c r="I62" s="6">
        <v>1000</v>
      </c>
      <c r="J62" s="5">
        <v>919</v>
      </c>
      <c r="K62" s="5">
        <v>81</v>
      </c>
      <c r="L62" s="6">
        <v>1000</v>
      </c>
      <c r="M62" s="5">
        <v>1320</v>
      </c>
      <c r="N62" s="5">
        <v>-320</v>
      </c>
      <c r="O62" s="6">
        <f>K62+H62+E62</f>
        <v>2081</v>
      </c>
      <c r="P62" s="72">
        <f t="shared" si="11"/>
        <v>2.2619565217391306</v>
      </c>
      <c r="Q62" s="76" t="str">
        <f t="shared" si="5"/>
        <v xml:space="preserve"> </v>
      </c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8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1</v>
      </c>
      <c r="N63" s="5">
        <v>-1</v>
      </c>
      <c r="O63" s="6">
        <f t="shared" si="9"/>
        <v>0</v>
      </c>
      <c r="P63" s="72">
        <f t="shared" si="11"/>
        <v>0</v>
      </c>
      <c r="Q63" s="76" t="str">
        <f t="shared" si="5"/>
        <v xml:space="preserve"> </v>
      </c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8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>K64+H64+E64</f>
        <v>0</v>
      </c>
      <c r="P64" s="72">
        <f t="shared" si="11"/>
        <v>0</v>
      </c>
      <c r="Q64" s="76" t="str">
        <f t="shared" si="5"/>
        <v xml:space="preserve"> </v>
      </c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8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9"/>
        <v>0</v>
      </c>
      <c r="P65" s="72">
        <f t="shared" si="11"/>
        <v>0</v>
      </c>
      <c r="Q65" s="76" t="str">
        <f t="shared" si="5"/>
        <v xml:space="preserve"> </v>
      </c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8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166</v>
      </c>
      <c r="D66" s="5">
        <v>269</v>
      </c>
      <c r="E66" s="5">
        <v>-103</v>
      </c>
      <c r="F66" s="6">
        <v>166</v>
      </c>
      <c r="G66" s="5">
        <v>276</v>
      </c>
      <c r="H66" s="5">
        <v>-110</v>
      </c>
      <c r="I66" s="6">
        <v>164</v>
      </c>
      <c r="J66" s="5">
        <v>474</v>
      </c>
      <c r="K66" s="5">
        <v>-310</v>
      </c>
      <c r="L66" s="6">
        <v>132</v>
      </c>
      <c r="M66" s="5">
        <v>335</v>
      </c>
      <c r="N66" s="5">
        <v>-203</v>
      </c>
      <c r="O66" s="6">
        <f t="shared" ref="O66:O73" si="12">K66+H66+E66</f>
        <v>-523</v>
      </c>
      <c r="P66" s="72">
        <f t="shared" si="11"/>
        <v>-0.51274509803921564</v>
      </c>
      <c r="Q66" s="76" t="str">
        <f t="shared" si="5"/>
        <v xml:space="preserve"> </v>
      </c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13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9"/>
        <v>0</v>
      </c>
      <c r="P67" s="72">
        <f t="shared" si="11"/>
        <v>0</v>
      </c>
      <c r="Q67" s="76" t="str">
        <f t="shared" si="5"/>
        <v xml:space="preserve"> </v>
      </c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13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12"/>
        <v>0</v>
      </c>
      <c r="P68" s="72">
        <f t="shared" si="11"/>
        <v>0</v>
      </c>
      <c r="Q68" s="76" t="str">
        <f t="shared" si="5"/>
        <v xml:space="preserve"> </v>
      </c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13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7602</v>
      </c>
      <c r="B69" s="56" t="s">
        <v>27</v>
      </c>
      <c r="C69" s="6">
        <v>39744</v>
      </c>
      <c r="D69" s="5">
        <v>23760</v>
      </c>
      <c r="E69" s="5">
        <v>15984</v>
      </c>
      <c r="F69" s="6">
        <v>60000</v>
      </c>
      <c r="G69" s="5">
        <v>39502</v>
      </c>
      <c r="H69" s="5">
        <v>20498</v>
      </c>
      <c r="I69" s="6">
        <v>37500</v>
      </c>
      <c r="J69" s="5">
        <v>41159</v>
      </c>
      <c r="K69" s="5">
        <v>-3659</v>
      </c>
      <c r="L69" s="6">
        <v>36000</v>
      </c>
      <c r="M69" s="5">
        <v>42702</v>
      </c>
      <c r="N69" s="5">
        <v>-6702</v>
      </c>
      <c r="O69" s="6">
        <f t="shared" si="12"/>
        <v>32823</v>
      </c>
      <c r="P69" s="72">
        <f t="shared" si="11"/>
        <v>0.31433031353546187</v>
      </c>
      <c r="Q69" s="76" t="str">
        <f t="shared" si="5"/>
        <v xml:space="preserve"> </v>
      </c>
      <c r="R69" s="67" t="str">
        <f>IF($C$4="High Inventory",IF(AND(O69&gt;=Summary!$C$128,P69&gt;=Summary!$C$129),"X"," "),IF(AND(O69&lt;=-Summary!$C$128,P69&lt;=-Summary!$C$129),"X"," "))</f>
        <v>X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>X</v>
      </c>
      <c r="V69" t="str">
        <f t="shared" si="13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>X</v>
      </c>
    </row>
    <row r="70" spans="1:24" x14ac:dyDescent="0.2">
      <c r="A70" s="28">
        <v>7604</v>
      </c>
      <c r="B70" s="56" t="s">
        <v>27</v>
      </c>
      <c r="C70" s="6">
        <v>37647</v>
      </c>
      <c r="D70" s="5">
        <v>52772</v>
      </c>
      <c r="E70" s="5">
        <v>-15125</v>
      </c>
      <c r="F70" s="6">
        <v>45077</v>
      </c>
      <c r="G70" s="5">
        <v>45478</v>
      </c>
      <c r="H70" s="5">
        <v>-401</v>
      </c>
      <c r="I70" s="6">
        <v>44733</v>
      </c>
      <c r="J70" s="5">
        <v>43787</v>
      </c>
      <c r="K70" s="5">
        <v>946</v>
      </c>
      <c r="L70" s="6">
        <v>51390</v>
      </c>
      <c r="M70" s="5">
        <v>48046</v>
      </c>
      <c r="N70" s="5">
        <v>3344</v>
      </c>
      <c r="O70" s="6">
        <f t="shared" si="9"/>
        <v>-14580</v>
      </c>
      <c r="P70" s="72">
        <f t="shared" si="10"/>
        <v>-0.10264858699784565</v>
      </c>
      <c r="Q70" s="76" t="str">
        <f t="shared" si="5"/>
        <v xml:space="preserve"> </v>
      </c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13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7610</v>
      </c>
      <c r="B71" s="56" t="s">
        <v>27</v>
      </c>
      <c r="C71" s="6">
        <v>0</v>
      </c>
      <c r="D71" s="5">
        <v>202</v>
      </c>
      <c r="E71" s="5">
        <v>-202</v>
      </c>
      <c r="F71" s="6">
        <v>0</v>
      </c>
      <c r="G71" s="5">
        <v>188</v>
      </c>
      <c r="H71" s="5">
        <v>-188</v>
      </c>
      <c r="I71" s="6">
        <v>0</v>
      </c>
      <c r="J71" s="5">
        <v>179</v>
      </c>
      <c r="K71" s="5">
        <v>-179</v>
      </c>
      <c r="L71" s="6">
        <v>0</v>
      </c>
      <c r="M71" s="5">
        <v>140</v>
      </c>
      <c r="N71" s="5">
        <v>-140</v>
      </c>
      <c r="O71" s="6">
        <f>K71+H71+E71</f>
        <v>-569</v>
      </c>
      <c r="P71" s="72">
        <f t="shared" ref="P71:P77" si="14">O71/(J71+G71+D71+1)</f>
        <v>-0.99824561403508771</v>
      </c>
      <c r="Q71" s="76" t="str">
        <f t="shared" si="5"/>
        <v xml:space="preserve"> </v>
      </c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13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>K72+H72+E72</f>
        <v>0</v>
      </c>
      <c r="P72" s="72">
        <f t="shared" si="14"/>
        <v>0</v>
      </c>
      <c r="Q72" s="76" t="str">
        <f t="shared" si="5"/>
        <v xml:space="preserve"> </v>
      </c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13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12"/>
        <v>0</v>
      </c>
      <c r="P73" s="72">
        <f t="shared" si="14"/>
        <v>0</v>
      </c>
      <c r="Q73" s="76" t="str">
        <f t="shared" si="5"/>
        <v xml:space="preserve"> </v>
      </c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13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ref="O74:O85" si="15">K74+H74+E74</f>
        <v>0</v>
      </c>
      <c r="P74" s="72">
        <f t="shared" si="14"/>
        <v>0</v>
      </c>
      <c r="Q74" s="76" t="str">
        <f t="shared" si="5"/>
        <v xml:space="preserve"> </v>
      </c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13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15"/>
        <v>0</v>
      </c>
      <c r="P75" s="72">
        <f t="shared" si="14"/>
        <v>0</v>
      </c>
      <c r="Q75" s="76" t="str">
        <f t="shared" si="5"/>
        <v xml:space="preserve"> </v>
      </c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13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15"/>
        <v>0</v>
      </c>
      <c r="P76" s="72">
        <f t="shared" si="14"/>
        <v>0</v>
      </c>
      <c r="Q76" s="76" t="str">
        <f t="shared" si="5"/>
        <v xml:space="preserve"> </v>
      </c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13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13636</v>
      </c>
      <c r="B77" s="56" t="s">
        <v>27</v>
      </c>
      <c r="C77" s="6">
        <v>105</v>
      </c>
      <c r="D77" s="5">
        <v>0</v>
      </c>
      <c r="E77" s="5">
        <v>105</v>
      </c>
      <c r="F77" s="6">
        <v>105</v>
      </c>
      <c r="G77" s="5">
        <v>0</v>
      </c>
      <c r="H77" s="5">
        <v>105</v>
      </c>
      <c r="I77" s="6">
        <v>104</v>
      </c>
      <c r="J77" s="5">
        <v>0</v>
      </c>
      <c r="K77" s="5">
        <v>104</v>
      </c>
      <c r="L77" s="6">
        <v>83</v>
      </c>
      <c r="M77" s="5">
        <v>0</v>
      </c>
      <c r="N77" s="5">
        <v>83</v>
      </c>
      <c r="O77" s="6">
        <f t="shared" si="15"/>
        <v>314</v>
      </c>
      <c r="P77" s="72">
        <f t="shared" si="14"/>
        <v>314</v>
      </c>
      <c r="Q77" s="76" t="str">
        <f t="shared" si="5"/>
        <v xml:space="preserve"> </v>
      </c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si="13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15"/>
        <v>0</v>
      </c>
      <c r="P78" s="72">
        <f t="shared" ref="P78:P85" si="16">O78/(J78+G78+D78+1)</f>
        <v>0</v>
      </c>
      <c r="Q78" s="76" t="str">
        <f t="shared" si="5"/>
        <v xml:space="preserve"> </v>
      </c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13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15"/>
        <v>0</v>
      </c>
      <c r="P79" s="72">
        <f t="shared" si="16"/>
        <v>0</v>
      </c>
      <c r="Q79" s="76" t="str">
        <f t="shared" si="5"/>
        <v xml:space="preserve"> </v>
      </c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13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30049</v>
      </c>
      <c r="B80" s="56" t="s">
        <v>27</v>
      </c>
      <c r="C80" s="6">
        <v>0</v>
      </c>
      <c r="D80" s="5">
        <v>3</v>
      </c>
      <c r="E80" s="5">
        <v>-3</v>
      </c>
      <c r="F80" s="6">
        <v>0</v>
      </c>
      <c r="G80" s="5">
        <v>0</v>
      </c>
      <c r="H80" s="5">
        <v>0</v>
      </c>
      <c r="I80" s="6">
        <v>0</v>
      </c>
      <c r="J80" s="5">
        <v>6</v>
      </c>
      <c r="K80" s="5">
        <v>-6</v>
      </c>
      <c r="L80" s="6">
        <v>0</v>
      </c>
      <c r="M80" s="5">
        <v>8</v>
      </c>
      <c r="N80" s="5">
        <v>-8</v>
      </c>
      <c r="O80" s="6">
        <f t="shared" si="15"/>
        <v>-9</v>
      </c>
      <c r="P80" s="72">
        <f t="shared" si="16"/>
        <v>-0.9</v>
      </c>
      <c r="Q80" s="76" t="str">
        <f t="shared" si="5"/>
        <v xml:space="preserve"> </v>
      </c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13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1</v>
      </c>
      <c r="N81" s="5">
        <v>-1</v>
      </c>
      <c r="O81" s="6">
        <f t="shared" si="15"/>
        <v>0</v>
      </c>
      <c r="P81" s="72">
        <f t="shared" si="16"/>
        <v>0</v>
      </c>
      <c r="Q81" s="76" t="str">
        <f t="shared" si="5"/>
        <v xml:space="preserve"> </v>
      </c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13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15"/>
        <v>0</v>
      </c>
      <c r="P82" s="72">
        <f t="shared" si="16"/>
        <v>0</v>
      </c>
      <c r="Q82" s="76" t="str">
        <f t="shared" si="5"/>
        <v xml:space="preserve"> </v>
      </c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13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15"/>
        <v>0</v>
      </c>
      <c r="P83" s="72">
        <f t="shared" si="16"/>
        <v>0</v>
      </c>
      <c r="Q83" s="76" t="str">
        <f t="shared" si="5"/>
        <v xml:space="preserve"> </v>
      </c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13"/>
        <v xml:space="preserve"> </v>
      </c>
      <c r="W83" t="str">
        <f>IF($C$4="High Inventory",IF(O83&gt;Summary!$E$5,"X"," "),IF(O83&lt;-Summary!$E$5,"X"," "))</f>
        <v xml:space="preserve"> </v>
      </c>
    </row>
    <row r="84" spans="1:42" x14ac:dyDescent="0.2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15"/>
        <v>0</v>
      </c>
      <c r="P84" s="72">
        <f t="shared" si="16"/>
        <v>0</v>
      </c>
      <c r="Q84" s="76" t="str">
        <f t="shared" si="5"/>
        <v xml:space="preserve"> </v>
      </c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13"/>
        <v xml:space="preserve"> </v>
      </c>
    </row>
    <row r="85" spans="1:42" ht="13.5" thickBot="1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15"/>
        <v>0</v>
      </c>
      <c r="P85" s="72">
        <f t="shared" si="16"/>
        <v>0</v>
      </c>
      <c r="Q85" s="91" t="str">
        <f t="shared" si="5"/>
        <v xml:space="preserve"> </v>
      </c>
      <c r="R85" s="92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13"/>
        <v xml:space="preserve"> </v>
      </c>
    </row>
    <row r="86" spans="1:42" s="3" customFormat="1" x14ac:dyDescent="0.2">
      <c r="A86" s="2" t="s">
        <v>28</v>
      </c>
      <c r="B86" s="2"/>
      <c r="E86" s="3">
        <f>SUM(E10:E85)</f>
        <v>153174</v>
      </c>
      <c r="H86" s="3">
        <f>SUM(H11:H85)</f>
        <v>522546</v>
      </c>
      <c r="K86" s="3">
        <f>SUM(K11:K85)</f>
        <v>-44593</v>
      </c>
      <c r="M86" s="3">
        <f>SUM(M11:M85)</f>
        <v>1791979</v>
      </c>
      <c r="N86" s="3">
        <f>SUM(N11:N85)</f>
        <v>91084</v>
      </c>
      <c r="O86" s="3">
        <f>SUM(O11:O85)</f>
        <v>631127</v>
      </c>
      <c r="P86" s="12"/>
      <c r="Q86" s="2">
        <f>COUNTIF(Q10:Q85,"X")</f>
        <v>5</v>
      </c>
      <c r="R86" s="2">
        <f>COUNTIF(R10:R85,"X")</f>
        <v>10</v>
      </c>
      <c r="S86" s="2">
        <f>COUNTIF(S10:S85,"X")</f>
        <v>5</v>
      </c>
      <c r="T86" s="2">
        <f>COUNTIF(T10:T85,"X")</f>
        <v>12</v>
      </c>
      <c r="U86" s="2">
        <f>COUNTIF(U10:U85,"X")</f>
        <v>18</v>
      </c>
      <c r="V86" t="e">
        <f>SUM(V$53:V$78)+SUM(V$28:V$49)+SUM(V$10:V$26)</f>
        <v>#VALUE!</v>
      </c>
      <c r="W86" s="2">
        <f>COUNTIF(W10:W85,"X")</f>
        <v>12</v>
      </c>
      <c r="X86" s="2">
        <f>COUNTIF(X10:X85,"X")</f>
        <v>18</v>
      </c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">
      <c r="M87" s="89" t="s">
        <v>56</v>
      </c>
      <c r="N87" s="90">
        <f>N86/M86</f>
        <v>5.0828720649070104E-2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7" sqref="B7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36715</v>
      </c>
      <c r="D3" s="9"/>
    </row>
    <row r="4" spans="1:42" ht="15.75" x14ac:dyDescent="0.25">
      <c r="A4" s="58" t="s">
        <v>36</v>
      </c>
      <c r="C4" s="4" t="s">
        <v>37</v>
      </c>
      <c r="E4" s="97" t="s">
        <v>38</v>
      </c>
      <c r="G4" s="4" t="s">
        <v>65</v>
      </c>
    </row>
    <row r="5" spans="1:42" ht="16.5" thickBot="1" x14ac:dyDescent="0.3">
      <c r="A5" s="58" t="s">
        <v>39</v>
      </c>
      <c r="C5" s="4" t="s">
        <v>40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36712</v>
      </c>
      <c r="D8" s="180"/>
      <c r="E8" s="181" t="str">
        <f>TEXT(WEEKDAY(C8),"dddd")</f>
        <v>Wednesday</v>
      </c>
      <c r="F8" s="182">
        <f>F9</f>
        <v>36713</v>
      </c>
      <c r="G8" s="180"/>
      <c r="H8" s="181" t="str">
        <f>TEXT(WEEKDAY(F8),"dddd")</f>
        <v>Thursday</v>
      </c>
      <c r="I8" s="182">
        <f>I9</f>
        <v>36714</v>
      </c>
      <c r="J8" s="180"/>
      <c r="K8" s="181" t="str">
        <f>TEXT(WEEKDAY(I8),"dddd")</f>
        <v>Friday</v>
      </c>
      <c r="L8" s="182">
        <f>L9</f>
        <v>36715</v>
      </c>
      <c r="M8" s="180"/>
      <c r="N8" s="181" t="str">
        <f>TEXT(WEEKDAY(L8),"dddd")</f>
        <v>Saturday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2.75" hidden="1" x14ac:dyDescent="0.2">
      <c r="A9" s="28"/>
      <c r="B9" s="56"/>
      <c r="C9" s="155">
        <v>36712</v>
      </c>
      <c r="D9" s="157">
        <v>36712</v>
      </c>
      <c r="E9" s="157">
        <v>36712</v>
      </c>
      <c r="F9" s="158">
        <v>36713</v>
      </c>
      <c r="G9" s="157">
        <v>36713</v>
      </c>
      <c r="H9" s="157">
        <v>36713</v>
      </c>
      <c r="I9" s="158">
        <v>36714</v>
      </c>
      <c r="J9" s="157">
        <v>36714</v>
      </c>
      <c r="K9" s="157">
        <v>36714</v>
      </c>
      <c r="L9" s="158">
        <v>36715</v>
      </c>
      <c r="M9" s="157">
        <v>36715</v>
      </c>
      <c r="N9" s="157">
        <v>36715</v>
      </c>
      <c r="O9" s="6">
        <f t="shared" ref="O9:O36" si="0">K9+H9+E9</f>
        <v>110139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0</v>
      </c>
      <c r="D11" s="5">
        <v>201</v>
      </c>
      <c r="E11" s="5">
        <v>-201</v>
      </c>
      <c r="F11" s="6">
        <v>167</v>
      </c>
      <c r="G11" s="5">
        <v>215</v>
      </c>
      <c r="H11" s="5">
        <v>-48</v>
      </c>
      <c r="I11" s="6">
        <v>0</v>
      </c>
      <c r="J11" s="5">
        <v>205</v>
      </c>
      <c r="K11" s="5">
        <v>-205</v>
      </c>
      <c r="L11" s="6">
        <v>0</v>
      </c>
      <c r="M11" s="5">
        <v>167</v>
      </c>
      <c r="N11" s="5">
        <v>-167</v>
      </c>
      <c r="O11" s="6">
        <f t="shared" si="0"/>
        <v>-454</v>
      </c>
      <c r="P11" s="72">
        <f t="shared" si="1"/>
        <v>-0.729903536977492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237</v>
      </c>
      <c r="E12" s="5">
        <v>-237</v>
      </c>
      <c r="F12" s="6">
        <v>0</v>
      </c>
      <c r="G12" s="5">
        <v>238</v>
      </c>
      <c r="H12" s="5">
        <v>-238</v>
      </c>
      <c r="I12" s="6">
        <v>0</v>
      </c>
      <c r="J12" s="5">
        <v>224</v>
      </c>
      <c r="K12" s="5">
        <v>-224</v>
      </c>
      <c r="L12" s="6">
        <v>0</v>
      </c>
      <c r="M12" s="5">
        <v>178</v>
      </c>
      <c r="N12" s="5">
        <v>-178</v>
      </c>
      <c r="O12" s="6">
        <f t="shared" si="0"/>
        <v>-699</v>
      </c>
      <c r="P12" s="72">
        <f t="shared" si="1"/>
        <v>-0.99857142857142855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135</v>
      </c>
      <c r="E13" s="5">
        <v>-35</v>
      </c>
      <c r="F13" s="6">
        <v>100</v>
      </c>
      <c r="G13" s="5">
        <v>128</v>
      </c>
      <c r="H13" s="5">
        <v>-28</v>
      </c>
      <c r="I13" s="6">
        <v>100</v>
      </c>
      <c r="J13" s="5">
        <v>120</v>
      </c>
      <c r="K13" s="5">
        <v>-20</v>
      </c>
      <c r="L13" s="6">
        <v>100</v>
      </c>
      <c r="M13" s="5">
        <v>93</v>
      </c>
      <c r="N13" s="5">
        <v>7</v>
      </c>
      <c r="O13" s="6">
        <f t="shared" si="0"/>
        <v>-83</v>
      </c>
      <c r="P13" s="72">
        <f t="shared" si="1"/>
        <v>-0.21614583333333334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965</v>
      </c>
      <c r="D14" s="5">
        <v>965</v>
      </c>
      <c r="E14" s="5">
        <v>0</v>
      </c>
      <c r="F14" s="6">
        <v>1171</v>
      </c>
      <c r="G14" s="5">
        <v>1003</v>
      </c>
      <c r="H14" s="5">
        <v>168</v>
      </c>
      <c r="I14" s="6">
        <v>939</v>
      </c>
      <c r="J14" s="5">
        <v>939</v>
      </c>
      <c r="K14" s="5">
        <v>0</v>
      </c>
      <c r="L14" s="6">
        <v>739</v>
      </c>
      <c r="M14" s="5">
        <v>740</v>
      </c>
      <c r="N14" s="5">
        <v>-1</v>
      </c>
      <c r="O14" s="6">
        <f t="shared" si="0"/>
        <v>168</v>
      </c>
      <c r="P14" s="72">
        <f t="shared" si="1"/>
        <v>5.7771664374140302E-2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782</v>
      </c>
      <c r="D15" s="5">
        <v>837</v>
      </c>
      <c r="E15" s="5">
        <v>-55</v>
      </c>
      <c r="F15" s="6">
        <v>782</v>
      </c>
      <c r="G15" s="5">
        <v>896</v>
      </c>
      <c r="H15" s="5">
        <v>-114</v>
      </c>
      <c r="I15" s="6">
        <v>782</v>
      </c>
      <c r="J15" s="5">
        <v>843</v>
      </c>
      <c r="K15" s="5">
        <v>-61</v>
      </c>
      <c r="L15" s="6">
        <v>782</v>
      </c>
      <c r="M15" s="5">
        <v>698</v>
      </c>
      <c r="N15" s="5">
        <v>84</v>
      </c>
      <c r="O15" s="6">
        <f t="shared" si="0"/>
        <v>-230</v>
      </c>
      <c r="P15" s="72">
        <f t="shared" si="1"/>
        <v>-8.9251067132324405E-2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">
      <c r="A16" s="28">
        <v>2584</v>
      </c>
      <c r="B16" s="56" t="s">
        <v>25</v>
      </c>
      <c r="C16" s="6">
        <v>2786</v>
      </c>
      <c r="D16" s="5">
        <v>2787</v>
      </c>
      <c r="E16" s="5">
        <v>-1</v>
      </c>
      <c r="F16" s="6">
        <v>2550</v>
      </c>
      <c r="G16" s="5">
        <v>3009</v>
      </c>
      <c r="H16" s="5">
        <v>-459</v>
      </c>
      <c r="I16" s="6">
        <v>2823</v>
      </c>
      <c r="J16" s="5">
        <v>2823</v>
      </c>
      <c r="K16" s="5">
        <v>0</v>
      </c>
      <c r="L16" s="6">
        <v>2317</v>
      </c>
      <c r="M16" s="5">
        <v>2317</v>
      </c>
      <c r="N16" s="5">
        <v>0</v>
      </c>
      <c r="O16" s="6">
        <f t="shared" si="0"/>
        <v>-460</v>
      </c>
      <c r="P16" s="72">
        <f t="shared" si="1"/>
        <v>-5.336426914153132E-2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5466</v>
      </c>
      <c r="D17" s="5">
        <v>5686</v>
      </c>
      <c r="E17" s="5">
        <v>-220</v>
      </c>
      <c r="F17" s="6">
        <v>141157</v>
      </c>
      <c r="G17" s="5">
        <v>6067</v>
      </c>
      <c r="H17" s="5">
        <v>135090</v>
      </c>
      <c r="I17" s="6">
        <v>5492</v>
      </c>
      <c r="J17" s="5">
        <v>5713</v>
      </c>
      <c r="K17" s="5">
        <v>-221</v>
      </c>
      <c r="L17" s="6">
        <v>4493</v>
      </c>
      <c r="M17" s="5">
        <v>4674</v>
      </c>
      <c r="N17" s="5">
        <v>-181</v>
      </c>
      <c r="O17" s="6">
        <f t="shared" si="0"/>
        <v>134649</v>
      </c>
      <c r="P17" s="72">
        <f t="shared" si="1"/>
        <v>7.7087650999026733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">
      <c r="A18" s="28">
        <v>2832</v>
      </c>
      <c r="B18" s="56" t="s">
        <v>25</v>
      </c>
      <c r="C18" s="6">
        <v>872</v>
      </c>
      <c r="D18" s="5">
        <v>907</v>
      </c>
      <c r="E18" s="5">
        <v>-35</v>
      </c>
      <c r="F18" s="6">
        <v>800</v>
      </c>
      <c r="G18" s="5">
        <v>977</v>
      </c>
      <c r="H18" s="5">
        <v>-177</v>
      </c>
      <c r="I18" s="6">
        <v>877</v>
      </c>
      <c r="J18" s="5">
        <v>912</v>
      </c>
      <c r="K18" s="5">
        <v>-35</v>
      </c>
      <c r="L18" s="6">
        <v>704</v>
      </c>
      <c r="M18" s="5">
        <v>732</v>
      </c>
      <c r="N18" s="5">
        <v>-28</v>
      </c>
      <c r="O18" s="6">
        <f t="shared" si="0"/>
        <v>-247</v>
      </c>
      <c r="P18" s="72">
        <f t="shared" si="1"/>
        <v>-8.8308902395423675E-2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4224</v>
      </c>
      <c r="D19" s="5">
        <v>4368</v>
      </c>
      <c r="E19" s="5">
        <v>-144</v>
      </c>
      <c r="F19" s="6">
        <v>4224</v>
      </c>
      <c r="G19" s="5">
        <v>4728</v>
      </c>
      <c r="H19" s="5">
        <v>-504</v>
      </c>
      <c r="I19" s="6">
        <v>3649</v>
      </c>
      <c r="J19" s="5">
        <v>4435</v>
      </c>
      <c r="K19" s="5">
        <v>-786</v>
      </c>
      <c r="L19" s="6">
        <v>3224</v>
      </c>
      <c r="M19" s="5">
        <v>3628</v>
      </c>
      <c r="N19" s="5">
        <v>-404</v>
      </c>
      <c r="O19" s="6">
        <f t="shared" si="0"/>
        <v>-1434</v>
      </c>
      <c r="P19" s="72">
        <f t="shared" si="1"/>
        <v>-0.10597103162873189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1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3152</v>
      </c>
      <c r="B21" s="56" t="s">
        <v>25</v>
      </c>
      <c r="C21" s="6">
        <v>3250</v>
      </c>
      <c r="D21" s="5">
        <v>3251</v>
      </c>
      <c r="E21" s="5">
        <v>-1</v>
      </c>
      <c r="F21" s="6">
        <v>4816</v>
      </c>
      <c r="G21" s="5">
        <v>3336</v>
      </c>
      <c r="H21" s="5">
        <v>1480</v>
      </c>
      <c r="I21" s="6">
        <v>3146</v>
      </c>
      <c r="J21" s="5">
        <v>3147</v>
      </c>
      <c r="K21" s="5">
        <v>-1</v>
      </c>
      <c r="L21" s="6">
        <v>2438</v>
      </c>
      <c r="M21" s="5">
        <v>2437</v>
      </c>
      <c r="N21" s="5">
        <v>1</v>
      </c>
      <c r="O21" s="6">
        <f t="shared" si="0"/>
        <v>1478</v>
      </c>
      <c r="P21" s="72">
        <f t="shared" si="1"/>
        <v>0.15182331792501283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">
      <c r="A22" s="28">
        <v>4303</v>
      </c>
      <c r="B22" s="56" t="s">
        <v>25</v>
      </c>
      <c r="C22" s="6">
        <v>2340</v>
      </c>
      <c r="D22" s="5">
        <v>2319</v>
      </c>
      <c r="E22" s="5">
        <v>21</v>
      </c>
      <c r="F22" s="6">
        <v>2256</v>
      </c>
      <c r="G22" s="5">
        <v>2450</v>
      </c>
      <c r="H22" s="5">
        <v>-194</v>
      </c>
      <c r="I22" s="6">
        <v>2329</v>
      </c>
      <c r="J22" s="5">
        <v>2307</v>
      </c>
      <c r="K22" s="5">
        <v>22</v>
      </c>
      <c r="L22" s="6">
        <v>1902</v>
      </c>
      <c r="M22" s="5">
        <v>1885</v>
      </c>
      <c r="N22" s="5">
        <v>17</v>
      </c>
      <c r="O22" s="6">
        <f t="shared" si="0"/>
        <v>-151</v>
      </c>
      <c r="P22" s="72">
        <f t="shared" si="1"/>
        <v>-2.1336724600819555E-2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6500</v>
      </c>
      <c r="B23" s="56" t="s">
        <v>25</v>
      </c>
      <c r="C23" s="6">
        <v>441720</v>
      </c>
      <c r="D23" s="5">
        <v>443251</v>
      </c>
      <c r="E23" s="5">
        <v>-1531</v>
      </c>
      <c r="F23" s="6">
        <v>477576</v>
      </c>
      <c r="G23" s="5">
        <v>463737</v>
      </c>
      <c r="H23" s="5">
        <v>13839</v>
      </c>
      <c r="I23" s="6">
        <v>437230</v>
      </c>
      <c r="J23" s="5">
        <v>433811</v>
      </c>
      <c r="K23" s="5">
        <v>3419</v>
      </c>
      <c r="L23" s="6">
        <v>339932</v>
      </c>
      <c r="M23" s="5">
        <v>337675</v>
      </c>
      <c r="N23" s="5">
        <v>2257</v>
      </c>
      <c r="O23" s="6">
        <f t="shared" si="0"/>
        <v>15727</v>
      </c>
      <c r="P23" s="72">
        <f t="shared" si="1"/>
        <v>1.1729564439140812E-2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10656</v>
      </c>
      <c r="B24" s="56" t="s">
        <v>25</v>
      </c>
      <c r="C24" s="6">
        <v>0</v>
      </c>
      <c r="D24" s="5">
        <v>262</v>
      </c>
      <c r="E24" s="5">
        <v>-262</v>
      </c>
      <c r="F24" s="6">
        <v>231</v>
      </c>
      <c r="G24" s="5">
        <v>229</v>
      </c>
      <c r="H24" s="5">
        <v>2</v>
      </c>
      <c r="I24" s="6">
        <v>0</v>
      </c>
      <c r="J24" s="5">
        <v>214</v>
      </c>
      <c r="K24" s="5">
        <v>-214</v>
      </c>
      <c r="L24" s="6">
        <v>0</v>
      </c>
      <c r="M24" s="5">
        <v>155</v>
      </c>
      <c r="N24" s="5">
        <v>-155</v>
      </c>
      <c r="O24" s="6">
        <f t="shared" si="0"/>
        <v>-474</v>
      </c>
      <c r="P24" s="72">
        <f t="shared" si="1"/>
        <v>-0.67138810198300281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12296</v>
      </c>
      <c r="B25" s="56" t="s">
        <v>25</v>
      </c>
      <c r="C25" s="6">
        <v>2730</v>
      </c>
      <c r="D25" s="5">
        <v>2712</v>
      </c>
      <c r="E25" s="5">
        <v>18</v>
      </c>
      <c r="F25" s="6">
        <v>2774</v>
      </c>
      <c r="G25" s="5">
        <v>2944</v>
      </c>
      <c r="H25" s="5">
        <v>-170</v>
      </c>
      <c r="I25" s="6">
        <v>2774</v>
      </c>
      <c r="J25" s="5">
        <v>2772</v>
      </c>
      <c r="K25" s="5">
        <v>2</v>
      </c>
      <c r="L25" s="6">
        <v>2314</v>
      </c>
      <c r="M25" s="5">
        <v>2297</v>
      </c>
      <c r="N25" s="5">
        <v>17</v>
      </c>
      <c r="O25" s="6">
        <f t="shared" si="0"/>
        <v>-150</v>
      </c>
      <c r="P25" s="72">
        <f t="shared" si="1"/>
        <v>-1.779570530312018E-2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16786</v>
      </c>
      <c r="B26" s="56" t="s">
        <v>25</v>
      </c>
      <c r="C26" s="6">
        <v>3106</v>
      </c>
      <c r="D26" s="5">
        <v>3490</v>
      </c>
      <c r="E26" s="5">
        <v>-384</v>
      </c>
      <c r="F26" s="6">
        <v>0</v>
      </c>
      <c r="G26" s="5">
        <v>3665</v>
      </c>
      <c r="H26" s="5">
        <v>-3665</v>
      </c>
      <c r="I26" s="6">
        <v>0</v>
      </c>
      <c r="J26" s="5">
        <v>3445</v>
      </c>
      <c r="K26" s="5">
        <v>-3445</v>
      </c>
      <c r="L26" s="6">
        <v>2604</v>
      </c>
      <c r="M26" s="5">
        <v>2761</v>
      </c>
      <c r="N26" s="5">
        <v>-157</v>
      </c>
      <c r="O26" s="6">
        <f t="shared" si="0"/>
        <v>-7494</v>
      </c>
      <c r="P26" s="72">
        <f t="shared" si="1"/>
        <v>-0.70691444203377041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17791</v>
      </c>
      <c r="B27" s="56" t="s">
        <v>25</v>
      </c>
      <c r="C27" s="6">
        <v>184</v>
      </c>
      <c r="D27" s="5">
        <v>184</v>
      </c>
      <c r="E27" s="5">
        <v>0</v>
      </c>
      <c r="F27" s="6">
        <v>200</v>
      </c>
      <c r="G27" s="5">
        <v>176</v>
      </c>
      <c r="H27" s="5">
        <v>24</v>
      </c>
      <c r="I27" s="6">
        <v>165</v>
      </c>
      <c r="J27" s="5">
        <v>165</v>
      </c>
      <c r="K27" s="5">
        <v>0</v>
      </c>
      <c r="L27" s="6">
        <v>128</v>
      </c>
      <c r="M27" s="5">
        <v>128</v>
      </c>
      <c r="N27" s="5">
        <v>0</v>
      </c>
      <c r="O27" s="6">
        <f t="shared" si="0"/>
        <v>24</v>
      </c>
      <c r="P27" s="72">
        <f t="shared" si="1"/>
        <v>4.5627376425855515E-2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">
      <c r="A28" s="28">
        <v>1117</v>
      </c>
      <c r="B28" s="56" t="s">
        <v>26</v>
      </c>
      <c r="C28" s="6">
        <v>57358</v>
      </c>
      <c r="D28" s="5">
        <v>67186</v>
      </c>
      <c r="E28" s="5">
        <v>-9828</v>
      </c>
      <c r="F28" s="6">
        <v>120830</v>
      </c>
      <c r="G28" s="5">
        <v>69204</v>
      </c>
      <c r="H28" s="5">
        <v>51626</v>
      </c>
      <c r="I28" s="6">
        <v>66379</v>
      </c>
      <c r="J28" s="5">
        <v>67720</v>
      </c>
      <c r="K28" s="5">
        <v>-1341</v>
      </c>
      <c r="L28" s="6">
        <v>65508</v>
      </c>
      <c r="M28" s="5">
        <v>56655</v>
      </c>
      <c r="N28" s="5">
        <v>8853</v>
      </c>
      <c r="O28" s="6">
        <f t="shared" si="0"/>
        <v>40457</v>
      </c>
      <c r="P28" s="72">
        <f t="shared" si="1"/>
        <v>0.19821077746912219</v>
      </c>
      <c r="Q28" s="76"/>
      <c r="R28" s="67" t="str">
        <f>IF($C$4="High Inventory",IF(AND(O28&gt;=Summary!$C$128,P28&gt;=Summary!$C$129),"X"," "),IF(AND(O28&lt;=-Summary!$C$128,P28&lt;=-Summary!$C$129),"X"," "))</f>
        <v>X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">
      <c r="A29" s="28">
        <v>1126</v>
      </c>
      <c r="B29" s="56" t="s">
        <v>26</v>
      </c>
      <c r="C29" s="6">
        <v>27209</v>
      </c>
      <c r="D29" s="5">
        <v>29283</v>
      </c>
      <c r="E29" s="5">
        <v>-2074</v>
      </c>
      <c r="F29" s="6">
        <v>56256</v>
      </c>
      <c r="G29" s="5">
        <v>29794</v>
      </c>
      <c r="H29" s="5">
        <v>26462</v>
      </c>
      <c r="I29" s="6">
        <v>27209</v>
      </c>
      <c r="J29" s="5">
        <v>28315</v>
      </c>
      <c r="K29" s="5">
        <v>-1106</v>
      </c>
      <c r="L29" s="6">
        <v>24909</v>
      </c>
      <c r="M29" s="5">
        <v>26871</v>
      </c>
      <c r="N29" s="5">
        <v>-1962</v>
      </c>
      <c r="O29" s="6">
        <f t="shared" si="0"/>
        <v>23282</v>
      </c>
      <c r="P29" s="72">
        <f t="shared" si="1"/>
        <v>0.26640577620633232</v>
      </c>
      <c r="Q29" s="76"/>
      <c r="R29" s="67" t="str">
        <f>IF($C$4="High Inventory",IF(AND(O29&gt;=Summary!$C$128,P29&gt;=Summary!$C$129),"X"," "),IF(AND(O29&lt;=-Summary!$C$128,P29&lt;=-Summary!$C$129),"X"," "))</f>
        <v>X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>X</v>
      </c>
      <c r="U29" s="11" t="str">
        <f>IF($C$4="High Inventory",IF(AND($O29&gt;=0,$P29&gt;=Summary!$C$129),"X"," "),IF(AND($O29&lt;=0,$P29&lt;=-Summary!$C$129),"X"," "))</f>
        <v>X</v>
      </c>
      <c r="V29" t="str">
        <f t="shared" si="2"/>
        <v xml:space="preserve"> </v>
      </c>
      <c r="W29" t="str">
        <f>IF($C$4="High Inventory",IF(O29&gt;Summary!$C$128,"X"," "),IF(O29&lt;-Summary!$C$128,"X"," "))</f>
        <v>X</v>
      </c>
      <c r="X29" t="str">
        <f>IF($C$4="High Inventory",IF(P29&gt;Summary!$C$129,"X"," "),IF(P29&lt;-Summary!$C$129,"X"," "))</f>
        <v>X</v>
      </c>
    </row>
    <row r="30" spans="1:24" x14ac:dyDescent="0.2">
      <c r="A30" s="28">
        <v>1157</v>
      </c>
      <c r="B30" s="56" t="s">
        <v>26</v>
      </c>
      <c r="C30" s="6">
        <v>114070</v>
      </c>
      <c r="D30" s="5">
        <v>113998</v>
      </c>
      <c r="E30" s="5">
        <v>72</v>
      </c>
      <c r="F30" s="6">
        <v>118397</v>
      </c>
      <c r="G30" s="5">
        <v>117648</v>
      </c>
      <c r="H30" s="5">
        <v>749</v>
      </c>
      <c r="I30" s="6">
        <v>114256</v>
      </c>
      <c r="J30" s="5">
        <v>118108</v>
      </c>
      <c r="K30" s="5">
        <v>-3852</v>
      </c>
      <c r="L30" s="6">
        <v>88377</v>
      </c>
      <c r="M30" s="5">
        <v>100474</v>
      </c>
      <c r="N30" s="5">
        <v>-12097</v>
      </c>
      <c r="O30" s="6">
        <f t="shared" si="0"/>
        <v>-3031</v>
      </c>
      <c r="P30" s="72">
        <f t="shared" si="1"/>
        <v>-8.6660662463724607E-3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1281</v>
      </c>
      <c r="B31" s="56" t="s">
        <v>26</v>
      </c>
      <c r="C31" s="6">
        <v>37058</v>
      </c>
      <c r="D31" s="5">
        <v>22160</v>
      </c>
      <c r="E31" s="5">
        <v>14898</v>
      </c>
      <c r="F31" s="6">
        <v>37443</v>
      </c>
      <c r="G31" s="5">
        <v>26878</v>
      </c>
      <c r="H31" s="5">
        <v>10565</v>
      </c>
      <c r="I31" s="6">
        <v>22971</v>
      </c>
      <c r="J31" s="5">
        <v>33184</v>
      </c>
      <c r="K31" s="5">
        <v>-10213</v>
      </c>
      <c r="L31" s="6">
        <v>52785</v>
      </c>
      <c r="M31" s="5">
        <v>29303</v>
      </c>
      <c r="N31" s="5">
        <v>23482</v>
      </c>
      <c r="O31" s="6">
        <f t="shared" si="0"/>
        <v>15250</v>
      </c>
      <c r="P31" s="72">
        <f t="shared" si="1"/>
        <v>0.18547121851550052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>X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>
        <f t="shared" si="2"/>
        <v>29814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5143</v>
      </c>
      <c r="D32" s="5">
        <v>6302</v>
      </c>
      <c r="E32" s="5">
        <v>-1159</v>
      </c>
      <c r="F32" s="6">
        <v>6821</v>
      </c>
      <c r="G32" s="5">
        <v>7086</v>
      </c>
      <c r="H32" s="5">
        <v>-265</v>
      </c>
      <c r="I32" s="6">
        <v>5759</v>
      </c>
      <c r="J32" s="5">
        <v>7203</v>
      </c>
      <c r="K32" s="5">
        <v>-1444</v>
      </c>
      <c r="L32" s="6">
        <v>5149</v>
      </c>
      <c r="M32" s="5">
        <v>5719</v>
      </c>
      <c r="N32" s="5">
        <v>-570</v>
      </c>
      <c r="O32" s="6">
        <f t="shared" si="0"/>
        <v>-2868</v>
      </c>
      <c r="P32" s="72">
        <f t="shared" si="1"/>
        <v>-0.13927738927738928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1377</v>
      </c>
      <c r="B33" s="56" t="s">
        <v>26</v>
      </c>
      <c r="C33" s="6">
        <v>90917</v>
      </c>
      <c r="D33" s="5">
        <v>111288</v>
      </c>
      <c r="E33" s="5">
        <v>-20371</v>
      </c>
      <c r="F33" s="6">
        <v>85187</v>
      </c>
      <c r="G33" s="5">
        <v>111837</v>
      </c>
      <c r="H33" s="5">
        <v>-26650</v>
      </c>
      <c r="I33" s="6">
        <v>100472</v>
      </c>
      <c r="J33" s="5">
        <v>112615</v>
      </c>
      <c r="K33" s="5">
        <v>-12143</v>
      </c>
      <c r="L33" s="6">
        <v>98878</v>
      </c>
      <c r="M33" s="5">
        <v>113318</v>
      </c>
      <c r="N33" s="5">
        <v>-14440</v>
      </c>
      <c r="O33" s="6">
        <f t="shared" si="0"/>
        <v>-59164</v>
      </c>
      <c r="P33" s="72">
        <f t="shared" si="1"/>
        <v>-0.17621916894272668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-3</v>
      </c>
      <c r="P34" s="72">
        <f t="shared" si="1"/>
        <v>-0.75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360606</v>
      </c>
      <c r="D35" s="5">
        <v>339688</v>
      </c>
      <c r="E35" s="5">
        <v>20918</v>
      </c>
      <c r="F35" s="6">
        <v>222561</v>
      </c>
      <c r="G35" s="5">
        <v>259883</v>
      </c>
      <c r="H35" s="5">
        <v>-37322</v>
      </c>
      <c r="I35" s="6">
        <v>214274</v>
      </c>
      <c r="J35" s="5">
        <v>246813</v>
      </c>
      <c r="K35" s="5">
        <v>-32539</v>
      </c>
      <c r="L35" s="6">
        <v>184157</v>
      </c>
      <c r="M35" s="5">
        <v>215535</v>
      </c>
      <c r="N35" s="5">
        <v>-31378</v>
      </c>
      <c r="O35" s="6">
        <f t="shared" si="0"/>
        <v>-48943</v>
      </c>
      <c r="P35" s="72">
        <f t="shared" si="1"/>
        <v>-5.7825930279955341E-2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1922</v>
      </c>
      <c r="B36" s="56" t="s">
        <v>26</v>
      </c>
      <c r="C36" s="6">
        <v>48675</v>
      </c>
      <c r="D36" s="5">
        <v>48848</v>
      </c>
      <c r="E36" s="5">
        <v>-173</v>
      </c>
      <c r="F36" s="6">
        <v>56930</v>
      </c>
      <c r="G36" s="5">
        <v>52643</v>
      </c>
      <c r="H36" s="5">
        <v>4287</v>
      </c>
      <c r="I36" s="6">
        <v>50962</v>
      </c>
      <c r="J36" s="5">
        <v>49312</v>
      </c>
      <c r="K36" s="5">
        <v>1650</v>
      </c>
      <c r="L36" s="6">
        <v>40342</v>
      </c>
      <c r="M36" s="5">
        <v>40316</v>
      </c>
      <c r="N36" s="5">
        <v>26</v>
      </c>
      <c r="O36" s="6">
        <f t="shared" si="0"/>
        <v>5764</v>
      </c>
      <c r="P36" s="72">
        <f t="shared" si="1"/>
        <v>3.8221797830296278E-2</v>
      </c>
      <c r="Q36" s="76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 xml:space="preserve"> </v>
      </c>
    </row>
    <row r="37" spans="1:24" x14ac:dyDescent="0.2">
      <c r="A37" s="28">
        <v>1928</v>
      </c>
      <c r="B37" s="56" t="s">
        <v>26</v>
      </c>
      <c r="C37" s="6">
        <v>14084</v>
      </c>
      <c r="D37" s="5">
        <v>16265</v>
      </c>
      <c r="E37" s="5">
        <v>-2181</v>
      </c>
      <c r="F37" s="6">
        <v>15084</v>
      </c>
      <c r="G37" s="5">
        <v>17007</v>
      </c>
      <c r="H37" s="5">
        <v>-1923</v>
      </c>
      <c r="I37" s="6">
        <v>13164</v>
      </c>
      <c r="J37" s="5">
        <v>18554</v>
      </c>
      <c r="K37" s="5">
        <v>-5390</v>
      </c>
      <c r="L37" s="6">
        <v>14084</v>
      </c>
      <c r="M37" s="5">
        <v>13907</v>
      </c>
      <c r="N37" s="5">
        <v>177</v>
      </c>
      <c r="O37" s="6">
        <f t="shared" ref="O37:O64" si="3">K37+H37+E37</f>
        <v>-9494</v>
      </c>
      <c r="P37" s="72">
        <f t="shared" si="1"/>
        <v>-0.18318637003878288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2056</v>
      </c>
      <c r="B38" s="56" t="s">
        <v>26</v>
      </c>
      <c r="C38" s="6">
        <v>56901</v>
      </c>
      <c r="D38" s="5">
        <v>62347</v>
      </c>
      <c r="E38" s="5">
        <v>-5446</v>
      </c>
      <c r="F38" s="6">
        <v>60881</v>
      </c>
      <c r="G38" s="5">
        <v>64570</v>
      </c>
      <c r="H38" s="5">
        <v>-3689</v>
      </c>
      <c r="I38" s="6">
        <v>60388</v>
      </c>
      <c r="J38" s="5">
        <v>64113</v>
      </c>
      <c r="K38" s="5">
        <v>-3725</v>
      </c>
      <c r="L38" s="6">
        <v>65488</v>
      </c>
      <c r="M38" s="5">
        <v>65182</v>
      </c>
      <c r="N38" s="5">
        <v>306</v>
      </c>
      <c r="O38" s="6">
        <f t="shared" si="3"/>
        <v>-12860</v>
      </c>
      <c r="P38" s="72">
        <f t="shared" ref="P38:P65" si="4">O38/(J38+G38+D38+1)</f>
        <v>-6.7318916825017935E-2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8032</v>
      </c>
      <c r="D39" s="5">
        <v>9436</v>
      </c>
      <c r="E39" s="5">
        <v>-1404</v>
      </c>
      <c r="F39" s="6">
        <v>10827</v>
      </c>
      <c r="G39" s="5">
        <v>10024</v>
      </c>
      <c r="H39" s="5">
        <v>803</v>
      </c>
      <c r="I39" s="6">
        <v>11566</v>
      </c>
      <c r="J39" s="5">
        <v>10839</v>
      </c>
      <c r="K39" s="5">
        <v>727</v>
      </c>
      <c r="L39" s="6">
        <v>15948</v>
      </c>
      <c r="M39" s="5">
        <v>7486</v>
      </c>
      <c r="N39" s="5">
        <v>8462</v>
      </c>
      <c r="O39" s="6">
        <f t="shared" si="3"/>
        <v>126</v>
      </c>
      <c r="P39" s="72">
        <f t="shared" si="4"/>
        <v>4.1584158415841586E-3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">
      <c r="A40" s="28">
        <v>2584</v>
      </c>
      <c r="B40" s="56" t="s">
        <v>26</v>
      </c>
      <c r="C40" s="6">
        <v>56298</v>
      </c>
      <c r="D40" s="5">
        <v>66073</v>
      </c>
      <c r="E40" s="5">
        <v>-9775</v>
      </c>
      <c r="F40" s="6">
        <v>59140</v>
      </c>
      <c r="G40" s="5">
        <v>70573</v>
      </c>
      <c r="H40" s="5">
        <v>-11433</v>
      </c>
      <c r="I40" s="6">
        <v>61670</v>
      </c>
      <c r="J40" s="5">
        <v>70908</v>
      </c>
      <c r="K40" s="5">
        <v>-9238</v>
      </c>
      <c r="L40" s="6">
        <v>54126</v>
      </c>
      <c r="M40" s="5">
        <v>57762</v>
      </c>
      <c r="N40" s="5">
        <v>-3636</v>
      </c>
      <c r="O40" s="6">
        <f t="shared" si="3"/>
        <v>-30446</v>
      </c>
      <c r="P40" s="72">
        <f t="shared" si="4"/>
        <v>-0.1466888294668883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 xml:space="preserve"> 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 xml:space="preserve"> 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30781</v>
      </c>
      <c r="D41" s="5">
        <v>44637</v>
      </c>
      <c r="E41" s="5">
        <v>-13856</v>
      </c>
      <c r="F41" s="6">
        <v>41</v>
      </c>
      <c r="G41" s="5">
        <v>49197</v>
      </c>
      <c r="H41" s="5">
        <v>-49156</v>
      </c>
      <c r="I41" s="6">
        <v>32534</v>
      </c>
      <c r="J41" s="5">
        <v>46717</v>
      </c>
      <c r="K41" s="5">
        <v>-14183</v>
      </c>
      <c r="L41" s="6">
        <v>34107</v>
      </c>
      <c r="M41" s="5">
        <v>37574</v>
      </c>
      <c r="N41" s="5">
        <v>-3467</v>
      </c>
      <c r="O41" s="6">
        <f t="shared" si="3"/>
        <v>-77195</v>
      </c>
      <c r="P41" s="72">
        <f t="shared" si="4"/>
        <v>-0.5492273322329102</v>
      </c>
      <c r="Q41" s="76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">
      <c r="A42" s="28">
        <v>2832</v>
      </c>
      <c r="B42" s="56" t="s">
        <v>26</v>
      </c>
      <c r="C42" s="6">
        <v>2729</v>
      </c>
      <c r="D42" s="5">
        <v>2670</v>
      </c>
      <c r="E42" s="5">
        <v>59</v>
      </c>
      <c r="F42" s="6">
        <v>5801</v>
      </c>
      <c r="G42" s="5">
        <v>4080</v>
      </c>
      <c r="H42" s="5">
        <v>1721</v>
      </c>
      <c r="I42" s="6">
        <v>1724</v>
      </c>
      <c r="J42" s="5">
        <v>4781</v>
      </c>
      <c r="K42" s="5">
        <v>-3057</v>
      </c>
      <c r="L42" s="6">
        <v>1897</v>
      </c>
      <c r="M42" s="5">
        <v>4372</v>
      </c>
      <c r="N42" s="5">
        <v>-2475</v>
      </c>
      <c r="O42" s="6">
        <f t="shared" si="3"/>
        <v>-1277</v>
      </c>
      <c r="P42" s="72">
        <f t="shared" si="4"/>
        <v>-0.11073534512660423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 xml:space="preserve"> 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 xml:space="preserve"> </v>
      </c>
    </row>
    <row r="43" spans="1:24" x14ac:dyDescent="0.2">
      <c r="A43" s="28">
        <v>2892</v>
      </c>
      <c r="B43" s="56" t="s">
        <v>26</v>
      </c>
      <c r="C43" s="6">
        <v>170</v>
      </c>
      <c r="D43" s="5">
        <v>188</v>
      </c>
      <c r="E43" s="5">
        <v>-18</v>
      </c>
      <c r="F43" s="6">
        <v>170</v>
      </c>
      <c r="G43" s="5">
        <v>191</v>
      </c>
      <c r="H43" s="5">
        <v>-21</v>
      </c>
      <c r="I43" s="6">
        <v>170</v>
      </c>
      <c r="J43" s="5">
        <v>193</v>
      </c>
      <c r="K43" s="5">
        <v>-23</v>
      </c>
      <c r="L43" s="6">
        <v>170</v>
      </c>
      <c r="M43" s="5">
        <v>202</v>
      </c>
      <c r="N43" s="5">
        <v>-32</v>
      </c>
      <c r="O43" s="6">
        <f t="shared" si="3"/>
        <v>-62</v>
      </c>
      <c r="P43" s="72">
        <f t="shared" si="4"/>
        <v>-0.10820244328097731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10368</v>
      </c>
      <c r="D44" s="5">
        <v>8968</v>
      </c>
      <c r="E44" s="5">
        <v>1400</v>
      </c>
      <c r="F44" s="6">
        <v>8070</v>
      </c>
      <c r="G44" s="5">
        <v>9284</v>
      </c>
      <c r="H44" s="5">
        <v>-1214</v>
      </c>
      <c r="I44" s="6">
        <v>6962</v>
      </c>
      <c r="J44" s="5">
        <v>9176</v>
      </c>
      <c r="K44" s="5">
        <v>-2214</v>
      </c>
      <c r="L44" s="6">
        <v>10368</v>
      </c>
      <c r="M44" s="5">
        <v>8469</v>
      </c>
      <c r="N44" s="5">
        <v>1899</v>
      </c>
      <c r="O44" s="6">
        <f t="shared" si="3"/>
        <v>-2028</v>
      </c>
      <c r="P44" s="72">
        <f t="shared" si="4"/>
        <v>-7.3936344744613372E-2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">
      <c r="A45" s="28">
        <v>4303</v>
      </c>
      <c r="B45" s="56" t="s">
        <v>26</v>
      </c>
      <c r="C45" s="6">
        <v>2314</v>
      </c>
      <c r="D45" s="5">
        <v>3123</v>
      </c>
      <c r="E45" s="5">
        <v>-809</v>
      </c>
      <c r="F45" s="6">
        <v>2827</v>
      </c>
      <c r="G45" s="5">
        <v>3137</v>
      </c>
      <c r="H45" s="5">
        <v>-310</v>
      </c>
      <c r="I45" s="6">
        <v>2326</v>
      </c>
      <c r="J45" s="5">
        <v>3159</v>
      </c>
      <c r="K45" s="5">
        <v>-833</v>
      </c>
      <c r="L45" s="6">
        <v>2753</v>
      </c>
      <c r="M45" s="5">
        <v>2168</v>
      </c>
      <c r="N45" s="5">
        <v>585</v>
      </c>
      <c r="O45" s="6">
        <f t="shared" si="3"/>
        <v>-1952</v>
      </c>
      <c r="P45" s="72">
        <f t="shared" si="4"/>
        <v>-0.20721868365180468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6852</v>
      </c>
      <c r="G46" s="5">
        <v>0</v>
      </c>
      <c r="H46" s="5">
        <v>6852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6852</v>
      </c>
      <c r="P46" s="72">
        <f t="shared" si="4"/>
        <v>6852</v>
      </c>
      <c r="Q46" s="8"/>
      <c r="R46" s="67" t="str">
        <f>IF($C$4="High Inventory",IF(AND(O46&gt;=Summary!$C$128,P46&gt;=Summary!$C$129),"X"," "),IF(AND(O46&lt;=-Summary!$C$128,P46&lt;=-Summary!$C$129),"X"," "))</f>
        <v>X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>X</v>
      </c>
      <c r="U46" s="11" t="str">
        <f>IF($C$4="High Inventory",IF(AND($O46&gt;=0,$P46&gt;=Summary!$C$129),"X"," "),IF(AND($O46&lt;=0,$P46&lt;=-Summary!$C$129),"X"," "))</f>
        <v>X</v>
      </c>
      <c r="V46" t="str">
        <f t="shared" si="5"/>
        <v xml:space="preserve"> </v>
      </c>
      <c r="W46" t="str">
        <f>IF($C$4="High Inventory",IF(O46&gt;Summary!$C$128,"X"," "),IF(O46&lt;-Summary!$C$128,"X"," "))</f>
        <v>X</v>
      </c>
      <c r="X46" t="str">
        <f>IF($C$4="High Inventory",IF(P46&gt;Summary!$C$129,"X"," "),IF(P46&lt;-Summary!$C$129,"X"," "))</f>
        <v>X</v>
      </c>
    </row>
    <row r="47" spans="1:24" x14ac:dyDescent="0.2">
      <c r="A47" s="28">
        <v>4760</v>
      </c>
      <c r="B47" s="56" t="s">
        <v>26</v>
      </c>
      <c r="C47" s="6">
        <v>198666</v>
      </c>
      <c r="D47" s="5">
        <v>201036</v>
      </c>
      <c r="E47" s="5">
        <v>-2370</v>
      </c>
      <c r="F47" s="6">
        <v>187072</v>
      </c>
      <c r="G47" s="5">
        <v>188026</v>
      </c>
      <c r="H47" s="5">
        <v>-954</v>
      </c>
      <c r="I47" s="6">
        <v>169283</v>
      </c>
      <c r="J47" s="5">
        <v>186918</v>
      </c>
      <c r="K47" s="5">
        <v>-17635</v>
      </c>
      <c r="L47" s="6">
        <v>136872</v>
      </c>
      <c r="M47" s="5">
        <v>157256</v>
      </c>
      <c r="N47" s="5">
        <v>-20384</v>
      </c>
      <c r="O47" s="6">
        <f t="shared" si="3"/>
        <v>-20959</v>
      </c>
      <c r="P47" s="72">
        <f t="shared" si="4"/>
        <v>-3.6388353088035889E-2</v>
      </c>
      <c r="Q47" s="8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6084</v>
      </c>
      <c r="B48" s="56" t="s">
        <v>26</v>
      </c>
      <c r="C48" s="6">
        <v>0</v>
      </c>
      <c r="D48" s="5">
        <v>14</v>
      </c>
      <c r="E48" s="5">
        <v>-14</v>
      </c>
      <c r="F48" s="6">
        <v>0</v>
      </c>
      <c r="G48" s="5">
        <v>8</v>
      </c>
      <c r="H48" s="5">
        <v>-8</v>
      </c>
      <c r="I48" s="6">
        <v>0</v>
      </c>
      <c r="J48" s="5">
        <v>5</v>
      </c>
      <c r="K48" s="5">
        <v>-5</v>
      </c>
      <c r="L48" s="6">
        <v>0</v>
      </c>
      <c r="M48" s="5">
        <v>0</v>
      </c>
      <c r="N48" s="5">
        <v>0</v>
      </c>
      <c r="O48" s="6">
        <f t="shared" si="3"/>
        <v>-27</v>
      </c>
      <c r="P48" s="72">
        <f t="shared" si="4"/>
        <v>-0.9642857142857143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12277</v>
      </c>
      <c r="E49" s="5">
        <v>-777</v>
      </c>
      <c r="F49" s="6">
        <v>11500</v>
      </c>
      <c r="G49" s="5">
        <v>11793</v>
      </c>
      <c r="H49" s="5">
        <v>-293</v>
      </c>
      <c r="I49" s="6">
        <v>11500</v>
      </c>
      <c r="J49" s="5">
        <v>11446</v>
      </c>
      <c r="K49" s="5">
        <v>54</v>
      </c>
      <c r="L49" s="6">
        <v>11500</v>
      </c>
      <c r="M49" s="5">
        <v>10878</v>
      </c>
      <c r="N49" s="5">
        <v>622</v>
      </c>
      <c r="O49" s="6">
        <f t="shared" si="3"/>
        <v>-1016</v>
      </c>
      <c r="P49" s="72">
        <f t="shared" si="4"/>
        <v>-2.8606019652560745E-2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27256</v>
      </c>
      <c r="D50" s="5">
        <v>30802</v>
      </c>
      <c r="E50" s="5">
        <v>-3546</v>
      </c>
      <c r="F50" s="6">
        <v>28373</v>
      </c>
      <c r="G50" s="5">
        <v>30746</v>
      </c>
      <c r="H50" s="5">
        <v>-2373</v>
      </c>
      <c r="I50" s="6">
        <v>29570</v>
      </c>
      <c r="J50" s="5">
        <v>29515</v>
      </c>
      <c r="K50" s="5">
        <v>55</v>
      </c>
      <c r="L50" s="6">
        <v>27977</v>
      </c>
      <c r="M50" s="5">
        <v>25470</v>
      </c>
      <c r="N50" s="5">
        <v>2507</v>
      </c>
      <c r="O50" s="6">
        <f t="shared" si="3"/>
        <v>-5864</v>
      </c>
      <c r="P50" s="72">
        <f t="shared" si="4"/>
        <v>-6.439427216023895E-2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46761</v>
      </c>
      <c r="D51" s="5">
        <v>50001</v>
      </c>
      <c r="E51" s="5">
        <v>-3240</v>
      </c>
      <c r="F51" s="6">
        <v>39284</v>
      </c>
      <c r="G51" s="5">
        <v>48462</v>
      </c>
      <c r="H51" s="5">
        <v>-9178</v>
      </c>
      <c r="I51" s="6">
        <v>58360</v>
      </c>
      <c r="J51" s="5">
        <v>57688</v>
      </c>
      <c r="K51" s="5">
        <v>672</v>
      </c>
      <c r="L51" s="6">
        <v>21156</v>
      </c>
      <c r="M51" s="5">
        <v>54545</v>
      </c>
      <c r="N51" s="5">
        <v>-33389</v>
      </c>
      <c r="O51" s="6">
        <f t="shared" si="3"/>
        <v>-11746</v>
      </c>
      <c r="P51" s="72">
        <f t="shared" si="4"/>
        <v>-7.5221578974332695E-2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30069</v>
      </c>
      <c r="B52" s="56" t="s">
        <v>26</v>
      </c>
      <c r="C52" s="6">
        <v>8728</v>
      </c>
      <c r="D52" s="5">
        <v>10268</v>
      </c>
      <c r="E52" s="5">
        <v>-1540</v>
      </c>
      <c r="F52" s="6">
        <v>2685</v>
      </c>
      <c r="G52" s="5">
        <v>10685</v>
      </c>
      <c r="H52" s="5">
        <v>-8000</v>
      </c>
      <c r="I52" s="6">
        <v>9950</v>
      </c>
      <c r="J52" s="5">
        <v>10276</v>
      </c>
      <c r="K52" s="5">
        <v>-326</v>
      </c>
      <c r="L52" s="6">
        <v>9950</v>
      </c>
      <c r="M52" s="5">
        <v>10118</v>
      </c>
      <c r="N52" s="5">
        <v>-168</v>
      </c>
      <c r="O52" s="6">
        <f t="shared" si="3"/>
        <v>-9866</v>
      </c>
      <c r="P52" s="72">
        <f t="shared" si="4"/>
        <v>-0.3159141850784502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10922</v>
      </c>
      <c r="D54" s="5">
        <v>8382</v>
      </c>
      <c r="E54" s="5">
        <v>2540</v>
      </c>
      <c r="F54" s="6">
        <v>10922</v>
      </c>
      <c r="G54" s="5">
        <v>9044</v>
      </c>
      <c r="H54" s="5">
        <v>1878</v>
      </c>
      <c r="I54" s="6">
        <v>10922</v>
      </c>
      <c r="J54" s="5">
        <v>8856</v>
      </c>
      <c r="K54" s="5">
        <v>2066</v>
      </c>
      <c r="L54" s="6">
        <v>10922</v>
      </c>
      <c r="M54" s="5">
        <v>6296</v>
      </c>
      <c r="N54" s="5">
        <v>4626</v>
      </c>
      <c r="O54" s="6">
        <f t="shared" si="3"/>
        <v>6484</v>
      </c>
      <c r="P54" s="72">
        <f t="shared" si="4"/>
        <v>0.24669938743674619</v>
      </c>
      <c r="Q54" s="76"/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5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1</v>
      </c>
      <c r="N55" s="5">
        <v>-1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201</v>
      </c>
      <c r="B56" s="56" t="s">
        <v>27</v>
      </c>
      <c r="C56" s="6">
        <v>0</v>
      </c>
      <c r="D56" s="5">
        <v>226</v>
      </c>
      <c r="E56" s="5">
        <v>-226</v>
      </c>
      <c r="F56" s="6">
        <v>0</v>
      </c>
      <c r="G56" s="5">
        <v>230</v>
      </c>
      <c r="H56" s="5">
        <v>-230</v>
      </c>
      <c r="I56" s="6">
        <v>0</v>
      </c>
      <c r="J56" s="5">
        <v>219</v>
      </c>
      <c r="K56" s="5">
        <v>-219</v>
      </c>
      <c r="L56" s="6">
        <v>0</v>
      </c>
      <c r="M56" s="5">
        <v>164</v>
      </c>
      <c r="N56" s="5">
        <v>-164</v>
      </c>
      <c r="O56" s="6">
        <f t="shared" si="3"/>
        <v>-675</v>
      </c>
      <c r="P56" s="72">
        <f t="shared" si="4"/>
        <v>-0.99852071005917165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512</v>
      </c>
      <c r="B60" s="56" t="s">
        <v>27</v>
      </c>
      <c r="C60" s="6">
        <v>1700</v>
      </c>
      <c r="D60" s="5">
        <v>1238</v>
      </c>
      <c r="E60" s="5">
        <v>462</v>
      </c>
      <c r="F60" s="6">
        <v>1700</v>
      </c>
      <c r="G60" s="5">
        <v>3103</v>
      </c>
      <c r="H60" s="5">
        <v>-1403</v>
      </c>
      <c r="I60" s="6">
        <v>1700</v>
      </c>
      <c r="J60" s="5">
        <v>2815</v>
      </c>
      <c r="K60" s="5">
        <v>-1115</v>
      </c>
      <c r="L60" s="6">
        <v>1500</v>
      </c>
      <c r="M60" s="5">
        <v>2430</v>
      </c>
      <c r="N60" s="5">
        <v>-930</v>
      </c>
      <c r="O60" s="6">
        <f t="shared" si="3"/>
        <v>-2056</v>
      </c>
      <c r="P60" s="72">
        <f t="shared" si="4"/>
        <v>-0.28727120301802433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757</v>
      </c>
      <c r="B61" s="56" t="s">
        <v>27</v>
      </c>
      <c r="C61" s="6">
        <v>450</v>
      </c>
      <c r="D61" s="5">
        <v>494</v>
      </c>
      <c r="E61" s="5">
        <v>-44</v>
      </c>
      <c r="F61" s="6">
        <v>0</v>
      </c>
      <c r="G61" s="5">
        <v>494</v>
      </c>
      <c r="H61" s="5">
        <v>-494</v>
      </c>
      <c r="I61" s="6">
        <v>0</v>
      </c>
      <c r="J61" s="5">
        <v>491</v>
      </c>
      <c r="K61" s="5">
        <v>-491</v>
      </c>
      <c r="L61" s="6">
        <v>0</v>
      </c>
      <c r="M61" s="5">
        <v>489</v>
      </c>
      <c r="N61" s="5">
        <v>-489</v>
      </c>
      <c r="O61" s="6">
        <f t="shared" si="3"/>
        <v>-1029</v>
      </c>
      <c r="P61" s="72">
        <f t="shared" si="4"/>
        <v>-0.69527027027027022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779</v>
      </c>
      <c r="B62" s="56" t="s">
        <v>27</v>
      </c>
      <c r="C62" s="6">
        <v>1000</v>
      </c>
      <c r="D62" s="5">
        <v>919</v>
      </c>
      <c r="E62" s="5">
        <v>81</v>
      </c>
      <c r="F62" s="6">
        <v>1000</v>
      </c>
      <c r="G62" s="5">
        <v>1320</v>
      </c>
      <c r="H62" s="5">
        <v>-320</v>
      </c>
      <c r="I62" s="6">
        <v>1000</v>
      </c>
      <c r="J62" s="5">
        <v>1170</v>
      </c>
      <c r="K62" s="5">
        <v>-170</v>
      </c>
      <c r="L62" s="6">
        <v>1000</v>
      </c>
      <c r="M62" s="5">
        <v>1356</v>
      </c>
      <c r="N62" s="5">
        <v>-356</v>
      </c>
      <c r="O62" s="6">
        <f t="shared" si="3"/>
        <v>-409</v>
      </c>
      <c r="P62" s="72">
        <f t="shared" si="4"/>
        <v>-0.11994134897360703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1</v>
      </c>
      <c r="H63" s="5">
        <v>-1</v>
      </c>
      <c r="I63" s="6">
        <v>0</v>
      </c>
      <c r="J63" s="5">
        <v>2</v>
      </c>
      <c r="K63" s="5">
        <v>-2</v>
      </c>
      <c r="L63" s="6">
        <v>0</v>
      </c>
      <c r="M63" s="5">
        <v>0</v>
      </c>
      <c r="N63" s="5">
        <v>0</v>
      </c>
      <c r="O63" s="6">
        <f t="shared" si="3"/>
        <v>-3</v>
      </c>
      <c r="P63" s="72">
        <f t="shared" si="4"/>
        <v>-0.75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164</v>
      </c>
      <c r="D66" s="5">
        <v>474</v>
      </c>
      <c r="E66" s="5">
        <v>-310</v>
      </c>
      <c r="F66" s="6">
        <v>132</v>
      </c>
      <c r="G66" s="5">
        <v>335</v>
      </c>
      <c r="H66" s="5">
        <v>-203</v>
      </c>
      <c r="I66" s="6">
        <v>190</v>
      </c>
      <c r="J66" s="5">
        <v>187</v>
      </c>
      <c r="K66" s="5">
        <v>3</v>
      </c>
      <c r="L66" s="6">
        <v>190</v>
      </c>
      <c r="M66" s="5">
        <v>186</v>
      </c>
      <c r="N66" s="5">
        <v>4</v>
      </c>
      <c r="O66" s="6">
        <f t="shared" si="6"/>
        <v>-510</v>
      </c>
      <c r="P66" s="72">
        <f t="shared" ref="P66:P85" si="7">O66/(J66+G66+D66+1)</f>
        <v>-0.51153460381143434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7602</v>
      </c>
      <c r="B69" s="56" t="s">
        <v>27</v>
      </c>
      <c r="C69" s="6">
        <v>37500</v>
      </c>
      <c r="D69" s="5">
        <v>41159</v>
      </c>
      <c r="E69" s="5">
        <v>-3659</v>
      </c>
      <c r="F69" s="6">
        <v>36000</v>
      </c>
      <c r="G69" s="5">
        <v>42702</v>
      </c>
      <c r="H69" s="5">
        <v>-6702</v>
      </c>
      <c r="I69" s="6">
        <v>41415</v>
      </c>
      <c r="J69" s="5">
        <v>45475</v>
      </c>
      <c r="K69" s="5">
        <v>-4060</v>
      </c>
      <c r="L69" s="6">
        <v>36500</v>
      </c>
      <c r="M69" s="5">
        <v>39417</v>
      </c>
      <c r="N69" s="5">
        <v>-2917</v>
      </c>
      <c r="O69" s="6">
        <f t="shared" si="6"/>
        <v>-14421</v>
      </c>
      <c r="P69" s="72">
        <f t="shared" si="7"/>
        <v>-0.11149941625366291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7604</v>
      </c>
      <c r="B70" s="56" t="s">
        <v>27</v>
      </c>
      <c r="C70" s="6">
        <v>44733</v>
      </c>
      <c r="D70" s="5">
        <v>43787</v>
      </c>
      <c r="E70" s="5">
        <v>946</v>
      </c>
      <c r="F70" s="6">
        <v>51390</v>
      </c>
      <c r="G70" s="5">
        <v>48046</v>
      </c>
      <c r="H70" s="5">
        <v>3344</v>
      </c>
      <c r="I70" s="6">
        <v>43363</v>
      </c>
      <c r="J70" s="5">
        <v>54938</v>
      </c>
      <c r="K70" s="5">
        <v>-11575</v>
      </c>
      <c r="L70" s="6">
        <v>50178</v>
      </c>
      <c r="M70" s="5">
        <v>57110</v>
      </c>
      <c r="N70" s="5">
        <v>-6932</v>
      </c>
      <c r="O70" s="6">
        <f t="shared" si="6"/>
        <v>-7285</v>
      </c>
      <c r="P70" s="72">
        <f t="shared" si="7"/>
        <v>-4.9634807728994632E-2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7610</v>
      </c>
      <c r="B71" s="56" t="s">
        <v>27</v>
      </c>
      <c r="C71" s="6">
        <v>0</v>
      </c>
      <c r="D71" s="5">
        <v>179</v>
      </c>
      <c r="E71" s="5">
        <v>-179</v>
      </c>
      <c r="F71" s="6">
        <v>0</v>
      </c>
      <c r="G71" s="5">
        <v>140</v>
      </c>
      <c r="H71" s="5">
        <v>-140</v>
      </c>
      <c r="I71" s="6">
        <v>0</v>
      </c>
      <c r="J71" s="5">
        <v>117</v>
      </c>
      <c r="K71" s="5">
        <v>-117</v>
      </c>
      <c r="L71" s="6">
        <v>0</v>
      </c>
      <c r="M71" s="5">
        <v>164</v>
      </c>
      <c r="N71" s="5">
        <v>-164</v>
      </c>
      <c r="O71" s="6">
        <f t="shared" si="6"/>
        <v>-436</v>
      </c>
      <c r="P71" s="72">
        <f t="shared" si="7"/>
        <v>-0.99771167048054921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13636</v>
      </c>
      <c r="B77" s="56" t="s">
        <v>27</v>
      </c>
      <c r="C77" s="6">
        <v>104</v>
      </c>
      <c r="D77" s="5">
        <v>0</v>
      </c>
      <c r="E77" s="5">
        <v>104</v>
      </c>
      <c r="F77" s="6">
        <v>83</v>
      </c>
      <c r="G77" s="5">
        <v>0</v>
      </c>
      <c r="H77" s="5">
        <v>83</v>
      </c>
      <c r="I77" s="6">
        <v>120</v>
      </c>
      <c r="J77" s="5">
        <v>0</v>
      </c>
      <c r="K77" s="5">
        <v>120</v>
      </c>
      <c r="L77" s="6">
        <v>120</v>
      </c>
      <c r="M77" s="5">
        <v>0</v>
      </c>
      <c r="N77" s="5">
        <v>120</v>
      </c>
      <c r="O77" s="6">
        <f t="shared" si="6"/>
        <v>307</v>
      </c>
      <c r="P77" s="72">
        <f t="shared" si="7"/>
        <v>307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30049</v>
      </c>
      <c r="B80" s="56" t="s">
        <v>27</v>
      </c>
      <c r="C80" s="6">
        <v>0</v>
      </c>
      <c r="D80" s="5">
        <v>6</v>
      </c>
      <c r="E80" s="5">
        <v>-6</v>
      </c>
      <c r="F80" s="6">
        <v>0</v>
      </c>
      <c r="G80" s="5">
        <v>8</v>
      </c>
      <c r="H80" s="5">
        <v>-8</v>
      </c>
      <c r="I80" s="6">
        <v>0</v>
      </c>
      <c r="J80" s="5">
        <v>7</v>
      </c>
      <c r="K80" s="5">
        <v>-7</v>
      </c>
      <c r="L80" s="6">
        <v>0</v>
      </c>
      <c r="M80" s="5">
        <v>7</v>
      </c>
      <c r="N80" s="5">
        <v>-7</v>
      </c>
      <c r="O80" s="6">
        <f t="shared" si="6"/>
        <v>-21</v>
      </c>
      <c r="P80" s="72">
        <f t="shared" si="7"/>
        <v>-0.95454545454545459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1</v>
      </c>
      <c r="H81" s="5">
        <v>-1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-1</v>
      </c>
      <c r="P81" s="72">
        <f t="shared" si="7"/>
        <v>-0.5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6"/>
        <v>0</v>
      </c>
      <c r="P82" s="72">
        <f t="shared" si="7"/>
        <v>0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5" thickBot="1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</row>
    <row r="86" spans="1:42" s="3" customFormat="1" x14ac:dyDescent="0.2">
      <c r="A86" s="2" t="s">
        <v>28</v>
      </c>
      <c r="B86" s="2"/>
      <c r="E86" s="3">
        <f>SUM(E11:E85)</f>
        <v>-44593</v>
      </c>
      <c r="H86" s="3">
        <f>SUM(H11:H85)</f>
        <v>91084</v>
      </c>
      <c r="K86" s="3">
        <f>SUM(K11:K85)</f>
        <v>-133446</v>
      </c>
      <c r="M86" s="3">
        <f>SUM(M10:M85)</f>
        <v>1511766</v>
      </c>
      <c r="N86" s="3">
        <f>SUM(N11:N85)</f>
        <v>-83178</v>
      </c>
      <c r="P86" s="12"/>
      <c r="Q86" s="2">
        <f>COUNTIF(Q10:Q85,"X")</f>
        <v>0</v>
      </c>
      <c r="R86" s="2">
        <f>COUNTIF(R10:R85,"X")</f>
        <v>6</v>
      </c>
      <c r="S86" s="2">
        <f>COUNTIF(S10:S85,"X")</f>
        <v>1</v>
      </c>
      <c r="T86" s="2">
        <f>COUNTIF(T10:T85,"X")</f>
        <v>8</v>
      </c>
      <c r="U86" s="2">
        <f>COUNTIF(U10:U85,"X")</f>
        <v>8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">
      <c r="M87" s="89" t="s">
        <v>56</v>
      </c>
      <c r="N87" s="90">
        <f>N86/M86</f>
        <v>-5.502041982687797E-2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8" activePane="bottomRight" state="frozen"/>
      <selection pane="topRight" activeCell="C1" sqref="C1"/>
      <selection pane="bottomLeft" activeCell="A10" sqref="A10"/>
      <selection pane="bottomRight" activeCell="F5" sqref="F5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36714</v>
      </c>
      <c r="D3" s="9"/>
    </row>
    <row r="4" spans="1:42" ht="15.75" x14ac:dyDescent="0.25">
      <c r="A4" s="58" t="s">
        <v>36</v>
      </c>
      <c r="C4" s="4" t="s">
        <v>37</v>
      </c>
      <c r="E4" s="97" t="s">
        <v>38</v>
      </c>
      <c r="G4" s="4" t="s">
        <v>65</v>
      </c>
    </row>
    <row r="5" spans="1:42" ht="16.5" thickBot="1" x14ac:dyDescent="0.3">
      <c r="A5" s="58" t="s">
        <v>39</v>
      </c>
      <c r="C5" s="4" t="s">
        <v>40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175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76">
        <f>C9</f>
        <v>36711</v>
      </c>
      <c r="D8" s="180"/>
      <c r="E8" s="181" t="str">
        <f>TEXT(WEEKDAY(C8),"dddd")</f>
        <v>Tuesday</v>
      </c>
      <c r="F8" s="174">
        <f>F9</f>
        <v>36712</v>
      </c>
      <c r="G8" s="180"/>
      <c r="H8" s="181" t="str">
        <f>TEXT(WEEKDAY(F8),"dddd")</f>
        <v>Wednesday</v>
      </c>
      <c r="I8" s="182">
        <f>I9</f>
        <v>36713</v>
      </c>
      <c r="J8" s="180"/>
      <c r="K8" s="181" t="str">
        <f>TEXT(WEEKDAY(I8),"dddd")</f>
        <v>Thursday</v>
      </c>
      <c r="L8" s="182">
        <f>L9</f>
        <v>36714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2.75" hidden="1" x14ac:dyDescent="0.2">
      <c r="A9" s="28"/>
      <c r="B9" s="56"/>
      <c r="C9" s="155">
        <v>36711</v>
      </c>
      <c r="D9" s="157">
        <v>36711</v>
      </c>
      <c r="E9" s="157">
        <v>36711</v>
      </c>
      <c r="F9" s="158">
        <v>36712</v>
      </c>
      <c r="G9" s="157">
        <v>36712</v>
      </c>
      <c r="H9" s="157">
        <v>36712</v>
      </c>
      <c r="I9" s="158">
        <v>36713</v>
      </c>
      <c r="J9" s="157">
        <v>36713</v>
      </c>
      <c r="K9" s="157">
        <v>36713</v>
      </c>
      <c r="L9" s="158">
        <v>36714</v>
      </c>
      <c r="M9" s="157">
        <v>36714</v>
      </c>
      <c r="N9" s="157">
        <v>36714</v>
      </c>
      <c r="O9" s="6">
        <f t="shared" ref="O9:O36" si="0">K9+H9+E9</f>
        <v>110136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167</v>
      </c>
      <c r="D11" s="5">
        <v>185</v>
      </c>
      <c r="E11" s="5">
        <v>-18</v>
      </c>
      <c r="F11" s="6">
        <v>0</v>
      </c>
      <c r="G11" s="5">
        <v>201</v>
      </c>
      <c r="H11" s="5">
        <v>-201</v>
      </c>
      <c r="I11" s="6">
        <v>167</v>
      </c>
      <c r="J11" s="5">
        <v>215</v>
      </c>
      <c r="K11" s="5">
        <v>-48</v>
      </c>
      <c r="L11" s="6">
        <v>0</v>
      </c>
      <c r="M11" s="5">
        <v>205</v>
      </c>
      <c r="N11" s="5">
        <v>-205</v>
      </c>
      <c r="O11" s="6">
        <f t="shared" si="0"/>
        <v>-267</v>
      </c>
      <c r="P11" s="72">
        <f t="shared" si="1"/>
        <v>-0.4435215946843854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93" t="str">
        <f>IF(AND(L11-I11&gt;=Summary!$C$132,N11-K11&gt;Summary!$C$132,N11&gt;0),"X"," ")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210</v>
      </c>
      <c r="E12" s="5">
        <v>-210</v>
      </c>
      <c r="F12" s="6">
        <v>0</v>
      </c>
      <c r="G12" s="5">
        <v>237</v>
      </c>
      <c r="H12" s="5">
        <v>-237</v>
      </c>
      <c r="I12" s="6">
        <v>0</v>
      </c>
      <c r="J12" s="5">
        <v>238</v>
      </c>
      <c r="K12" s="5">
        <v>-238</v>
      </c>
      <c r="L12" s="6">
        <v>0</v>
      </c>
      <c r="M12" s="5">
        <v>224</v>
      </c>
      <c r="N12" s="5">
        <v>-224</v>
      </c>
      <c r="O12" s="6">
        <f t="shared" si="0"/>
        <v>-685</v>
      </c>
      <c r="P12" s="72">
        <f t="shared" si="1"/>
        <v>-0.99854227405247808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93" t="str">
        <f>IF(AND(L12-I12&gt;=Summary!$C$132,N12-K12&gt;Summary!$C$132,N12&gt;0),"X"," ")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117</v>
      </c>
      <c r="E13" s="5">
        <v>-17</v>
      </c>
      <c r="F13" s="6">
        <v>100</v>
      </c>
      <c r="G13" s="5">
        <v>135</v>
      </c>
      <c r="H13" s="5">
        <v>-35</v>
      </c>
      <c r="I13" s="6">
        <v>100</v>
      </c>
      <c r="J13" s="5">
        <v>128</v>
      </c>
      <c r="K13" s="5">
        <v>-28</v>
      </c>
      <c r="L13" s="6">
        <v>100</v>
      </c>
      <c r="M13" s="5">
        <v>120</v>
      </c>
      <c r="N13" s="5">
        <v>-20</v>
      </c>
      <c r="O13" s="6">
        <f t="shared" si="0"/>
        <v>-80</v>
      </c>
      <c r="P13" s="72">
        <f t="shared" si="1"/>
        <v>-0.20997375328083989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93" t="str">
        <f>IF(AND(L13-I13&gt;=Summary!$C$132,N13-K13&gt;Summary!$C$132,N13&gt;0),"X"," ")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">
      <c r="A14" s="28">
        <v>1780</v>
      </c>
      <c r="B14" s="56" t="s">
        <v>25</v>
      </c>
      <c r="C14" s="6">
        <v>1171</v>
      </c>
      <c r="D14" s="5">
        <v>861</v>
      </c>
      <c r="E14" s="5">
        <v>310</v>
      </c>
      <c r="F14" s="6">
        <v>965</v>
      </c>
      <c r="G14" s="5">
        <v>965</v>
      </c>
      <c r="H14" s="5">
        <v>0</v>
      </c>
      <c r="I14" s="6">
        <v>1171</v>
      </c>
      <c r="J14" s="5">
        <v>1003</v>
      </c>
      <c r="K14" s="5">
        <v>168</v>
      </c>
      <c r="L14" s="6">
        <v>939</v>
      </c>
      <c r="M14" s="5">
        <v>939</v>
      </c>
      <c r="N14" s="5">
        <v>0</v>
      </c>
      <c r="O14" s="6">
        <f t="shared" si="0"/>
        <v>478</v>
      </c>
      <c r="P14" s="72">
        <f t="shared" si="1"/>
        <v>0.16890459363957597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93" t="str">
        <f>IF(AND(L14-I14&gt;=Summary!$C$132,N14-K14&gt;Summary!$C$132,N14&gt;0),"X"," ")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42" x14ac:dyDescent="0.2">
      <c r="A15" s="28">
        <v>2280</v>
      </c>
      <c r="B15" s="56" t="s">
        <v>25</v>
      </c>
      <c r="C15" s="6">
        <v>782</v>
      </c>
      <c r="D15" s="5">
        <v>766</v>
      </c>
      <c r="E15" s="5">
        <v>16</v>
      </c>
      <c r="F15" s="6">
        <v>782</v>
      </c>
      <c r="G15" s="5">
        <v>837</v>
      </c>
      <c r="H15" s="5">
        <v>-55</v>
      </c>
      <c r="I15" s="6">
        <v>782</v>
      </c>
      <c r="J15" s="5">
        <v>896</v>
      </c>
      <c r="K15" s="5">
        <v>-114</v>
      </c>
      <c r="L15" s="6">
        <v>782</v>
      </c>
      <c r="M15" s="5">
        <v>843</v>
      </c>
      <c r="N15" s="5">
        <v>-61</v>
      </c>
      <c r="O15" s="6">
        <f t="shared" si="0"/>
        <v>-153</v>
      </c>
      <c r="P15" s="72">
        <f t="shared" si="1"/>
        <v>-6.1199999999999997E-2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93" t="str">
        <f>IF(AND(L15-I15&gt;=Summary!$C$132,N15-K15&gt;Summary!$C$132,N15&gt;0),"X"," ")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">
      <c r="A16" s="28">
        <v>2584</v>
      </c>
      <c r="B16" s="56" t="s">
        <v>25</v>
      </c>
      <c r="C16" s="6">
        <v>2550</v>
      </c>
      <c r="D16" s="5">
        <v>2548</v>
      </c>
      <c r="E16" s="5">
        <v>2</v>
      </c>
      <c r="F16" s="6">
        <v>2786</v>
      </c>
      <c r="G16" s="5">
        <v>2787</v>
      </c>
      <c r="H16" s="5">
        <v>-1</v>
      </c>
      <c r="I16" s="6">
        <v>2550</v>
      </c>
      <c r="J16" s="5">
        <v>3009</v>
      </c>
      <c r="K16" s="5">
        <v>-459</v>
      </c>
      <c r="L16" s="6">
        <v>2823</v>
      </c>
      <c r="M16" s="5">
        <v>2823</v>
      </c>
      <c r="N16" s="5">
        <v>0</v>
      </c>
      <c r="O16" s="6">
        <f t="shared" si="0"/>
        <v>-458</v>
      </c>
      <c r="P16" s="72">
        <f t="shared" si="1"/>
        <v>-5.48831635710006E-2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93" t="str">
        <f>IF(AND(L16-I16&gt;=Summary!$C$132,N16-K16&gt;Summary!$C$132,N16&gt;0),"X"," ")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5187</v>
      </c>
      <c r="E17" s="5">
        <v>-1452</v>
      </c>
      <c r="F17" s="6">
        <v>5466</v>
      </c>
      <c r="G17" s="5">
        <v>5686</v>
      </c>
      <c r="H17" s="5">
        <v>-220</v>
      </c>
      <c r="I17" s="6">
        <v>141157</v>
      </c>
      <c r="J17" s="5">
        <v>6067</v>
      </c>
      <c r="K17" s="5">
        <v>135090</v>
      </c>
      <c r="L17" s="6">
        <v>5492</v>
      </c>
      <c r="M17" s="5">
        <v>5713</v>
      </c>
      <c r="N17" s="5">
        <v>-221</v>
      </c>
      <c r="O17" s="6">
        <f t="shared" si="0"/>
        <v>133418</v>
      </c>
      <c r="P17" s="72">
        <f t="shared" si="1"/>
        <v>7.8754500914940087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93" t="str">
        <f>IF(AND(L17-I17&gt;=Summary!$C$132,N17-K17&gt;Summary!$C$132,N17&gt;0),"X"," ")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822</v>
      </c>
      <c r="E18" s="5">
        <v>-22</v>
      </c>
      <c r="F18" s="6">
        <v>872</v>
      </c>
      <c r="G18" s="5">
        <v>907</v>
      </c>
      <c r="H18" s="5">
        <v>-35</v>
      </c>
      <c r="I18" s="6">
        <v>800</v>
      </c>
      <c r="J18" s="5">
        <v>977</v>
      </c>
      <c r="K18" s="5">
        <v>-177</v>
      </c>
      <c r="L18" s="6">
        <v>877</v>
      </c>
      <c r="M18" s="5">
        <v>912</v>
      </c>
      <c r="N18" s="5">
        <v>-35</v>
      </c>
      <c r="O18" s="6">
        <f t="shared" si="0"/>
        <v>-234</v>
      </c>
      <c r="P18" s="72">
        <f t="shared" si="1"/>
        <v>-8.6442556335426676E-2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93" t="str">
        <f>IF(AND(L18-I18&gt;=Summary!$C$132,N18-K18&gt;Summary!$C$132,N18&gt;0),"X"," ")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4223</v>
      </c>
      <c r="D19" s="5">
        <v>3995</v>
      </c>
      <c r="E19" s="5">
        <v>228</v>
      </c>
      <c r="F19" s="6">
        <v>4224</v>
      </c>
      <c r="G19" s="5">
        <v>4368</v>
      </c>
      <c r="H19" s="5">
        <v>-144</v>
      </c>
      <c r="I19" s="6">
        <v>4224</v>
      </c>
      <c r="J19" s="5">
        <v>4728</v>
      </c>
      <c r="K19" s="5">
        <v>-504</v>
      </c>
      <c r="L19" s="6">
        <v>3649</v>
      </c>
      <c r="M19" s="5">
        <v>4435</v>
      </c>
      <c r="N19" s="5">
        <v>-786</v>
      </c>
      <c r="O19" s="6">
        <f t="shared" si="0"/>
        <v>-420</v>
      </c>
      <c r="P19" s="72">
        <f t="shared" si="1"/>
        <v>-3.2080659945004586E-2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93" t="str">
        <f>IF(AND(L19-I19&gt;=Summary!$C$132,N19-K19&gt;Summary!$C$132,N19&gt;0),"X"," ")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1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93" t="str">
        <f>IF(AND(L20-I20&gt;=Summary!$C$132,N20-K20&gt;Summary!$C$132,N20&gt;0),"X"," ")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3152</v>
      </c>
      <c r="B21" s="56" t="s">
        <v>25</v>
      </c>
      <c r="C21" s="6">
        <v>4816</v>
      </c>
      <c r="D21" s="5">
        <v>2895</v>
      </c>
      <c r="E21" s="5">
        <v>1921</v>
      </c>
      <c r="F21" s="6">
        <v>3250</v>
      </c>
      <c r="G21" s="5">
        <v>3251</v>
      </c>
      <c r="H21" s="5">
        <v>-1</v>
      </c>
      <c r="I21" s="6">
        <v>4816</v>
      </c>
      <c r="J21" s="5">
        <v>3336</v>
      </c>
      <c r="K21" s="5">
        <v>1480</v>
      </c>
      <c r="L21" s="6">
        <v>3146</v>
      </c>
      <c r="M21" s="5">
        <v>3147</v>
      </c>
      <c r="N21" s="5">
        <v>-1</v>
      </c>
      <c r="O21" s="6">
        <f t="shared" si="0"/>
        <v>3400</v>
      </c>
      <c r="P21" s="72">
        <f t="shared" si="1"/>
        <v>0.35853632816619213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93" t="str">
        <f>IF(AND(L21-I21&gt;=Summary!$C$132,N21-K21&gt;Summary!$C$132,N21&gt;0),"X"," ")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">
      <c r="A22" s="28">
        <v>4303</v>
      </c>
      <c r="B22" s="56" t="s">
        <v>25</v>
      </c>
      <c r="C22" s="6">
        <v>2402</v>
      </c>
      <c r="D22" s="5">
        <v>2106</v>
      </c>
      <c r="E22" s="5">
        <v>296</v>
      </c>
      <c r="F22" s="6">
        <v>2340</v>
      </c>
      <c r="G22" s="5">
        <v>2319</v>
      </c>
      <c r="H22" s="5">
        <v>21</v>
      </c>
      <c r="I22" s="6">
        <v>2256</v>
      </c>
      <c r="J22" s="5">
        <v>2450</v>
      </c>
      <c r="K22" s="5">
        <v>-194</v>
      </c>
      <c r="L22" s="6">
        <v>2329</v>
      </c>
      <c r="M22" s="5">
        <v>2307</v>
      </c>
      <c r="N22" s="5">
        <v>22</v>
      </c>
      <c r="O22" s="6">
        <f t="shared" si="0"/>
        <v>123</v>
      </c>
      <c r="P22" s="72">
        <f t="shared" si="1"/>
        <v>1.7888307155322861E-2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93" t="str">
        <f>IF(AND(L22-I22&gt;=Summary!$C$132,N22-K22&gt;Summary!$C$132,N22&gt;0),"X"," ")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6500</v>
      </c>
      <c r="B23" s="56" t="s">
        <v>25</v>
      </c>
      <c r="C23" s="6">
        <v>404833</v>
      </c>
      <c r="D23" s="5">
        <v>395131</v>
      </c>
      <c r="E23" s="5">
        <v>9702</v>
      </c>
      <c r="F23" s="6">
        <v>441720</v>
      </c>
      <c r="G23" s="5">
        <v>443251</v>
      </c>
      <c r="H23" s="5">
        <v>-1531</v>
      </c>
      <c r="I23" s="6">
        <v>477576</v>
      </c>
      <c r="J23" s="5">
        <v>463737</v>
      </c>
      <c r="K23" s="5">
        <v>13839</v>
      </c>
      <c r="L23" s="6">
        <v>437230</v>
      </c>
      <c r="M23" s="5">
        <v>433811</v>
      </c>
      <c r="N23" s="5">
        <v>3419</v>
      </c>
      <c r="O23" s="6">
        <f t="shared" si="0"/>
        <v>22010</v>
      </c>
      <c r="P23" s="72">
        <f t="shared" si="1"/>
        <v>1.6903204005775198E-2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93" t="str">
        <f>IF(AND(L23-I23&gt;=Summary!$C$132,N23-K23&gt;Summary!$C$132,N23&gt;0),"X"," ")</f>
        <v xml:space="preserve"> 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10656</v>
      </c>
      <c r="B24" s="56" t="s">
        <v>25</v>
      </c>
      <c r="C24" s="6">
        <v>231</v>
      </c>
      <c r="D24" s="5">
        <v>218</v>
      </c>
      <c r="E24" s="5">
        <v>13</v>
      </c>
      <c r="F24" s="6">
        <v>0</v>
      </c>
      <c r="G24" s="5">
        <v>262</v>
      </c>
      <c r="H24" s="5">
        <v>-262</v>
      </c>
      <c r="I24" s="6">
        <v>231</v>
      </c>
      <c r="J24" s="5">
        <v>229</v>
      </c>
      <c r="K24" s="5">
        <v>2</v>
      </c>
      <c r="L24" s="6">
        <v>0</v>
      </c>
      <c r="M24" s="5">
        <v>214</v>
      </c>
      <c r="N24" s="5">
        <v>-214</v>
      </c>
      <c r="O24" s="6">
        <f t="shared" si="0"/>
        <v>-247</v>
      </c>
      <c r="P24" s="72">
        <f t="shared" si="1"/>
        <v>-0.34788732394366195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93" t="str">
        <f>IF(AND(L24-I24&gt;=Summary!$C$132,N24-K24&gt;Summary!$C$132,N24&gt;0),"X"," ")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12296</v>
      </c>
      <c r="B25" s="56" t="s">
        <v>25</v>
      </c>
      <c r="C25" s="6">
        <v>2774</v>
      </c>
      <c r="D25" s="5">
        <v>2496</v>
      </c>
      <c r="E25" s="5">
        <v>278</v>
      </c>
      <c r="F25" s="6">
        <v>2730</v>
      </c>
      <c r="G25" s="5">
        <v>2712</v>
      </c>
      <c r="H25" s="5">
        <v>18</v>
      </c>
      <c r="I25" s="6">
        <v>2774</v>
      </c>
      <c r="J25" s="5">
        <v>2944</v>
      </c>
      <c r="K25" s="5">
        <v>-170</v>
      </c>
      <c r="L25" s="6">
        <v>2774</v>
      </c>
      <c r="M25" s="5">
        <v>2772</v>
      </c>
      <c r="N25" s="5">
        <v>2</v>
      </c>
      <c r="O25" s="6">
        <f t="shared" si="0"/>
        <v>126</v>
      </c>
      <c r="P25" s="72">
        <f t="shared" si="1"/>
        <v>1.5454433950692997E-2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93" t="str">
        <f>IF(AND(L25-I25&gt;=Summary!$C$132,N25-K25&gt;Summary!$C$132,N25&gt;0),"X"," ")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16786</v>
      </c>
      <c r="B26" s="56" t="s">
        <v>25</v>
      </c>
      <c r="C26" s="6">
        <v>3106</v>
      </c>
      <c r="D26" s="5">
        <v>3145</v>
      </c>
      <c r="E26" s="5">
        <v>-39</v>
      </c>
      <c r="F26" s="6">
        <v>3106</v>
      </c>
      <c r="G26" s="5">
        <v>3490</v>
      </c>
      <c r="H26" s="5">
        <v>-384</v>
      </c>
      <c r="I26" s="6">
        <v>0</v>
      </c>
      <c r="J26" s="5">
        <v>3665</v>
      </c>
      <c r="K26" s="5">
        <v>-3665</v>
      </c>
      <c r="L26" s="6">
        <v>0</v>
      </c>
      <c r="M26" s="5">
        <v>3445</v>
      </c>
      <c r="N26" s="5">
        <v>-3445</v>
      </c>
      <c r="O26" s="6">
        <f t="shared" si="0"/>
        <v>-4088</v>
      </c>
      <c r="P26" s="72">
        <f t="shared" si="1"/>
        <v>-0.39685467430346566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93" t="str">
        <f>IF(AND(L26-I26&gt;=Summary!$C$132,N26-K26&gt;Summary!$C$132,N26&gt;0),"X"," ")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17791</v>
      </c>
      <c r="B27" s="56" t="s">
        <v>25</v>
      </c>
      <c r="C27" s="6">
        <v>200</v>
      </c>
      <c r="D27" s="5">
        <v>160</v>
      </c>
      <c r="E27" s="5">
        <v>40</v>
      </c>
      <c r="F27" s="6">
        <v>184</v>
      </c>
      <c r="G27" s="5">
        <v>184</v>
      </c>
      <c r="H27" s="5">
        <v>0</v>
      </c>
      <c r="I27" s="6">
        <v>200</v>
      </c>
      <c r="J27" s="5">
        <v>176</v>
      </c>
      <c r="K27" s="5">
        <v>24</v>
      </c>
      <c r="L27" s="6">
        <v>165</v>
      </c>
      <c r="M27" s="5">
        <v>165</v>
      </c>
      <c r="N27" s="5">
        <v>0</v>
      </c>
      <c r="O27" s="6">
        <f t="shared" si="0"/>
        <v>64</v>
      </c>
      <c r="P27" s="72">
        <f t="shared" si="1"/>
        <v>0.12284069097888675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93" t="str">
        <f>IF(AND(L27-I27&gt;=Summary!$C$132,N27-K27&gt;Summary!$C$132,N27&gt;0),"X"," ")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1117</v>
      </c>
      <c r="B28" s="56" t="s">
        <v>26</v>
      </c>
      <c r="C28" s="6">
        <v>57352</v>
      </c>
      <c r="D28" s="5">
        <v>48767</v>
      </c>
      <c r="E28" s="5">
        <v>8585</v>
      </c>
      <c r="F28" s="6">
        <v>57358</v>
      </c>
      <c r="G28" s="5">
        <v>67186</v>
      </c>
      <c r="H28" s="5">
        <v>-9828</v>
      </c>
      <c r="I28" s="6">
        <v>120830</v>
      </c>
      <c r="J28" s="5">
        <v>69204</v>
      </c>
      <c r="K28" s="5">
        <v>51626</v>
      </c>
      <c r="L28" s="6">
        <v>66379</v>
      </c>
      <c r="M28" s="5">
        <v>67720</v>
      </c>
      <c r="N28" s="5">
        <v>-1341</v>
      </c>
      <c r="O28" s="6">
        <f t="shared" si="0"/>
        <v>50383</v>
      </c>
      <c r="P28" s="72">
        <f t="shared" si="1"/>
        <v>0.27210814547575585</v>
      </c>
      <c r="Q28" s="76"/>
      <c r="R28" s="67" t="str">
        <f>IF($C$4="High Inventory",IF(AND(O28&gt;=Summary!$C$128,P28&gt;=Summary!$C$129),"X"," "),IF(AND(O28&lt;=-Summary!$C$128,P28&lt;=-Summary!$C$129),"X"," "))</f>
        <v>X</v>
      </c>
      <c r="S28" s="93" t="str">
        <f>IF(AND(L28-I28&gt;=Summary!$C$132,N28-K28&gt;Summary!$C$132,N28&gt;0),"X"," ")</f>
        <v xml:space="preserve"> </v>
      </c>
      <c r="T28" s="8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">
      <c r="A29" s="28">
        <v>1126</v>
      </c>
      <c r="B29" s="56" t="s">
        <v>26</v>
      </c>
      <c r="C29" s="6">
        <v>28209</v>
      </c>
      <c r="D29" s="5">
        <v>27884</v>
      </c>
      <c r="E29" s="5">
        <v>325</v>
      </c>
      <c r="F29" s="6">
        <v>27209</v>
      </c>
      <c r="G29" s="5">
        <v>29283</v>
      </c>
      <c r="H29" s="5">
        <v>-2074</v>
      </c>
      <c r="I29" s="6">
        <v>56256</v>
      </c>
      <c r="J29" s="5">
        <v>29794</v>
      </c>
      <c r="K29" s="5">
        <v>26462</v>
      </c>
      <c r="L29" s="6">
        <v>27209</v>
      </c>
      <c r="M29" s="5">
        <v>28315</v>
      </c>
      <c r="N29" s="5">
        <v>-1106</v>
      </c>
      <c r="O29" s="6">
        <f t="shared" si="0"/>
        <v>24713</v>
      </c>
      <c r="P29" s="72">
        <f t="shared" si="1"/>
        <v>0.28418159655941677</v>
      </c>
      <c r="Q29" s="76"/>
      <c r="R29" s="67" t="str">
        <f>IF($C$4="High Inventory",IF(AND(O29&gt;=Summary!$C$128,P29&gt;=Summary!$C$129),"X"," "),IF(AND(O29&lt;=-Summary!$C$128,P29&lt;=-Summary!$C$129),"X"," "))</f>
        <v>X</v>
      </c>
      <c r="S29" s="93" t="str">
        <f>IF(AND(L29-I29&gt;=Summary!$C$132,N29-K29&gt;Summary!$C$132,N29&gt;0),"X"," ")</f>
        <v xml:space="preserve"> </v>
      </c>
      <c r="T29" s="8" t="str">
        <f>IF($C$4="High Inventory",IF(AND($O29&gt;=Summary!$C$128,$P29&gt;=0%),"X"," "),IF(AND($O29&lt;=-Summary!$C$128,$P29&lt;=0%),"X"," "))</f>
        <v>X</v>
      </c>
      <c r="U29" s="11" t="str">
        <f>IF($C$4="High Inventory",IF(AND($O29&gt;=0,$P29&gt;=Summary!$C$129),"X"," "),IF(AND($O29&lt;=0,$P29&lt;=-Summary!$C$129),"X"," "))</f>
        <v>X</v>
      </c>
      <c r="V29" t="str">
        <f t="shared" si="2"/>
        <v xml:space="preserve"> </v>
      </c>
      <c r="W29" t="str">
        <f>IF($C$4="High Inventory",IF(O29&gt;Summary!$C$128,"X"," "),IF(O29&lt;-Summary!$C$128,"X"," "))</f>
        <v>X</v>
      </c>
      <c r="X29" t="str">
        <f>IF($C$4="High Inventory",IF(P29&gt;Summary!$C$129,"X"," "),IF(P29&lt;-Summary!$C$129,"X"," "))</f>
        <v>X</v>
      </c>
    </row>
    <row r="30" spans="1:24" x14ac:dyDescent="0.2">
      <c r="A30" s="28">
        <v>1157</v>
      </c>
      <c r="B30" s="56" t="s">
        <v>26</v>
      </c>
      <c r="C30" s="6">
        <v>156758</v>
      </c>
      <c r="D30" s="5">
        <v>91521</v>
      </c>
      <c r="E30" s="5">
        <v>65237</v>
      </c>
      <c r="F30" s="6">
        <v>114070</v>
      </c>
      <c r="G30" s="5">
        <v>113998</v>
      </c>
      <c r="H30" s="5">
        <v>72</v>
      </c>
      <c r="I30" s="6">
        <v>118397</v>
      </c>
      <c r="J30" s="5">
        <v>117648</v>
      </c>
      <c r="K30" s="5">
        <v>749</v>
      </c>
      <c r="L30" s="6">
        <v>114256</v>
      </c>
      <c r="M30" s="5">
        <v>118108</v>
      </c>
      <c r="N30" s="5">
        <v>-3852</v>
      </c>
      <c r="O30" s="6">
        <f t="shared" si="0"/>
        <v>66058</v>
      </c>
      <c r="P30" s="72">
        <f t="shared" si="1"/>
        <v>0.20440761461530846</v>
      </c>
      <c r="Q30" s="8"/>
      <c r="R30" s="67" t="str">
        <f>IF($C$4="High Inventory",IF(AND(O30&gt;=Summary!$C$128,P30&gt;=Summary!$C$129),"X"," "),IF(AND(O30&lt;=-Summary!$C$128,P30&lt;=-Summary!$C$129),"X"," "))</f>
        <v>X</v>
      </c>
      <c r="S30" s="93" t="str">
        <f>IF(AND(L30-I30&gt;=Summary!$C$132,N30-K30&gt;Summary!$C$132,N30&gt;0),"X"," ")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2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">
      <c r="A31" s="28">
        <v>1281</v>
      </c>
      <c r="B31" s="56" t="s">
        <v>26</v>
      </c>
      <c r="C31" s="6">
        <v>20988</v>
      </c>
      <c r="D31" s="5">
        <v>12530</v>
      </c>
      <c r="E31" s="5">
        <v>8458</v>
      </c>
      <c r="F31" s="6">
        <v>37058</v>
      </c>
      <c r="G31" s="5">
        <v>22160</v>
      </c>
      <c r="H31" s="5">
        <v>14898</v>
      </c>
      <c r="I31" s="6">
        <v>37443</v>
      </c>
      <c r="J31" s="5">
        <v>26878</v>
      </c>
      <c r="K31" s="5">
        <v>10565</v>
      </c>
      <c r="L31" s="6">
        <v>22971</v>
      </c>
      <c r="M31" s="5">
        <v>33184</v>
      </c>
      <c r="N31" s="5">
        <v>-10213</v>
      </c>
      <c r="O31" s="6">
        <f t="shared" si="0"/>
        <v>33921</v>
      </c>
      <c r="P31" s="72">
        <f t="shared" si="1"/>
        <v>0.55094284461336063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93" t="str">
        <f>IF(AND(L31-I31&gt;=Summary!$C$132,N31-K31&gt;Summary!$C$132,N31&gt;0),"X"," ")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6818</v>
      </c>
      <c r="D32" s="5">
        <v>3650</v>
      </c>
      <c r="E32" s="5">
        <v>3168</v>
      </c>
      <c r="F32" s="6">
        <v>5143</v>
      </c>
      <c r="G32" s="5">
        <v>6302</v>
      </c>
      <c r="H32" s="5">
        <v>-1159</v>
      </c>
      <c r="I32" s="6">
        <v>6821</v>
      </c>
      <c r="J32" s="5">
        <v>7086</v>
      </c>
      <c r="K32" s="5">
        <v>-265</v>
      </c>
      <c r="L32" s="6">
        <v>5759</v>
      </c>
      <c r="M32" s="5">
        <v>7203</v>
      </c>
      <c r="N32" s="5">
        <v>-1444</v>
      </c>
      <c r="O32" s="6">
        <f t="shared" si="0"/>
        <v>1744</v>
      </c>
      <c r="P32" s="72">
        <f t="shared" si="1"/>
        <v>0.10235342449674277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93" t="str">
        <f>IF(AND(L32-I32&gt;=Summary!$C$132,N32-K32&gt;Summary!$C$132,N32&gt;0),"X"," ")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>X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>X</v>
      </c>
    </row>
    <row r="33" spans="1:24" x14ac:dyDescent="0.2">
      <c r="A33" s="28">
        <v>1377</v>
      </c>
      <c r="B33" s="56" t="s">
        <v>26</v>
      </c>
      <c r="C33" s="6">
        <v>100796</v>
      </c>
      <c r="D33" s="5">
        <v>110659</v>
      </c>
      <c r="E33" s="5">
        <v>-9863</v>
      </c>
      <c r="F33" s="6">
        <v>90917</v>
      </c>
      <c r="G33" s="5">
        <v>111288</v>
      </c>
      <c r="H33" s="5">
        <v>-20371</v>
      </c>
      <c r="I33" s="6">
        <v>85187</v>
      </c>
      <c r="J33" s="5">
        <v>111837</v>
      </c>
      <c r="K33" s="5">
        <v>-26650</v>
      </c>
      <c r="L33" s="6">
        <v>100472</v>
      </c>
      <c r="M33" s="5">
        <v>112615</v>
      </c>
      <c r="N33" s="5">
        <v>-12143</v>
      </c>
      <c r="O33" s="6">
        <f t="shared" si="0"/>
        <v>-56884</v>
      </c>
      <c r="P33" s="72">
        <f t="shared" si="1"/>
        <v>-0.17042107943736237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93" t="str">
        <f>IF(AND(L33-I33&gt;=Summary!$C$132,N33-K33&gt;Summary!$C$132,N33&gt;0),"X"," ")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-3</v>
      </c>
      <c r="P34" s="72">
        <f t="shared" si="1"/>
        <v>-0.75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93" t="str">
        <f>IF(AND(L34-I34&gt;=Summary!$C$132,N34-K34&gt;Summary!$C$132,N34&gt;0),"X"," ")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439530</v>
      </c>
      <c r="D35" s="5">
        <v>273536</v>
      </c>
      <c r="E35" s="5">
        <v>165994</v>
      </c>
      <c r="F35" s="6">
        <v>360606</v>
      </c>
      <c r="G35" s="5">
        <v>339688</v>
      </c>
      <c r="H35" s="5">
        <v>20918</v>
      </c>
      <c r="I35" s="6">
        <v>222561</v>
      </c>
      <c r="J35" s="5">
        <v>259883</v>
      </c>
      <c r="K35" s="5">
        <v>-37322</v>
      </c>
      <c r="L35" s="6">
        <v>214274</v>
      </c>
      <c r="M35" s="5">
        <v>246813</v>
      </c>
      <c r="N35" s="5">
        <v>-32539</v>
      </c>
      <c r="O35" s="6">
        <f t="shared" si="0"/>
        <v>149590</v>
      </c>
      <c r="P35" s="72">
        <f t="shared" si="1"/>
        <v>0.17133046541779481</v>
      </c>
      <c r="Q35" s="76"/>
      <c r="R35" s="67" t="str">
        <f>IF($C$4="High Inventory",IF(AND(O35&gt;=Summary!$C$128,P35&gt;=Summary!$C$129),"X"," "),IF(AND(O35&lt;=-Summary!$C$128,P35&lt;=-Summary!$C$129),"X"," "))</f>
        <v>X</v>
      </c>
      <c r="S35" s="93" t="str">
        <f>IF(AND(L35-I35&gt;=Summary!$C$132,N35-K35&gt;Summary!$C$132,N35&gt;0),"X"," ")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">
      <c r="A36" s="28">
        <v>1922</v>
      </c>
      <c r="B36" s="56" t="s">
        <v>26</v>
      </c>
      <c r="C36" s="6">
        <v>71992</v>
      </c>
      <c r="D36" s="5">
        <v>39524</v>
      </c>
      <c r="E36" s="5">
        <v>32468</v>
      </c>
      <c r="F36" s="6">
        <v>48675</v>
      </c>
      <c r="G36" s="5">
        <v>48848</v>
      </c>
      <c r="H36" s="5">
        <v>-173</v>
      </c>
      <c r="I36" s="6">
        <v>56930</v>
      </c>
      <c r="J36" s="5">
        <v>52643</v>
      </c>
      <c r="K36" s="5">
        <v>4287</v>
      </c>
      <c r="L36" s="6">
        <v>50962</v>
      </c>
      <c r="M36" s="5">
        <v>49312</v>
      </c>
      <c r="N36" s="5">
        <v>1650</v>
      </c>
      <c r="O36" s="6">
        <f t="shared" si="0"/>
        <v>36582</v>
      </c>
      <c r="P36" s="72">
        <f t="shared" si="1"/>
        <v>0.25941737107845919</v>
      </c>
      <c r="Q36" s="76"/>
      <c r="R36" s="67" t="str">
        <f>IF($C$4="High Inventory",IF(AND(O36&gt;=Summary!$C$128,P36&gt;=Summary!$C$129),"X"," "),IF(AND(O36&lt;=-Summary!$C$128,P36&lt;=-Summary!$C$129),"X"," "))</f>
        <v>X</v>
      </c>
      <c r="S36" s="93" t="str">
        <f>IF(AND(L36-I36&gt;=Summary!$C$132,N36-K36&gt;Summary!$C$132,N36&gt;0),"X"," ")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">
      <c r="A37" s="28">
        <v>1928</v>
      </c>
      <c r="B37" s="56" t="s">
        <v>26</v>
      </c>
      <c r="C37" s="6">
        <v>14084</v>
      </c>
      <c r="D37" s="5">
        <v>12872</v>
      </c>
      <c r="E37" s="5">
        <v>1212</v>
      </c>
      <c r="F37" s="6">
        <v>14084</v>
      </c>
      <c r="G37" s="5">
        <v>16265</v>
      </c>
      <c r="H37" s="5">
        <v>-2181</v>
      </c>
      <c r="I37" s="6">
        <v>15084</v>
      </c>
      <c r="J37" s="5">
        <v>17007</v>
      </c>
      <c r="K37" s="5">
        <v>-1923</v>
      </c>
      <c r="L37" s="6">
        <v>13164</v>
      </c>
      <c r="M37" s="5">
        <v>18554</v>
      </c>
      <c r="N37" s="5">
        <v>-5390</v>
      </c>
      <c r="O37" s="6">
        <f t="shared" ref="O37:O64" si="3">K37+H37+E37</f>
        <v>-2892</v>
      </c>
      <c r="P37" s="72">
        <f t="shared" si="1"/>
        <v>-6.267201213565933E-2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93" t="str">
        <f>IF(AND(L37-I37&gt;=Summary!$C$132,N37-K37&gt;Summary!$C$132,N37&gt;0),"X"," ")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2056</v>
      </c>
      <c r="B38" s="56" t="s">
        <v>26</v>
      </c>
      <c r="C38" s="6">
        <v>64861</v>
      </c>
      <c r="D38" s="5">
        <v>63024</v>
      </c>
      <c r="E38" s="5">
        <v>1837</v>
      </c>
      <c r="F38" s="6">
        <v>56901</v>
      </c>
      <c r="G38" s="5">
        <v>62347</v>
      </c>
      <c r="H38" s="5">
        <v>-5446</v>
      </c>
      <c r="I38" s="6">
        <v>60881</v>
      </c>
      <c r="J38" s="5">
        <v>64570</v>
      </c>
      <c r="K38" s="5">
        <v>-3689</v>
      </c>
      <c r="L38" s="6">
        <v>60388</v>
      </c>
      <c r="M38" s="5">
        <v>64113</v>
      </c>
      <c r="N38" s="5">
        <v>-3725</v>
      </c>
      <c r="O38" s="6">
        <f t="shared" si="3"/>
        <v>-7298</v>
      </c>
      <c r="P38" s="72">
        <f t="shared" ref="P38:P65" si="4">O38/(J38+G38+D38+1)</f>
        <v>-3.8422255214749769E-2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93" t="str">
        <f>IF(AND(L38-I38&gt;=Summary!$C$132,N38-K38&gt;Summary!$C$132,N38&gt;0),"X"," ")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8556</v>
      </c>
      <c r="D39" s="5">
        <v>4927</v>
      </c>
      <c r="E39" s="5">
        <v>3629</v>
      </c>
      <c r="F39" s="6">
        <v>8032</v>
      </c>
      <c r="G39" s="5">
        <v>9436</v>
      </c>
      <c r="H39" s="5">
        <v>-1404</v>
      </c>
      <c r="I39" s="6">
        <v>10827</v>
      </c>
      <c r="J39" s="5">
        <v>10024</v>
      </c>
      <c r="K39" s="5">
        <v>803</v>
      </c>
      <c r="L39" s="6">
        <v>11566</v>
      </c>
      <c r="M39" s="5">
        <v>10839</v>
      </c>
      <c r="N39" s="5">
        <v>727</v>
      </c>
      <c r="O39" s="6">
        <f t="shared" si="3"/>
        <v>3028</v>
      </c>
      <c r="P39" s="72">
        <f t="shared" si="4"/>
        <v>0.12415942266688536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93" t="str">
        <f>IF(AND(L39-I39&gt;=Summary!$C$132,N39-K39&gt;Summary!$C$132,N39&gt;0),"X"," ")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>X</v>
      </c>
    </row>
    <row r="40" spans="1:24" x14ac:dyDescent="0.2">
      <c r="A40" s="28">
        <v>2584</v>
      </c>
      <c r="B40" s="56" t="s">
        <v>26</v>
      </c>
      <c r="C40" s="6">
        <v>78177</v>
      </c>
      <c r="D40" s="5">
        <v>50282</v>
      </c>
      <c r="E40" s="5">
        <v>27895</v>
      </c>
      <c r="F40" s="6">
        <v>56298</v>
      </c>
      <c r="G40" s="5">
        <v>66073</v>
      </c>
      <c r="H40" s="5">
        <v>-9775</v>
      </c>
      <c r="I40" s="6">
        <v>59140</v>
      </c>
      <c r="J40" s="5">
        <v>70573</v>
      </c>
      <c r="K40" s="5">
        <v>-11433</v>
      </c>
      <c r="L40" s="6">
        <v>61670</v>
      </c>
      <c r="M40" s="5">
        <v>70908</v>
      </c>
      <c r="N40" s="5">
        <v>-9238</v>
      </c>
      <c r="O40" s="6">
        <f t="shared" si="3"/>
        <v>6687</v>
      </c>
      <c r="P40" s="72">
        <f t="shared" si="4"/>
        <v>3.5772940528221948E-2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93" t="str">
        <f>IF(AND(L40-I40&gt;=Summary!$C$132,N40-K40&gt;Summary!$C$132,N40&gt;0),"X"," ")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35618</v>
      </c>
      <c r="D41" s="5">
        <v>25871</v>
      </c>
      <c r="E41" s="5">
        <v>9747</v>
      </c>
      <c r="F41" s="6">
        <v>30781</v>
      </c>
      <c r="G41" s="5">
        <v>44637</v>
      </c>
      <c r="H41" s="5">
        <v>-13856</v>
      </c>
      <c r="I41" s="6">
        <v>41</v>
      </c>
      <c r="J41" s="5">
        <v>49197</v>
      </c>
      <c r="K41" s="5">
        <v>-49156</v>
      </c>
      <c r="L41" s="6">
        <v>32534</v>
      </c>
      <c r="M41" s="5">
        <v>46717</v>
      </c>
      <c r="N41" s="5">
        <v>-14183</v>
      </c>
      <c r="O41" s="6">
        <f t="shared" si="3"/>
        <v>-53265</v>
      </c>
      <c r="P41" s="72">
        <f t="shared" si="4"/>
        <v>-0.44496516465340086</v>
      </c>
      <c r="Q41" s="76"/>
      <c r="R41" s="67" t="str">
        <f>IF($C$4="High Inventory",IF(AND(O41&gt;=Summary!$C$128,P41&gt;=Summary!$C$129),"X"," "),IF(AND(O41&lt;=-Summary!$C$128,P41&lt;=-Summary!$C$129),"X"," "))</f>
        <v xml:space="preserve"> </v>
      </c>
      <c r="S41" s="93" t="str">
        <f>IF(AND(L41-I41&gt;=Summary!$C$132,N41-K41&gt;Summary!$C$132,N41&gt;0),"X"," ")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">
      <c r="A42" s="28">
        <v>2832</v>
      </c>
      <c r="B42" s="56" t="s">
        <v>26</v>
      </c>
      <c r="C42" s="6">
        <v>2801</v>
      </c>
      <c r="D42" s="5">
        <v>1863</v>
      </c>
      <c r="E42" s="5">
        <v>938</v>
      </c>
      <c r="F42" s="6">
        <v>2729</v>
      </c>
      <c r="G42" s="5">
        <v>2670</v>
      </c>
      <c r="H42" s="5">
        <v>59</v>
      </c>
      <c r="I42" s="6">
        <v>5801</v>
      </c>
      <c r="J42" s="5">
        <v>4080</v>
      </c>
      <c r="K42" s="5">
        <v>1721</v>
      </c>
      <c r="L42" s="6">
        <v>1724</v>
      </c>
      <c r="M42" s="5">
        <v>4781</v>
      </c>
      <c r="N42" s="5">
        <v>-3057</v>
      </c>
      <c r="O42" s="6">
        <f t="shared" si="3"/>
        <v>2718</v>
      </c>
      <c r="P42" s="72">
        <f t="shared" si="4"/>
        <v>0.31553285349431159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93" t="str">
        <f>IF(AND(L42-I42&gt;=Summary!$C$132,N42-K42&gt;Summary!$C$132,N42&gt;0),"X"," ")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2892</v>
      </c>
      <c r="B43" s="56" t="s">
        <v>26</v>
      </c>
      <c r="C43" s="6">
        <v>170</v>
      </c>
      <c r="D43" s="5">
        <v>170</v>
      </c>
      <c r="E43" s="5">
        <v>0</v>
      </c>
      <c r="F43" s="6">
        <v>170</v>
      </c>
      <c r="G43" s="5">
        <v>188</v>
      </c>
      <c r="H43" s="5">
        <v>-18</v>
      </c>
      <c r="I43" s="6">
        <v>170</v>
      </c>
      <c r="J43" s="5">
        <v>191</v>
      </c>
      <c r="K43" s="5">
        <v>-21</v>
      </c>
      <c r="L43" s="6">
        <v>170</v>
      </c>
      <c r="M43" s="5">
        <v>193</v>
      </c>
      <c r="N43" s="5">
        <v>-23</v>
      </c>
      <c r="O43" s="6">
        <f t="shared" si="3"/>
        <v>-39</v>
      </c>
      <c r="P43" s="72">
        <f t="shared" si="4"/>
        <v>-7.0909090909090908E-2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93" t="str">
        <f>IF(AND(L43-I43&gt;=Summary!$C$132,N43-K43&gt;Summary!$C$132,N43&gt;0),"X"," ")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10368</v>
      </c>
      <c r="D44" s="5">
        <v>6823</v>
      </c>
      <c r="E44" s="5">
        <v>3545</v>
      </c>
      <c r="F44" s="6">
        <v>10368</v>
      </c>
      <c r="G44" s="5">
        <v>8968</v>
      </c>
      <c r="H44" s="5">
        <v>1400</v>
      </c>
      <c r="I44" s="6">
        <v>8070</v>
      </c>
      <c r="J44" s="5">
        <v>9284</v>
      </c>
      <c r="K44" s="5">
        <v>-1214</v>
      </c>
      <c r="L44" s="6">
        <v>6962</v>
      </c>
      <c r="M44" s="5">
        <v>9176</v>
      </c>
      <c r="N44" s="5">
        <v>-2214</v>
      </c>
      <c r="O44" s="6">
        <f t="shared" si="3"/>
        <v>3731</v>
      </c>
      <c r="P44" s="72">
        <f t="shared" si="4"/>
        <v>0.14878768543627371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93" t="str">
        <f>IF(AND(L44-I44&gt;=Summary!$C$132,N44-K44&gt;Summary!$C$132,N44&gt;0),"X"," ")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>X</v>
      </c>
    </row>
    <row r="45" spans="1:24" x14ac:dyDescent="0.2">
      <c r="A45" s="28">
        <v>4303</v>
      </c>
      <c r="B45" s="56" t="s">
        <v>26</v>
      </c>
      <c r="C45" s="6">
        <v>2827</v>
      </c>
      <c r="D45" s="5">
        <v>1895</v>
      </c>
      <c r="E45" s="5">
        <v>932</v>
      </c>
      <c r="F45" s="6">
        <v>2314</v>
      </c>
      <c r="G45" s="5">
        <v>3123</v>
      </c>
      <c r="H45" s="5">
        <v>-809</v>
      </c>
      <c r="I45" s="6">
        <v>2827</v>
      </c>
      <c r="J45" s="5">
        <v>3137</v>
      </c>
      <c r="K45" s="5">
        <v>-310</v>
      </c>
      <c r="L45" s="6">
        <v>2326</v>
      </c>
      <c r="M45" s="5">
        <v>3159</v>
      </c>
      <c r="N45" s="5">
        <v>-833</v>
      </c>
      <c r="O45" s="6">
        <f t="shared" si="3"/>
        <v>-187</v>
      </c>
      <c r="P45" s="72">
        <f t="shared" si="4"/>
        <v>-2.2927905836194213E-2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93" t="str">
        <f>IF(AND(L45-I45&gt;=Summary!$C$132,N45-K45&gt;Summary!$C$132,N45&gt;0),"X"," ")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6852</v>
      </c>
      <c r="J46" s="5">
        <v>0</v>
      </c>
      <c r="K46" s="5">
        <v>6852</v>
      </c>
      <c r="L46" s="6">
        <v>0</v>
      </c>
      <c r="M46" s="5">
        <v>0</v>
      </c>
      <c r="N46" s="5">
        <v>0</v>
      </c>
      <c r="O46" s="6">
        <f t="shared" si="3"/>
        <v>6852</v>
      </c>
      <c r="P46" s="72">
        <f t="shared" si="4"/>
        <v>6852</v>
      </c>
      <c r="Q46" s="8"/>
      <c r="R46" s="67" t="str">
        <f>IF($C$4="High Inventory",IF(AND(O46&gt;=Summary!$C$128,P46&gt;=Summary!$C$129),"X"," "),IF(AND(O46&lt;=-Summary!$C$128,P46&lt;=-Summary!$C$129),"X"," "))</f>
        <v>X</v>
      </c>
      <c r="S46" s="93" t="str">
        <f>IF(AND(L46-I46&gt;=Summary!$C$132,N46-K46&gt;Summary!$C$132,N46&gt;0),"X"," ")</f>
        <v xml:space="preserve"> </v>
      </c>
      <c r="T46" s="8" t="str">
        <f>IF($C$4="High Inventory",IF(AND($O46&gt;=Summary!$C$128,$P46&gt;=0%),"X"," "),IF(AND($O46&lt;=-Summary!$C$128,$P46&lt;=0%),"X"," "))</f>
        <v>X</v>
      </c>
      <c r="U46" s="11" t="str">
        <f>IF($C$4="High Inventory",IF(AND($O46&gt;=0,$P46&gt;=Summary!$C$129),"X"," "),IF(AND($O46&lt;=0,$P46&lt;=-Summary!$C$129),"X"," "))</f>
        <v>X</v>
      </c>
      <c r="V46" t="str">
        <f t="shared" si="5"/>
        <v xml:space="preserve"> </v>
      </c>
      <c r="W46" t="str">
        <f>IF($C$4="High Inventory",IF(O46&gt;Summary!$C$128,"X"," "),IF(O46&lt;-Summary!$C$128,"X"," "))</f>
        <v>X</v>
      </c>
      <c r="X46" t="str">
        <f>IF($C$4="High Inventory",IF(P46&gt;Summary!$C$129,"X"," "),IF(P46&lt;-Summary!$C$129,"X"," "))</f>
        <v>X</v>
      </c>
    </row>
    <row r="47" spans="1:24" x14ac:dyDescent="0.2">
      <c r="A47" s="28">
        <v>4760</v>
      </c>
      <c r="B47" s="56" t="s">
        <v>26</v>
      </c>
      <c r="C47" s="6">
        <v>203072</v>
      </c>
      <c r="D47" s="5">
        <v>101610</v>
      </c>
      <c r="E47" s="5">
        <v>101462</v>
      </c>
      <c r="F47" s="6">
        <v>198666</v>
      </c>
      <c r="G47" s="5">
        <v>201036</v>
      </c>
      <c r="H47" s="5">
        <v>-2370</v>
      </c>
      <c r="I47" s="6">
        <v>187072</v>
      </c>
      <c r="J47" s="5">
        <v>188026</v>
      </c>
      <c r="K47" s="5">
        <v>-954</v>
      </c>
      <c r="L47" s="6">
        <v>169283</v>
      </c>
      <c r="M47" s="5">
        <v>186918</v>
      </c>
      <c r="N47" s="5">
        <v>-17635</v>
      </c>
      <c r="O47" s="6">
        <f t="shared" si="3"/>
        <v>98138</v>
      </c>
      <c r="P47" s="72">
        <f t="shared" si="4"/>
        <v>0.20000692925838592</v>
      </c>
      <c r="Q47" s="8"/>
      <c r="R47" s="67" t="str">
        <f>IF($C$4="High Inventory",IF(AND(O47&gt;=Summary!$C$128,P47&gt;=Summary!$C$129),"X"," "),IF(AND(O47&lt;=-Summary!$C$128,P47&lt;=-Summary!$C$129),"X"," "))</f>
        <v>X</v>
      </c>
      <c r="S47" s="93" t="str">
        <f>IF(AND(L47-I47&gt;=Summary!$C$132,N47-K47&gt;Summary!$C$132,N47&gt;0),"X"," ")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">
      <c r="A48" s="28">
        <v>6084</v>
      </c>
      <c r="B48" s="56" t="s">
        <v>26</v>
      </c>
      <c r="C48" s="6">
        <v>0</v>
      </c>
      <c r="D48" s="5">
        <v>0</v>
      </c>
      <c r="E48" s="5">
        <v>0</v>
      </c>
      <c r="F48" s="6">
        <v>0</v>
      </c>
      <c r="G48" s="5">
        <v>14</v>
      </c>
      <c r="H48" s="5">
        <v>-14</v>
      </c>
      <c r="I48" s="6">
        <v>0</v>
      </c>
      <c r="J48" s="5">
        <v>8</v>
      </c>
      <c r="K48" s="5">
        <v>-8</v>
      </c>
      <c r="L48" s="6">
        <v>0</v>
      </c>
      <c r="M48" s="5">
        <v>5</v>
      </c>
      <c r="N48" s="5">
        <v>-5</v>
      </c>
      <c r="O48" s="6">
        <f t="shared" si="3"/>
        <v>-22</v>
      </c>
      <c r="P48" s="72">
        <f t="shared" si="4"/>
        <v>-0.95652173913043481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93" t="str">
        <f>IF(AND(L48-I48&gt;=Summary!$C$132,N48-K48&gt;Summary!$C$132,N48&gt;0),"X"," ")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10944</v>
      </c>
      <c r="E49" s="5">
        <v>556</v>
      </c>
      <c r="F49" s="6">
        <v>11500</v>
      </c>
      <c r="G49" s="5">
        <v>12277</v>
      </c>
      <c r="H49" s="5">
        <v>-777</v>
      </c>
      <c r="I49" s="6">
        <v>11500</v>
      </c>
      <c r="J49" s="5">
        <v>11793</v>
      </c>
      <c r="K49" s="5">
        <v>-293</v>
      </c>
      <c r="L49" s="6">
        <v>11500</v>
      </c>
      <c r="M49" s="5">
        <v>11446</v>
      </c>
      <c r="N49" s="5">
        <v>54</v>
      </c>
      <c r="O49" s="6">
        <f t="shared" si="3"/>
        <v>-514</v>
      </c>
      <c r="P49" s="72">
        <f t="shared" si="4"/>
        <v>-1.4679423104383835E-2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93" t="str">
        <f>IF(AND(L49-I49&gt;=Summary!$C$132,N49-K49&gt;Summary!$C$132,N49&gt;0),"X"," ")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31026</v>
      </c>
      <c r="D50" s="5">
        <v>24973</v>
      </c>
      <c r="E50" s="5">
        <v>6053</v>
      </c>
      <c r="F50" s="6">
        <v>27256</v>
      </c>
      <c r="G50" s="5">
        <v>30802</v>
      </c>
      <c r="H50" s="5">
        <v>-3546</v>
      </c>
      <c r="I50" s="6">
        <v>28373</v>
      </c>
      <c r="J50" s="5">
        <v>30746</v>
      </c>
      <c r="K50" s="5">
        <v>-2373</v>
      </c>
      <c r="L50" s="6">
        <v>29570</v>
      </c>
      <c r="M50" s="5">
        <v>29515</v>
      </c>
      <c r="N50" s="5">
        <v>55</v>
      </c>
      <c r="O50" s="6">
        <f t="shared" si="3"/>
        <v>134</v>
      </c>
      <c r="P50" s="72">
        <f t="shared" si="4"/>
        <v>1.548739049027993E-3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93" t="str">
        <f>IF(AND(L50-I50&gt;=Summary!$C$132,N50-K50&gt;Summary!$C$132,N50&gt;0),"X"," ")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66421</v>
      </c>
      <c r="D51" s="5">
        <v>12193</v>
      </c>
      <c r="E51" s="5">
        <v>54228</v>
      </c>
      <c r="F51" s="6">
        <v>46761</v>
      </c>
      <c r="G51" s="5">
        <v>50001</v>
      </c>
      <c r="H51" s="5">
        <v>-3240</v>
      </c>
      <c r="I51" s="6">
        <v>39284</v>
      </c>
      <c r="J51" s="5">
        <v>48462</v>
      </c>
      <c r="K51" s="5">
        <v>-9178</v>
      </c>
      <c r="L51" s="6">
        <v>58360</v>
      </c>
      <c r="M51" s="5">
        <v>57688</v>
      </c>
      <c r="N51" s="5">
        <v>672</v>
      </c>
      <c r="O51" s="6">
        <f t="shared" si="3"/>
        <v>41810</v>
      </c>
      <c r="P51" s="72">
        <f t="shared" si="4"/>
        <v>0.37783420840977072</v>
      </c>
      <c r="Q51" s="76"/>
      <c r="R51" s="67" t="str">
        <f>IF($C$4="High Inventory",IF(AND(O51&gt;=Summary!$C$128,P51&gt;=Summary!$C$129),"X"," "),IF(AND(O51&lt;=-Summary!$C$128,P51&lt;=-Summary!$C$129),"X"," "))</f>
        <v>X</v>
      </c>
      <c r="S51" s="93" t="str">
        <f>IF(AND(L51-I51&gt;=Summary!$C$132,N51-K51&gt;Summary!$C$132,N51&gt;0),"X"," ")</f>
        <v>X</v>
      </c>
      <c r="T51" s="8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>
        <f t="shared" si="5"/>
        <v>19076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">
      <c r="A52" s="28">
        <v>30069</v>
      </c>
      <c r="B52" s="56" t="s">
        <v>26</v>
      </c>
      <c r="C52" s="6">
        <v>9519</v>
      </c>
      <c r="D52" s="5">
        <v>10166</v>
      </c>
      <c r="E52" s="5">
        <v>-647</v>
      </c>
      <c r="F52" s="6">
        <v>8728</v>
      </c>
      <c r="G52" s="5">
        <v>10268</v>
      </c>
      <c r="H52" s="5">
        <v>-1540</v>
      </c>
      <c r="I52" s="6">
        <v>2685</v>
      </c>
      <c r="J52" s="5">
        <v>10685</v>
      </c>
      <c r="K52" s="5">
        <v>-8000</v>
      </c>
      <c r="L52" s="6">
        <v>9950</v>
      </c>
      <c r="M52" s="5">
        <v>10276</v>
      </c>
      <c r="N52" s="5">
        <v>-326</v>
      </c>
      <c r="O52" s="6">
        <f t="shared" si="3"/>
        <v>-10187</v>
      </c>
      <c r="P52" s="72">
        <f t="shared" si="4"/>
        <v>-0.32734575835475577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93" t="str">
        <f>IF(AND(L52-I52&gt;=Summary!$C$132,N52-K52&gt;Summary!$C$132,N52&gt;0),"X"," ")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93" t="str">
        <f>IF(AND(L53-I53&gt;=Summary!$C$132,N53-K53&gt;Summary!$C$132,N53&gt;0),"X"," ")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10922</v>
      </c>
      <c r="D54" s="5">
        <v>5799</v>
      </c>
      <c r="E54" s="5">
        <v>5123</v>
      </c>
      <c r="F54" s="6">
        <v>10922</v>
      </c>
      <c r="G54" s="5">
        <v>8382</v>
      </c>
      <c r="H54" s="5">
        <v>2540</v>
      </c>
      <c r="I54" s="6">
        <v>10922</v>
      </c>
      <c r="J54" s="5">
        <v>9044</v>
      </c>
      <c r="K54" s="5">
        <v>1878</v>
      </c>
      <c r="L54" s="6">
        <v>10922</v>
      </c>
      <c r="M54" s="5">
        <v>8856</v>
      </c>
      <c r="N54" s="5">
        <v>2066</v>
      </c>
      <c r="O54" s="6">
        <f t="shared" si="3"/>
        <v>9541</v>
      </c>
      <c r="P54" s="72">
        <f t="shared" si="4"/>
        <v>0.41078963230861965</v>
      </c>
      <c r="Q54" s="76"/>
      <c r="R54" s="67" t="str">
        <f>IF($C$4="High Inventory",IF(AND(O54&gt;=Summary!$C$128,P54&gt;=Summary!$C$129),"X"," "),IF(AND(O54&lt;=-Summary!$C$128,P54&lt;=-Summary!$C$129),"X"," "))</f>
        <v>X</v>
      </c>
      <c r="S54" s="93" t="str">
        <f>IF(AND(L54-I54&gt;=Summary!$C$132,N54-K54&gt;Summary!$C$132,N54&gt;0),"X"," ")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5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93" t="str">
        <f>IF(AND(L55-I55&gt;=Summary!$C$132,N55-K55&gt;Summary!$C$132,N55&gt;0),"X"," ")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201</v>
      </c>
      <c r="B56" s="56" t="s">
        <v>27</v>
      </c>
      <c r="C56" s="6">
        <v>0</v>
      </c>
      <c r="D56" s="5">
        <v>20</v>
      </c>
      <c r="E56" s="5">
        <v>-20</v>
      </c>
      <c r="F56" s="6">
        <v>0</v>
      </c>
      <c r="G56" s="5">
        <v>226</v>
      </c>
      <c r="H56" s="5">
        <v>-226</v>
      </c>
      <c r="I56" s="6">
        <v>0</v>
      </c>
      <c r="J56" s="5">
        <v>230</v>
      </c>
      <c r="K56" s="5">
        <v>-230</v>
      </c>
      <c r="L56" s="6">
        <v>0</v>
      </c>
      <c r="M56" s="5">
        <v>219</v>
      </c>
      <c r="N56" s="5">
        <v>-219</v>
      </c>
      <c r="O56" s="6">
        <f t="shared" si="3"/>
        <v>-476</v>
      </c>
      <c r="P56" s="72">
        <f t="shared" si="4"/>
        <v>-0.99790356394129975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93" t="str">
        <f>IF(AND(L56-I56&gt;=Summary!$C$132,N56-K56&gt;Summary!$C$132,N56&gt;0),"X"," ")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93" t="str">
        <f>IF(AND(L57-I57&gt;=Summary!$C$132,N57-K57&gt;Summary!$C$132,N57&gt;0),"X"," ")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93" t="str">
        <f>IF(AND(L58-I58&gt;=Summary!$C$132,N58-K58&gt;Summary!$C$132,N58&gt;0),"X"," ")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93" t="str">
        <f>IF(AND(L59-I59&gt;=Summary!$C$132,N59-K59&gt;Summary!$C$132,N59&gt;0),"X"," ")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512</v>
      </c>
      <c r="B60" s="56" t="s">
        <v>27</v>
      </c>
      <c r="C60" s="6">
        <v>1700</v>
      </c>
      <c r="D60" s="5">
        <v>1474</v>
      </c>
      <c r="E60" s="5">
        <v>226</v>
      </c>
      <c r="F60" s="6">
        <v>1700</v>
      </c>
      <c r="G60" s="5">
        <v>1238</v>
      </c>
      <c r="H60" s="5">
        <v>462</v>
      </c>
      <c r="I60" s="6">
        <v>1700</v>
      </c>
      <c r="J60" s="5">
        <v>3103</v>
      </c>
      <c r="K60" s="5">
        <v>-1403</v>
      </c>
      <c r="L60" s="6">
        <v>1700</v>
      </c>
      <c r="M60" s="5">
        <v>2815</v>
      </c>
      <c r="N60" s="5">
        <v>-1115</v>
      </c>
      <c r="O60" s="6">
        <f t="shared" si="3"/>
        <v>-715</v>
      </c>
      <c r="P60" s="72">
        <f t="shared" si="4"/>
        <v>-0.12293672627235214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93" t="str">
        <f>IF(AND(L60-I60&gt;=Summary!$C$132,N60-K60&gt;Summary!$C$132,N60&gt;0),"X"," ")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757</v>
      </c>
      <c r="B61" s="56" t="s">
        <v>27</v>
      </c>
      <c r="C61" s="6">
        <v>0</v>
      </c>
      <c r="D61" s="5">
        <v>493</v>
      </c>
      <c r="E61" s="5">
        <v>-493</v>
      </c>
      <c r="F61" s="6">
        <v>450</v>
      </c>
      <c r="G61" s="5">
        <v>494</v>
      </c>
      <c r="H61" s="5">
        <v>-44</v>
      </c>
      <c r="I61" s="6">
        <v>0</v>
      </c>
      <c r="J61" s="5">
        <v>494</v>
      </c>
      <c r="K61" s="5">
        <v>-494</v>
      </c>
      <c r="L61" s="6">
        <v>0</v>
      </c>
      <c r="M61" s="5">
        <v>491</v>
      </c>
      <c r="N61" s="5">
        <v>-491</v>
      </c>
      <c r="O61" s="6">
        <f t="shared" si="3"/>
        <v>-1031</v>
      </c>
      <c r="P61" s="72">
        <f t="shared" si="4"/>
        <v>-0.69568151147098511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93" t="str">
        <f>IF(AND(L61-I61&gt;=Summary!$C$132,N61-K61&gt;Summary!$C$132,N61&gt;0),"X"," ")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779</v>
      </c>
      <c r="B62" s="56" t="s">
        <v>27</v>
      </c>
      <c r="C62" s="6">
        <v>1000</v>
      </c>
      <c r="D62" s="5">
        <v>0</v>
      </c>
      <c r="E62" s="5">
        <v>1000</v>
      </c>
      <c r="F62" s="6">
        <v>1000</v>
      </c>
      <c r="G62" s="5">
        <v>919</v>
      </c>
      <c r="H62" s="5">
        <v>81</v>
      </c>
      <c r="I62" s="6">
        <v>1000</v>
      </c>
      <c r="J62" s="5">
        <v>1320</v>
      </c>
      <c r="K62" s="5">
        <v>-320</v>
      </c>
      <c r="L62" s="6">
        <v>1000</v>
      </c>
      <c r="M62" s="5">
        <v>1170</v>
      </c>
      <c r="N62" s="5">
        <v>-170</v>
      </c>
      <c r="O62" s="6">
        <f t="shared" si="3"/>
        <v>761</v>
      </c>
      <c r="P62" s="72">
        <f t="shared" si="4"/>
        <v>0.33973214285714287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93" t="str">
        <f>IF(AND(L62-I62&gt;=Summary!$C$132,N62-K62&gt;Summary!$C$132,N62&gt;0),"X"," ")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1</v>
      </c>
      <c r="K63" s="5">
        <v>-1</v>
      </c>
      <c r="L63" s="6">
        <v>0</v>
      </c>
      <c r="M63" s="5">
        <v>2</v>
      </c>
      <c r="N63" s="5">
        <v>-2</v>
      </c>
      <c r="O63" s="6">
        <f t="shared" si="3"/>
        <v>-1</v>
      </c>
      <c r="P63" s="72">
        <f t="shared" si="4"/>
        <v>-0.5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93" t="str">
        <f>IF(AND(L63-I63&gt;=Summary!$C$132,N63-K63&gt;Summary!$C$132,N63&gt;0),"X"," ")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93" t="str">
        <f>IF(AND(L64-I64&gt;=Summary!$C$132,N64-K64&gt;Summary!$C$132,N64&gt;0),"X"," ")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93" t="str">
        <f>IF(AND(L65-I65&gt;=Summary!$C$132,N65-K65&gt;Summary!$C$132,N65&gt;0),"X"," ")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166</v>
      </c>
      <c r="D66" s="5">
        <v>276</v>
      </c>
      <c r="E66" s="5">
        <v>-110</v>
      </c>
      <c r="F66" s="6">
        <v>164</v>
      </c>
      <c r="G66" s="5">
        <v>474</v>
      </c>
      <c r="H66" s="5">
        <v>-310</v>
      </c>
      <c r="I66" s="6">
        <v>132</v>
      </c>
      <c r="J66" s="5">
        <v>335</v>
      </c>
      <c r="K66" s="5">
        <v>-203</v>
      </c>
      <c r="L66" s="6">
        <v>190</v>
      </c>
      <c r="M66" s="5">
        <v>187</v>
      </c>
      <c r="N66" s="5">
        <v>3</v>
      </c>
      <c r="O66" s="6">
        <f t="shared" si="6"/>
        <v>-623</v>
      </c>
      <c r="P66" s="72">
        <f t="shared" ref="P66:P85" si="7">O66/(J66+G66+D66+1)</f>
        <v>-0.57366482504604055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93" t="str">
        <f>IF(AND(L66-I66&gt;=Summary!$C$132,N66-K66&gt;Summary!$C$132,N66&gt;0),"X"," ")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93" t="str">
        <f>IF(AND(L67-I67&gt;=Summary!$C$132,N67-K67&gt;Summary!$C$132,N67&gt;0),"X"," ")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93" t="str">
        <f>IF(AND(L68-I68&gt;=Summary!$C$132,N68-K68&gt;Summary!$C$132,N68&gt;0),"X"," ")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7602</v>
      </c>
      <c r="B69" s="56" t="s">
        <v>27</v>
      </c>
      <c r="C69" s="6">
        <v>60000</v>
      </c>
      <c r="D69" s="5">
        <v>39502</v>
      </c>
      <c r="E69" s="5">
        <v>20498</v>
      </c>
      <c r="F69" s="6">
        <v>37500</v>
      </c>
      <c r="G69" s="5">
        <v>41159</v>
      </c>
      <c r="H69" s="5">
        <v>-3659</v>
      </c>
      <c r="I69" s="6">
        <v>36000</v>
      </c>
      <c r="J69" s="5">
        <v>42702</v>
      </c>
      <c r="K69" s="5">
        <v>-6702</v>
      </c>
      <c r="L69" s="6">
        <v>41415</v>
      </c>
      <c r="M69" s="5">
        <v>45475</v>
      </c>
      <c r="N69" s="5">
        <v>-4060</v>
      </c>
      <c r="O69" s="6">
        <f t="shared" si="6"/>
        <v>10137</v>
      </c>
      <c r="P69" s="72">
        <f t="shared" si="7"/>
        <v>8.217146006938815E-2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93" t="str">
        <f>IF(AND(L69-I69&gt;=Summary!$C$132,N69-K69&gt;Summary!$C$132,N69&gt;0),"X"," ")</f>
        <v xml:space="preserve"> </v>
      </c>
      <c r="T69" s="8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7604</v>
      </c>
      <c r="B70" s="56" t="s">
        <v>27</v>
      </c>
      <c r="C70" s="6">
        <v>45077</v>
      </c>
      <c r="D70" s="5">
        <v>45478</v>
      </c>
      <c r="E70" s="5">
        <v>-401</v>
      </c>
      <c r="F70" s="6">
        <v>44733</v>
      </c>
      <c r="G70" s="5">
        <v>43787</v>
      </c>
      <c r="H70" s="5">
        <v>946</v>
      </c>
      <c r="I70" s="6">
        <v>51390</v>
      </c>
      <c r="J70" s="5">
        <v>48046</v>
      </c>
      <c r="K70" s="5">
        <v>3344</v>
      </c>
      <c r="L70" s="6">
        <v>43363</v>
      </c>
      <c r="M70" s="5">
        <v>54938</v>
      </c>
      <c r="N70" s="5">
        <v>-11575</v>
      </c>
      <c r="O70" s="6">
        <f t="shared" si="6"/>
        <v>3889</v>
      </c>
      <c r="P70" s="72">
        <f t="shared" si="7"/>
        <v>2.8322360755068748E-2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93" t="str">
        <f>IF(AND(L70-I70&gt;=Summary!$C$132,N70-K70&gt;Summary!$C$132,N70&gt;0),"X"," ")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7610</v>
      </c>
      <c r="B71" s="56" t="s">
        <v>27</v>
      </c>
      <c r="C71" s="6">
        <v>0</v>
      </c>
      <c r="D71" s="5">
        <v>188</v>
      </c>
      <c r="E71" s="5">
        <v>-188</v>
      </c>
      <c r="F71" s="6">
        <v>0</v>
      </c>
      <c r="G71" s="5">
        <v>179</v>
      </c>
      <c r="H71" s="5">
        <v>-179</v>
      </c>
      <c r="I71" s="6">
        <v>0</v>
      </c>
      <c r="J71" s="5">
        <v>140</v>
      </c>
      <c r="K71" s="5">
        <v>-140</v>
      </c>
      <c r="L71" s="6">
        <v>0</v>
      </c>
      <c r="M71" s="5">
        <v>117</v>
      </c>
      <c r="N71" s="5">
        <v>-117</v>
      </c>
      <c r="O71" s="6">
        <f t="shared" si="6"/>
        <v>-507</v>
      </c>
      <c r="P71" s="72">
        <f t="shared" si="7"/>
        <v>-0.99803149606299213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93" t="str">
        <f>IF(AND(L71-I71&gt;=Summary!$C$132,N71-K71&gt;Summary!$C$132,N71&gt;0),"X"," ")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93" t="str">
        <f>IF(AND(L72-I72&gt;=Summary!$C$132,N72-K72&gt;Summary!$C$132,N72&gt;0),"X"," ")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93" t="str">
        <f>IF(AND(L73-I73&gt;=Summary!$C$132,N73-K73&gt;Summary!$C$132,N73&gt;0),"X"," ")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93" t="str">
        <f>IF(AND(L74-I74&gt;=Summary!$C$132,N74-K74&gt;Summary!$C$132,N74&gt;0),"X"," ")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93" t="str">
        <f>IF(AND(L75-I75&gt;=Summary!$C$132,N75-K75&gt;Summary!$C$132,N75&gt;0),"X"," ")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93" t="str">
        <f>IF(AND(L76-I76&gt;=Summary!$C$132,N76-K76&gt;Summary!$C$132,N76&gt;0),"X"," ")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13636</v>
      </c>
      <c r="B77" s="56" t="s">
        <v>27</v>
      </c>
      <c r="C77" s="6">
        <v>105</v>
      </c>
      <c r="D77" s="5">
        <v>0</v>
      </c>
      <c r="E77" s="5">
        <v>105</v>
      </c>
      <c r="F77" s="6">
        <v>104</v>
      </c>
      <c r="G77" s="5">
        <v>0</v>
      </c>
      <c r="H77" s="5">
        <v>104</v>
      </c>
      <c r="I77" s="6">
        <v>83</v>
      </c>
      <c r="J77" s="5">
        <v>0</v>
      </c>
      <c r="K77" s="5">
        <v>83</v>
      </c>
      <c r="L77" s="6">
        <v>120</v>
      </c>
      <c r="M77" s="5">
        <v>0</v>
      </c>
      <c r="N77" s="5">
        <v>120</v>
      </c>
      <c r="O77" s="6">
        <f t="shared" si="6"/>
        <v>292</v>
      </c>
      <c r="P77" s="72">
        <f t="shared" si="7"/>
        <v>292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93" t="str">
        <f>IF(AND(L77-I77&gt;=Summary!$C$132,N77-K77&gt;Summary!$C$132,N77&gt;0),"X"," ")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93" t="str">
        <f>IF(AND(L78-I78&gt;=Summary!$C$132,N78-K78&gt;Summary!$C$132,N78&gt;0),"X"," ")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93" t="str">
        <f>IF(AND(L79-I79&gt;=Summary!$C$132,N79-K79&gt;Summary!$C$132,N79&gt;0),"X"," ")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30049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6</v>
      </c>
      <c r="H80" s="5">
        <v>-6</v>
      </c>
      <c r="I80" s="6">
        <v>0</v>
      </c>
      <c r="J80" s="5">
        <v>8</v>
      </c>
      <c r="K80" s="5">
        <v>-8</v>
      </c>
      <c r="L80" s="6">
        <v>0</v>
      </c>
      <c r="M80" s="5">
        <v>7</v>
      </c>
      <c r="N80" s="5">
        <v>-7</v>
      </c>
      <c r="O80" s="6">
        <f t="shared" si="6"/>
        <v>-14</v>
      </c>
      <c r="P80" s="72">
        <f t="shared" si="7"/>
        <v>-0.93333333333333335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93" t="str">
        <f>IF(AND(L80-I80&gt;=Summary!$C$132,N80-K80&gt;Summary!$C$132,N80&gt;0),"X","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1</v>
      </c>
      <c r="K81" s="5">
        <v>-1</v>
      </c>
      <c r="L81" s="6">
        <v>0</v>
      </c>
      <c r="M81" s="5">
        <v>0</v>
      </c>
      <c r="N81" s="5">
        <v>0</v>
      </c>
      <c r="O81" s="6">
        <f t="shared" si="6"/>
        <v>-1</v>
      </c>
      <c r="P81" s="72">
        <f t="shared" si="7"/>
        <v>-0.5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93" t="str">
        <f>IF(AND(L81-I81&gt;=Summary!$C$132,N81-K81&gt;Summary!$C$132,N81&gt;0),"X"," ")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6"/>
        <v>0</v>
      </c>
      <c r="P82" s="72">
        <f t="shared" si="7"/>
        <v>0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93" t="str">
        <f>IF(AND(L82-I82&gt;=Summary!$C$132,N82-K82&gt;Summary!$C$132,N82&gt;0),"X"," ")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93" t="str">
        <f>IF(AND(L83-I83&gt;=Summary!$C$132,N83-K83&gt;Summary!$C$132,N83&gt;0),"X"," ")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93" t="str">
        <f>IF(AND(L84-I84&gt;=Summary!$C$132,N84-K84&gt;Summary!$C$132,N84&gt;0),"X"," ")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5" thickBot="1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94" t="str">
        <f>IF(AND(L85-I85&gt;=Summary!$C$132,N85-K85&gt;Summary!$C$132,N85&gt;0),"X"," ")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s="3" customFormat="1" x14ac:dyDescent="0.2">
      <c r="A86" s="2" t="s">
        <v>28</v>
      </c>
      <c r="B86" s="2"/>
      <c r="E86" s="3">
        <f>SUM(E10:E85)</f>
        <v>522546</v>
      </c>
      <c r="H86" s="3">
        <f>SUM(H11:H85)</f>
        <v>-44593</v>
      </c>
      <c r="K86" s="3">
        <f>SUM(K11:K85)</f>
        <v>91084</v>
      </c>
      <c r="M86" s="3">
        <f>SUM(M11:M85)</f>
        <v>1763911</v>
      </c>
      <c r="N86" s="3">
        <f>SUM(N11:N85)</f>
        <v>-133446</v>
      </c>
      <c r="P86" s="12"/>
      <c r="Q86" s="2">
        <f>COUNTIF(Q10:Q85,"X")</f>
        <v>0</v>
      </c>
      <c r="R86" s="2">
        <f>COUNTIF(R10:R85,"X")</f>
        <v>11</v>
      </c>
      <c r="S86" s="2">
        <f>COUNTIF(S10:S85,"X")</f>
        <v>1</v>
      </c>
      <c r="T86" s="2">
        <f>COUNTIF(T10:T85,"X")</f>
        <v>14</v>
      </c>
      <c r="U86" s="2">
        <f>COUNTIF(U10:U85,"X")</f>
        <v>20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">
      <c r="M87" s="89" t="s">
        <v>56</v>
      </c>
      <c r="N87" s="90">
        <f>N86/M86</f>
        <v>-7.5653476847754794E-2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7" activePane="bottomRight" state="frozen"/>
      <selection pane="topRight" activeCell="C1" sqref="C1"/>
      <selection pane="bottomLeft" activeCell="A10" sqref="A10"/>
      <selection pane="bottomRight" activeCell="A3" sqref="A3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36728</v>
      </c>
      <c r="D3" s="9"/>
    </row>
    <row r="4" spans="1:42" ht="15.75" x14ac:dyDescent="0.25">
      <c r="A4" s="58" t="s">
        <v>36</v>
      </c>
      <c r="C4" s="4" t="s">
        <v>60</v>
      </c>
      <c r="E4" s="97" t="s">
        <v>38</v>
      </c>
      <c r="G4" s="4" t="s">
        <v>65</v>
      </c>
    </row>
    <row r="5" spans="1:42" ht="16.5" thickBot="1" x14ac:dyDescent="0.3">
      <c r="A5" s="58" t="s">
        <v>39</v>
      </c>
      <c r="C5" s="4" t="s">
        <v>40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36725</v>
      </c>
      <c r="D8" s="180"/>
      <c r="E8" s="181" t="str">
        <f>TEXT(WEEKDAY(C8),"dddd")</f>
        <v>Tuesday</v>
      </c>
      <c r="F8" s="182">
        <f>F9</f>
        <v>36726</v>
      </c>
      <c r="G8" s="180"/>
      <c r="H8" s="181" t="str">
        <f>TEXT(WEEKDAY(F8),"dddd")</f>
        <v>Wednesday</v>
      </c>
      <c r="I8" s="182">
        <f>I9</f>
        <v>36727</v>
      </c>
      <c r="J8" s="180"/>
      <c r="K8" s="181" t="str">
        <f>TEXT(WEEKDAY(I8),"dddd")</f>
        <v>Thursday</v>
      </c>
      <c r="L8" s="182">
        <f>L9</f>
        <v>36728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36725</v>
      </c>
      <c r="D9" s="157">
        <v>36725</v>
      </c>
      <c r="E9" s="157">
        <v>36725</v>
      </c>
      <c r="F9" s="158">
        <v>36726</v>
      </c>
      <c r="G9" s="157">
        <v>36726</v>
      </c>
      <c r="H9" s="157">
        <v>36726</v>
      </c>
      <c r="I9" s="158">
        <v>36727</v>
      </c>
      <c r="J9" s="157">
        <v>36727</v>
      </c>
      <c r="K9" s="157">
        <v>36727</v>
      </c>
      <c r="L9" s="158">
        <v>36728</v>
      </c>
      <c r="M9" s="157">
        <v>36728</v>
      </c>
      <c r="N9" s="157">
        <v>36728</v>
      </c>
      <c r="O9" s="6">
        <f t="shared" ref="O9:O36" si="0">K9+H9+E9</f>
        <v>110178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299</v>
      </c>
      <c r="D11" s="5">
        <v>224</v>
      </c>
      <c r="E11" s="5">
        <v>75</v>
      </c>
      <c r="F11" s="6">
        <v>299</v>
      </c>
      <c r="G11" s="5">
        <v>205</v>
      </c>
      <c r="H11" s="5">
        <v>94</v>
      </c>
      <c r="I11" s="6">
        <v>299</v>
      </c>
      <c r="J11" s="5">
        <v>230</v>
      </c>
      <c r="K11" s="5">
        <v>69</v>
      </c>
      <c r="L11" s="6">
        <v>400</v>
      </c>
      <c r="M11" s="5">
        <v>212</v>
      </c>
      <c r="N11" s="5">
        <v>188</v>
      </c>
      <c r="O11" s="6">
        <f t="shared" si="0"/>
        <v>238</v>
      </c>
      <c r="P11" s="72">
        <f t="shared" si="1"/>
        <v>0.3606060606060606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238</v>
      </c>
      <c r="E12" s="5">
        <v>-238</v>
      </c>
      <c r="F12" s="6">
        <v>0</v>
      </c>
      <c r="G12" s="5">
        <v>218</v>
      </c>
      <c r="H12" s="5">
        <v>-218</v>
      </c>
      <c r="I12" s="6">
        <v>0</v>
      </c>
      <c r="J12" s="5">
        <v>245</v>
      </c>
      <c r="K12" s="5">
        <v>-245</v>
      </c>
      <c r="L12" s="6">
        <v>300</v>
      </c>
      <c r="M12" s="5">
        <v>226</v>
      </c>
      <c r="N12" s="5">
        <v>74</v>
      </c>
      <c r="O12" s="6">
        <f t="shared" si="0"/>
        <v>-701</v>
      </c>
      <c r="P12" s="72">
        <f t="shared" si="1"/>
        <v>-0.99857549857549854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125</v>
      </c>
      <c r="E13" s="5">
        <v>-25</v>
      </c>
      <c r="F13" s="6">
        <v>100</v>
      </c>
      <c r="G13" s="5">
        <v>114</v>
      </c>
      <c r="H13" s="5">
        <v>-14</v>
      </c>
      <c r="I13" s="6">
        <v>100</v>
      </c>
      <c r="J13" s="5">
        <v>128</v>
      </c>
      <c r="K13" s="5">
        <v>-28</v>
      </c>
      <c r="L13" s="6">
        <v>100</v>
      </c>
      <c r="M13" s="5">
        <v>118</v>
      </c>
      <c r="N13" s="5">
        <v>-18</v>
      </c>
      <c r="O13" s="6">
        <f t="shared" si="0"/>
        <v>-67</v>
      </c>
      <c r="P13" s="72">
        <f t="shared" si="1"/>
        <v>-0.18206521739130435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">
      <c r="A14" s="28">
        <v>1780</v>
      </c>
      <c r="B14" s="56" t="s">
        <v>25</v>
      </c>
      <c r="C14" s="6">
        <v>973</v>
      </c>
      <c r="D14" s="5">
        <v>987</v>
      </c>
      <c r="E14" s="5">
        <v>-14</v>
      </c>
      <c r="F14" s="6">
        <v>973</v>
      </c>
      <c r="G14" s="5">
        <v>906</v>
      </c>
      <c r="H14" s="5">
        <v>67</v>
      </c>
      <c r="I14" s="6">
        <v>1073</v>
      </c>
      <c r="J14" s="5">
        <v>1015</v>
      </c>
      <c r="K14" s="5">
        <v>58</v>
      </c>
      <c r="L14" s="6">
        <v>1073</v>
      </c>
      <c r="M14" s="5">
        <v>938</v>
      </c>
      <c r="N14" s="5">
        <v>135</v>
      </c>
      <c r="O14" s="6">
        <f t="shared" si="0"/>
        <v>111</v>
      </c>
      <c r="P14" s="72">
        <f t="shared" si="1"/>
        <v>3.8157442420075627E-2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735</v>
      </c>
      <c r="D15" s="5">
        <v>931</v>
      </c>
      <c r="E15" s="5">
        <v>-196</v>
      </c>
      <c r="F15" s="6">
        <v>735</v>
      </c>
      <c r="G15" s="5">
        <v>855</v>
      </c>
      <c r="H15" s="5">
        <v>-120</v>
      </c>
      <c r="I15" s="6">
        <v>735</v>
      </c>
      <c r="J15" s="5">
        <v>958</v>
      </c>
      <c r="K15" s="5">
        <v>-223</v>
      </c>
      <c r="L15" s="6">
        <v>782</v>
      </c>
      <c r="M15" s="5">
        <v>885</v>
      </c>
      <c r="N15" s="5">
        <v>-103</v>
      </c>
      <c r="O15" s="6">
        <f t="shared" si="0"/>
        <v>-539</v>
      </c>
      <c r="P15" s="72">
        <f t="shared" si="1"/>
        <v>-0.19635701275045536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>X</v>
      </c>
    </row>
    <row r="16" spans="1:42" x14ac:dyDescent="0.2">
      <c r="A16" s="28">
        <v>2584</v>
      </c>
      <c r="B16" s="56" t="s">
        <v>25</v>
      </c>
      <c r="C16" s="6">
        <v>2550</v>
      </c>
      <c r="D16" s="5">
        <v>3093</v>
      </c>
      <c r="E16" s="5">
        <v>-543</v>
      </c>
      <c r="F16" s="6">
        <v>2550</v>
      </c>
      <c r="G16" s="5">
        <v>2839</v>
      </c>
      <c r="H16" s="5">
        <v>-289</v>
      </c>
      <c r="I16" s="6">
        <v>3050</v>
      </c>
      <c r="J16" s="5">
        <v>3180</v>
      </c>
      <c r="K16" s="5">
        <v>-130</v>
      </c>
      <c r="L16" s="6">
        <v>3050</v>
      </c>
      <c r="M16" s="5">
        <v>2941</v>
      </c>
      <c r="N16" s="5">
        <v>109</v>
      </c>
      <c r="O16" s="6">
        <f t="shared" si="0"/>
        <v>-962</v>
      </c>
      <c r="P16" s="72">
        <f t="shared" si="1"/>
        <v>-0.10556348074179743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>X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>X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6251</v>
      </c>
      <c r="E17" s="5">
        <v>-2516</v>
      </c>
      <c r="F17" s="6">
        <v>3735</v>
      </c>
      <c r="G17" s="5">
        <v>5733</v>
      </c>
      <c r="H17" s="5">
        <v>-1998</v>
      </c>
      <c r="I17" s="6">
        <v>3735</v>
      </c>
      <c r="J17" s="5">
        <v>6414</v>
      </c>
      <c r="K17" s="5">
        <v>-2679</v>
      </c>
      <c r="L17" s="6">
        <v>6000</v>
      </c>
      <c r="M17" s="5">
        <v>5937</v>
      </c>
      <c r="N17" s="5">
        <v>63</v>
      </c>
      <c r="O17" s="6">
        <f t="shared" si="0"/>
        <v>-7193</v>
      </c>
      <c r="P17" s="72">
        <f t="shared" si="1"/>
        <v>-0.39094516006304691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978</v>
      </c>
      <c r="E18" s="5">
        <v>-178</v>
      </c>
      <c r="F18" s="6">
        <v>800</v>
      </c>
      <c r="G18" s="5">
        <v>898</v>
      </c>
      <c r="H18" s="5">
        <v>-98</v>
      </c>
      <c r="I18" s="6">
        <v>800</v>
      </c>
      <c r="J18" s="5">
        <v>1006</v>
      </c>
      <c r="K18" s="5">
        <v>-206</v>
      </c>
      <c r="L18" s="6">
        <v>925</v>
      </c>
      <c r="M18" s="5">
        <v>930</v>
      </c>
      <c r="N18" s="5">
        <v>-5</v>
      </c>
      <c r="O18" s="6">
        <f t="shared" si="0"/>
        <v>-482</v>
      </c>
      <c r="P18" s="72">
        <f t="shared" si="1"/>
        <v>-0.16718695802983005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>X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>X</v>
      </c>
    </row>
    <row r="19" spans="1:24" x14ac:dyDescent="0.2">
      <c r="A19" s="28">
        <v>2892</v>
      </c>
      <c r="B19" s="56" t="s">
        <v>25</v>
      </c>
      <c r="C19" s="6">
        <v>4224</v>
      </c>
      <c r="D19" s="5">
        <v>4844</v>
      </c>
      <c r="E19" s="5">
        <v>-620</v>
      </c>
      <c r="F19" s="6">
        <v>4218</v>
      </c>
      <c r="G19" s="5">
        <v>4446</v>
      </c>
      <c r="H19" s="5">
        <v>-228</v>
      </c>
      <c r="I19" s="6">
        <v>4173</v>
      </c>
      <c r="J19" s="5">
        <v>4980</v>
      </c>
      <c r="K19" s="5">
        <v>-807</v>
      </c>
      <c r="L19" s="6">
        <v>4554</v>
      </c>
      <c r="M19" s="5">
        <v>4605</v>
      </c>
      <c r="N19" s="5">
        <v>-51</v>
      </c>
      <c r="O19" s="6">
        <f t="shared" si="0"/>
        <v>-1655</v>
      </c>
      <c r="P19" s="72">
        <f t="shared" si="1"/>
        <v>-0.11596944853198794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>X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>X</v>
      </c>
    </row>
    <row r="20" spans="1:24" x14ac:dyDescent="0.2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1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3152</v>
      </c>
      <c r="B21" s="56" t="s">
        <v>25</v>
      </c>
      <c r="C21" s="6">
        <v>4216</v>
      </c>
      <c r="D21" s="5">
        <v>3283</v>
      </c>
      <c r="E21" s="5">
        <v>933</v>
      </c>
      <c r="F21" s="6">
        <v>4216</v>
      </c>
      <c r="G21" s="5">
        <v>3000</v>
      </c>
      <c r="H21" s="5">
        <v>1216</v>
      </c>
      <c r="I21" s="6">
        <v>4216</v>
      </c>
      <c r="J21" s="5">
        <v>3346</v>
      </c>
      <c r="K21" s="5">
        <v>870</v>
      </c>
      <c r="L21" s="6">
        <v>4216</v>
      </c>
      <c r="M21" s="5">
        <v>3107</v>
      </c>
      <c r="N21" s="5">
        <v>1109</v>
      </c>
      <c r="O21" s="6">
        <f t="shared" si="0"/>
        <v>3019</v>
      </c>
      <c r="P21" s="72">
        <f t="shared" si="1"/>
        <v>0.31349948078920042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 xml:space="preserve"> </v>
      </c>
    </row>
    <row r="22" spans="1:24" x14ac:dyDescent="0.2">
      <c r="A22" s="28">
        <v>4303</v>
      </c>
      <c r="B22" s="56" t="s">
        <v>25</v>
      </c>
      <c r="C22" s="6">
        <v>2129</v>
      </c>
      <c r="D22" s="5">
        <v>2515</v>
      </c>
      <c r="E22" s="5">
        <v>-386</v>
      </c>
      <c r="F22" s="6">
        <v>1466</v>
      </c>
      <c r="G22" s="5">
        <v>2309</v>
      </c>
      <c r="H22" s="5">
        <v>-843</v>
      </c>
      <c r="I22" s="6">
        <v>2481</v>
      </c>
      <c r="J22" s="5">
        <v>2588</v>
      </c>
      <c r="K22" s="5">
        <v>-107</v>
      </c>
      <c r="L22" s="6">
        <v>2403</v>
      </c>
      <c r="M22" s="5">
        <v>2391</v>
      </c>
      <c r="N22" s="5">
        <v>12</v>
      </c>
      <c r="O22" s="6">
        <f t="shared" si="0"/>
        <v>-1336</v>
      </c>
      <c r="P22" s="72">
        <f t="shared" si="1"/>
        <v>-0.18022393093214623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>X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>X</v>
      </c>
    </row>
    <row r="23" spans="1:24" x14ac:dyDescent="0.2">
      <c r="A23" s="28">
        <v>6500</v>
      </c>
      <c r="B23" s="56" t="s">
        <v>25</v>
      </c>
      <c r="C23" s="6">
        <v>449103</v>
      </c>
      <c r="D23" s="5">
        <v>451100</v>
      </c>
      <c r="E23" s="5">
        <v>-1997</v>
      </c>
      <c r="F23" s="6">
        <v>436025</v>
      </c>
      <c r="G23" s="5">
        <v>413920</v>
      </c>
      <c r="H23" s="5">
        <v>22105</v>
      </c>
      <c r="I23" s="6">
        <v>461038</v>
      </c>
      <c r="J23" s="5">
        <v>463437</v>
      </c>
      <c r="K23" s="5">
        <v>-2399</v>
      </c>
      <c r="L23" s="6">
        <v>454748</v>
      </c>
      <c r="M23" s="5">
        <v>428774</v>
      </c>
      <c r="N23" s="5">
        <v>25974</v>
      </c>
      <c r="O23" s="6">
        <f t="shared" si="0"/>
        <v>17709</v>
      </c>
      <c r="P23" s="72">
        <f t="shared" si="1"/>
        <v>1.3330492947462396E-2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10656</v>
      </c>
      <c r="B24" s="56" t="s">
        <v>25</v>
      </c>
      <c r="C24" s="6">
        <v>237</v>
      </c>
      <c r="D24" s="5">
        <v>208</v>
      </c>
      <c r="E24" s="5">
        <v>29</v>
      </c>
      <c r="F24" s="6">
        <v>237</v>
      </c>
      <c r="G24" s="5">
        <v>191</v>
      </c>
      <c r="H24" s="5">
        <v>46</v>
      </c>
      <c r="I24" s="6">
        <v>237</v>
      </c>
      <c r="J24" s="5">
        <v>214</v>
      </c>
      <c r="K24" s="5">
        <v>23</v>
      </c>
      <c r="L24" s="6">
        <v>300</v>
      </c>
      <c r="M24" s="5">
        <v>198</v>
      </c>
      <c r="N24" s="5">
        <v>102</v>
      </c>
      <c r="O24" s="6">
        <f t="shared" si="0"/>
        <v>98</v>
      </c>
      <c r="P24" s="72">
        <f t="shared" si="1"/>
        <v>0.15960912052117263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12296</v>
      </c>
      <c r="B25" s="56" t="s">
        <v>25</v>
      </c>
      <c r="C25" s="6">
        <v>2774</v>
      </c>
      <c r="D25" s="5">
        <v>3065</v>
      </c>
      <c r="E25" s="5">
        <v>-291</v>
      </c>
      <c r="F25" s="6">
        <v>2774</v>
      </c>
      <c r="G25" s="5">
        <v>2814</v>
      </c>
      <c r="H25" s="5">
        <v>-40</v>
      </c>
      <c r="I25" s="6">
        <v>2774</v>
      </c>
      <c r="J25" s="5">
        <v>3153</v>
      </c>
      <c r="K25" s="5">
        <v>-379</v>
      </c>
      <c r="L25" s="6">
        <v>2890</v>
      </c>
      <c r="M25" s="5">
        <v>2915</v>
      </c>
      <c r="N25" s="5">
        <v>-25</v>
      </c>
      <c r="O25" s="6">
        <f t="shared" si="0"/>
        <v>-710</v>
      </c>
      <c r="P25" s="72">
        <f t="shared" si="1"/>
        <v>-7.8600686372190851E-2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16786</v>
      </c>
      <c r="B26" s="56" t="s">
        <v>25</v>
      </c>
      <c r="C26" s="6">
        <v>3106</v>
      </c>
      <c r="D26" s="5">
        <v>3686</v>
      </c>
      <c r="E26" s="5">
        <v>-580</v>
      </c>
      <c r="F26" s="6">
        <v>3394</v>
      </c>
      <c r="G26" s="5">
        <v>3383</v>
      </c>
      <c r="H26" s="5">
        <v>11</v>
      </c>
      <c r="I26" s="6">
        <v>3106</v>
      </c>
      <c r="J26" s="5">
        <v>3789</v>
      </c>
      <c r="K26" s="5">
        <v>-683</v>
      </c>
      <c r="L26" s="6">
        <v>3402</v>
      </c>
      <c r="M26" s="5">
        <v>3503</v>
      </c>
      <c r="N26" s="5">
        <v>-101</v>
      </c>
      <c r="O26" s="6">
        <f t="shared" si="0"/>
        <v>-1252</v>
      </c>
      <c r="P26" s="72">
        <f t="shared" si="1"/>
        <v>-0.1152960677778801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>X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>X</v>
      </c>
    </row>
    <row r="27" spans="1:24" x14ac:dyDescent="0.2">
      <c r="A27" s="28">
        <v>17791</v>
      </c>
      <c r="B27" s="56" t="s">
        <v>25</v>
      </c>
      <c r="C27" s="6">
        <v>109</v>
      </c>
      <c r="D27" s="5">
        <v>172</v>
      </c>
      <c r="E27" s="5">
        <v>-63</v>
      </c>
      <c r="F27" s="6">
        <v>109</v>
      </c>
      <c r="G27" s="5">
        <v>158</v>
      </c>
      <c r="H27" s="5">
        <v>-49</v>
      </c>
      <c r="I27" s="6">
        <v>109</v>
      </c>
      <c r="J27" s="5">
        <v>177</v>
      </c>
      <c r="K27" s="5">
        <v>-68</v>
      </c>
      <c r="L27" s="6">
        <v>207</v>
      </c>
      <c r="M27" s="5">
        <v>163</v>
      </c>
      <c r="N27" s="5">
        <v>44</v>
      </c>
      <c r="O27" s="6">
        <f t="shared" si="0"/>
        <v>-180</v>
      </c>
      <c r="P27" s="72">
        <f t="shared" si="1"/>
        <v>-0.3543307086614173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1117</v>
      </c>
      <c r="B28" s="56" t="s">
        <v>26</v>
      </c>
      <c r="C28" s="6">
        <v>88714</v>
      </c>
      <c r="D28" s="5">
        <v>83780</v>
      </c>
      <c r="E28" s="5">
        <v>4934</v>
      </c>
      <c r="F28" s="6">
        <v>28501</v>
      </c>
      <c r="G28" s="5">
        <v>83785</v>
      </c>
      <c r="H28" s="5">
        <v>-55284</v>
      </c>
      <c r="I28" s="6">
        <v>335</v>
      </c>
      <c r="J28" s="5">
        <v>84406</v>
      </c>
      <c r="K28" s="5">
        <v>-84071</v>
      </c>
      <c r="L28" s="6">
        <v>94579</v>
      </c>
      <c r="M28" s="5">
        <v>80028</v>
      </c>
      <c r="N28" s="5">
        <v>14551</v>
      </c>
      <c r="O28" s="6">
        <f t="shared" si="0"/>
        <v>-134421</v>
      </c>
      <c r="P28" s="72">
        <f t="shared" si="1"/>
        <v>-0.53347594177130797</v>
      </c>
      <c r="Q28" s="76"/>
      <c r="R28" s="67" t="str">
        <f>IF($C$4="High Inventory",IF(AND(O28&gt;=Summary!$C$128,P28&gt;=Summary!$C$129),"X"," "),IF(AND(O28&lt;=-Summary!$C$128,P28&lt;=-Summary!$C$129),"X"," "))</f>
        <v>X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">
      <c r="A29" s="28">
        <v>1126</v>
      </c>
      <c r="B29" s="56" t="s">
        <v>26</v>
      </c>
      <c r="C29" s="6">
        <v>28209</v>
      </c>
      <c r="D29" s="5">
        <v>29493</v>
      </c>
      <c r="E29" s="5">
        <v>-1284</v>
      </c>
      <c r="F29" s="6">
        <v>28209</v>
      </c>
      <c r="G29" s="5">
        <v>29468</v>
      </c>
      <c r="H29" s="5">
        <v>-1259</v>
      </c>
      <c r="I29" s="6">
        <v>28209</v>
      </c>
      <c r="J29" s="5">
        <v>29510</v>
      </c>
      <c r="K29" s="5">
        <v>-1301</v>
      </c>
      <c r="L29" s="6">
        <v>28209</v>
      </c>
      <c r="M29" s="5">
        <v>29428</v>
      </c>
      <c r="N29" s="5">
        <v>-1219</v>
      </c>
      <c r="O29" s="6">
        <f t="shared" si="0"/>
        <v>-3844</v>
      </c>
      <c r="P29" s="72">
        <f t="shared" si="1"/>
        <v>-4.3448774753594356E-2</v>
      </c>
      <c r="Q29" s="76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120618</v>
      </c>
      <c r="D30" s="5">
        <v>148554</v>
      </c>
      <c r="E30" s="5">
        <v>-27936</v>
      </c>
      <c r="F30" s="6">
        <v>115854</v>
      </c>
      <c r="G30" s="5">
        <v>161197</v>
      </c>
      <c r="H30" s="5">
        <v>-45343</v>
      </c>
      <c r="I30" s="6">
        <v>120354</v>
      </c>
      <c r="J30" s="5">
        <v>168749</v>
      </c>
      <c r="K30" s="5">
        <v>-48395</v>
      </c>
      <c r="L30" s="6">
        <v>148602</v>
      </c>
      <c r="M30" s="5">
        <v>151108</v>
      </c>
      <c r="N30" s="5">
        <v>-2506</v>
      </c>
      <c r="O30" s="6">
        <f t="shared" si="0"/>
        <v>-121674</v>
      </c>
      <c r="P30" s="72">
        <f t="shared" si="1"/>
        <v>-0.2542816002474394</v>
      </c>
      <c r="Q30" s="8"/>
      <c r="R30" s="67" t="str">
        <f>IF($C$4="High Inventory",IF(AND(O30&gt;=Summary!$C$128,P30&gt;=Summary!$C$129),"X"," "),IF(AND(O30&lt;=-Summary!$C$128,P30&lt;=-Summary!$C$129),"X"," "))</f>
        <v>X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2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">
      <c r="A31" s="28">
        <v>1281</v>
      </c>
      <c r="B31" s="56" t="s">
        <v>26</v>
      </c>
      <c r="C31" s="6">
        <v>45032</v>
      </c>
      <c r="D31" s="5">
        <v>61593</v>
      </c>
      <c r="E31" s="5">
        <v>-16561</v>
      </c>
      <c r="F31" s="6">
        <v>57964</v>
      </c>
      <c r="G31" s="5">
        <v>66953</v>
      </c>
      <c r="H31" s="5">
        <v>-8989</v>
      </c>
      <c r="I31" s="6">
        <v>37965</v>
      </c>
      <c r="J31" s="5">
        <v>69370</v>
      </c>
      <c r="K31" s="5">
        <v>-31405</v>
      </c>
      <c r="L31" s="6">
        <v>67708</v>
      </c>
      <c r="M31" s="5">
        <v>67154</v>
      </c>
      <c r="N31" s="5">
        <v>554</v>
      </c>
      <c r="O31" s="6">
        <f t="shared" si="0"/>
        <v>-56955</v>
      </c>
      <c r="P31" s="72">
        <f t="shared" si="1"/>
        <v>-0.28777214691006836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6818</v>
      </c>
      <c r="D32" s="5">
        <v>6404</v>
      </c>
      <c r="E32" s="5">
        <v>414</v>
      </c>
      <c r="F32" s="6">
        <v>6818</v>
      </c>
      <c r="G32" s="5">
        <v>5688</v>
      </c>
      <c r="H32" s="5">
        <v>1130</v>
      </c>
      <c r="I32" s="6">
        <v>6863</v>
      </c>
      <c r="J32" s="5">
        <v>5011</v>
      </c>
      <c r="K32" s="5">
        <v>1852</v>
      </c>
      <c r="L32" s="6">
        <v>6877</v>
      </c>
      <c r="M32" s="5">
        <v>5332</v>
      </c>
      <c r="N32" s="5">
        <v>1545</v>
      </c>
      <c r="O32" s="6">
        <f t="shared" si="0"/>
        <v>3396</v>
      </c>
      <c r="P32" s="72">
        <f t="shared" si="1"/>
        <v>0.19855004677268476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1377</v>
      </c>
      <c r="B33" s="56" t="s">
        <v>26</v>
      </c>
      <c r="C33" s="6">
        <v>172676</v>
      </c>
      <c r="D33" s="5">
        <v>139233</v>
      </c>
      <c r="E33" s="5">
        <v>33443</v>
      </c>
      <c r="F33" s="6">
        <v>160260</v>
      </c>
      <c r="G33" s="5">
        <v>139735</v>
      </c>
      <c r="H33" s="5">
        <v>20525</v>
      </c>
      <c r="I33" s="6">
        <v>143907</v>
      </c>
      <c r="J33" s="5">
        <v>138842</v>
      </c>
      <c r="K33" s="5">
        <v>5065</v>
      </c>
      <c r="L33" s="6">
        <v>159469</v>
      </c>
      <c r="M33" s="5">
        <v>134165</v>
      </c>
      <c r="N33" s="5">
        <v>25304</v>
      </c>
      <c r="O33" s="6">
        <f t="shared" si="0"/>
        <v>59033</v>
      </c>
      <c r="P33" s="72">
        <f t="shared" si="1"/>
        <v>0.14129115796376832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2777</v>
      </c>
      <c r="D34" s="5">
        <v>1</v>
      </c>
      <c r="E34" s="5">
        <v>2776</v>
      </c>
      <c r="F34" s="6">
        <v>0</v>
      </c>
      <c r="G34" s="5">
        <v>3772</v>
      </c>
      <c r="H34" s="5">
        <v>-3772</v>
      </c>
      <c r="I34" s="6">
        <v>3499</v>
      </c>
      <c r="J34" s="5">
        <v>3844</v>
      </c>
      <c r="K34" s="5">
        <v>-345</v>
      </c>
      <c r="L34" s="6">
        <v>3787</v>
      </c>
      <c r="M34" s="5">
        <v>1</v>
      </c>
      <c r="N34" s="5">
        <v>3786</v>
      </c>
      <c r="O34" s="6">
        <f t="shared" si="0"/>
        <v>-1341</v>
      </c>
      <c r="P34" s="72">
        <f t="shared" si="1"/>
        <v>-0.17603045418745078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>X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>X</v>
      </c>
    </row>
    <row r="35" spans="1:24" x14ac:dyDescent="0.2">
      <c r="A35" s="28">
        <v>1864</v>
      </c>
      <c r="B35" s="56" t="s">
        <v>26</v>
      </c>
      <c r="C35" s="6">
        <v>362238</v>
      </c>
      <c r="D35" s="5">
        <v>419618</v>
      </c>
      <c r="E35" s="5">
        <v>-57380</v>
      </c>
      <c r="F35" s="6">
        <v>433065</v>
      </c>
      <c r="G35" s="5">
        <v>511420</v>
      </c>
      <c r="H35" s="5">
        <v>-78355</v>
      </c>
      <c r="I35" s="6">
        <v>500414</v>
      </c>
      <c r="J35" s="5">
        <v>519894</v>
      </c>
      <c r="K35" s="5">
        <v>-19480</v>
      </c>
      <c r="L35" s="6">
        <v>534627</v>
      </c>
      <c r="M35" s="5">
        <v>531148</v>
      </c>
      <c r="N35" s="5">
        <v>3479</v>
      </c>
      <c r="O35" s="6">
        <f t="shared" si="0"/>
        <v>-155215</v>
      </c>
      <c r="P35" s="72">
        <f t="shared" si="1"/>
        <v>-0.10697599406726568</v>
      </c>
      <c r="Q35" s="76"/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">
      <c r="A36" s="28">
        <v>1922</v>
      </c>
      <c r="B36" s="56" t="s">
        <v>26</v>
      </c>
      <c r="C36" s="6">
        <v>42319</v>
      </c>
      <c r="D36" s="5">
        <v>64877</v>
      </c>
      <c r="E36" s="5">
        <v>-22558</v>
      </c>
      <c r="F36" s="6">
        <v>45988</v>
      </c>
      <c r="G36" s="5">
        <v>64226</v>
      </c>
      <c r="H36" s="5">
        <v>-18238</v>
      </c>
      <c r="I36" s="6">
        <v>71645</v>
      </c>
      <c r="J36" s="5">
        <v>63055</v>
      </c>
      <c r="K36" s="5">
        <v>8590</v>
      </c>
      <c r="L36" s="6">
        <v>85928</v>
      </c>
      <c r="M36" s="5">
        <v>63069</v>
      </c>
      <c r="N36" s="5">
        <v>22859</v>
      </c>
      <c r="O36" s="6">
        <f t="shared" si="0"/>
        <v>-32206</v>
      </c>
      <c r="P36" s="72">
        <f t="shared" si="1"/>
        <v>-0.16760078893000069</v>
      </c>
      <c r="Q36" s="76"/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">
      <c r="A37" s="28">
        <v>1928</v>
      </c>
      <c r="B37" s="56" t="s">
        <v>26</v>
      </c>
      <c r="C37" s="6">
        <v>16584</v>
      </c>
      <c r="D37" s="5">
        <v>15632</v>
      </c>
      <c r="E37" s="5">
        <v>952</v>
      </c>
      <c r="F37" s="6">
        <v>19084</v>
      </c>
      <c r="G37" s="5">
        <v>15397</v>
      </c>
      <c r="H37" s="5">
        <v>3687</v>
      </c>
      <c r="I37" s="6">
        <v>19084</v>
      </c>
      <c r="J37" s="5">
        <v>16297</v>
      </c>
      <c r="K37" s="5">
        <v>2787</v>
      </c>
      <c r="L37" s="6">
        <v>19096</v>
      </c>
      <c r="M37" s="5">
        <v>16946</v>
      </c>
      <c r="N37" s="5">
        <v>2150</v>
      </c>
      <c r="O37" s="6">
        <f t="shared" ref="O37:O64" si="3">K37+H37+E37</f>
        <v>7426</v>
      </c>
      <c r="P37" s="72">
        <f t="shared" si="1"/>
        <v>0.15690831871870181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2056</v>
      </c>
      <c r="B38" s="56" t="s">
        <v>26</v>
      </c>
      <c r="C38" s="6">
        <v>71794</v>
      </c>
      <c r="D38" s="5">
        <v>66057</v>
      </c>
      <c r="E38" s="5">
        <v>5737</v>
      </c>
      <c r="F38" s="6">
        <v>66794</v>
      </c>
      <c r="G38" s="5">
        <v>70033</v>
      </c>
      <c r="H38" s="5">
        <v>-3239</v>
      </c>
      <c r="I38" s="6">
        <v>66794</v>
      </c>
      <c r="J38" s="5">
        <v>71725</v>
      </c>
      <c r="K38" s="5">
        <v>-4931</v>
      </c>
      <c r="L38" s="6">
        <v>75403</v>
      </c>
      <c r="M38" s="5">
        <v>72658</v>
      </c>
      <c r="N38" s="5">
        <v>2745</v>
      </c>
      <c r="O38" s="6">
        <f t="shared" si="3"/>
        <v>-2433</v>
      </c>
      <c r="P38" s="72">
        <f t="shared" ref="P38:P65" si="4">O38/(J38+G38+D38+1)</f>
        <v>-1.1707471994456634E-2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18603</v>
      </c>
      <c r="D39" s="5">
        <v>21445</v>
      </c>
      <c r="E39" s="5">
        <v>-2842</v>
      </c>
      <c r="F39" s="6">
        <v>18603</v>
      </c>
      <c r="G39" s="5">
        <v>23793</v>
      </c>
      <c r="H39" s="5">
        <v>-5190</v>
      </c>
      <c r="I39" s="6">
        <v>18603</v>
      </c>
      <c r="J39" s="5">
        <v>23489</v>
      </c>
      <c r="K39" s="5">
        <v>-4886</v>
      </c>
      <c r="L39" s="6">
        <v>18556</v>
      </c>
      <c r="M39" s="5">
        <v>21315</v>
      </c>
      <c r="N39" s="5">
        <v>-2759</v>
      </c>
      <c r="O39" s="6">
        <f t="shared" si="3"/>
        <v>-12918</v>
      </c>
      <c r="P39" s="72">
        <f t="shared" si="4"/>
        <v>-0.18795832848329647</v>
      </c>
      <c r="Q39" s="76"/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">
      <c r="A40" s="28">
        <v>2584</v>
      </c>
      <c r="B40" s="56" t="s">
        <v>26</v>
      </c>
      <c r="C40" s="6">
        <v>75900</v>
      </c>
      <c r="D40" s="5">
        <v>86570</v>
      </c>
      <c r="E40" s="5">
        <v>-10670</v>
      </c>
      <c r="F40" s="6">
        <v>85900</v>
      </c>
      <c r="G40" s="5">
        <v>90697</v>
      </c>
      <c r="H40" s="5">
        <v>-4797</v>
      </c>
      <c r="I40" s="6">
        <v>89300</v>
      </c>
      <c r="J40" s="5">
        <v>93448</v>
      </c>
      <c r="K40" s="5">
        <v>-4148</v>
      </c>
      <c r="L40" s="6">
        <v>91710</v>
      </c>
      <c r="M40" s="5">
        <v>92376</v>
      </c>
      <c r="N40" s="5">
        <v>-666</v>
      </c>
      <c r="O40" s="6">
        <f t="shared" si="3"/>
        <v>-19615</v>
      </c>
      <c r="P40" s="72">
        <f t="shared" si="4"/>
        <v>-7.2456005555637637E-2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64291</v>
      </c>
      <c r="D41" s="5">
        <v>57470</v>
      </c>
      <c r="E41" s="5">
        <v>6821</v>
      </c>
      <c r="F41" s="6">
        <v>59673</v>
      </c>
      <c r="G41" s="5">
        <v>62359</v>
      </c>
      <c r="H41" s="5">
        <v>-2686</v>
      </c>
      <c r="I41" s="6">
        <v>26123</v>
      </c>
      <c r="J41" s="5">
        <v>64789</v>
      </c>
      <c r="K41" s="5">
        <v>-38666</v>
      </c>
      <c r="L41" s="6">
        <v>72111</v>
      </c>
      <c r="M41" s="5">
        <v>61994</v>
      </c>
      <c r="N41" s="5">
        <v>10117</v>
      </c>
      <c r="O41" s="6">
        <f t="shared" si="3"/>
        <v>-34531</v>
      </c>
      <c r="P41" s="72">
        <f t="shared" si="4"/>
        <v>-0.18703925381461281</v>
      </c>
      <c r="Q41" s="76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2832</v>
      </c>
      <c r="B42" s="56" t="s">
        <v>26</v>
      </c>
      <c r="C42" s="6">
        <v>1801</v>
      </c>
      <c r="D42" s="5">
        <v>4339</v>
      </c>
      <c r="E42" s="5">
        <v>-2538</v>
      </c>
      <c r="F42" s="6">
        <v>1801</v>
      </c>
      <c r="G42" s="5">
        <v>4273</v>
      </c>
      <c r="H42" s="5">
        <v>-2472</v>
      </c>
      <c r="I42" s="6">
        <v>7801</v>
      </c>
      <c r="J42" s="5">
        <v>4488</v>
      </c>
      <c r="K42" s="5">
        <v>3313</v>
      </c>
      <c r="L42" s="6">
        <v>7676</v>
      </c>
      <c r="M42" s="5">
        <v>4379</v>
      </c>
      <c r="N42" s="5">
        <v>3297</v>
      </c>
      <c r="O42" s="6">
        <f t="shared" si="3"/>
        <v>-1697</v>
      </c>
      <c r="P42" s="72">
        <f t="shared" si="4"/>
        <v>-0.12953209678650485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">
      <c r="A43" s="28">
        <v>2892</v>
      </c>
      <c r="B43" s="56" t="s">
        <v>26</v>
      </c>
      <c r="C43" s="6">
        <v>170</v>
      </c>
      <c r="D43" s="5">
        <v>178</v>
      </c>
      <c r="E43" s="5">
        <v>-8</v>
      </c>
      <c r="F43" s="6">
        <v>180</v>
      </c>
      <c r="G43" s="5">
        <v>195</v>
      </c>
      <c r="H43" s="5">
        <v>-15</v>
      </c>
      <c r="I43" s="6">
        <v>178</v>
      </c>
      <c r="J43" s="5">
        <v>201</v>
      </c>
      <c r="K43" s="5">
        <v>-23</v>
      </c>
      <c r="L43" s="6">
        <v>264</v>
      </c>
      <c r="M43" s="5">
        <v>210</v>
      </c>
      <c r="N43" s="5">
        <v>54</v>
      </c>
      <c r="O43" s="6">
        <f t="shared" si="3"/>
        <v>-46</v>
      </c>
      <c r="P43" s="72">
        <f t="shared" si="4"/>
        <v>-0.08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10368</v>
      </c>
      <c r="D44" s="5">
        <v>8359</v>
      </c>
      <c r="E44" s="5">
        <v>2009</v>
      </c>
      <c r="F44" s="6">
        <v>6962</v>
      </c>
      <c r="G44" s="5">
        <v>8595</v>
      </c>
      <c r="H44" s="5">
        <v>-1633</v>
      </c>
      <c r="I44" s="6">
        <v>6962</v>
      </c>
      <c r="J44" s="5">
        <v>9533</v>
      </c>
      <c r="K44" s="5">
        <v>-2571</v>
      </c>
      <c r="L44" s="6">
        <v>7000</v>
      </c>
      <c r="M44" s="5">
        <v>8363</v>
      </c>
      <c r="N44" s="5">
        <v>-1363</v>
      </c>
      <c r="O44" s="6">
        <f t="shared" si="3"/>
        <v>-2195</v>
      </c>
      <c r="P44" s="72">
        <f t="shared" si="4"/>
        <v>-8.2867713681667177E-2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">
      <c r="A45" s="28">
        <v>4303</v>
      </c>
      <c r="B45" s="56" t="s">
        <v>26</v>
      </c>
      <c r="C45" s="6">
        <v>3127</v>
      </c>
      <c r="D45" s="5">
        <v>3180</v>
      </c>
      <c r="E45" s="5">
        <v>-53</v>
      </c>
      <c r="F45" s="6">
        <v>2400</v>
      </c>
      <c r="G45" s="5">
        <v>3291</v>
      </c>
      <c r="H45" s="5">
        <v>-891</v>
      </c>
      <c r="I45" s="6">
        <v>2826</v>
      </c>
      <c r="J45" s="5">
        <v>3257</v>
      </c>
      <c r="K45" s="5">
        <v>-431</v>
      </c>
      <c r="L45" s="6">
        <v>3308</v>
      </c>
      <c r="M45" s="5">
        <v>3237</v>
      </c>
      <c r="N45" s="5">
        <v>71</v>
      </c>
      <c r="O45" s="6">
        <f t="shared" si="3"/>
        <v>-1375</v>
      </c>
      <c r="P45" s="72">
        <f t="shared" si="4"/>
        <v>-0.14133004419775927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>X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>X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8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372071</v>
      </c>
      <c r="D47" s="5">
        <v>434922</v>
      </c>
      <c r="E47" s="5">
        <v>-62851</v>
      </c>
      <c r="F47" s="6">
        <v>400765</v>
      </c>
      <c r="G47" s="5">
        <v>458356</v>
      </c>
      <c r="H47" s="5">
        <v>-57591</v>
      </c>
      <c r="I47" s="6">
        <v>482465</v>
      </c>
      <c r="J47" s="5">
        <v>420909</v>
      </c>
      <c r="K47" s="5">
        <v>61556</v>
      </c>
      <c r="L47" s="6">
        <v>496138</v>
      </c>
      <c r="M47" s="5">
        <v>377397</v>
      </c>
      <c r="N47" s="5">
        <v>118741</v>
      </c>
      <c r="O47" s="6">
        <f t="shared" si="3"/>
        <v>-58886</v>
      </c>
      <c r="P47" s="72">
        <f t="shared" si="4"/>
        <v>-4.4807896587094082E-2</v>
      </c>
      <c r="Q47" s="8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6084</v>
      </c>
      <c r="B48" s="56" t="s">
        <v>26</v>
      </c>
      <c r="C48" s="6">
        <v>0</v>
      </c>
      <c r="D48" s="5">
        <v>12</v>
      </c>
      <c r="E48" s="5">
        <v>-12</v>
      </c>
      <c r="F48" s="6">
        <v>0</v>
      </c>
      <c r="G48" s="5">
        <v>15</v>
      </c>
      <c r="H48" s="5">
        <v>-15</v>
      </c>
      <c r="I48" s="6">
        <v>0</v>
      </c>
      <c r="J48" s="5">
        <v>17</v>
      </c>
      <c r="K48" s="5">
        <v>-17</v>
      </c>
      <c r="L48" s="6">
        <v>0</v>
      </c>
      <c r="M48" s="5">
        <v>12</v>
      </c>
      <c r="N48" s="5">
        <v>-12</v>
      </c>
      <c r="O48" s="6">
        <f t="shared" si="3"/>
        <v>-44</v>
      </c>
      <c r="P48" s="72">
        <f t="shared" si="4"/>
        <v>-0.97777777777777775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>X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>X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11322</v>
      </c>
      <c r="E49" s="5">
        <v>178</v>
      </c>
      <c r="F49" s="6">
        <v>11500</v>
      </c>
      <c r="G49" s="5">
        <v>10423</v>
      </c>
      <c r="H49" s="5">
        <v>1077</v>
      </c>
      <c r="I49" s="6">
        <v>11500</v>
      </c>
      <c r="J49" s="5">
        <v>10915</v>
      </c>
      <c r="K49" s="5">
        <v>585</v>
      </c>
      <c r="L49" s="6">
        <v>11500</v>
      </c>
      <c r="M49" s="5">
        <v>11399</v>
      </c>
      <c r="N49" s="5">
        <v>101</v>
      </c>
      <c r="O49" s="6">
        <f t="shared" si="3"/>
        <v>1840</v>
      </c>
      <c r="P49" s="72">
        <f t="shared" si="4"/>
        <v>5.6336303236275684E-2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33026</v>
      </c>
      <c r="D50" s="5">
        <v>31203</v>
      </c>
      <c r="E50" s="5">
        <v>1823</v>
      </c>
      <c r="F50" s="6">
        <v>43026</v>
      </c>
      <c r="G50" s="5">
        <v>31820</v>
      </c>
      <c r="H50" s="5">
        <v>11206</v>
      </c>
      <c r="I50" s="6">
        <v>33026</v>
      </c>
      <c r="J50" s="5">
        <v>32815</v>
      </c>
      <c r="K50" s="5">
        <v>211</v>
      </c>
      <c r="L50" s="6">
        <v>38535</v>
      </c>
      <c r="M50" s="5">
        <v>32839</v>
      </c>
      <c r="N50" s="5">
        <v>5696</v>
      </c>
      <c r="O50" s="6">
        <f t="shared" si="3"/>
        <v>13240</v>
      </c>
      <c r="P50" s="72">
        <f t="shared" si="4"/>
        <v>0.13814835296695499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64575</v>
      </c>
      <c r="D51" s="5">
        <v>57600</v>
      </c>
      <c r="E51" s="5">
        <v>6975</v>
      </c>
      <c r="F51" s="6">
        <v>64575</v>
      </c>
      <c r="G51" s="5">
        <v>56661</v>
      </c>
      <c r="H51" s="5">
        <v>7914</v>
      </c>
      <c r="I51" s="6">
        <v>63661</v>
      </c>
      <c r="J51" s="5">
        <v>59614</v>
      </c>
      <c r="K51" s="5">
        <v>4047</v>
      </c>
      <c r="L51" s="6">
        <v>61555</v>
      </c>
      <c r="M51" s="5">
        <v>59610</v>
      </c>
      <c r="N51" s="5">
        <v>1945</v>
      </c>
      <c r="O51" s="6">
        <f t="shared" si="3"/>
        <v>18936</v>
      </c>
      <c r="P51" s="72">
        <f t="shared" si="4"/>
        <v>0.10890519680691987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30069</v>
      </c>
      <c r="B52" s="56" t="s">
        <v>26</v>
      </c>
      <c r="C52" s="6">
        <v>9950</v>
      </c>
      <c r="D52" s="5">
        <v>8921</v>
      </c>
      <c r="E52" s="5">
        <v>1029</v>
      </c>
      <c r="F52" s="6">
        <v>8866</v>
      </c>
      <c r="G52" s="5">
        <v>8752</v>
      </c>
      <c r="H52" s="5">
        <v>114</v>
      </c>
      <c r="I52" s="6">
        <v>8569</v>
      </c>
      <c r="J52" s="5">
        <v>10132</v>
      </c>
      <c r="K52" s="5">
        <v>-1563</v>
      </c>
      <c r="L52" s="6">
        <v>8934</v>
      </c>
      <c r="M52" s="5">
        <v>10528</v>
      </c>
      <c r="N52" s="5">
        <v>-1594</v>
      </c>
      <c r="O52" s="6">
        <f t="shared" si="3"/>
        <v>-420</v>
      </c>
      <c r="P52" s="72">
        <f t="shared" si="4"/>
        <v>-1.510465367186938E-2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10922</v>
      </c>
      <c r="D54" s="5">
        <v>9681</v>
      </c>
      <c r="E54" s="5">
        <v>1241</v>
      </c>
      <c r="F54" s="6">
        <v>10922</v>
      </c>
      <c r="G54" s="5">
        <v>9708</v>
      </c>
      <c r="H54" s="5">
        <v>1214</v>
      </c>
      <c r="I54" s="6">
        <v>10922</v>
      </c>
      <c r="J54" s="5">
        <v>10023</v>
      </c>
      <c r="K54" s="5">
        <v>899</v>
      </c>
      <c r="L54" s="6">
        <v>10922</v>
      </c>
      <c r="M54" s="5">
        <v>8635</v>
      </c>
      <c r="N54" s="5">
        <v>2287</v>
      </c>
      <c r="O54" s="6">
        <f t="shared" si="3"/>
        <v>3354</v>
      </c>
      <c r="P54" s="72">
        <f t="shared" si="4"/>
        <v>0.11403121068915105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201</v>
      </c>
      <c r="B56" s="56" t="s">
        <v>27</v>
      </c>
      <c r="C56" s="6">
        <v>0</v>
      </c>
      <c r="D56" s="5">
        <v>175</v>
      </c>
      <c r="E56" s="5">
        <v>-175</v>
      </c>
      <c r="F56" s="6">
        <v>0</v>
      </c>
      <c r="G56" s="5">
        <v>180</v>
      </c>
      <c r="H56" s="5">
        <v>-180</v>
      </c>
      <c r="I56" s="6">
        <v>0</v>
      </c>
      <c r="J56" s="5">
        <v>230</v>
      </c>
      <c r="K56" s="5">
        <v>-230</v>
      </c>
      <c r="L56" s="6">
        <v>0</v>
      </c>
      <c r="M56" s="5">
        <v>142</v>
      </c>
      <c r="N56" s="5">
        <v>-142</v>
      </c>
      <c r="O56" s="6">
        <f t="shared" si="3"/>
        <v>-585</v>
      </c>
      <c r="P56" s="72">
        <f t="shared" si="4"/>
        <v>-0.99829351535836175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>X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>X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293</v>
      </c>
      <c r="K59" s="5">
        <v>-293</v>
      </c>
      <c r="L59" s="6">
        <v>0</v>
      </c>
      <c r="M59" s="5">
        <v>0</v>
      </c>
      <c r="N59" s="5">
        <v>0</v>
      </c>
      <c r="O59" s="6">
        <f t="shared" si="3"/>
        <v>-293</v>
      </c>
      <c r="P59" s="72">
        <f t="shared" si="4"/>
        <v>-0.99659863945578231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>X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>X</v>
      </c>
    </row>
    <row r="60" spans="1:24" x14ac:dyDescent="0.2">
      <c r="A60" s="28">
        <v>512</v>
      </c>
      <c r="B60" s="56" t="s">
        <v>27</v>
      </c>
      <c r="C60" s="6">
        <v>2000</v>
      </c>
      <c r="D60" s="5">
        <v>2263</v>
      </c>
      <c r="E60" s="5">
        <v>-263</v>
      </c>
      <c r="F60" s="6">
        <v>1912</v>
      </c>
      <c r="G60" s="5">
        <v>1319</v>
      </c>
      <c r="H60" s="5">
        <v>593</v>
      </c>
      <c r="I60" s="6">
        <v>1500</v>
      </c>
      <c r="J60" s="5">
        <v>1121</v>
      </c>
      <c r="K60" s="5">
        <v>379</v>
      </c>
      <c r="L60" s="6">
        <v>2500</v>
      </c>
      <c r="M60" s="5">
        <v>992</v>
      </c>
      <c r="N60" s="5">
        <v>1508</v>
      </c>
      <c r="O60" s="6">
        <f t="shared" si="3"/>
        <v>709</v>
      </c>
      <c r="P60" s="72">
        <f t="shared" si="4"/>
        <v>0.15072278911564627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757</v>
      </c>
      <c r="B61" s="56" t="s">
        <v>27</v>
      </c>
      <c r="C61" s="6">
        <v>0</v>
      </c>
      <c r="D61" s="5">
        <v>386</v>
      </c>
      <c r="E61" s="5">
        <v>-386</v>
      </c>
      <c r="F61" s="6">
        <v>0</v>
      </c>
      <c r="G61" s="5">
        <v>469</v>
      </c>
      <c r="H61" s="5">
        <v>-469</v>
      </c>
      <c r="I61" s="6">
        <v>0</v>
      </c>
      <c r="J61" s="5">
        <v>427</v>
      </c>
      <c r="K61" s="5">
        <v>-427</v>
      </c>
      <c r="L61" s="6">
        <v>0</v>
      </c>
      <c r="M61" s="5">
        <v>403</v>
      </c>
      <c r="N61" s="5">
        <v>-403</v>
      </c>
      <c r="O61" s="6">
        <f t="shared" si="3"/>
        <v>-1282</v>
      </c>
      <c r="P61" s="72">
        <f t="shared" si="4"/>
        <v>-0.99922057677318787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>X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>X</v>
      </c>
    </row>
    <row r="62" spans="1:24" x14ac:dyDescent="0.2">
      <c r="A62" s="28">
        <v>779</v>
      </c>
      <c r="B62" s="56" t="s">
        <v>27</v>
      </c>
      <c r="C62" s="6">
        <v>974</v>
      </c>
      <c r="D62" s="5">
        <v>1330</v>
      </c>
      <c r="E62" s="5">
        <v>-356</v>
      </c>
      <c r="F62" s="6">
        <v>800</v>
      </c>
      <c r="G62" s="5">
        <v>1283</v>
      </c>
      <c r="H62" s="5">
        <v>-483</v>
      </c>
      <c r="I62" s="6">
        <v>974</v>
      </c>
      <c r="J62" s="5">
        <v>1264</v>
      </c>
      <c r="K62" s="5">
        <v>-290</v>
      </c>
      <c r="L62" s="6">
        <v>955</v>
      </c>
      <c r="M62" s="5">
        <v>1150</v>
      </c>
      <c r="N62" s="5">
        <v>-195</v>
      </c>
      <c r="O62" s="6">
        <f t="shared" si="3"/>
        <v>-1129</v>
      </c>
      <c r="P62" s="72">
        <f t="shared" si="4"/>
        <v>-0.29112944816915937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3"/>
        <v>0</v>
      </c>
      <c r="P63" s="72">
        <f t="shared" si="4"/>
        <v>0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190</v>
      </c>
      <c r="D66" s="5">
        <v>183</v>
      </c>
      <c r="E66" s="5">
        <v>7</v>
      </c>
      <c r="F66" s="6">
        <v>190</v>
      </c>
      <c r="G66" s="5">
        <v>182</v>
      </c>
      <c r="H66" s="5">
        <v>8</v>
      </c>
      <c r="I66" s="6">
        <v>190</v>
      </c>
      <c r="J66" s="5">
        <v>219</v>
      </c>
      <c r="K66" s="5">
        <v>-29</v>
      </c>
      <c r="L66" s="6">
        <v>990</v>
      </c>
      <c r="M66" s="5">
        <v>463</v>
      </c>
      <c r="N66" s="5">
        <v>527</v>
      </c>
      <c r="O66" s="6">
        <f t="shared" si="6"/>
        <v>-14</v>
      </c>
      <c r="P66" s="72">
        <f t="shared" ref="P66:P85" si="7">O66/(J66+G66+D66+1)</f>
        <v>-2.3931623931623933E-2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889</v>
      </c>
      <c r="K67" s="5">
        <v>-889</v>
      </c>
      <c r="L67" s="6">
        <v>0</v>
      </c>
      <c r="M67" s="5">
        <v>0</v>
      </c>
      <c r="N67" s="5">
        <v>0</v>
      </c>
      <c r="O67" s="6">
        <f t="shared" si="6"/>
        <v>-889</v>
      </c>
      <c r="P67" s="72">
        <f t="shared" si="7"/>
        <v>-0.99887640449438198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>X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>X</v>
      </c>
    </row>
    <row r="68" spans="1:24" x14ac:dyDescent="0.2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7602</v>
      </c>
      <c r="B69" s="56" t="s">
        <v>27</v>
      </c>
      <c r="C69" s="6">
        <v>33554</v>
      </c>
      <c r="D69" s="5">
        <v>4245</v>
      </c>
      <c r="E69" s="5">
        <v>29309</v>
      </c>
      <c r="F69" s="6">
        <v>35502</v>
      </c>
      <c r="G69" s="5">
        <v>40144</v>
      </c>
      <c r="H69" s="5">
        <v>-4642</v>
      </c>
      <c r="I69" s="6">
        <v>27792</v>
      </c>
      <c r="J69" s="5">
        <v>47627</v>
      </c>
      <c r="K69" s="5">
        <v>-19835</v>
      </c>
      <c r="L69" s="6">
        <v>45482</v>
      </c>
      <c r="M69" s="5">
        <v>47933</v>
      </c>
      <c r="N69" s="5">
        <v>-2451</v>
      </c>
      <c r="O69" s="6">
        <f t="shared" si="6"/>
        <v>4832</v>
      </c>
      <c r="P69" s="72">
        <f t="shared" si="7"/>
        <v>5.2512035819468145E-2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7604</v>
      </c>
      <c r="B70" s="56" t="s">
        <v>27</v>
      </c>
      <c r="C70" s="6">
        <v>52176</v>
      </c>
      <c r="D70" s="5">
        <v>66696</v>
      </c>
      <c r="E70" s="5">
        <v>-14520</v>
      </c>
      <c r="F70" s="6">
        <v>53241</v>
      </c>
      <c r="G70" s="5">
        <v>70847</v>
      </c>
      <c r="H70" s="5">
        <v>-17606</v>
      </c>
      <c r="I70" s="6">
        <v>52428</v>
      </c>
      <c r="J70" s="5">
        <v>72477</v>
      </c>
      <c r="K70" s="5">
        <v>-20049</v>
      </c>
      <c r="L70" s="6">
        <v>63049</v>
      </c>
      <c r="M70" s="5">
        <v>60478</v>
      </c>
      <c r="N70" s="5">
        <v>2571</v>
      </c>
      <c r="O70" s="6">
        <f t="shared" si="6"/>
        <v>-52175</v>
      </c>
      <c r="P70" s="72">
        <f t="shared" si="7"/>
        <v>-0.24842753819856109</v>
      </c>
      <c r="Q70" s="76"/>
      <c r="R70" s="67" t="str">
        <f>IF($C$4="High Inventory",IF(AND(O70&gt;=Summary!$C$128,P70&gt;=Summary!$C$129),"X"," "),IF(AND(O70&lt;=-Summary!$C$128,P70&lt;=-Summary!$C$129),"X"," "))</f>
        <v>X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>X</v>
      </c>
      <c r="U70" s="11" t="str">
        <f>IF($C$4="High Inventory",IF(AND($O70&gt;=0,$P70&gt;=Summary!$C$129),"X"," "),IF(AND($O70&lt;=0,$P70&lt;=-Summary!$C$129),"X"," "))</f>
        <v>X</v>
      </c>
      <c r="V70" t="str">
        <f t="shared" si="8"/>
        <v xml:space="preserve"> </v>
      </c>
      <c r="W70" t="str">
        <f>IF($C$4="High Inventory",IF(O70&gt;Summary!$C$128,"X"," "),IF(O70&lt;-Summary!$C$128,"X"," "))</f>
        <v>X</v>
      </c>
      <c r="X70" t="str">
        <f>IF($C$4="High Inventory",IF(P70&gt;Summary!$C$129,"X"," "),IF(P70&lt;-Summary!$C$129,"X"," "))</f>
        <v>X</v>
      </c>
    </row>
    <row r="71" spans="1:24" x14ac:dyDescent="0.2">
      <c r="A71" s="28">
        <v>7610</v>
      </c>
      <c r="B71" s="56" t="s">
        <v>27</v>
      </c>
      <c r="C71" s="6">
        <v>0</v>
      </c>
      <c r="D71" s="5">
        <v>139</v>
      </c>
      <c r="E71" s="5">
        <v>-139</v>
      </c>
      <c r="F71" s="6">
        <v>0</v>
      </c>
      <c r="G71" s="5">
        <v>61</v>
      </c>
      <c r="H71" s="5">
        <v>-61</v>
      </c>
      <c r="I71" s="6">
        <v>0</v>
      </c>
      <c r="J71" s="5">
        <v>71</v>
      </c>
      <c r="K71" s="5">
        <v>-71</v>
      </c>
      <c r="L71" s="6">
        <v>0</v>
      </c>
      <c r="M71" s="5">
        <v>83</v>
      </c>
      <c r="N71" s="5">
        <v>-83</v>
      </c>
      <c r="O71" s="6">
        <f t="shared" si="6"/>
        <v>-271</v>
      </c>
      <c r="P71" s="72">
        <f t="shared" si="7"/>
        <v>-0.99632352941176472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>X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>X</v>
      </c>
    </row>
    <row r="72" spans="1:24" x14ac:dyDescent="0.2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13636</v>
      </c>
      <c r="B77" s="56" t="s">
        <v>27</v>
      </c>
      <c r="C77" s="6">
        <v>120</v>
      </c>
      <c r="D77" s="5">
        <v>0</v>
      </c>
      <c r="E77" s="5">
        <v>120</v>
      </c>
      <c r="F77" s="6">
        <v>120</v>
      </c>
      <c r="G77" s="5">
        <v>0</v>
      </c>
      <c r="H77" s="5">
        <v>120</v>
      </c>
      <c r="I77" s="6">
        <v>120</v>
      </c>
      <c r="J77" s="5">
        <v>0</v>
      </c>
      <c r="K77" s="5">
        <v>120</v>
      </c>
      <c r="L77" s="6">
        <v>120</v>
      </c>
      <c r="M77" s="5">
        <v>0</v>
      </c>
      <c r="N77" s="5">
        <v>120</v>
      </c>
      <c r="O77" s="6">
        <f t="shared" si="6"/>
        <v>360</v>
      </c>
      <c r="P77" s="72">
        <f t="shared" si="7"/>
        <v>360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30049</v>
      </c>
      <c r="B80" s="56" t="s">
        <v>27</v>
      </c>
      <c r="C80" s="6">
        <v>0</v>
      </c>
      <c r="D80" s="5">
        <v>9</v>
      </c>
      <c r="E80" s="5">
        <v>-9</v>
      </c>
      <c r="F80" s="6">
        <v>0</v>
      </c>
      <c r="G80" s="5">
        <v>8</v>
      </c>
      <c r="H80" s="5">
        <v>-8</v>
      </c>
      <c r="I80" s="6">
        <v>0</v>
      </c>
      <c r="J80" s="5">
        <v>8</v>
      </c>
      <c r="K80" s="5">
        <v>-8</v>
      </c>
      <c r="L80" s="6">
        <v>0</v>
      </c>
      <c r="M80" s="5">
        <v>8</v>
      </c>
      <c r="N80" s="5">
        <v>-8</v>
      </c>
      <c r="O80" s="6">
        <f t="shared" si="6"/>
        <v>-25</v>
      </c>
      <c r="P80" s="72">
        <f t="shared" si="7"/>
        <v>-0.96153846153846156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>X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>X</v>
      </c>
    </row>
    <row r="81" spans="1:42" x14ac:dyDescent="0.2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30511</v>
      </c>
      <c r="B82" s="56" t="s">
        <v>27</v>
      </c>
      <c r="C82" s="6">
        <v>500</v>
      </c>
      <c r="D82" s="5">
        <v>4</v>
      </c>
      <c r="E82" s="5">
        <v>496</v>
      </c>
      <c r="F82" s="6">
        <v>500</v>
      </c>
      <c r="G82" s="5">
        <v>4</v>
      </c>
      <c r="H82" s="5">
        <v>496</v>
      </c>
      <c r="I82" s="6">
        <v>500</v>
      </c>
      <c r="J82" s="5">
        <v>4</v>
      </c>
      <c r="K82" s="5">
        <v>496</v>
      </c>
      <c r="L82" s="6">
        <v>500</v>
      </c>
      <c r="M82" s="5">
        <v>4</v>
      </c>
      <c r="N82" s="5">
        <v>496</v>
      </c>
      <c r="O82" s="6">
        <f t="shared" si="6"/>
        <v>1488</v>
      </c>
      <c r="P82" s="72">
        <f t="shared" si="7"/>
        <v>114.46153846153847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5" thickBot="1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94" t="str">
        <f>IF(AND(L85-I85&gt;=Summary!$C$132,N85-K85&gt;Summary!$C$132,N85&gt;0),"X"," ")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s="3" customFormat="1" x14ac:dyDescent="0.2">
      <c r="A86" s="2" t="s">
        <v>28</v>
      </c>
      <c r="B86" s="2"/>
      <c r="E86" s="3">
        <f>SUM(E11:E85)</f>
        <v>-128887</v>
      </c>
      <c r="H86" s="3">
        <f>SUM(H11:H85)</f>
        <v>-245492</v>
      </c>
      <c r="K86" s="3">
        <f>SUM(K11:K85)</f>
        <v>-201388</v>
      </c>
      <c r="M86" s="3">
        <f>SUM(M11:M85)</f>
        <v>2412830</v>
      </c>
      <c r="N86" s="3">
        <f>SUM(N11:N85)</f>
        <v>238610</v>
      </c>
      <c r="P86" s="12"/>
      <c r="Q86" s="2">
        <f>COUNTIF(Q10:Q85,"X")</f>
        <v>0</v>
      </c>
      <c r="R86" s="2">
        <f>COUNTIF(R10:R85,"X")</f>
        <v>9</v>
      </c>
      <c r="S86" s="2">
        <f>COUNTIF(S10:S85,"X")</f>
        <v>0</v>
      </c>
      <c r="T86" s="2">
        <f>COUNTIF(T10:T85,"X")</f>
        <v>11</v>
      </c>
      <c r="U86" s="2">
        <f>COUNTIF(U10:U85,"X")</f>
        <v>29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">
      <c r="M87" s="89" t="s">
        <v>56</v>
      </c>
      <c r="N87" s="90">
        <f>N86/M86</f>
        <v>9.8892172262447009E-2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7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36732</v>
      </c>
      <c r="D3" s="9"/>
    </row>
    <row r="4" spans="1:42" ht="15.75" x14ac:dyDescent="0.25">
      <c r="A4" s="58" t="s">
        <v>36</v>
      </c>
      <c r="C4" s="4" t="s">
        <v>60</v>
      </c>
      <c r="E4" s="97" t="s">
        <v>61</v>
      </c>
      <c r="G4" s="4" t="s">
        <v>65</v>
      </c>
    </row>
    <row r="5" spans="1:42" ht="16.5" thickBot="1" x14ac:dyDescent="0.3">
      <c r="A5" s="58" t="s">
        <v>39</v>
      </c>
      <c r="C5" s="4" t="s">
        <v>40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36729</v>
      </c>
      <c r="D8" s="180"/>
      <c r="E8" s="181" t="str">
        <f>TEXT(WEEKDAY(C8),"dddd")</f>
        <v>Saturday</v>
      </c>
      <c r="F8" s="182">
        <f>F9</f>
        <v>36730</v>
      </c>
      <c r="G8" s="180"/>
      <c r="H8" s="181" t="str">
        <f>TEXT(WEEKDAY(F8),"dddd")</f>
        <v>Sunday</v>
      </c>
      <c r="I8" s="182">
        <f>I9</f>
        <v>36731</v>
      </c>
      <c r="J8" s="180"/>
      <c r="K8" s="181" t="str">
        <f>TEXT(WEEKDAY(I8),"dddd")</f>
        <v>Monday</v>
      </c>
      <c r="L8" s="182">
        <f>L9</f>
        <v>36732</v>
      </c>
      <c r="M8" s="180"/>
      <c r="N8" s="181" t="str">
        <f>TEXT(WEEKDAY(L8),"dddd")</f>
        <v>Tuesday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36729</v>
      </c>
      <c r="D9" s="157">
        <v>36729</v>
      </c>
      <c r="E9" s="157">
        <v>36729</v>
      </c>
      <c r="F9" s="158">
        <v>36730</v>
      </c>
      <c r="G9" s="157">
        <v>36730</v>
      </c>
      <c r="H9" s="157">
        <v>36730</v>
      </c>
      <c r="I9" s="158">
        <v>36731</v>
      </c>
      <c r="J9" s="157">
        <v>36731</v>
      </c>
      <c r="K9" s="157">
        <v>36731</v>
      </c>
      <c r="L9" s="158">
        <v>36732</v>
      </c>
      <c r="M9" s="157">
        <v>36732</v>
      </c>
      <c r="N9" s="157">
        <v>36732</v>
      </c>
      <c r="O9" s="6">
        <f t="shared" ref="O9:O36" si="0">K9+H9+E9</f>
        <v>110190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/>
      <c r="P10" s="72"/>
      <c r="Q10" s="76" t="str">
        <f>" "</f>
        <v xml:space="preserve"> </v>
      </c>
      <c r="R10" s="67" t="str">
        <f>IF($C$4="High Inventory",IF(AND(O10&gt;=Summary!$C$128,P10&gt;=Summary!$C$129),"X"," "),IF(AND(O10&lt;=-Summary!$C$128,P10&lt;=-Summary!$C$129),"X"," "))</f>
        <v xml:space="preserve"> </v>
      </c>
      <c r="S10" s="93" t="e">
        <f>IF(AND(L10-I10&gt;=Summary!$C$132,N10-K10&gt;Summary!$C$132,N10&gt;0),"X"," ")</f>
        <v>#VALUE!</v>
      </c>
      <c r="T10" s="8" t="str">
        <f>IF($C$4="High Inventory",IF(AND($O10&gt;=Summary!$C$128,$P10&gt;=0%),"X"," "),IF(AND($O10&lt;=-Summary!$C$128,$P10&lt;=0%),"X"," "))</f>
        <v xml:space="preserve"> </v>
      </c>
      <c r="U10" s="11" t="str">
        <f>IF($C$4="High Inventory",IF(AND($O10&gt;=0,$P10&gt;=Summary!$C$129),"X"," "),IF(AND($O10&lt;=0,$P10&lt;=-Summary!$C$129),"X"," "))</f>
        <v xml:space="preserve"> </v>
      </c>
      <c r="V10" t="e">
        <f t="shared" ref="V10:V37" si="1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291</v>
      </c>
      <c r="D11" s="5">
        <v>189</v>
      </c>
      <c r="E11" s="5">
        <v>102</v>
      </c>
      <c r="F11" s="6">
        <v>291</v>
      </c>
      <c r="G11" s="5">
        <v>208</v>
      </c>
      <c r="H11" s="5">
        <v>83</v>
      </c>
      <c r="I11" s="6">
        <v>291</v>
      </c>
      <c r="J11" s="5">
        <v>213</v>
      </c>
      <c r="K11" s="5">
        <v>78</v>
      </c>
      <c r="L11" s="6">
        <v>400</v>
      </c>
      <c r="M11" s="5">
        <v>218</v>
      </c>
      <c r="N11" s="5">
        <v>182</v>
      </c>
      <c r="O11" s="6">
        <f t="shared" si="0"/>
        <v>263</v>
      </c>
      <c r="P11" s="72">
        <f t="shared" ref="P11:P37" si="2">O11/(J11+G11+D11+1)</f>
        <v>0.43044189852700493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1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0</v>
      </c>
      <c r="D12" s="5">
        <v>201</v>
      </c>
      <c r="E12" s="5">
        <v>-201</v>
      </c>
      <c r="F12" s="6">
        <v>0</v>
      </c>
      <c r="G12" s="5">
        <v>221</v>
      </c>
      <c r="H12" s="5">
        <v>-221</v>
      </c>
      <c r="I12" s="6">
        <v>0</v>
      </c>
      <c r="J12" s="5">
        <v>226</v>
      </c>
      <c r="K12" s="5">
        <v>-226</v>
      </c>
      <c r="L12" s="6">
        <v>300</v>
      </c>
      <c r="M12" s="5">
        <v>233</v>
      </c>
      <c r="N12" s="5">
        <v>67</v>
      </c>
      <c r="O12" s="6">
        <f t="shared" si="0"/>
        <v>-648</v>
      </c>
      <c r="P12" s="72">
        <f t="shared" si="2"/>
        <v>-0.99845916795069334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1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105</v>
      </c>
      <c r="E13" s="5">
        <v>-5</v>
      </c>
      <c r="F13" s="6">
        <v>100</v>
      </c>
      <c r="G13" s="5">
        <v>116</v>
      </c>
      <c r="H13" s="5">
        <v>-16</v>
      </c>
      <c r="I13" s="6">
        <v>100</v>
      </c>
      <c r="J13" s="5">
        <v>118</v>
      </c>
      <c r="K13" s="5">
        <v>-18</v>
      </c>
      <c r="L13" s="6">
        <v>100</v>
      </c>
      <c r="M13" s="5">
        <v>122</v>
      </c>
      <c r="N13" s="5">
        <v>-22</v>
      </c>
      <c r="O13" s="6">
        <f t="shared" si="0"/>
        <v>-39</v>
      </c>
      <c r="P13" s="72">
        <f t="shared" si="2"/>
        <v>-0.11470588235294117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1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">
      <c r="A14" s="28">
        <v>1780</v>
      </c>
      <c r="B14" s="56" t="s">
        <v>25</v>
      </c>
      <c r="C14" s="6">
        <v>1073</v>
      </c>
      <c r="D14" s="5">
        <v>833</v>
      </c>
      <c r="E14" s="5">
        <v>240</v>
      </c>
      <c r="F14" s="6">
        <v>1073</v>
      </c>
      <c r="G14" s="5">
        <v>918</v>
      </c>
      <c r="H14" s="5">
        <v>155</v>
      </c>
      <c r="I14" s="6">
        <v>1073</v>
      </c>
      <c r="J14" s="5">
        <v>938</v>
      </c>
      <c r="K14" s="5">
        <v>135</v>
      </c>
      <c r="L14" s="6">
        <v>1073</v>
      </c>
      <c r="M14" s="5">
        <v>967</v>
      </c>
      <c r="N14" s="5">
        <v>106</v>
      </c>
      <c r="O14" s="6">
        <f t="shared" si="0"/>
        <v>530</v>
      </c>
      <c r="P14" s="72">
        <f t="shared" si="2"/>
        <v>0.19702602230483271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1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782</v>
      </c>
      <c r="D15" s="5">
        <v>786</v>
      </c>
      <c r="E15" s="5">
        <v>-4</v>
      </c>
      <c r="F15" s="6">
        <v>782</v>
      </c>
      <c r="G15" s="5">
        <v>866</v>
      </c>
      <c r="H15" s="5">
        <v>-84</v>
      </c>
      <c r="I15" s="6">
        <v>782</v>
      </c>
      <c r="J15" s="5">
        <v>885</v>
      </c>
      <c r="K15" s="5">
        <v>-103</v>
      </c>
      <c r="L15" s="6">
        <v>897</v>
      </c>
      <c r="M15" s="5">
        <v>912</v>
      </c>
      <c r="N15" s="5">
        <v>-15</v>
      </c>
      <c r="O15" s="6">
        <f t="shared" si="0"/>
        <v>-191</v>
      </c>
      <c r="P15" s="72">
        <f t="shared" si="2"/>
        <v>-7.5256107171000786E-2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1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">
      <c r="A16" s="28">
        <v>2584</v>
      </c>
      <c r="B16" s="56" t="s">
        <v>25</v>
      </c>
      <c r="C16" s="6">
        <v>3050</v>
      </c>
      <c r="D16" s="5">
        <v>2611</v>
      </c>
      <c r="E16" s="5">
        <v>439</v>
      </c>
      <c r="F16" s="6">
        <v>3050</v>
      </c>
      <c r="G16" s="5">
        <v>2873</v>
      </c>
      <c r="H16" s="5">
        <v>177</v>
      </c>
      <c r="I16" s="6">
        <v>3050</v>
      </c>
      <c r="J16" s="5">
        <v>2939</v>
      </c>
      <c r="K16" s="5">
        <v>111</v>
      </c>
      <c r="L16" s="6">
        <v>3050</v>
      </c>
      <c r="M16" s="5">
        <v>3030</v>
      </c>
      <c r="N16" s="5">
        <v>20</v>
      </c>
      <c r="O16" s="6">
        <f t="shared" si="0"/>
        <v>727</v>
      </c>
      <c r="P16" s="72">
        <f t="shared" si="2"/>
        <v>8.6301044634377974E-2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1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5271</v>
      </c>
      <c r="E17" s="5">
        <v>-1536</v>
      </c>
      <c r="F17" s="6">
        <v>3735</v>
      </c>
      <c r="G17" s="5">
        <v>5783</v>
      </c>
      <c r="H17" s="5">
        <v>-2048</v>
      </c>
      <c r="I17" s="6">
        <v>3735</v>
      </c>
      <c r="J17" s="5">
        <v>5927</v>
      </c>
      <c r="K17" s="5">
        <v>-2192</v>
      </c>
      <c r="L17" s="6">
        <v>6000</v>
      </c>
      <c r="M17" s="5">
        <v>6112</v>
      </c>
      <c r="N17" s="5">
        <v>-112</v>
      </c>
      <c r="O17" s="6">
        <f t="shared" si="0"/>
        <v>-5776</v>
      </c>
      <c r="P17" s="72">
        <f t="shared" si="2"/>
        <v>-0.34012483806383231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1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826</v>
      </c>
      <c r="E18" s="5">
        <v>-26</v>
      </c>
      <c r="F18" s="6">
        <v>800</v>
      </c>
      <c r="G18" s="5">
        <v>910</v>
      </c>
      <c r="H18" s="5">
        <v>-110</v>
      </c>
      <c r="I18" s="6">
        <v>800</v>
      </c>
      <c r="J18" s="5">
        <v>930</v>
      </c>
      <c r="K18" s="5">
        <v>-130</v>
      </c>
      <c r="L18" s="6">
        <v>940</v>
      </c>
      <c r="M18" s="5">
        <v>958</v>
      </c>
      <c r="N18" s="5">
        <v>-18</v>
      </c>
      <c r="O18" s="6">
        <f t="shared" si="0"/>
        <v>-266</v>
      </c>
      <c r="P18" s="72">
        <f t="shared" si="2"/>
        <v>-9.9737532808398949E-2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1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">
      <c r="A19" s="28">
        <v>2892</v>
      </c>
      <c r="B19" s="56" t="s">
        <v>25</v>
      </c>
      <c r="C19" s="6">
        <v>4102</v>
      </c>
      <c r="D19" s="5">
        <v>4089</v>
      </c>
      <c r="E19" s="5">
        <v>13</v>
      </c>
      <c r="F19" s="6">
        <v>4218</v>
      </c>
      <c r="G19" s="5">
        <v>4498</v>
      </c>
      <c r="H19" s="5">
        <v>-280</v>
      </c>
      <c r="I19" s="6">
        <v>4218</v>
      </c>
      <c r="J19" s="5">
        <v>4602</v>
      </c>
      <c r="K19" s="5">
        <v>-384</v>
      </c>
      <c r="L19" s="6">
        <v>4561</v>
      </c>
      <c r="M19" s="5">
        <v>4745</v>
      </c>
      <c r="N19" s="5">
        <v>-184</v>
      </c>
      <c r="O19" s="6">
        <f t="shared" si="0"/>
        <v>-651</v>
      </c>
      <c r="P19" s="72">
        <f t="shared" si="2"/>
        <v>-4.9355572403335858E-2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1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2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1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3152</v>
      </c>
      <c r="B21" s="56" t="s">
        <v>25</v>
      </c>
      <c r="C21" s="6">
        <v>4216</v>
      </c>
      <c r="D21" s="5">
        <v>2759</v>
      </c>
      <c r="E21" s="5">
        <v>1457</v>
      </c>
      <c r="F21" s="6">
        <v>4216</v>
      </c>
      <c r="G21" s="5">
        <v>2995</v>
      </c>
      <c r="H21" s="5">
        <v>1221</v>
      </c>
      <c r="I21" s="6">
        <v>4216</v>
      </c>
      <c r="J21" s="5">
        <v>3091</v>
      </c>
      <c r="K21" s="5">
        <v>1125</v>
      </c>
      <c r="L21" s="6">
        <v>3197</v>
      </c>
      <c r="M21" s="5">
        <v>3188</v>
      </c>
      <c r="N21" s="5">
        <v>9</v>
      </c>
      <c r="O21" s="6">
        <f t="shared" si="0"/>
        <v>3803</v>
      </c>
      <c r="P21" s="72">
        <f t="shared" si="2"/>
        <v>0.42991182455347049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1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 xml:space="preserve"> </v>
      </c>
    </row>
    <row r="22" spans="1:24" x14ac:dyDescent="0.2">
      <c r="A22" s="28">
        <v>4303</v>
      </c>
      <c r="B22" s="56" t="s">
        <v>25</v>
      </c>
      <c r="C22" s="6">
        <v>2403</v>
      </c>
      <c r="D22" s="5">
        <v>2123</v>
      </c>
      <c r="E22" s="5">
        <v>280</v>
      </c>
      <c r="F22" s="6">
        <v>2403</v>
      </c>
      <c r="G22" s="5">
        <v>2339</v>
      </c>
      <c r="H22" s="5">
        <v>64</v>
      </c>
      <c r="I22" s="6">
        <v>2403</v>
      </c>
      <c r="J22" s="5">
        <v>2391</v>
      </c>
      <c r="K22" s="5">
        <v>12</v>
      </c>
      <c r="L22" s="6">
        <v>2503</v>
      </c>
      <c r="M22" s="5">
        <v>2465</v>
      </c>
      <c r="N22" s="5">
        <v>38</v>
      </c>
      <c r="O22" s="6">
        <f t="shared" si="0"/>
        <v>356</v>
      </c>
      <c r="P22" s="72">
        <f t="shared" si="2"/>
        <v>5.1940472716661801E-2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1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6500</v>
      </c>
      <c r="B23" s="56" t="s">
        <v>25</v>
      </c>
      <c r="C23" s="6">
        <v>412397</v>
      </c>
      <c r="D23" s="5">
        <v>380627</v>
      </c>
      <c r="E23" s="5">
        <v>31770</v>
      </c>
      <c r="F23" s="6">
        <v>412397</v>
      </c>
      <c r="G23" s="5">
        <v>418306</v>
      </c>
      <c r="H23" s="5">
        <v>-5909</v>
      </c>
      <c r="I23" s="6">
        <v>421642</v>
      </c>
      <c r="J23" s="5">
        <v>428209</v>
      </c>
      <c r="K23" s="5">
        <v>-6567</v>
      </c>
      <c r="L23" s="6">
        <v>452842</v>
      </c>
      <c r="M23" s="5">
        <v>441651</v>
      </c>
      <c r="N23" s="5">
        <v>11191</v>
      </c>
      <c r="O23" s="6">
        <f t="shared" si="0"/>
        <v>19294</v>
      </c>
      <c r="P23" s="72">
        <f t="shared" si="2"/>
        <v>1.5722698984551923E-2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1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10656</v>
      </c>
      <c r="B24" s="56" t="s">
        <v>25</v>
      </c>
      <c r="C24" s="6">
        <v>235</v>
      </c>
      <c r="D24" s="5">
        <v>175</v>
      </c>
      <c r="E24" s="5">
        <v>60</v>
      </c>
      <c r="F24" s="6">
        <v>235</v>
      </c>
      <c r="G24" s="5">
        <v>193</v>
      </c>
      <c r="H24" s="5">
        <v>42</v>
      </c>
      <c r="I24" s="6">
        <v>235</v>
      </c>
      <c r="J24" s="5">
        <v>198</v>
      </c>
      <c r="K24" s="5">
        <v>37</v>
      </c>
      <c r="L24" s="6">
        <v>400</v>
      </c>
      <c r="M24" s="5">
        <v>203</v>
      </c>
      <c r="N24" s="5">
        <v>197</v>
      </c>
      <c r="O24" s="6">
        <f t="shared" si="0"/>
        <v>139</v>
      </c>
      <c r="P24" s="72">
        <f t="shared" si="2"/>
        <v>0.24514991181657847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1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12296</v>
      </c>
      <c r="B25" s="56" t="s">
        <v>25</v>
      </c>
      <c r="C25" s="6">
        <v>2774</v>
      </c>
      <c r="D25" s="5">
        <v>2588</v>
      </c>
      <c r="E25" s="5">
        <v>186</v>
      </c>
      <c r="F25" s="6">
        <v>2774</v>
      </c>
      <c r="G25" s="5">
        <v>2851</v>
      </c>
      <c r="H25" s="5">
        <v>-77</v>
      </c>
      <c r="I25" s="6">
        <v>2774</v>
      </c>
      <c r="J25" s="5">
        <v>2914</v>
      </c>
      <c r="K25" s="5">
        <v>-140</v>
      </c>
      <c r="L25" s="6">
        <v>2950</v>
      </c>
      <c r="M25" s="5">
        <v>3005</v>
      </c>
      <c r="N25" s="5">
        <v>-55</v>
      </c>
      <c r="O25" s="6">
        <f t="shared" si="0"/>
        <v>-31</v>
      </c>
      <c r="P25" s="72">
        <f t="shared" si="2"/>
        <v>-3.7107972228872395E-3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1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16786</v>
      </c>
      <c r="B26" s="56" t="s">
        <v>25</v>
      </c>
      <c r="C26" s="6">
        <v>0</v>
      </c>
      <c r="D26" s="5">
        <v>3111</v>
      </c>
      <c r="E26" s="5">
        <v>-3111</v>
      </c>
      <c r="F26" s="6">
        <v>0</v>
      </c>
      <c r="G26" s="5">
        <v>3422</v>
      </c>
      <c r="H26" s="5">
        <v>-3422</v>
      </c>
      <c r="I26" s="6">
        <v>0</v>
      </c>
      <c r="J26" s="5">
        <v>3501</v>
      </c>
      <c r="K26" s="5">
        <v>-3501</v>
      </c>
      <c r="L26" s="6">
        <v>3122</v>
      </c>
      <c r="M26" s="5">
        <v>3611</v>
      </c>
      <c r="N26" s="5">
        <v>-489</v>
      </c>
      <c r="O26" s="6">
        <f t="shared" si="0"/>
        <v>-10034</v>
      </c>
      <c r="P26" s="72">
        <f t="shared" si="2"/>
        <v>-0.99990034877927259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>X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>X</v>
      </c>
      <c r="U26" s="11" t="str">
        <f>IF($C$4="High Inventory",IF(AND($O26&gt;=0,$P26&gt;=Summary!$C$129),"X"," "),IF(AND($O26&lt;=0,$P26&lt;=-Summary!$C$129),"X"," "))</f>
        <v>X</v>
      </c>
      <c r="V26" t="str">
        <f t="shared" si="1"/>
        <v xml:space="preserve"> </v>
      </c>
      <c r="W26" t="str">
        <f>IF($C$4="High Inventory",IF(O26&gt;Summary!$C$128,"X"," "),IF(O26&lt;-Summary!$C$128,"X"," "))</f>
        <v>X</v>
      </c>
      <c r="X26" t="str">
        <f>IF($C$4="High Inventory",IF(P26&gt;Summary!$C$129,"X"," "),IF(P26&lt;-Summary!$C$129,"X"," "))</f>
        <v>X</v>
      </c>
    </row>
    <row r="27" spans="1:24" x14ac:dyDescent="0.2">
      <c r="A27" s="28">
        <v>17791</v>
      </c>
      <c r="B27" s="56" t="s">
        <v>25</v>
      </c>
      <c r="C27" s="6">
        <v>109</v>
      </c>
      <c r="D27" s="5">
        <v>145</v>
      </c>
      <c r="E27" s="5">
        <v>-36</v>
      </c>
      <c r="F27" s="6">
        <v>109</v>
      </c>
      <c r="G27" s="5">
        <v>160</v>
      </c>
      <c r="H27" s="5">
        <v>-51</v>
      </c>
      <c r="I27" s="6">
        <v>109</v>
      </c>
      <c r="J27" s="5">
        <v>163</v>
      </c>
      <c r="K27" s="5">
        <v>-54</v>
      </c>
      <c r="L27" s="6">
        <v>207</v>
      </c>
      <c r="M27" s="5">
        <v>167</v>
      </c>
      <c r="N27" s="5">
        <v>40</v>
      </c>
      <c r="O27" s="6">
        <f t="shared" si="0"/>
        <v>-141</v>
      </c>
      <c r="P27" s="72">
        <f t="shared" si="2"/>
        <v>-0.3006396588486141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1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">
      <c r="A28" s="28">
        <v>1117</v>
      </c>
      <c r="B28" s="56" t="s">
        <v>26</v>
      </c>
      <c r="C28" s="6">
        <v>59227</v>
      </c>
      <c r="D28" s="5">
        <v>68795</v>
      </c>
      <c r="E28" s="5">
        <v>-9568</v>
      </c>
      <c r="F28" s="6">
        <v>74097</v>
      </c>
      <c r="G28" s="5">
        <v>64957</v>
      </c>
      <c r="H28" s="5">
        <v>9140</v>
      </c>
      <c r="I28" s="6">
        <v>92625</v>
      </c>
      <c r="J28" s="5">
        <v>76849</v>
      </c>
      <c r="K28" s="5">
        <v>15776</v>
      </c>
      <c r="L28" s="6">
        <v>110124</v>
      </c>
      <c r="M28" s="5">
        <v>80354</v>
      </c>
      <c r="N28" s="5">
        <v>29770</v>
      </c>
      <c r="O28" s="6">
        <f t="shared" si="0"/>
        <v>15348</v>
      </c>
      <c r="P28" s="72">
        <f t="shared" si="2"/>
        <v>7.287680079011595E-2</v>
      </c>
      <c r="Q28" s="76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1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1126</v>
      </c>
      <c r="B29" s="56" t="s">
        <v>26</v>
      </c>
      <c r="C29" s="6">
        <v>28209</v>
      </c>
      <c r="D29" s="5">
        <v>28179</v>
      </c>
      <c r="E29" s="5">
        <v>30</v>
      </c>
      <c r="F29" s="6">
        <v>28209</v>
      </c>
      <c r="G29" s="5">
        <v>27983</v>
      </c>
      <c r="H29" s="5">
        <v>226</v>
      </c>
      <c r="I29" s="6">
        <v>28209</v>
      </c>
      <c r="J29" s="5">
        <v>29129</v>
      </c>
      <c r="K29" s="5">
        <v>-920</v>
      </c>
      <c r="L29" s="6">
        <v>28209</v>
      </c>
      <c r="M29" s="5">
        <v>28849</v>
      </c>
      <c r="N29" s="5">
        <v>-640</v>
      </c>
      <c r="O29" s="6">
        <f t="shared" si="0"/>
        <v>-664</v>
      </c>
      <c r="P29" s="72">
        <f t="shared" si="2"/>
        <v>-7.7850208694836562E-3</v>
      </c>
      <c r="Q29" s="76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1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140567</v>
      </c>
      <c r="D30" s="5">
        <v>131600</v>
      </c>
      <c r="E30" s="5">
        <v>8967</v>
      </c>
      <c r="F30" s="6">
        <v>140354</v>
      </c>
      <c r="G30" s="5">
        <v>133719</v>
      </c>
      <c r="H30" s="5">
        <v>6635</v>
      </c>
      <c r="I30" s="6">
        <v>136958</v>
      </c>
      <c r="J30" s="5">
        <v>168160</v>
      </c>
      <c r="K30" s="5">
        <v>-31202</v>
      </c>
      <c r="L30" s="6">
        <v>154898</v>
      </c>
      <c r="M30" s="5">
        <v>164346</v>
      </c>
      <c r="N30" s="5">
        <v>-9448</v>
      </c>
      <c r="O30" s="6">
        <f t="shared" si="0"/>
        <v>-15600</v>
      </c>
      <c r="P30" s="72">
        <f t="shared" si="2"/>
        <v>-3.5987819507243703E-2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1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1281</v>
      </c>
      <c r="B31" s="56" t="s">
        <v>26</v>
      </c>
      <c r="C31" s="6">
        <v>40690</v>
      </c>
      <c r="D31" s="5">
        <v>55048</v>
      </c>
      <c r="E31" s="5">
        <v>-14358</v>
      </c>
      <c r="F31" s="6">
        <v>42855</v>
      </c>
      <c r="G31" s="5">
        <v>55442</v>
      </c>
      <c r="H31" s="5">
        <v>-12587</v>
      </c>
      <c r="I31" s="6">
        <v>40612</v>
      </c>
      <c r="J31" s="5">
        <v>72307</v>
      </c>
      <c r="K31" s="5">
        <v>-31695</v>
      </c>
      <c r="L31" s="6">
        <v>92288</v>
      </c>
      <c r="M31" s="5">
        <v>74611</v>
      </c>
      <c r="N31" s="5">
        <v>17677</v>
      </c>
      <c r="O31" s="6">
        <f t="shared" si="0"/>
        <v>-58640</v>
      </c>
      <c r="P31" s="72">
        <f t="shared" si="2"/>
        <v>-0.32079125592183722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1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7529</v>
      </c>
      <c r="D32" s="5">
        <v>3514</v>
      </c>
      <c r="E32" s="5">
        <v>4015</v>
      </c>
      <c r="F32" s="6">
        <v>6821</v>
      </c>
      <c r="G32" s="5">
        <v>3306</v>
      </c>
      <c r="H32" s="5">
        <v>3515</v>
      </c>
      <c r="I32" s="6">
        <v>6849</v>
      </c>
      <c r="J32" s="5">
        <v>4810</v>
      </c>
      <c r="K32" s="5">
        <v>2039</v>
      </c>
      <c r="L32" s="6">
        <v>6818</v>
      </c>
      <c r="M32" s="5">
        <v>4874</v>
      </c>
      <c r="N32" s="5">
        <v>1944</v>
      </c>
      <c r="O32" s="6">
        <f t="shared" si="0"/>
        <v>9569</v>
      </c>
      <c r="P32" s="72">
        <f t="shared" si="2"/>
        <v>0.82271515776803372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1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1377</v>
      </c>
      <c r="B33" s="56" t="s">
        <v>26</v>
      </c>
      <c r="C33" s="6">
        <v>152644</v>
      </c>
      <c r="D33" s="5">
        <v>133433</v>
      </c>
      <c r="E33" s="5">
        <v>19211</v>
      </c>
      <c r="F33" s="6">
        <v>144353</v>
      </c>
      <c r="G33" s="5">
        <v>139598</v>
      </c>
      <c r="H33" s="5">
        <v>4755</v>
      </c>
      <c r="I33" s="6">
        <v>141640</v>
      </c>
      <c r="J33" s="5">
        <v>139273</v>
      </c>
      <c r="K33" s="5">
        <v>2367</v>
      </c>
      <c r="L33" s="6">
        <v>167709</v>
      </c>
      <c r="M33" s="5">
        <v>144055</v>
      </c>
      <c r="N33" s="5">
        <v>23654</v>
      </c>
      <c r="O33" s="6">
        <f t="shared" si="0"/>
        <v>26333</v>
      </c>
      <c r="P33" s="72">
        <f t="shared" si="2"/>
        <v>6.3867767793259839E-2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1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1287</v>
      </c>
      <c r="D34" s="5">
        <v>1</v>
      </c>
      <c r="E34" s="5">
        <v>1286</v>
      </c>
      <c r="F34" s="6">
        <v>1287</v>
      </c>
      <c r="G34" s="5">
        <v>1</v>
      </c>
      <c r="H34" s="5">
        <v>1286</v>
      </c>
      <c r="I34" s="6">
        <v>1287</v>
      </c>
      <c r="J34" s="5">
        <v>3742</v>
      </c>
      <c r="K34" s="5">
        <v>-2455</v>
      </c>
      <c r="L34" s="6">
        <v>0</v>
      </c>
      <c r="M34" s="5">
        <v>3857</v>
      </c>
      <c r="N34" s="5">
        <v>-3857</v>
      </c>
      <c r="O34" s="6">
        <f t="shared" si="0"/>
        <v>117</v>
      </c>
      <c r="P34" s="72">
        <f t="shared" si="2"/>
        <v>3.1241655540720961E-2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1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472642</v>
      </c>
      <c r="D35" s="5">
        <v>507953</v>
      </c>
      <c r="E35" s="5">
        <v>-35311</v>
      </c>
      <c r="F35" s="6">
        <v>453018</v>
      </c>
      <c r="G35" s="5">
        <v>511480</v>
      </c>
      <c r="H35" s="5">
        <v>-58462</v>
      </c>
      <c r="I35" s="6">
        <v>487128</v>
      </c>
      <c r="J35" s="5">
        <v>528985</v>
      </c>
      <c r="K35" s="5">
        <v>-41857</v>
      </c>
      <c r="L35" s="6">
        <v>540940</v>
      </c>
      <c r="M35" s="5">
        <v>519733</v>
      </c>
      <c r="N35" s="5">
        <v>21207</v>
      </c>
      <c r="O35" s="6">
        <f t="shared" si="0"/>
        <v>-135630</v>
      </c>
      <c r="P35" s="72">
        <f t="shared" si="2"/>
        <v>-8.7592570228084254E-2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1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1922</v>
      </c>
      <c r="B36" s="56" t="s">
        <v>26</v>
      </c>
      <c r="C36" s="6">
        <v>83677</v>
      </c>
      <c r="D36" s="5">
        <v>53240</v>
      </c>
      <c r="E36" s="5">
        <v>30437</v>
      </c>
      <c r="F36" s="6">
        <v>73938</v>
      </c>
      <c r="G36" s="5">
        <v>51736</v>
      </c>
      <c r="H36" s="5">
        <v>22202</v>
      </c>
      <c r="I36" s="6">
        <v>74882</v>
      </c>
      <c r="J36" s="5">
        <v>55312</v>
      </c>
      <c r="K36" s="5">
        <v>19570</v>
      </c>
      <c r="L36" s="6">
        <v>60131</v>
      </c>
      <c r="M36" s="5">
        <v>55125</v>
      </c>
      <c r="N36" s="5">
        <v>5006</v>
      </c>
      <c r="O36" s="6">
        <f t="shared" si="0"/>
        <v>72209</v>
      </c>
      <c r="P36" s="72">
        <f t="shared" si="2"/>
        <v>0.45049254783547216</v>
      </c>
      <c r="Q36" s="76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1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">
      <c r="A37" s="28">
        <v>1928</v>
      </c>
      <c r="B37" s="56" t="s">
        <v>26</v>
      </c>
      <c r="C37" s="6">
        <v>16084</v>
      </c>
      <c r="D37" s="5">
        <v>17158</v>
      </c>
      <c r="E37" s="5">
        <v>-1074</v>
      </c>
      <c r="F37" s="6">
        <v>16084</v>
      </c>
      <c r="G37" s="5">
        <v>16048</v>
      </c>
      <c r="H37" s="5">
        <v>36</v>
      </c>
      <c r="I37" s="6">
        <v>16084</v>
      </c>
      <c r="J37" s="5">
        <v>16387</v>
      </c>
      <c r="K37" s="5">
        <v>-303</v>
      </c>
      <c r="L37" s="6">
        <v>19084</v>
      </c>
      <c r="M37" s="5">
        <v>17330</v>
      </c>
      <c r="N37" s="5">
        <v>1754</v>
      </c>
      <c r="O37" s="6">
        <f t="shared" ref="O37:O64" si="3">K37+H37+E37</f>
        <v>-1341</v>
      </c>
      <c r="P37" s="72">
        <f t="shared" si="2"/>
        <v>-2.7039561237246441E-2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1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">
      <c r="A38" s="28">
        <v>2056</v>
      </c>
      <c r="B38" s="56" t="s">
        <v>26</v>
      </c>
      <c r="C38" s="6">
        <v>68438</v>
      </c>
      <c r="D38" s="5">
        <v>70646</v>
      </c>
      <c r="E38" s="5">
        <v>-2208</v>
      </c>
      <c r="F38" s="6">
        <v>70404</v>
      </c>
      <c r="G38" s="5">
        <v>67660</v>
      </c>
      <c r="H38" s="5">
        <v>2744</v>
      </c>
      <c r="I38" s="6">
        <v>70430</v>
      </c>
      <c r="J38" s="5">
        <v>67151</v>
      </c>
      <c r="K38" s="5">
        <v>3279</v>
      </c>
      <c r="L38" s="6">
        <v>80430</v>
      </c>
      <c r="M38" s="5">
        <v>71318</v>
      </c>
      <c r="N38" s="5">
        <v>9112</v>
      </c>
      <c r="O38" s="6">
        <f t="shared" si="3"/>
        <v>3815</v>
      </c>
      <c r="P38" s="72">
        <f t="shared" ref="P38:P65" si="4">O38/(J38+G38+D38+1)</f>
        <v>1.8568271860915614E-2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18556</v>
      </c>
      <c r="D39" s="5">
        <v>18165</v>
      </c>
      <c r="E39" s="5">
        <v>391</v>
      </c>
      <c r="F39" s="6">
        <v>18556</v>
      </c>
      <c r="G39" s="5">
        <v>18519</v>
      </c>
      <c r="H39" s="5">
        <v>37</v>
      </c>
      <c r="I39" s="6">
        <v>18556</v>
      </c>
      <c r="J39" s="5">
        <v>22033</v>
      </c>
      <c r="K39" s="5">
        <v>-3477</v>
      </c>
      <c r="L39" s="6">
        <v>23254</v>
      </c>
      <c r="M39" s="5">
        <v>21703</v>
      </c>
      <c r="N39" s="5">
        <v>1551</v>
      </c>
      <c r="O39" s="6">
        <f t="shared" si="3"/>
        <v>-3049</v>
      </c>
      <c r="P39" s="72">
        <f t="shared" si="4"/>
        <v>-5.1926155523008277E-2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">
      <c r="A40" s="28">
        <v>2584</v>
      </c>
      <c r="B40" s="56" t="s">
        <v>26</v>
      </c>
      <c r="C40" s="6">
        <v>78346</v>
      </c>
      <c r="D40" s="5">
        <v>82300</v>
      </c>
      <c r="E40" s="5">
        <v>-3954</v>
      </c>
      <c r="F40" s="6">
        <v>79932</v>
      </c>
      <c r="G40" s="5">
        <v>68991</v>
      </c>
      <c r="H40" s="5">
        <v>10941</v>
      </c>
      <c r="I40" s="6">
        <v>80300</v>
      </c>
      <c r="J40" s="5">
        <v>89244</v>
      </c>
      <c r="K40" s="5">
        <v>-8944</v>
      </c>
      <c r="L40" s="6">
        <v>92163</v>
      </c>
      <c r="M40" s="5">
        <v>92280</v>
      </c>
      <c r="N40" s="5">
        <v>-117</v>
      </c>
      <c r="O40" s="6">
        <f t="shared" si="3"/>
        <v>-1957</v>
      </c>
      <c r="P40" s="72">
        <f t="shared" si="4"/>
        <v>-8.1359962749858652E-3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 xml:space="preserve"> 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 xml:space="preserve"> 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58007</v>
      </c>
      <c r="D41" s="5">
        <v>48955</v>
      </c>
      <c r="E41" s="5">
        <v>9052</v>
      </c>
      <c r="F41" s="6">
        <v>47820</v>
      </c>
      <c r="G41" s="5">
        <v>39358</v>
      </c>
      <c r="H41" s="5">
        <v>8462</v>
      </c>
      <c r="I41" s="6">
        <v>42803</v>
      </c>
      <c r="J41" s="5">
        <v>59201</v>
      </c>
      <c r="K41" s="5">
        <v>-16398</v>
      </c>
      <c r="L41" s="6">
        <v>81195</v>
      </c>
      <c r="M41" s="5">
        <v>62735</v>
      </c>
      <c r="N41" s="5">
        <v>18460</v>
      </c>
      <c r="O41" s="6">
        <f t="shared" si="3"/>
        <v>1116</v>
      </c>
      <c r="P41" s="72">
        <f t="shared" si="4"/>
        <v>7.5653323390841611E-3</v>
      </c>
      <c r="Q41" s="76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">
      <c r="A42" s="28">
        <v>2832</v>
      </c>
      <c r="B42" s="56" t="s">
        <v>26</v>
      </c>
      <c r="C42" s="6">
        <v>1801</v>
      </c>
      <c r="D42" s="5">
        <v>4325</v>
      </c>
      <c r="E42" s="5">
        <v>-2524</v>
      </c>
      <c r="F42" s="6">
        <v>1801</v>
      </c>
      <c r="G42" s="5">
        <v>3426</v>
      </c>
      <c r="H42" s="5">
        <v>-1625</v>
      </c>
      <c r="I42" s="6">
        <v>1801</v>
      </c>
      <c r="J42" s="5">
        <v>2812</v>
      </c>
      <c r="K42" s="5">
        <v>-1011</v>
      </c>
      <c r="L42" s="6">
        <v>7661</v>
      </c>
      <c r="M42" s="5">
        <v>3789</v>
      </c>
      <c r="N42" s="5">
        <v>3872</v>
      </c>
      <c r="O42" s="6">
        <f t="shared" si="3"/>
        <v>-5160</v>
      </c>
      <c r="P42" s="72">
        <f t="shared" si="4"/>
        <v>-0.48845134418780767</v>
      </c>
      <c r="Q42" s="76"/>
      <c r="R42" s="67" t="str">
        <f>IF($C$4="High Inventory",IF(AND(O42&gt;=Summary!$C$128,P42&gt;=Summary!$C$129),"X"," "),IF(AND(O42&lt;=-Summary!$C$128,P42&lt;=-Summary!$C$129),"X"," "))</f>
        <v>X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>X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>X</v>
      </c>
      <c r="X42" t="str">
        <f>IF($C$4="High Inventory",IF(P42&gt;Summary!$C$129,"X"," "),IF(P42&lt;-Summary!$C$129,"X"," "))</f>
        <v>X</v>
      </c>
    </row>
    <row r="43" spans="1:24" x14ac:dyDescent="0.2">
      <c r="A43" s="28">
        <v>2892</v>
      </c>
      <c r="B43" s="56" t="s">
        <v>26</v>
      </c>
      <c r="C43" s="6">
        <v>175</v>
      </c>
      <c r="D43" s="5">
        <v>195</v>
      </c>
      <c r="E43" s="5">
        <v>-20</v>
      </c>
      <c r="F43" s="6">
        <v>180</v>
      </c>
      <c r="G43" s="5">
        <v>197</v>
      </c>
      <c r="H43" s="5">
        <v>-17</v>
      </c>
      <c r="I43" s="6">
        <v>180</v>
      </c>
      <c r="J43" s="5">
        <v>183</v>
      </c>
      <c r="K43" s="5">
        <v>-3</v>
      </c>
      <c r="L43" s="6">
        <v>259</v>
      </c>
      <c r="M43" s="5">
        <v>194</v>
      </c>
      <c r="N43" s="5">
        <v>65</v>
      </c>
      <c r="O43" s="6">
        <f t="shared" si="3"/>
        <v>-40</v>
      </c>
      <c r="P43" s="72">
        <f t="shared" si="4"/>
        <v>-6.9444444444444448E-2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">
      <c r="A44" s="28">
        <v>3015</v>
      </c>
      <c r="B44" s="56" t="s">
        <v>26</v>
      </c>
      <c r="C44" s="6">
        <v>10368</v>
      </c>
      <c r="D44" s="5">
        <v>5010</v>
      </c>
      <c r="E44" s="5">
        <v>5358</v>
      </c>
      <c r="F44" s="6">
        <v>10368</v>
      </c>
      <c r="G44" s="5">
        <v>4958</v>
      </c>
      <c r="H44" s="5">
        <v>5410</v>
      </c>
      <c r="I44" s="6">
        <v>6962</v>
      </c>
      <c r="J44" s="5">
        <v>10090</v>
      </c>
      <c r="K44" s="5">
        <v>-3128</v>
      </c>
      <c r="L44" s="6">
        <v>7806</v>
      </c>
      <c r="M44" s="5">
        <v>10221</v>
      </c>
      <c r="N44" s="5">
        <v>-2415</v>
      </c>
      <c r="O44" s="6">
        <f t="shared" si="3"/>
        <v>7640</v>
      </c>
      <c r="P44" s="72">
        <f t="shared" si="4"/>
        <v>0.38087641457699783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">
      <c r="A45" s="28">
        <v>4303</v>
      </c>
      <c r="B45" s="56" t="s">
        <v>26</v>
      </c>
      <c r="C45" s="6">
        <v>3270</v>
      </c>
      <c r="D45" s="5">
        <v>2666</v>
      </c>
      <c r="E45" s="5">
        <v>604</v>
      </c>
      <c r="F45" s="6">
        <v>2841</v>
      </c>
      <c r="G45" s="5">
        <v>2151</v>
      </c>
      <c r="H45" s="5">
        <v>690</v>
      </c>
      <c r="I45" s="6">
        <v>2813</v>
      </c>
      <c r="J45" s="5">
        <v>3239</v>
      </c>
      <c r="K45" s="5">
        <v>-426</v>
      </c>
      <c r="L45" s="6">
        <v>2880</v>
      </c>
      <c r="M45" s="5">
        <v>3135</v>
      </c>
      <c r="N45" s="5">
        <v>-255</v>
      </c>
      <c r="O45" s="6">
        <f t="shared" si="3"/>
        <v>868</v>
      </c>
      <c r="P45" s="72">
        <f t="shared" si="4"/>
        <v>0.10773240660295395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8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359984</v>
      </c>
      <c r="D47" s="5">
        <v>384376</v>
      </c>
      <c r="E47" s="5">
        <v>-24392</v>
      </c>
      <c r="F47" s="6">
        <v>359984</v>
      </c>
      <c r="G47" s="5">
        <v>397564</v>
      </c>
      <c r="H47" s="5">
        <v>-37580</v>
      </c>
      <c r="I47" s="6">
        <v>403983</v>
      </c>
      <c r="J47" s="5">
        <v>463162</v>
      </c>
      <c r="K47" s="5">
        <v>-59179</v>
      </c>
      <c r="L47" s="6">
        <v>501002</v>
      </c>
      <c r="M47" s="5">
        <v>417345</v>
      </c>
      <c r="N47" s="5">
        <v>83657</v>
      </c>
      <c r="O47" s="6">
        <f t="shared" si="3"/>
        <v>-121151</v>
      </c>
      <c r="P47" s="72">
        <f t="shared" si="4"/>
        <v>-9.7301990277109604E-2</v>
      </c>
      <c r="Q47" s="8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 xml:space="preserve"> </v>
      </c>
    </row>
    <row r="48" spans="1:24" x14ac:dyDescent="0.2">
      <c r="A48" s="28">
        <v>6084</v>
      </c>
      <c r="B48" s="56" t="s">
        <v>26</v>
      </c>
      <c r="C48" s="6">
        <v>0</v>
      </c>
      <c r="D48" s="5">
        <v>3</v>
      </c>
      <c r="E48" s="5">
        <v>-3</v>
      </c>
      <c r="F48" s="6">
        <v>0</v>
      </c>
      <c r="G48" s="5">
        <v>0</v>
      </c>
      <c r="H48" s="5">
        <v>0</v>
      </c>
      <c r="I48" s="6">
        <v>0</v>
      </c>
      <c r="J48" s="5">
        <v>14</v>
      </c>
      <c r="K48" s="5">
        <v>-14</v>
      </c>
      <c r="L48" s="6">
        <v>0</v>
      </c>
      <c r="M48" s="5">
        <v>29</v>
      </c>
      <c r="N48" s="5">
        <v>-29</v>
      </c>
      <c r="O48" s="6">
        <f t="shared" si="3"/>
        <v>-17</v>
      </c>
      <c r="P48" s="72">
        <f t="shared" si="4"/>
        <v>-0.94444444444444442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>X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>X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10598</v>
      </c>
      <c r="E49" s="5">
        <v>902</v>
      </c>
      <c r="F49" s="6">
        <v>11500</v>
      </c>
      <c r="G49" s="5">
        <v>10917</v>
      </c>
      <c r="H49" s="5">
        <v>583</v>
      </c>
      <c r="I49" s="6">
        <v>11500</v>
      </c>
      <c r="J49" s="5">
        <v>10575</v>
      </c>
      <c r="K49" s="5">
        <v>925</v>
      </c>
      <c r="L49" s="6">
        <v>11500</v>
      </c>
      <c r="M49" s="5">
        <v>10845</v>
      </c>
      <c r="N49" s="5">
        <v>655</v>
      </c>
      <c r="O49" s="6">
        <f t="shared" si="3"/>
        <v>2410</v>
      </c>
      <c r="P49" s="72">
        <f t="shared" si="4"/>
        <v>7.5098937396777907E-2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32170</v>
      </c>
      <c r="D50" s="5">
        <v>30965</v>
      </c>
      <c r="E50" s="5">
        <v>1205</v>
      </c>
      <c r="F50" s="6">
        <v>32995</v>
      </c>
      <c r="G50" s="5">
        <v>27325</v>
      </c>
      <c r="H50" s="5">
        <v>5670</v>
      </c>
      <c r="I50" s="6">
        <v>28876</v>
      </c>
      <c r="J50" s="5">
        <v>34639</v>
      </c>
      <c r="K50" s="5">
        <v>-5763</v>
      </c>
      <c r="L50" s="6">
        <v>39780</v>
      </c>
      <c r="M50" s="5">
        <v>37413</v>
      </c>
      <c r="N50" s="5">
        <v>2367</v>
      </c>
      <c r="O50" s="6">
        <f t="shared" si="3"/>
        <v>1112</v>
      </c>
      <c r="P50" s="72">
        <f t="shared" si="4"/>
        <v>1.1965995910900678E-2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62651</v>
      </c>
      <c r="D51" s="5">
        <v>57379</v>
      </c>
      <c r="E51" s="5">
        <v>5272</v>
      </c>
      <c r="F51" s="6">
        <v>62650</v>
      </c>
      <c r="G51" s="5">
        <v>57553</v>
      </c>
      <c r="H51" s="5">
        <v>5097</v>
      </c>
      <c r="I51" s="6">
        <v>62567</v>
      </c>
      <c r="J51" s="5">
        <v>59691</v>
      </c>
      <c r="K51" s="5">
        <v>2876</v>
      </c>
      <c r="L51" s="6">
        <v>62671</v>
      </c>
      <c r="M51" s="5">
        <v>59848</v>
      </c>
      <c r="N51" s="5">
        <v>2823</v>
      </c>
      <c r="O51" s="6">
        <f t="shared" si="3"/>
        <v>13245</v>
      </c>
      <c r="P51" s="72">
        <f t="shared" si="4"/>
        <v>7.5848680593732815E-2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30069</v>
      </c>
      <c r="B52" s="56" t="s">
        <v>26</v>
      </c>
      <c r="C52" s="6">
        <v>9950</v>
      </c>
      <c r="D52" s="5">
        <v>10085</v>
      </c>
      <c r="E52" s="5">
        <v>-135</v>
      </c>
      <c r="F52" s="6">
        <v>7612</v>
      </c>
      <c r="G52" s="5">
        <v>10042</v>
      </c>
      <c r="H52" s="5">
        <v>-2430</v>
      </c>
      <c r="I52" s="6">
        <v>8234</v>
      </c>
      <c r="J52" s="5">
        <v>10160</v>
      </c>
      <c r="K52" s="5">
        <v>-1926</v>
      </c>
      <c r="L52" s="6">
        <v>9139</v>
      </c>
      <c r="M52" s="5">
        <v>10149</v>
      </c>
      <c r="N52" s="5">
        <v>-1010</v>
      </c>
      <c r="O52" s="6">
        <f t="shared" si="3"/>
        <v>-4491</v>
      </c>
      <c r="P52" s="72">
        <f t="shared" si="4"/>
        <v>-0.14827654516640254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>X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10922</v>
      </c>
      <c r="D54" s="5">
        <v>6942</v>
      </c>
      <c r="E54" s="5">
        <v>3980</v>
      </c>
      <c r="F54" s="6">
        <v>10922</v>
      </c>
      <c r="G54" s="5">
        <v>6542</v>
      </c>
      <c r="H54" s="5">
        <v>4380</v>
      </c>
      <c r="I54" s="6">
        <v>10922</v>
      </c>
      <c r="J54" s="5">
        <v>10007</v>
      </c>
      <c r="K54" s="5">
        <v>915</v>
      </c>
      <c r="L54" s="6">
        <v>10922</v>
      </c>
      <c r="M54" s="5">
        <v>9903</v>
      </c>
      <c r="N54" s="5">
        <v>1019</v>
      </c>
      <c r="O54" s="6">
        <f t="shared" si="3"/>
        <v>9275</v>
      </c>
      <c r="P54" s="72">
        <f t="shared" si="4"/>
        <v>0.39481525625744934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1</v>
      </c>
      <c r="N55" s="5">
        <v>-1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201</v>
      </c>
      <c r="B56" s="56" t="s">
        <v>27</v>
      </c>
      <c r="C56" s="6">
        <v>0</v>
      </c>
      <c r="D56" s="5">
        <v>10</v>
      </c>
      <c r="E56" s="5">
        <v>-10</v>
      </c>
      <c r="F56" s="6">
        <v>0</v>
      </c>
      <c r="G56" s="5">
        <v>13</v>
      </c>
      <c r="H56" s="5">
        <v>-13</v>
      </c>
      <c r="I56" s="6">
        <v>0</v>
      </c>
      <c r="J56" s="5">
        <v>126</v>
      </c>
      <c r="K56" s="5">
        <v>-126</v>
      </c>
      <c r="L56" s="6">
        <v>0</v>
      </c>
      <c r="M56" s="5">
        <v>129</v>
      </c>
      <c r="N56" s="5">
        <v>-129</v>
      </c>
      <c r="O56" s="6">
        <f t="shared" si="3"/>
        <v>-149</v>
      </c>
      <c r="P56" s="72">
        <f t="shared" si="4"/>
        <v>-0.99333333333333329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>X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>X</v>
      </c>
    </row>
    <row r="57" spans="1:24" x14ac:dyDescent="0.2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512</v>
      </c>
      <c r="B60" s="56" t="s">
        <v>27</v>
      </c>
      <c r="C60" s="6">
        <v>1500</v>
      </c>
      <c r="D60" s="5">
        <v>1641</v>
      </c>
      <c r="E60" s="5">
        <v>-141</v>
      </c>
      <c r="F60" s="6">
        <v>1500</v>
      </c>
      <c r="G60" s="5">
        <v>1225</v>
      </c>
      <c r="H60" s="5">
        <v>275</v>
      </c>
      <c r="I60" s="6">
        <v>1500</v>
      </c>
      <c r="J60" s="5">
        <v>455</v>
      </c>
      <c r="K60" s="5">
        <v>1045</v>
      </c>
      <c r="L60" s="6">
        <v>1500</v>
      </c>
      <c r="M60" s="5">
        <v>912</v>
      </c>
      <c r="N60" s="5">
        <v>588</v>
      </c>
      <c r="O60" s="6">
        <f t="shared" si="3"/>
        <v>1179</v>
      </c>
      <c r="P60" s="72">
        <f t="shared" si="4"/>
        <v>0.35490668272125225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757</v>
      </c>
      <c r="B61" s="56" t="s">
        <v>27</v>
      </c>
      <c r="C61" s="6">
        <v>0</v>
      </c>
      <c r="D61" s="5">
        <v>486</v>
      </c>
      <c r="E61" s="5">
        <v>-486</v>
      </c>
      <c r="F61" s="6">
        <v>0</v>
      </c>
      <c r="G61" s="5">
        <v>520</v>
      </c>
      <c r="H61" s="5">
        <v>-520</v>
      </c>
      <c r="I61" s="6">
        <v>0</v>
      </c>
      <c r="J61" s="5">
        <v>456</v>
      </c>
      <c r="K61" s="5">
        <v>-456</v>
      </c>
      <c r="L61" s="6">
        <v>500</v>
      </c>
      <c r="M61" s="5">
        <v>544</v>
      </c>
      <c r="N61" s="5">
        <v>-44</v>
      </c>
      <c r="O61" s="6">
        <f t="shared" si="3"/>
        <v>-1462</v>
      </c>
      <c r="P61" s="72">
        <f t="shared" si="4"/>
        <v>-0.99931647300068349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>X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>X</v>
      </c>
    </row>
    <row r="62" spans="1:24" x14ac:dyDescent="0.2">
      <c r="A62" s="28">
        <v>779</v>
      </c>
      <c r="B62" s="56" t="s">
        <v>27</v>
      </c>
      <c r="C62" s="6">
        <v>964</v>
      </c>
      <c r="D62" s="5">
        <v>989</v>
      </c>
      <c r="E62" s="5">
        <v>-25</v>
      </c>
      <c r="F62" s="6">
        <v>1000</v>
      </c>
      <c r="G62" s="5">
        <v>222</v>
      </c>
      <c r="H62" s="5">
        <v>778</v>
      </c>
      <c r="I62" s="6">
        <v>1000</v>
      </c>
      <c r="J62" s="5">
        <v>665</v>
      </c>
      <c r="K62" s="5">
        <v>335</v>
      </c>
      <c r="L62" s="6">
        <v>964</v>
      </c>
      <c r="M62" s="5">
        <v>1014</v>
      </c>
      <c r="N62" s="5">
        <v>-50</v>
      </c>
      <c r="O62" s="6">
        <f t="shared" si="3"/>
        <v>1088</v>
      </c>
      <c r="P62" s="72">
        <f t="shared" si="4"/>
        <v>0.57964837506659561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3"/>
        <v>0</v>
      </c>
      <c r="P63" s="72">
        <f t="shared" si="4"/>
        <v>0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928</v>
      </c>
      <c r="B66" s="56" t="s">
        <v>27</v>
      </c>
      <c r="C66" s="6">
        <v>187</v>
      </c>
      <c r="D66" s="5">
        <v>506</v>
      </c>
      <c r="E66" s="5">
        <v>-319</v>
      </c>
      <c r="F66" s="6">
        <v>190</v>
      </c>
      <c r="G66" s="5">
        <v>186</v>
      </c>
      <c r="H66" s="5">
        <v>4</v>
      </c>
      <c r="I66" s="6">
        <v>190</v>
      </c>
      <c r="J66" s="5">
        <v>523</v>
      </c>
      <c r="K66" s="5">
        <v>-333</v>
      </c>
      <c r="L66" s="6">
        <v>190</v>
      </c>
      <c r="M66" s="5">
        <v>421</v>
      </c>
      <c r="N66" s="5">
        <v>-231</v>
      </c>
      <c r="O66" s="6">
        <f t="shared" si="6"/>
        <v>-648</v>
      </c>
      <c r="P66" s="72">
        <f t="shared" ref="P66:P85" si="7">O66/(J66+G66+D66+1)</f>
        <v>-0.53289473684210531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>X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>X</v>
      </c>
    </row>
    <row r="67" spans="1:24" x14ac:dyDescent="0.2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7602</v>
      </c>
      <c r="B69" s="56" t="s">
        <v>27</v>
      </c>
      <c r="C69" s="6">
        <v>31588</v>
      </c>
      <c r="D69" s="5">
        <v>48048</v>
      </c>
      <c r="E69" s="5">
        <v>-16460</v>
      </c>
      <c r="F69" s="6">
        <v>31588</v>
      </c>
      <c r="G69" s="5">
        <v>47552</v>
      </c>
      <c r="H69" s="5">
        <v>-15964</v>
      </c>
      <c r="I69" s="6">
        <v>31588</v>
      </c>
      <c r="J69" s="5">
        <v>48689</v>
      </c>
      <c r="K69" s="5">
        <v>-17101</v>
      </c>
      <c r="L69" s="6">
        <v>43649</v>
      </c>
      <c r="M69" s="5">
        <v>46506</v>
      </c>
      <c r="N69" s="5">
        <v>-2857</v>
      </c>
      <c r="O69" s="6">
        <f t="shared" si="6"/>
        <v>-49525</v>
      </c>
      <c r="P69" s="72">
        <f t="shared" si="7"/>
        <v>-0.34323237923626032</v>
      </c>
      <c r="Q69" s="76"/>
      <c r="R69" s="67" t="str">
        <f>IF($C$4="High Inventory",IF(AND(O69&gt;=Summary!$C$128,P69&gt;=Summary!$C$129),"X"," "),IF(AND(O69&lt;=-Summary!$C$128,P69&lt;=-Summary!$C$129),"X"," "))</f>
        <v>X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>X</v>
      </c>
      <c r="V69" t="str">
        <f t="shared" si="8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>X</v>
      </c>
    </row>
    <row r="70" spans="1:24" x14ac:dyDescent="0.2">
      <c r="A70" s="28">
        <v>7604</v>
      </c>
      <c r="B70" s="56" t="s">
        <v>27</v>
      </c>
      <c r="C70" s="6">
        <v>52900</v>
      </c>
      <c r="D70" s="5">
        <v>68495</v>
      </c>
      <c r="E70" s="5">
        <v>-15595</v>
      </c>
      <c r="F70" s="6">
        <v>52900</v>
      </c>
      <c r="G70" s="5">
        <v>67899</v>
      </c>
      <c r="H70" s="5">
        <v>-14999</v>
      </c>
      <c r="I70" s="6">
        <v>52471</v>
      </c>
      <c r="J70" s="5">
        <v>68305</v>
      </c>
      <c r="K70" s="5">
        <v>-15834</v>
      </c>
      <c r="L70" s="6">
        <v>63293</v>
      </c>
      <c r="M70" s="5">
        <v>58677</v>
      </c>
      <c r="N70" s="5">
        <v>4616</v>
      </c>
      <c r="O70" s="6">
        <f t="shared" si="6"/>
        <v>-46428</v>
      </c>
      <c r="P70" s="72">
        <f t="shared" si="7"/>
        <v>-0.22680996580361504</v>
      </c>
      <c r="Q70" s="76"/>
      <c r="R70" s="67" t="str">
        <f>IF($C$4="High Inventory",IF(AND(O70&gt;=Summary!$C$128,P70&gt;=Summary!$C$129),"X"," "),IF(AND(O70&lt;=-Summary!$C$128,P70&lt;=-Summary!$C$129),"X"," "))</f>
        <v>X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>X</v>
      </c>
      <c r="U70" s="11" t="str">
        <f>IF($C$4="High Inventory",IF(AND($O70&gt;=0,$P70&gt;=Summary!$C$129),"X"," "),IF(AND($O70&lt;=0,$P70&lt;=-Summary!$C$129),"X"," "))</f>
        <v>X</v>
      </c>
      <c r="V70" t="str">
        <f t="shared" si="8"/>
        <v xml:space="preserve"> </v>
      </c>
      <c r="W70" t="str">
        <f>IF($C$4="High Inventory",IF(O70&gt;Summary!$C$128,"X"," "),IF(O70&lt;-Summary!$C$128,"X"," "))</f>
        <v>X</v>
      </c>
      <c r="X70" t="str">
        <f>IF($C$4="High Inventory",IF(P70&gt;Summary!$C$129,"X"," "),IF(P70&lt;-Summary!$C$129,"X"," "))</f>
        <v>X</v>
      </c>
    </row>
    <row r="71" spans="1:24" x14ac:dyDescent="0.2">
      <c r="A71" s="28">
        <v>7610</v>
      </c>
      <c r="B71" s="56" t="s">
        <v>27</v>
      </c>
      <c r="C71" s="6">
        <v>0</v>
      </c>
      <c r="D71" s="5">
        <v>88</v>
      </c>
      <c r="E71" s="5">
        <v>-88</v>
      </c>
      <c r="F71" s="6">
        <v>0</v>
      </c>
      <c r="G71" s="5">
        <v>97</v>
      </c>
      <c r="H71" s="5">
        <v>-97</v>
      </c>
      <c r="I71" s="6">
        <v>0</v>
      </c>
      <c r="J71" s="5">
        <v>97</v>
      </c>
      <c r="K71" s="5">
        <v>-97</v>
      </c>
      <c r="L71" s="6">
        <v>0</v>
      </c>
      <c r="M71" s="5">
        <v>82</v>
      </c>
      <c r="N71" s="5">
        <v>-82</v>
      </c>
      <c r="O71" s="6">
        <f t="shared" si="6"/>
        <v>-282</v>
      </c>
      <c r="P71" s="72">
        <f t="shared" si="7"/>
        <v>-0.99646643109540634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>X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>X</v>
      </c>
    </row>
    <row r="72" spans="1:24" x14ac:dyDescent="0.2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13636</v>
      </c>
      <c r="B77" s="56" t="s">
        <v>27</v>
      </c>
      <c r="C77" s="6">
        <v>119</v>
      </c>
      <c r="D77" s="5">
        <v>0</v>
      </c>
      <c r="E77" s="5">
        <v>119</v>
      </c>
      <c r="F77" s="6">
        <v>120</v>
      </c>
      <c r="G77" s="5">
        <v>0</v>
      </c>
      <c r="H77" s="5">
        <v>120</v>
      </c>
      <c r="I77" s="6">
        <v>119</v>
      </c>
      <c r="J77" s="5">
        <v>0</v>
      </c>
      <c r="K77" s="5">
        <v>119</v>
      </c>
      <c r="L77" s="6">
        <v>120</v>
      </c>
      <c r="M77" s="5">
        <v>0</v>
      </c>
      <c r="N77" s="5">
        <v>120</v>
      </c>
      <c r="O77" s="6">
        <f t="shared" si="6"/>
        <v>358</v>
      </c>
      <c r="P77" s="72">
        <f t="shared" si="7"/>
        <v>358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1</v>
      </c>
      <c r="K78" s="5">
        <v>-1</v>
      </c>
      <c r="L78" s="6">
        <v>0</v>
      </c>
      <c r="M78" s="5">
        <v>0</v>
      </c>
      <c r="N78" s="5">
        <v>0</v>
      </c>
      <c r="O78" s="6">
        <f t="shared" si="6"/>
        <v>-1</v>
      </c>
      <c r="P78" s="72">
        <f t="shared" si="7"/>
        <v>-0.5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>X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>X</v>
      </c>
    </row>
    <row r="79" spans="1:24" x14ac:dyDescent="0.2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30049</v>
      </c>
      <c r="B80" s="56" t="s">
        <v>27</v>
      </c>
      <c r="C80" s="6">
        <v>0</v>
      </c>
      <c r="D80" s="5">
        <v>6</v>
      </c>
      <c r="E80" s="5">
        <v>-6</v>
      </c>
      <c r="F80" s="6">
        <v>0</v>
      </c>
      <c r="G80" s="5">
        <v>0</v>
      </c>
      <c r="H80" s="5">
        <v>0</v>
      </c>
      <c r="I80" s="6">
        <v>0</v>
      </c>
      <c r="J80" s="5">
        <v>7</v>
      </c>
      <c r="K80" s="5">
        <v>-7</v>
      </c>
      <c r="L80" s="6">
        <v>150</v>
      </c>
      <c r="M80" s="5">
        <v>8</v>
      </c>
      <c r="N80" s="5">
        <v>142</v>
      </c>
      <c r="O80" s="6">
        <f t="shared" si="6"/>
        <v>-13</v>
      </c>
      <c r="P80" s="72">
        <f t="shared" si="7"/>
        <v>-0.9285714285714286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>X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>X</v>
      </c>
    </row>
    <row r="81" spans="1:42" x14ac:dyDescent="0.2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30511</v>
      </c>
      <c r="B82" s="56" t="s">
        <v>27</v>
      </c>
      <c r="C82" s="6">
        <v>500</v>
      </c>
      <c r="D82" s="5">
        <v>4</v>
      </c>
      <c r="E82" s="5">
        <v>496</v>
      </c>
      <c r="F82" s="6">
        <v>500</v>
      </c>
      <c r="G82" s="5">
        <v>4</v>
      </c>
      <c r="H82" s="5">
        <v>496</v>
      </c>
      <c r="I82" s="6">
        <v>500</v>
      </c>
      <c r="J82" s="5">
        <v>4</v>
      </c>
      <c r="K82" s="5">
        <v>496</v>
      </c>
      <c r="L82" s="6">
        <v>500</v>
      </c>
      <c r="M82" s="5">
        <v>4</v>
      </c>
      <c r="N82" s="5">
        <v>496</v>
      </c>
      <c r="O82" s="6">
        <f t="shared" si="6"/>
        <v>1488</v>
      </c>
      <c r="P82" s="72">
        <f t="shared" si="7"/>
        <v>114.46153846153847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5" thickBot="1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s="3" customFormat="1" x14ac:dyDescent="0.2">
      <c r="A86" s="2" t="s">
        <v>28</v>
      </c>
      <c r="B86" s="2"/>
      <c r="E86" s="3">
        <f>SUM(E10:E85)</f>
        <v>-5724</v>
      </c>
      <c r="H86" s="3">
        <f>SUM(H11:H85)</f>
        <v>-61288</v>
      </c>
      <c r="K86" s="3">
        <f>SUM(K11:K85)</f>
        <v>-204731</v>
      </c>
      <c r="M86" s="3">
        <f>SUM(M11:M85)</f>
        <v>2483926</v>
      </c>
      <c r="N86" s="3">
        <f>SUM(N11:N85)</f>
        <v>220345</v>
      </c>
      <c r="O86" s="3">
        <f>SUM(O11:O85)</f>
        <v>-271743</v>
      </c>
      <c r="P86" s="12"/>
      <c r="Q86" s="2">
        <f>COUNTIF(Q10:Q85,"X")</f>
        <v>0</v>
      </c>
      <c r="R86" s="2">
        <f>COUNTIF(R10:R85,"X")</f>
        <v>6</v>
      </c>
      <c r="S86" s="2">
        <f>COUNTIF(S10:S85,"X")</f>
        <v>0</v>
      </c>
      <c r="T86" s="2">
        <f>COUNTIF(T10:T85,"X")</f>
        <v>9</v>
      </c>
      <c r="U86" s="2">
        <f>COUNTIF(U10:U85,"X")</f>
        <v>17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">
      <c r="M87" s="89" t="s">
        <v>56</v>
      </c>
      <c r="N87" s="90">
        <f>N86/M86</f>
        <v>8.8708359266741435E-2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9"/>
  <sheetViews>
    <sheetView zoomScale="75" workbookViewId="0">
      <pane xSplit="1" ySplit="9" topLeftCell="B51" activePane="bottomRight" state="frozen"/>
      <selection pane="topRight" activeCell="C1" sqref="C1"/>
      <selection pane="bottomLeft" activeCell="A10" sqref="A10"/>
      <selection pane="bottomRight" activeCell="D65" sqref="D65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36767</v>
      </c>
      <c r="D3" s="9"/>
    </row>
    <row r="4" spans="1:42" ht="15.75" x14ac:dyDescent="0.25">
      <c r="A4" s="58" t="s">
        <v>36</v>
      </c>
      <c r="C4" s="4" t="s">
        <v>60</v>
      </c>
      <c r="E4" s="97" t="s">
        <v>38</v>
      </c>
      <c r="G4" s="4" t="s">
        <v>65</v>
      </c>
    </row>
    <row r="5" spans="1:42" ht="16.5" thickBot="1" x14ac:dyDescent="0.3">
      <c r="A5" s="58" t="s">
        <v>39</v>
      </c>
      <c r="C5" s="4" t="s">
        <v>58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36764</v>
      </c>
      <c r="D8" s="180"/>
      <c r="E8" s="181" t="str">
        <f>TEXT(WEEKDAY(C8),"dddd")</f>
        <v>Saturday</v>
      </c>
      <c r="F8" s="182">
        <f>F9</f>
        <v>36765</v>
      </c>
      <c r="G8" s="180"/>
      <c r="H8" s="181" t="str">
        <f>TEXT(WEEKDAY(F8),"dddd")</f>
        <v>Sunday</v>
      </c>
      <c r="I8" s="182">
        <f>I9</f>
        <v>36766</v>
      </c>
      <c r="J8" s="180"/>
      <c r="K8" s="181" t="str">
        <f>TEXT(WEEKDAY(I8),"dddd")</f>
        <v>Monday</v>
      </c>
      <c r="L8" s="182">
        <f>L9</f>
        <v>36767</v>
      </c>
      <c r="M8" s="180"/>
      <c r="N8" s="181" t="str">
        <f>TEXT(WEEKDAY(L8),"dddd")</f>
        <v>Tuesday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36764</v>
      </c>
      <c r="D9" s="157">
        <v>36764</v>
      </c>
      <c r="E9" s="157">
        <v>36764</v>
      </c>
      <c r="F9" s="158">
        <v>36765</v>
      </c>
      <c r="G9" s="157">
        <v>36765</v>
      </c>
      <c r="H9" s="157">
        <v>36765</v>
      </c>
      <c r="I9" s="158">
        <v>36766</v>
      </c>
      <c r="J9" s="157">
        <v>36766</v>
      </c>
      <c r="K9" s="157">
        <v>36766</v>
      </c>
      <c r="L9" s="158">
        <v>36767</v>
      </c>
      <c r="M9" s="157">
        <v>36767</v>
      </c>
      <c r="N9" s="157">
        <v>36767</v>
      </c>
      <c r="O9" s="6">
        <f t="shared" ref="O9:O36" si="0">K9+H9+E9</f>
        <v>110295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288</v>
      </c>
      <c r="D11" s="5">
        <v>266</v>
      </c>
      <c r="E11" s="5">
        <v>22</v>
      </c>
      <c r="F11" s="6">
        <v>288</v>
      </c>
      <c r="G11" s="5">
        <v>275</v>
      </c>
      <c r="H11" s="5">
        <v>13</v>
      </c>
      <c r="I11" s="6">
        <v>288</v>
      </c>
      <c r="J11" s="5">
        <v>312</v>
      </c>
      <c r="K11" s="5">
        <v>-24</v>
      </c>
      <c r="L11" s="6">
        <v>288</v>
      </c>
      <c r="M11" s="5">
        <v>320</v>
      </c>
      <c r="N11" s="5">
        <v>-32</v>
      </c>
      <c r="O11" s="6">
        <f t="shared" si="0"/>
        <v>11</v>
      </c>
      <c r="P11" s="72">
        <f t="shared" si="1"/>
        <v>1.288056206088993E-2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300</v>
      </c>
      <c r="D12" s="5">
        <v>357</v>
      </c>
      <c r="E12" s="5">
        <v>-57</v>
      </c>
      <c r="F12" s="6">
        <v>300</v>
      </c>
      <c r="G12" s="5">
        <v>377</v>
      </c>
      <c r="H12" s="5">
        <v>-77</v>
      </c>
      <c r="I12" s="6">
        <v>300</v>
      </c>
      <c r="J12" s="5">
        <v>420</v>
      </c>
      <c r="K12" s="5">
        <v>-120</v>
      </c>
      <c r="L12" s="6">
        <v>300</v>
      </c>
      <c r="M12" s="5">
        <v>441</v>
      </c>
      <c r="N12" s="5">
        <v>-141</v>
      </c>
      <c r="O12" s="6">
        <f t="shared" si="0"/>
        <v>-254</v>
      </c>
      <c r="P12" s="72">
        <f t="shared" si="1"/>
        <v>-0.21991341991341992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106</v>
      </c>
      <c r="E13" s="5">
        <v>-6</v>
      </c>
      <c r="F13" s="6">
        <v>100</v>
      </c>
      <c r="G13" s="5">
        <v>109</v>
      </c>
      <c r="H13" s="5">
        <v>-9</v>
      </c>
      <c r="I13" s="6">
        <v>100</v>
      </c>
      <c r="J13" s="5">
        <v>124</v>
      </c>
      <c r="K13" s="5">
        <v>-24</v>
      </c>
      <c r="L13" s="6">
        <v>100</v>
      </c>
      <c r="M13" s="5">
        <v>127</v>
      </c>
      <c r="N13" s="5">
        <v>-27</v>
      </c>
      <c r="O13" s="6">
        <f t="shared" si="0"/>
        <v>-39</v>
      </c>
      <c r="P13" s="72">
        <f t="shared" si="1"/>
        <v>-0.11470588235294117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">
      <c r="A14" s="28">
        <v>1780</v>
      </c>
      <c r="B14" s="56" t="s">
        <v>25</v>
      </c>
      <c r="C14" s="6">
        <v>1040</v>
      </c>
      <c r="D14" s="5">
        <v>878</v>
      </c>
      <c r="E14" s="5">
        <v>162</v>
      </c>
      <c r="F14" s="6">
        <v>1040</v>
      </c>
      <c r="G14" s="5">
        <v>907</v>
      </c>
      <c r="H14" s="5">
        <v>133</v>
      </c>
      <c r="I14" s="6">
        <v>1040</v>
      </c>
      <c r="J14" s="5">
        <v>1032</v>
      </c>
      <c r="K14" s="5">
        <v>8</v>
      </c>
      <c r="L14" s="6">
        <v>1040</v>
      </c>
      <c r="M14" s="5">
        <v>1060</v>
      </c>
      <c r="N14" s="5">
        <v>-20</v>
      </c>
      <c r="O14" s="6">
        <f t="shared" si="0"/>
        <v>303</v>
      </c>
      <c r="P14" s="72">
        <f t="shared" si="1"/>
        <v>0.10752306600425834</v>
      </c>
      <c r="Q14" s="193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811</v>
      </c>
      <c r="D15" s="5">
        <v>645</v>
      </c>
      <c r="E15" s="5">
        <v>166</v>
      </c>
      <c r="F15" s="6">
        <v>811</v>
      </c>
      <c r="G15" s="5">
        <v>667</v>
      </c>
      <c r="H15" s="5">
        <v>144</v>
      </c>
      <c r="I15" s="6">
        <v>811</v>
      </c>
      <c r="J15" s="5">
        <v>759</v>
      </c>
      <c r="K15" s="5">
        <v>52</v>
      </c>
      <c r="L15" s="6">
        <v>2955</v>
      </c>
      <c r="M15" s="5">
        <v>779</v>
      </c>
      <c r="N15" s="5">
        <v>2176</v>
      </c>
      <c r="O15" s="6">
        <f t="shared" si="0"/>
        <v>362</v>
      </c>
      <c r="P15" s="72">
        <f t="shared" si="1"/>
        <v>0.17471042471042472</v>
      </c>
      <c r="Q15" s="193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">
      <c r="A16" s="28">
        <v>2584</v>
      </c>
      <c r="B16" s="56" t="s">
        <v>25</v>
      </c>
      <c r="C16" s="6">
        <v>2452</v>
      </c>
      <c r="D16" s="5">
        <v>2828</v>
      </c>
      <c r="E16" s="5">
        <v>-376</v>
      </c>
      <c r="F16" s="6">
        <v>2452</v>
      </c>
      <c r="G16" s="5">
        <v>2924</v>
      </c>
      <c r="H16" s="5">
        <v>-472</v>
      </c>
      <c r="I16" s="6">
        <v>2452</v>
      </c>
      <c r="J16" s="5">
        <v>3327</v>
      </c>
      <c r="K16" s="5">
        <v>-875</v>
      </c>
      <c r="L16" s="6">
        <v>2452</v>
      </c>
      <c r="M16" s="5">
        <v>3418</v>
      </c>
      <c r="N16" s="5">
        <v>-966</v>
      </c>
      <c r="O16" s="6">
        <f t="shared" si="0"/>
        <v>-1723</v>
      </c>
      <c r="P16" s="72">
        <f t="shared" si="1"/>
        <v>-0.18975770925110133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>X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>X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5717</v>
      </c>
      <c r="E17" s="5">
        <v>-1982</v>
      </c>
      <c r="F17" s="6">
        <v>3735</v>
      </c>
      <c r="G17" s="5">
        <v>5919</v>
      </c>
      <c r="H17" s="5">
        <v>-2184</v>
      </c>
      <c r="I17" s="6">
        <v>21985</v>
      </c>
      <c r="J17" s="5">
        <v>6727</v>
      </c>
      <c r="K17" s="5">
        <v>15258</v>
      </c>
      <c r="L17" s="6">
        <v>0</v>
      </c>
      <c r="M17" s="5">
        <v>6920</v>
      </c>
      <c r="N17" s="5">
        <v>-6920</v>
      </c>
      <c r="O17" s="6">
        <f t="shared" si="0"/>
        <v>11092</v>
      </c>
      <c r="P17" s="72">
        <f t="shared" si="1"/>
        <v>0.60400784142888264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>
        <f t="shared" si="2"/>
        <v>-21985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873</v>
      </c>
      <c r="E18" s="5">
        <v>-73</v>
      </c>
      <c r="F18" s="6">
        <v>800</v>
      </c>
      <c r="G18" s="5">
        <v>902</v>
      </c>
      <c r="H18" s="5">
        <v>-102</v>
      </c>
      <c r="I18" s="6">
        <v>800</v>
      </c>
      <c r="J18" s="5">
        <v>1027</v>
      </c>
      <c r="K18" s="5">
        <v>-227</v>
      </c>
      <c r="L18" s="6">
        <v>0</v>
      </c>
      <c r="M18" s="5">
        <v>1054</v>
      </c>
      <c r="N18" s="5">
        <v>-1054</v>
      </c>
      <c r="O18" s="6">
        <f t="shared" si="0"/>
        <v>-402</v>
      </c>
      <c r="P18" s="72">
        <f t="shared" si="1"/>
        <v>-0.14341776667855868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>X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>X</v>
      </c>
    </row>
    <row r="19" spans="1:24" x14ac:dyDescent="0.2">
      <c r="A19" s="28">
        <v>2892</v>
      </c>
      <c r="B19" s="56" t="s">
        <v>25</v>
      </c>
      <c r="C19" s="6">
        <v>7028</v>
      </c>
      <c r="D19" s="5">
        <v>4367</v>
      </c>
      <c r="E19" s="5">
        <v>2661</v>
      </c>
      <c r="F19" s="6">
        <v>7028</v>
      </c>
      <c r="G19" s="5">
        <v>4516</v>
      </c>
      <c r="H19" s="5">
        <v>2512</v>
      </c>
      <c r="I19" s="6">
        <v>7028</v>
      </c>
      <c r="J19" s="5">
        <v>5138</v>
      </c>
      <c r="K19" s="5">
        <v>1890</v>
      </c>
      <c r="L19" s="6">
        <v>4069</v>
      </c>
      <c r="M19" s="5">
        <v>5280</v>
      </c>
      <c r="N19" s="5">
        <v>-1211</v>
      </c>
      <c r="O19" s="6">
        <f t="shared" si="0"/>
        <v>7063</v>
      </c>
      <c r="P19" s="72">
        <f t="shared" si="1"/>
        <v>0.50370845813721299</v>
      </c>
      <c r="Q19" s="193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3152</v>
      </c>
      <c r="B20" s="56" t="s">
        <v>25</v>
      </c>
      <c r="C20" s="6">
        <v>3419</v>
      </c>
      <c r="D20" s="5">
        <v>3027</v>
      </c>
      <c r="E20" s="5">
        <v>392</v>
      </c>
      <c r="F20" s="6">
        <v>3419</v>
      </c>
      <c r="G20" s="5">
        <v>3135</v>
      </c>
      <c r="H20" s="5">
        <v>284</v>
      </c>
      <c r="I20" s="6">
        <v>3419</v>
      </c>
      <c r="J20" s="5">
        <v>3562</v>
      </c>
      <c r="K20" s="5">
        <v>-143</v>
      </c>
      <c r="L20" s="6">
        <v>3419</v>
      </c>
      <c r="M20" s="5">
        <v>3666</v>
      </c>
      <c r="N20" s="5">
        <v>-247</v>
      </c>
      <c r="O20" s="6">
        <f t="shared" si="0"/>
        <v>533</v>
      </c>
      <c r="P20" s="72">
        <f t="shared" si="1"/>
        <v>5.4807197943444727E-2</v>
      </c>
      <c r="Q20" s="193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4303</v>
      </c>
      <c r="B21" s="56" t="s">
        <v>25</v>
      </c>
      <c r="C21" s="6">
        <v>2031</v>
      </c>
      <c r="D21" s="5">
        <v>2292</v>
      </c>
      <c r="E21" s="5">
        <v>-261</v>
      </c>
      <c r="F21" s="6">
        <v>2209</v>
      </c>
      <c r="G21" s="5">
        <v>2370</v>
      </c>
      <c r="H21" s="5">
        <v>-161</v>
      </c>
      <c r="I21" s="6">
        <v>2168</v>
      </c>
      <c r="J21" s="5">
        <v>2697</v>
      </c>
      <c r="K21" s="5">
        <v>-529</v>
      </c>
      <c r="L21" s="6">
        <v>2529</v>
      </c>
      <c r="M21" s="5">
        <v>2770</v>
      </c>
      <c r="N21" s="5">
        <v>-241</v>
      </c>
      <c r="O21" s="6">
        <f t="shared" si="0"/>
        <v>-951</v>
      </c>
      <c r="P21" s="72">
        <f t="shared" si="1"/>
        <v>-0.12921195652173914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">
      <c r="A22" s="28">
        <v>6500</v>
      </c>
      <c r="B22" s="56" t="s">
        <v>25</v>
      </c>
      <c r="C22" s="6">
        <v>447076</v>
      </c>
      <c r="D22" s="5">
        <v>418716</v>
      </c>
      <c r="E22" s="5">
        <v>28360</v>
      </c>
      <c r="F22" s="6">
        <v>467661</v>
      </c>
      <c r="G22" s="5">
        <v>433167</v>
      </c>
      <c r="H22" s="5">
        <v>34494</v>
      </c>
      <c r="I22" s="6">
        <v>475785</v>
      </c>
      <c r="J22" s="5">
        <v>492647</v>
      </c>
      <c r="K22" s="5">
        <v>-16862</v>
      </c>
      <c r="L22" s="6">
        <v>518413</v>
      </c>
      <c r="M22" s="5">
        <v>506517</v>
      </c>
      <c r="N22" s="5">
        <v>11896</v>
      </c>
      <c r="O22" s="6">
        <f t="shared" si="0"/>
        <v>45992</v>
      </c>
      <c r="P22" s="72">
        <f t="shared" si="1"/>
        <v>3.4206723385329159E-2</v>
      </c>
      <c r="Q22" s="193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10656</v>
      </c>
      <c r="B23" s="56" t="s">
        <v>25</v>
      </c>
      <c r="C23" s="6">
        <v>300</v>
      </c>
      <c r="D23" s="5">
        <v>192</v>
      </c>
      <c r="E23" s="5">
        <v>108</v>
      </c>
      <c r="F23" s="6">
        <v>300</v>
      </c>
      <c r="G23" s="5">
        <v>198</v>
      </c>
      <c r="H23" s="5">
        <v>102</v>
      </c>
      <c r="I23" s="6">
        <v>300</v>
      </c>
      <c r="J23" s="5">
        <v>226</v>
      </c>
      <c r="K23" s="5">
        <v>74</v>
      </c>
      <c r="L23" s="6">
        <v>300</v>
      </c>
      <c r="M23" s="5">
        <v>231</v>
      </c>
      <c r="N23" s="5">
        <v>69</v>
      </c>
      <c r="O23" s="6">
        <f t="shared" si="0"/>
        <v>284</v>
      </c>
      <c r="P23" s="72">
        <f t="shared" si="1"/>
        <v>0.46029173419773095</v>
      </c>
      <c r="Q23" s="194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12296</v>
      </c>
      <c r="B24" s="56" t="s">
        <v>25</v>
      </c>
      <c r="C24" s="6">
        <v>2850</v>
      </c>
      <c r="D24" s="5">
        <v>2859</v>
      </c>
      <c r="E24" s="5">
        <v>-9</v>
      </c>
      <c r="F24" s="6">
        <v>2850</v>
      </c>
      <c r="G24" s="5">
        <v>2955</v>
      </c>
      <c r="H24" s="5">
        <v>-105</v>
      </c>
      <c r="I24" s="6">
        <v>2850</v>
      </c>
      <c r="J24" s="5">
        <v>3364</v>
      </c>
      <c r="K24" s="5">
        <v>-514</v>
      </c>
      <c r="L24" s="6">
        <v>3450</v>
      </c>
      <c r="M24" s="5">
        <v>3456</v>
      </c>
      <c r="N24" s="5">
        <v>-6</v>
      </c>
      <c r="O24" s="6">
        <f t="shared" si="0"/>
        <v>-628</v>
      </c>
      <c r="P24" s="72">
        <f t="shared" si="1"/>
        <v>-6.8417038893125615E-2</v>
      </c>
      <c r="Q24" s="193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16786</v>
      </c>
      <c r="B25" s="56" t="s">
        <v>25</v>
      </c>
      <c r="C25" s="6">
        <v>4079</v>
      </c>
      <c r="D25" s="5">
        <v>3304</v>
      </c>
      <c r="E25" s="5">
        <v>775</v>
      </c>
      <c r="F25" s="6">
        <v>4079</v>
      </c>
      <c r="G25" s="5">
        <v>3417</v>
      </c>
      <c r="H25" s="5">
        <v>662</v>
      </c>
      <c r="I25" s="6">
        <v>4079</v>
      </c>
      <c r="J25" s="5">
        <v>3887</v>
      </c>
      <c r="K25" s="5">
        <v>192</v>
      </c>
      <c r="L25" s="6">
        <v>4079</v>
      </c>
      <c r="M25" s="5">
        <v>3995</v>
      </c>
      <c r="N25" s="5">
        <v>84</v>
      </c>
      <c r="O25" s="6">
        <f t="shared" si="0"/>
        <v>1629</v>
      </c>
      <c r="P25" s="72">
        <f t="shared" si="1"/>
        <v>0.15354887359788857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17791</v>
      </c>
      <c r="B26" s="56" t="s">
        <v>25</v>
      </c>
      <c r="C26" s="6">
        <v>145</v>
      </c>
      <c r="D26" s="5">
        <v>141</v>
      </c>
      <c r="E26" s="5">
        <v>4</v>
      </c>
      <c r="F26" s="6">
        <v>145</v>
      </c>
      <c r="G26" s="5">
        <v>146</v>
      </c>
      <c r="H26" s="5">
        <v>-1</v>
      </c>
      <c r="I26" s="6">
        <v>145</v>
      </c>
      <c r="J26" s="5">
        <v>166</v>
      </c>
      <c r="K26" s="5">
        <v>-21</v>
      </c>
      <c r="L26" s="6">
        <v>145</v>
      </c>
      <c r="M26" s="5">
        <v>171</v>
      </c>
      <c r="N26" s="5">
        <v>-26</v>
      </c>
      <c r="O26" s="6">
        <f t="shared" si="0"/>
        <v>-18</v>
      </c>
      <c r="P26" s="72">
        <f t="shared" si="1"/>
        <v>-3.9647577092511016E-2</v>
      </c>
      <c r="Q26" s="193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30649</v>
      </c>
      <c r="B27" s="56" t="s">
        <v>25</v>
      </c>
      <c r="C27" s="6"/>
      <c r="D27" s="5"/>
      <c r="E27" s="5"/>
      <c r="F27" s="6"/>
      <c r="G27" s="5"/>
      <c r="H27" s="5"/>
      <c r="I27" s="6">
        <v>0</v>
      </c>
      <c r="J27" s="5">
        <v>0</v>
      </c>
      <c r="K27" s="5">
        <v>0</v>
      </c>
      <c r="L27" s="6">
        <v>0</v>
      </c>
      <c r="M27" s="5">
        <v>0</v>
      </c>
      <c r="N27" s="5">
        <v>0</v>
      </c>
      <c r="O27" s="6">
        <f t="shared" si="0"/>
        <v>0</v>
      </c>
      <c r="P27" s="72">
        <f t="shared" si="1"/>
        <v>0</v>
      </c>
      <c r="Q27" s="193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">
      <c r="A28" s="28">
        <v>1117</v>
      </c>
      <c r="B28" s="56" t="s">
        <v>26</v>
      </c>
      <c r="C28" s="6">
        <v>93795</v>
      </c>
      <c r="D28" s="5">
        <v>85700</v>
      </c>
      <c r="E28" s="5">
        <v>8095</v>
      </c>
      <c r="F28" s="6">
        <v>111387</v>
      </c>
      <c r="G28" s="5">
        <v>84524</v>
      </c>
      <c r="H28" s="5">
        <v>26863</v>
      </c>
      <c r="I28" s="6">
        <v>128264</v>
      </c>
      <c r="J28" s="5">
        <v>95663</v>
      </c>
      <c r="K28" s="5">
        <v>32601</v>
      </c>
      <c r="L28" s="6">
        <v>31741</v>
      </c>
      <c r="M28" s="5">
        <v>100493</v>
      </c>
      <c r="N28" s="5">
        <v>-68752</v>
      </c>
      <c r="O28" s="6">
        <f t="shared" si="0"/>
        <v>67559</v>
      </c>
      <c r="P28" s="72">
        <f t="shared" si="1"/>
        <v>0.25408818750752199</v>
      </c>
      <c r="Q28" s="193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>X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>
        <f t="shared" si="2"/>
        <v>-96523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1126</v>
      </c>
      <c r="B29" s="56" t="s">
        <v>26</v>
      </c>
      <c r="C29" s="6">
        <v>26909</v>
      </c>
      <c r="D29" s="5">
        <v>27280</v>
      </c>
      <c r="E29" s="5">
        <v>-371</v>
      </c>
      <c r="F29" s="6">
        <v>26909</v>
      </c>
      <c r="G29" s="5">
        <v>27703</v>
      </c>
      <c r="H29" s="5">
        <v>-794</v>
      </c>
      <c r="I29" s="6">
        <v>26909</v>
      </c>
      <c r="J29" s="5">
        <v>29646</v>
      </c>
      <c r="K29" s="5">
        <v>-2737</v>
      </c>
      <c r="L29" s="6">
        <v>26909</v>
      </c>
      <c r="M29" s="5">
        <v>28735</v>
      </c>
      <c r="N29" s="5">
        <v>-1826</v>
      </c>
      <c r="O29" s="6">
        <f t="shared" si="0"/>
        <v>-3902</v>
      </c>
      <c r="P29" s="72">
        <f t="shared" si="1"/>
        <v>-4.6106581590452556E-2</v>
      </c>
      <c r="Q29" s="193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235786</v>
      </c>
      <c r="D30" s="5">
        <v>182996</v>
      </c>
      <c r="E30" s="5">
        <v>52790</v>
      </c>
      <c r="F30" s="6">
        <v>237534</v>
      </c>
      <c r="G30" s="5">
        <v>172720</v>
      </c>
      <c r="H30" s="5">
        <v>64814</v>
      </c>
      <c r="I30" s="6">
        <v>240975</v>
      </c>
      <c r="J30" s="5">
        <v>208643</v>
      </c>
      <c r="K30" s="5">
        <v>32332</v>
      </c>
      <c r="L30" s="6">
        <v>193358</v>
      </c>
      <c r="M30" s="5">
        <v>189117</v>
      </c>
      <c r="N30" s="5">
        <v>4241</v>
      </c>
      <c r="O30" s="6">
        <f t="shared" si="0"/>
        <v>149936</v>
      </c>
      <c r="P30" s="72">
        <f t="shared" si="1"/>
        <v>0.2656743922319087</v>
      </c>
      <c r="Q30" s="195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1281</v>
      </c>
      <c r="B31" s="56" t="s">
        <v>26</v>
      </c>
      <c r="C31" s="6">
        <v>52737</v>
      </c>
      <c r="D31" s="5">
        <v>59463</v>
      </c>
      <c r="E31" s="5">
        <v>-6726</v>
      </c>
      <c r="F31" s="6">
        <v>50929</v>
      </c>
      <c r="G31" s="5">
        <v>58878</v>
      </c>
      <c r="H31" s="5">
        <v>-7949</v>
      </c>
      <c r="I31" s="6">
        <v>60107</v>
      </c>
      <c r="J31" s="5">
        <v>68902</v>
      </c>
      <c r="K31" s="5">
        <v>-8795</v>
      </c>
      <c r="L31" s="6">
        <v>86331</v>
      </c>
      <c r="M31" s="5">
        <v>72487</v>
      </c>
      <c r="N31" s="5">
        <v>13844</v>
      </c>
      <c r="O31" s="6">
        <f t="shared" si="0"/>
        <v>-23470</v>
      </c>
      <c r="P31" s="72">
        <f t="shared" si="1"/>
        <v>-0.12534447031680587</v>
      </c>
      <c r="Q31" s="193" t="s">
        <v>59</v>
      </c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">
      <c r="A32" s="28">
        <v>1340</v>
      </c>
      <c r="B32" s="56" t="s">
        <v>26</v>
      </c>
      <c r="C32" s="6">
        <v>7095</v>
      </c>
      <c r="D32" s="5">
        <v>4011</v>
      </c>
      <c r="E32" s="5">
        <v>3084</v>
      </c>
      <c r="F32" s="6">
        <v>6826</v>
      </c>
      <c r="G32" s="5">
        <v>4708</v>
      </c>
      <c r="H32" s="5">
        <v>2118</v>
      </c>
      <c r="I32" s="6">
        <v>6901</v>
      </c>
      <c r="J32" s="5">
        <v>6087</v>
      </c>
      <c r="K32" s="5">
        <v>814</v>
      </c>
      <c r="L32" s="6">
        <v>6837</v>
      </c>
      <c r="M32" s="5">
        <v>6413</v>
      </c>
      <c r="N32" s="5">
        <v>424</v>
      </c>
      <c r="O32" s="6">
        <f t="shared" si="0"/>
        <v>6016</v>
      </c>
      <c r="P32" s="72">
        <f t="shared" si="1"/>
        <v>0.40629432025393397</v>
      </c>
      <c r="Q32" s="193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1377</v>
      </c>
      <c r="B33" s="56" t="s">
        <v>26</v>
      </c>
      <c r="C33" s="6">
        <v>162680</v>
      </c>
      <c r="D33" s="5">
        <v>161146</v>
      </c>
      <c r="E33" s="5">
        <v>1534</v>
      </c>
      <c r="F33" s="6">
        <v>184504</v>
      </c>
      <c r="G33" s="5">
        <v>168425</v>
      </c>
      <c r="H33" s="5">
        <v>16079</v>
      </c>
      <c r="I33" s="6">
        <v>183282</v>
      </c>
      <c r="J33" s="5">
        <v>161177</v>
      </c>
      <c r="K33" s="5">
        <v>22105</v>
      </c>
      <c r="L33" s="6">
        <v>131729</v>
      </c>
      <c r="M33" s="5">
        <v>153312</v>
      </c>
      <c r="N33" s="5">
        <v>-21583</v>
      </c>
      <c r="O33" s="6">
        <f t="shared" si="0"/>
        <v>39718</v>
      </c>
      <c r="P33" s="72">
        <f t="shared" si="1"/>
        <v>8.0933430327927311E-2</v>
      </c>
      <c r="Q33" s="193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>X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>
        <f t="shared" si="2"/>
        <v>-51553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3802</v>
      </c>
      <c r="D34" s="5">
        <v>1</v>
      </c>
      <c r="E34" s="5">
        <v>3801</v>
      </c>
      <c r="F34" s="6">
        <v>1266</v>
      </c>
      <c r="G34" s="5">
        <v>1</v>
      </c>
      <c r="H34" s="5">
        <v>1265</v>
      </c>
      <c r="I34" s="6">
        <v>2523</v>
      </c>
      <c r="J34" s="5">
        <v>1</v>
      </c>
      <c r="K34" s="5">
        <v>2522</v>
      </c>
      <c r="L34" s="6">
        <v>0</v>
      </c>
      <c r="M34" s="5">
        <v>1</v>
      </c>
      <c r="N34" s="5">
        <v>-1</v>
      </c>
      <c r="O34" s="6">
        <f t="shared" si="0"/>
        <v>7588</v>
      </c>
      <c r="P34" s="72">
        <f t="shared" si="1"/>
        <v>1897</v>
      </c>
      <c r="Q34" s="193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354292</v>
      </c>
      <c r="D35" s="5">
        <v>501308</v>
      </c>
      <c r="E35" s="5">
        <v>-147016</v>
      </c>
      <c r="F35" s="6">
        <v>456710</v>
      </c>
      <c r="G35" s="5">
        <v>420768</v>
      </c>
      <c r="H35" s="5">
        <v>35942</v>
      </c>
      <c r="I35" s="6">
        <v>455242</v>
      </c>
      <c r="J35" s="5">
        <v>519592</v>
      </c>
      <c r="K35" s="5">
        <v>-64350</v>
      </c>
      <c r="L35" s="6">
        <v>517679</v>
      </c>
      <c r="M35" s="5">
        <v>527793</v>
      </c>
      <c r="N35" s="5">
        <v>-10114</v>
      </c>
      <c r="O35" s="6">
        <f t="shared" si="0"/>
        <v>-175424</v>
      </c>
      <c r="P35" s="72">
        <f t="shared" si="1"/>
        <v>-0.12168119034258211</v>
      </c>
      <c r="Q35" s="193" t="s">
        <v>59</v>
      </c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">
      <c r="A36" s="28">
        <v>1922</v>
      </c>
      <c r="B36" s="56" t="s">
        <v>26</v>
      </c>
      <c r="C36" s="6">
        <v>69158</v>
      </c>
      <c r="D36" s="5">
        <v>57039</v>
      </c>
      <c r="E36" s="5">
        <v>12119</v>
      </c>
      <c r="F36" s="6">
        <v>45695</v>
      </c>
      <c r="G36" s="5">
        <v>55143</v>
      </c>
      <c r="H36" s="5">
        <v>-9448</v>
      </c>
      <c r="I36" s="6">
        <v>41483</v>
      </c>
      <c r="J36" s="5">
        <v>65641</v>
      </c>
      <c r="K36" s="5">
        <v>-24158</v>
      </c>
      <c r="L36" s="6">
        <v>70546</v>
      </c>
      <c r="M36" s="5">
        <v>68492</v>
      </c>
      <c r="N36" s="5">
        <v>2054</v>
      </c>
      <c r="O36" s="6">
        <f t="shared" si="0"/>
        <v>-21487</v>
      </c>
      <c r="P36" s="72">
        <f t="shared" si="1"/>
        <v>-0.12083295843080799</v>
      </c>
      <c r="Q36" s="193" t="s">
        <v>59</v>
      </c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">
      <c r="A37" s="28">
        <v>1928</v>
      </c>
      <c r="B37" s="56" t="s">
        <v>26</v>
      </c>
      <c r="C37" s="6">
        <v>3222</v>
      </c>
      <c r="D37" s="5">
        <v>5734</v>
      </c>
      <c r="E37" s="5">
        <v>-2512</v>
      </c>
      <c r="F37" s="6">
        <v>3228</v>
      </c>
      <c r="G37" s="5">
        <v>5800</v>
      </c>
      <c r="H37" s="5">
        <v>-2572</v>
      </c>
      <c r="I37" s="6">
        <v>3222</v>
      </c>
      <c r="J37" s="5">
        <v>7004</v>
      </c>
      <c r="K37" s="5">
        <v>-3782</v>
      </c>
      <c r="L37" s="6">
        <v>6966</v>
      </c>
      <c r="M37" s="5">
        <v>6743</v>
      </c>
      <c r="N37" s="5">
        <v>223</v>
      </c>
      <c r="O37" s="6">
        <f t="shared" ref="O37:O87" si="3">K37+H37+E37</f>
        <v>-8866</v>
      </c>
      <c r="P37" s="72">
        <f t="shared" si="1"/>
        <v>-0.47823507201035653</v>
      </c>
      <c r="Q37" s="195"/>
      <c r="R37" s="67" t="str">
        <f>IF($C$4="High Inventory",IF(AND(O37&gt;=Summary!$C$128,P37&gt;=Summary!$C$129),"X"," "),IF(AND(O37&lt;=-Summary!$C$128,P37&lt;=-Summary!$C$129),"X"," "))</f>
        <v>X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>X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>X</v>
      </c>
      <c r="X37" t="str">
        <f>IF($C$4="High Inventory",IF(P37&gt;Summary!$C$129,"X"," "),IF(P37&lt;-Summary!$C$129,"X"," "))</f>
        <v>X</v>
      </c>
    </row>
    <row r="38" spans="1:24" x14ac:dyDescent="0.2">
      <c r="A38" s="28">
        <v>2056</v>
      </c>
      <c r="B38" s="56" t="s">
        <v>26</v>
      </c>
      <c r="C38" s="6">
        <v>61120</v>
      </c>
      <c r="D38" s="5">
        <v>55323</v>
      </c>
      <c r="E38" s="5">
        <v>5797</v>
      </c>
      <c r="F38" s="6">
        <v>65935</v>
      </c>
      <c r="G38" s="5">
        <v>54257</v>
      </c>
      <c r="H38" s="5">
        <v>11678</v>
      </c>
      <c r="I38" s="6">
        <v>65935</v>
      </c>
      <c r="J38" s="5">
        <v>52483</v>
      </c>
      <c r="K38" s="5">
        <v>13452</v>
      </c>
      <c r="L38" s="6">
        <v>54468</v>
      </c>
      <c r="M38" s="5">
        <v>55467</v>
      </c>
      <c r="N38" s="5">
        <v>-999</v>
      </c>
      <c r="O38" s="6">
        <f t="shared" si="3"/>
        <v>30927</v>
      </c>
      <c r="P38" s="72">
        <f t="shared" ref="P38:P87" si="4">O38/(J38+G38+D38+1)</f>
        <v>0.19083201698094579</v>
      </c>
      <c r="Q38" s="193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>X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>
        <f t="shared" ref="V38:V65" si="5">IF(S38 = "X",L38-I38," ")</f>
        <v>-11467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19495</v>
      </c>
      <c r="D39" s="5">
        <v>14191</v>
      </c>
      <c r="E39" s="5">
        <v>5304</v>
      </c>
      <c r="F39" s="6">
        <v>19495</v>
      </c>
      <c r="G39" s="5">
        <v>13564</v>
      </c>
      <c r="H39" s="5">
        <v>5931</v>
      </c>
      <c r="I39" s="6">
        <v>19495</v>
      </c>
      <c r="J39" s="5">
        <v>17562</v>
      </c>
      <c r="K39" s="5">
        <v>1933</v>
      </c>
      <c r="L39" s="6">
        <v>18279</v>
      </c>
      <c r="M39" s="5">
        <v>18051</v>
      </c>
      <c r="N39" s="5">
        <v>228</v>
      </c>
      <c r="O39" s="6">
        <f t="shared" si="3"/>
        <v>13168</v>
      </c>
      <c r="P39" s="72">
        <f t="shared" si="4"/>
        <v>0.29056886888212191</v>
      </c>
      <c r="Q39" s="193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">
      <c r="A40" s="28">
        <v>2584</v>
      </c>
      <c r="B40" s="56" t="s">
        <v>26</v>
      </c>
      <c r="C40" s="6">
        <v>88193</v>
      </c>
      <c r="D40" s="5">
        <v>81216</v>
      </c>
      <c r="E40" s="5">
        <v>6977</v>
      </c>
      <c r="F40" s="6">
        <v>89377</v>
      </c>
      <c r="G40" s="5">
        <v>80492</v>
      </c>
      <c r="H40" s="5">
        <v>8885</v>
      </c>
      <c r="I40" s="6">
        <v>89377</v>
      </c>
      <c r="J40" s="5">
        <v>97078</v>
      </c>
      <c r="K40" s="5">
        <v>-7701</v>
      </c>
      <c r="L40" s="6">
        <v>89286</v>
      </c>
      <c r="M40" s="5">
        <v>100182</v>
      </c>
      <c r="N40" s="5">
        <v>-10896</v>
      </c>
      <c r="O40" s="6">
        <f t="shared" si="3"/>
        <v>8161</v>
      </c>
      <c r="P40" s="72">
        <f t="shared" si="4"/>
        <v>3.1535587181736331E-2</v>
      </c>
      <c r="Q40" s="193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 xml:space="preserve"> 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 xml:space="preserve"> 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47242</v>
      </c>
      <c r="D41" s="5">
        <v>63045</v>
      </c>
      <c r="E41" s="5">
        <v>-15803</v>
      </c>
      <c r="F41" s="6">
        <v>45965</v>
      </c>
      <c r="G41" s="5">
        <v>55986</v>
      </c>
      <c r="H41" s="5">
        <v>-10021</v>
      </c>
      <c r="I41" s="6">
        <v>25158</v>
      </c>
      <c r="J41" s="5">
        <v>91187</v>
      </c>
      <c r="K41" s="5">
        <v>-66029</v>
      </c>
      <c r="L41" s="6">
        <v>95213</v>
      </c>
      <c r="M41" s="5">
        <v>97504</v>
      </c>
      <c r="N41" s="5">
        <v>-2291</v>
      </c>
      <c r="O41" s="6">
        <f t="shared" si="3"/>
        <v>-91853</v>
      </c>
      <c r="P41" s="72">
        <f t="shared" si="4"/>
        <v>-0.43693957254101673</v>
      </c>
      <c r="Q41" s="193" t="s">
        <v>59</v>
      </c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2832</v>
      </c>
      <c r="B42" s="56" t="s">
        <v>26</v>
      </c>
      <c r="C42" s="6">
        <v>4791</v>
      </c>
      <c r="D42" s="5">
        <v>1733</v>
      </c>
      <c r="E42" s="5">
        <v>3058</v>
      </c>
      <c r="F42" s="6">
        <v>4791</v>
      </c>
      <c r="G42" s="5">
        <v>1826</v>
      </c>
      <c r="H42" s="5">
        <v>2965</v>
      </c>
      <c r="I42" s="6">
        <v>4791</v>
      </c>
      <c r="J42" s="5">
        <v>2235</v>
      </c>
      <c r="K42" s="5">
        <v>2556</v>
      </c>
      <c r="L42" s="6">
        <v>0</v>
      </c>
      <c r="M42" s="5">
        <v>2544</v>
      </c>
      <c r="N42" s="5">
        <v>-2544</v>
      </c>
      <c r="O42" s="6">
        <f t="shared" si="3"/>
        <v>8579</v>
      </c>
      <c r="P42" s="72">
        <f t="shared" si="4"/>
        <v>1.4804141501294219</v>
      </c>
      <c r="Q42" s="193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 xml:space="preserve"> 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 xml:space="preserve"> </v>
      </c>
    </row>
    <row r="43" spans="1:24" x14ac:dyDescent="0.2">
      <c r="A43" s="28">
        <v>2892</v>
      </c>
      <c r="B43" s="56" t="s">
        <v>26</v>
      </c>
      <c r="C43" s="6">
        <v>809</v>
      </c>
      <c r="D43" s="5">
        <v>2000</v>
      </c>
      <c r="E43" s="5">
        <v>-1191</v>
      </c>
      <c r="F43" s="6">
        <v>809</v>
      </c>
      <c r="G43" s="5">
        <v>1945</v>
      </c>
      <c r="H43" s="5">
        <v>-1136</v>
      </c>
      <c r="I43" s="6">
        <v>809</v>
      </c>
      <c r="J43" s="5">
        <v>1780</v>
      </c>
      <c r="K43" s="5">
        <v>-971</v>
      </c>
      <c r="L43" s="6">
        <v>810</v>
      </c>
      <c r="M43" s="5">
        <v>2003</v>
      </c>
      <c r="N43" s="5">
        <v>-1193</v>
      </c>
      <c r="O43" s="6">
        <f t="shared" si="3"/>
        <v>-3298</v>
      </c>
      <c r="P43" s="72">
        <f t="shared" si="4"/>
        <v>-0.57596926301082785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>X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>X</v>
      </c>
    </row>
    <row r="44" spans="1:24" x14ac:dyDescent="0.2">
      <c r="A44" s="28">
        <v>3015</v>
      </c>
      <c r="B44" s="56" t="s">
        <v>26</v>
      </c>
      <c r="C44" s="6">
        <v>6575</v>
      </c>
      <c r="D44" s="5">
        <v>8266</v>
      </c>
      <c r="E44" s="5">
        <v>-1691</v>
      </c>
      <c r="F44" s="6">
        <v>7156</v>
      </c>
      <c r="G44" s="5">
        <v>9123</v>
      </c>
      <c r="H44" s="5">
        <v>-1967</v>
      </c>
      <c r="I44" s="6">
        <v>9067</v>
      </c>
      <c r="J44" s="5">
        <v>9864</v>
      </c>
      <c r="K44" s="5">
        <v>-797</v>
      </c>
      <c r="L44" s="6">
        <v>5999</v>
      </c>
      <c r="M44" s="5">
        <v>10042</v>
      </c>
      <c r="N44" s="5">
        <v>-4043</v>
      </c>
      <c r="O44" s="6">
        <f t="shared" si="3"/>
        <v>-4455</v>
      </c>
      <c r="P44" s="72">
        <f t="shared" si="4"/>
        <v>-0.16346224407426432</v>
      </c>
      <c r="Q44" s="193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>X</v>
      </c>
    </row>
    <row r="45" spans="1:24" x14ac:dyDescent="0.2">
      <c r="A45" s="28">
        <v>4303</v>
      </c>
      <c r="B45" s="56" t="s">
        <v>26</v>
      </c>
      <c r="C45" s="6">
        <v>4420</v>
      </c>
      <c r="D45" s="5">
        <v>2613</v>
      </c>
      <c r="E45" s="5">
        <v>1807</v>
      </c>
      <c r="F45" s="6">
        <v>4337</v>
      </c>
      <c r="G45" s="5">
        <v>2180</v>
      </c>
      <c r="H45" s="5">
        <v>2157</v>
      </c>
      <c r="I45" s="6">
        <v>4374</v>
      </c>
      <c r="J45" s="5">
        <v>3256</v>
      </c>
      <c r="K45" s="5">
        <v>1118</v>
      </c>
      <c r="L45" s="6">
        <v>3937</v>
      </c>
      <c r="M45" s="5">
        <v>3290</v>
      </c>
      <c r="N45" s="5">
        <v>647</v>
      </c>
      <c r="O45" s="6">
        <f t="shared" si="3"/>
        <v>5082</v>
      </c>
      <c r="P45" s="72">
        <f t="shared" si="4"/>
        <v>0.63130434782608691</v>
      </c>
      <c r="Q45" s="193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195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401569</v>
      </c>
      <c r="D47" s="5">
        <v>556636</v>
      </c>
      <c r="E47" s="5">
        <v>-155067</v>
      </c>
      <c r="F47" s="6">
        <v>399684</v>
      </c>
      <c r="G47" s="5">
        <v>525065</v>
      </c>
      <c r="H47" s="5">
        <v>-125381</v>
      </c>
      <c r="I47" s="6">
        <v>400946</v>
      </c>
      <c r="J47" s="5">
        <v>508469</v>
      </c>
      <c r="K47" s="5">
        <v>-107523</v>
      </c>
      <c r="L47" s="6">
        <v>533296</v>
      </c>
      <c r="M47" s="5">
        <v>459463</v>
      </c>
      <c r="N47" s="5">
        <v>73833</v>
      </c>
      <c r="O47" s="6">
        <f t="shared" si="3"/>
        <v>-387971</v>
      </c>
      <c r="P47" s="72">
        <f t="shared" si="4"/>
        <v>-0.24398067880749932</v>
      </c>
      <c r="Q47" s="195" t="s">
        <v>59</v>
      </c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">
      <c r="A48" s="28">
        <v>6084</v>
      </c>
      <c r="B48" s="56" t="s">
        <v>26</v>
      </c>
      <c r="C48" s="6">
        <v>1800</v>
      </c>
      <c r="D48" s="5">
        <v>1285</v>
      </c>
      <c r="E48" s="5">
        <v>515</v>
      </c>
      <c r="F48" s="6">
        <v>1800</v>
      </c>
      <c r="G48" s="5">
        <v>1315</v>
      </c>
      <c r="H48" s="5">
        <v>485</v>
      </c>
      <c r="I48" s="6">
        <v>1800</v>
      </c>
      <c r="J48" s="5">
        <v>1110</v>
      </c>
      <c r="K48" s="5">
        <v>690</v>
      </c>
      <c r="L48" s="6">
        <v>1800</v>
      </c>
      <c r="M48" s="5">
        <v>1191</v>
      </c>
      <c r="N48" s="5">
        <v>609</v>
      </c>
      <c r="O48" s="6">
        <f t="shared" si="3"/>
        <v>1690</v>
      </c>
      <c r="P48" s="72">
        <f t="shared" si="4"/>
        <v>0.45540285637294531</v>
      </c>
      <c r="Q48" s="195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11005</v>
      </c>
      <c r="E49" s="5">
        <v>495</v>
      </c>
      <c r="F49" s="6">
        <v>11500</v>
      </c>
      <c r="G49" s="5">
        <v>10567</v>
      </c>
      <c r="H49" s="5">
        <v>933</v>
      </c>
      <c r="I49" s="6">
        <v>11500</v>
      </c>
      <c r="J49" s="5">
        <v>10698</v>
      </c>
      <c r="K49" s="5">
        <v>802</v>
      </c>
      <c r="L49" s="6">
        <v>11500</v>
      </c>
      <c r="M49" s="5">
        <v>12220</v>
      </c>
      <c r="N49" s="5">
        <v>-720</v>
      </c>
      <c r="O49" s="6">
        <f t="shared" si="3"/>
        <v>2230</v>
      </c>
      <c r="P49" s="72">
        <f t="shared" si="4"/>
        <v>6.910228998171733E-2</v>
      </c>
      <c r="Q49" s="193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37223</v>
      </c>
      <c r="D50" s="5">
        <v>40475</v>
      </c>
      <c r="E50" s="5">
        <v>-3252</v>
      </c>
      <c r="F50" s="6">
        <v>37223</v>
      </c>
      <c r="G50" s="5">
        <v>33621</v>
      </c>
      <c r="H50" s="5">
        <v>3602</v>
      </c>
      <c r="I50" s="6">
        <v>37223</v>
      </c>
      <c r="J50" s="5">
        <v>43364</v>
      </c>
      <c r="K50" s="5">
        <v>-6141</v>
      </c>
      <c r="L50" s="6">
        <v>46623</v>
      </c>
      <c r="M50" s="5">
        <v>45893</v>
      </c>
      <c r="N50" s="5">
        <v>730</v>
      </c>
      <c r="O50" s="6">
        <f t="shared" si="3"/>
        <v>-5791</v>
      </c>
      <c r="P50" s="72">
        <f t="shared" si="4"/>
        <v>-4.9301470275240296E-2</v>
      </c>
      <c r="Q50" s="193" t="s">
        <v>59</v>
      </c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>X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>X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54503</v>
      </c>
      <c r="D51" s="5">
        <v>62113</v>
      </c>
      <c r="E51" s="5">
        <v>-7610</v>
      </c>
      <c r="F51" s="6">
        <v>56468</v>
      </c>
      <c r="G51" s="5">
        <v>64102</v>
      </c>
      <c r="H51" s="5">
        <v>-7634</v>
      </c>
      <c r="I51" s="6">
        <v>58433</v>
      </c>
      <c r="J51" s="5">
        <v>64532</v>
      </c>
      <c r="K51" s="5">
        <v>-6099</v>
      </c>
      <c r="L51" s="6">
        <v>66981</v>
      </c>
      <c r="M51" s="5">
        <v>64548</v>
      </c>
      <c r="N51" s="5">
        <v>2433</v>
      </c>
      <c r="O51" s="6">
        <f t="shared" si="3"/>
        <v>-21343</v>
      </c>
      <c r="P51" s="72">
        <f t="shared" si="4"/>
        <v>-0.11189108142680396</v>
      </c>
      <c r="Q51" s="193" t="s">
        <v>59</v>
      </c>
      <c r="R51" s="67" t="str">
        <f>IF($C$4="High Inventory",IF(AND(O51&gt;=Summary!$C$128,P51&gt;=Summary!$C$129),"X"," "),IF(AND(O51&lt;=-Summary!$C$128,P51&lt;=-Summary!$C$129),"X"," "))</f>
        <v>X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 t="str">
        <f t="shared" si="5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">
      <c r="A52" s="28">
        <v>30069</v>
      </c>
      <c r="B52" s="56" t="s">
        <v>26</v>
      </c>
      <c r="C52" s="6">
        <v>4538</v>
      </c>
      <c r="D52" s="5">
        <v>1501</v>
      </c>
      <c r="E52" s="5">
        <v>3037</v>
      </c>
      <c r="F52" s="6">
        <v>6999</v>
      </c>
      <c r="G52" s="5">
        <v>5491</v>
      </c>
      <c r="H52" s="5">
        <v>1508</v>
      </c>
      <c r="I52" s="6">
        <v>6866</v>
      </c>
      <c r="J52" s="5">
        <v>9422</v>
      </c>
      <c r="K52" s="5">
        <v>-2556</v>
      </c>
      <c r="L52" s="6">
        <v>0</v>
      </c>
      <c r="M52" s="5">
        <v>7495</v>
      </c>
      <c r="N52" s="5">
        <v>-7495</v>
      </c>
      <c r="O52" s="6">
        <f t="shared" si="3"/>
        <v>1989</v>
      </c>
      <c r="P52" s="72">
        <f t="shared" si="4"/>
        <v>0.12116966189460859</v>
      </c>
      <c r="Q52" s="193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13053</v>
      </c>
      <c r="D54" s="5">
        <v>9934</v>
      </c>
      <c r="E54" s="5">
        <v>3119</v>
      </c>
      <c r="F54" s="6">
        <v>13053</v>
      </c>
      <c r="G54" s="5">
        <v>9367</v>
      </c>
      <c r="H54" s="5">
        <v>3686</v>
      </c>
      <c r="I54" s="6">
        <v>13053</v>
      </c>
      <c r="J54" s="5">
        <v>12385</v>
      </c>
      <c r="K54" s="5">
        <v>668</v>
      </c>
      <c r="L54" s="6">
        <v>13053</v>
      </c>
      <c r="M54" s="5">
        <v>12926</v>
      </c>
      <c r="N54" s="5">
        <v>127</v>
      </c>
      <c r="O54" s="6">
        <f t="shared" si="3"/>
        <v>7473</v>
      </c>
      <c r="P54" s="72">
        <f t="shared" si="4"/>
        <v>0.2358380408369363</v>
      </c>
      <c r="Q54" s="193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111</v>
      </c>
      <c r="B56" s="56" t="s">
        <v>27</v>
      </c>
      <c r="C56" s="6">
        <v>0</v>
      </c>
      <c r="D56" s="5">
        <v>69</v>
      </c>
      <c r="E56" s="5">
        <v>-69</v>
      </c>
      <c r="F56" s="6">
        <v>0</v>
      </c>
      <c r="G56" s="5">
        <v>74</v>
      </c>
      <c r="H56" s="5">
        <v>-74</v>
      </c>
      <c r="I56" s="6">
        <v>0</v>
      </c>
      <c r="J56" s="5">
        <v>88</v>
      </c>
      <c r="K56" s="5">
        <v>-88</v>
      </c>
      <c r="L56" s="6">
        <v>0</v>
      </c>
      <c r="M56" s="161">
        <v>88</v>
      </c>
      <c r="N56" s="201">
        <v>-88</v>
      </c>
      <c r="O56" s="6"/>
      <c r="P56" s="72"/>
      <c r="Q56" s="194"/>
      <c r="R56" s="67" t="str">
        <f>IF(AND(O56&gt;=5000,P56&gt;=10%),"X"," ")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">
      <c r="A57" s="28">
        <v>201</v>
      </c>
      <c r="B57" s="56" t="s">
        <v>27</v>
      </c>
      <c r="C57" s="6">
        <v>0</v>
      </c>
      <c r="D57" s="5">
        <v>86</v>
      </c>
      <c r="E57" s="5">
        <v>-86</v>
      </c>
      <c r="F57" s="6">
        <v>0</v>
      </c>
      <c r="G57" s="5">
        <v>15</v>
      </c>
      <c r="H57" s="5">
        <v>-15</v>
      </c>
      <c r="I57" s="6">
        <v>0</v>
      </c>
      <c r="J57" s="5">
        <v>149</v>
      </c>
      <c r="K57" s="5">
        <v>-149</v>
      </c>
      <c r="L57" s="6">
        <v>0</v>
      </c>
      <c r="M57" s="5">
        <v>153</v>
      </c>
      <c r="N57" s="5">
        <v>-153</v>
      </c>
      <c r="O57" s="6">
        <f t="shared" si="3"/>
        <v>-250</v>
      </c>
      <c r="P57" s="72">
        <f t="shared" si="4"/>
        <v>-0.99601593625498008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>X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>X</v>
      </c>
    </row>
    <row r="58" spans="1:24" x14ac:dyDescent="0.2">
      <c r="A58" s="28">
        <v>282</v>
      </c>
      <c r="B58" s="56" t="s">
        <v>27</v>
      </c>
      <c r="C58" s="6">
        <v>0</v>
      </c>
      <c r="D58" s="5">
        <v>237</v>
      </c>
      <c r="E58" s="5">
        <v>-237</v>
      </c>
      <c r="F58" s="6">
        <v>0</v>
      </c>
      <c r="G58" s="5">
        <v>233</v>
      </c>
      <c r="H58" s="5">
        <v>-233</v>
      </c>
      <c r="I58" s="6">
        <v>0</v>
      </c>
      <c r="J58" s="5">
        <v>236</v>
      </c>
      <c r="K58" s="5">
        <v>-236</v>
      </c>
      <c r="L58" s="6">
        <v>0</v>
      </c>
      <c r="M58" s="5">
        <v>248</v>
      </c>
      <c r="N58" s="5">
        <v>-248</v>
      </c>
      <c r="O58" s="6">
        <f t="shared" si="3"/>
        <v>-706</v>
      </c>
      <c r="P58" s="72">
        <f t="shared" si="4"/>
        <v>-0.99858557284299854</v>
      </c>
      <c r="Q58" s="193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">
      <c r="A59" s="28">
        <v>363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476</v>
      </c>
      <c r="B60" s="56" t="s">
        <v>27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3"/>
        <v>0</v>
      </c>
      <c r="P60" s="72">
        <f t="shared" si="4"/>
        <v>0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512</v>
      </c>
      <c r="B61" s="56" t="s">
        <v>27</v>
      </c>
      <c r="C61" s="6">
        <v>2030</v>
      </c>
      <c r="D61" s="5">
        <v>2882</v>
      </c>
      <c r="E61" s="5">
        <v>-852</v>
      </c>
      <c r="F61" s="6">
        <v>2030</v>
      </c>
      <c r="G61" s="5">
        <v>2579</v>
      </c>
      <c r="H61" s="5">
        <v>-549</v>
      </c>
      <c r="I61" s="6">
        <v>2030</v>
      </c>
      <c r="J61" s="5">
        <v>2944</v>
      </c>
      <c r="K61" s="5">
        <v>-914</v>
      </c>
      <c r="L61" s="6">
        <v>4115</v>
      </c>
      <c r="M61" s="5">
        <v>1968</v>
      </c>
      <c r="N61" s="5">
        <v>2147</v>
      </c>
      <c r="O61" s="6">
        <f t="shared" si="3"/>
        <v>-2315</v>
      </c>
      <c r="P61" s="72">
        <f t="shared" si="4"/>
        <v>-0.27539852486319294</v>
      </c>
      <c r="Q61" s="193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>X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>X</v>
      </c>
    </row>
    <row r="62" spans="1:24" x14ac:dyDescent="0.2">
      <c r="A62" s="28">
        <v>627</v>
      </c>
      <c r="B62" s="56" t="s">
        <v>27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21</v>
      </c>
      <c r="N62" s="5">
        <v>-21</v>
      </c>
      <c r="O62" s="6">
        <f t="shared" si="3"/>
        <v>0</v>
      </c>
      <c r="P62" s="72">
        <f t="shared" si="4"/>
        <v>0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">
      <c r="A63" s="28">
        <v>757</v>
      </c>
      <c r="B63" s="56" t="s">
        <v>27</v>
      </c>
      <c r="C63" s="6">
        <v>0</v>
      </c>
      <c r="D63" s="5">
        <v>450</v>
      </c>
      <c r="E63" s="5">
        <v>-450</v>
      </c>
      <c r="F63" s="6">
        <v>0</v>
      </c>
      <c r="G63" s="5">
        <v>448</v>
      </c>
      <c r="H63" s="5">
        <v>-448</v>
      </c>
      <c r="I63" s="6">
        <v>0</v>
      </c>
      <c r="J63" s="5">
        <v>448</v>
      </c>
      <c r="K63" s="5">
        <v>-448</v>
      </c>
      <c r="L63" s="6">
        <v>0</v>
      </c>
      <c r="M63" s="5">
        <v>365</v>
      </c>
      <c r="N63" s="5">
        <v>-365</v>
      </c>
      <c r="O63" s="6">
        <f t="shared" si="3"/>
        <v>-1346</v>
      </c>
      <c r="P63" s="72">
        <f t="shared" si="4"/>
        <v>-0.99925760950259834</v>
      </c>
      <c r="Q63" s="193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>X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>X</v>
      </c>
    </row>
    <row r="64" spans="1:24" x14ac:dyDescent="0.2">
      <c r="A64" s="166">
        <v>777</v>
      </c>
      <c r="B64" s="199" t="s">
        <v>27</v>
      </c>
      <c r="C64" s="167">
        <v>0</v>
      </c>
      <c r="D64" s="168">
        <v>815</v>
      </c>
      <c r="E64" s="168">
        <v>-815</v>
      </c>
      <c r="F64" s="167">
        <v>0</v>
      </c>
      <c r="G64" s="168">
        <v>71</v>
      </c>
      <c r="H64" s="168">
        <v>-71</v>
      </c>
      <c r="I64" s="167">
        <v>0</v>
      </c>
      <c r="J64" s="168">
        <v>919</v>
      </c>
      <c r="K64" s="168">
        <v>-919</v>
      </c>
      <c r="L64" s="167">
        <v>0</v>
      </c>
      <c r="M64" s="168">
        <v>1086</v>
      </c>
      <c r="N64" s="168">
        <v>-1086</v>
      </c>
      <c r="O64" s="167"/>
      <c r="P64" s="205"/>
      <c r="Q64" s="194"/>
      <c r="R64" s="168"/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">
      <c r="A65" s="28">
        <v>779</v>
      </c>
      <c r="B65" s="56" t="s">
        <v>27</v>
      </c>
      <c r="C65" s="6">
        <v>1100</v>
      </c>
      <c r="D65" s="5">
        <v>1159</v>
      </c>
      <c r="E65" s="5">
        <v>-59</v>
      </c>
      <c r="F65" s="6">
        <v>1100</v>
      </c>
      <c r="G65" s="5">
        <v>244</v>
      </c>
      <c r="H65" s="5">
        <v>856</v>
      </c>
      <c r="I65" s="6">
        <v>1100</v>
      </c>
      <c r="J65" s="5">
        <v>626</v>
      </c>
      <c r="K65" s="5">
        <v>474</v>
      </c>
      <c r="L65" s="6">
        <v>1100</v>
      </c>
      <c r="M65" s="5">
        <v>1127</v>
      </c>
      <c r="N65" s="5">
        <v>-27</v>
      </c>
      <c r="O65" s="6">
        <f t="shared" ref="O65:O85" si="6">K65+H65+E65</f>
        <v>1271</v>
      </c>
      <c r="P65" s="72">
        <f t="shared" si="4"/>
        <v>0.6261083743842365</v>
      </c>
      <c r="Q65" s="193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809</v>
      </c>
      <c r="B66" s="56" t="s">
        <v>27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72">
        <f t="shared" ref="P66:P85" si="7">O66/(J66+G66+D66+1)</f>
        <v>0</v>
      </c>
      <c r="Q66" s="193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810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915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928</v>
      </c>
      <c r="B69" s="56" t="s">
        <v>27</v>
      </c>
      <c r="C69" s="6">
        <v>190</v>
      </c>
      <c r="D69" s="5">
        <v>175</v>
      </c>
      <c r="E69" s="5">
        <v>15</v>
      </c>
      <c r="F69" s="6">
        <v>190</v>
      </c>
      <c r="G69" s="5">
        <v>177</v>
      </c>
      <c r="H69" s="5">
        <v>13</v>
      </c>
      <c r="I69" s="6">
        <v>190</v>
      </c>
      <c r="J69" s="5">
        <v>177</v>
      </c>
      <c r="K69" s="5">
        <v>13</v>
      </c>
      <c r="L69" s="6">
        <v>190</v>
      </c>
      <c r="M69" s="5">
        <v>173</v>
      </c>
      <c r="N69" s="5">
        <v>17</v>
      </c>
      <c r="O69" s="6">
        <f t="shared" si="6"/>
        <v>41</v>
      </c>
      <c r="P69" s="72">
        <f t="shared" si="7"/>
        <v>7.7358490566037733E-2</v>
      </c>
      <c r="Q69" s="193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997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5379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193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6905</v>
      </c>
      <c r="B72" s="56" t="s">
        <v>27</v>
      </c>
      <c r="C72" s="6">
        <v>0</v>
      </c>
      <c r="D72" s="5">
        <v>62</v>
      </c>
      <c r="E72" s="5">
        <v>-62</v>
      </c>
      <c r="F72" s="6">
        <v>0</v>
      </c>
      <c r="G72" s="5">
        <v>46</v>
      </c>
      <c r="H72" s="5">
        <v>-46</v>
      </c>
      <c r="I72" s="6">
        <v>0</v>
      </c>
      <c r="J72" s="5">
        <v>47</v>
      </c>
      <c r="K72" s="5">
        <v>-47</v>
      </c>
      <c r="L72" s="6">
        <v>0</v>
      </c>
      <c r="M72" s="5">
        <v>66</v>
      </c>
      <c r="N72" s="5">
        <v>-66</v>
      </c>
      <c r="O72" s="6">
        <f t="shared" si="6"/>
        <v>-155</v>
      </c>
      <c r="P72" s="72">
        <f t="shared" si="7"/>
        <v>-0.99358974358974361</v>
      </c>
      <c r="Q72" s="193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>X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>X</v>
      </c>
    </row>
    <row r="73" spans="1:24" x14ac:dyDescent="0.2">
      <c r="A73" s="28">
        <v>7602</v>
      </c>
      <c r="B73" s="56" t="s">
        <v>27</v>
      </c>
      <c r="C73" s="6">
        <v>38825</v>
      </c>
      <c r="D73" s="5">
        <v>43751</v>
      </c>
      <c r="E73" s="5">
        <v>-4926</v>
      </c>
      <c r="F73" s="6">
        <v>38825</v>
      </c>
      <c r="G73" s="5">
        <v>44139</v>
      </c>
      <c r="H73" s="5">
        <v>-5314</v>
      </c>
      <c r="I73" s="6">
        <v>38825</v>
      </c>
      <c r="J73" s="5">
        <v>45570</v>
      </c>
      <c r="K73" s="5">
        <v>-6745</v>
      </c>
      <c r="L73" s="6">
        <v>44379</v>
      </c>
      <c r="M73" s="5">
        <v>43594</v>
      </c>
      <c r="N73" s="5">
        <v>785</v>
      </c>
      <c r="O73" s="6">
        <f t="shared" si="6"/>
        <v>-16985</v>
      </c>
      <c r="P73" s="72">
        <f t="shared" si="7"/>
        <v>-0.12726564314668704</v>
      </c>
      <c r="Q73" s="193" t="s">
        <v>59</v>
      </c>
      <c r="R73" s="67" t="str">
        <f>IF($C$4="High Inventory",IF(AND(O73&gt;=Summary!$C$128,P73&gt;=Summary!$C$129),"X"," "),IF(AND(O73&lt;=-Summary!$C$128,P73&lt;=-Summary!$C$129),"X"," "))</f>
        <v>X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>X</v>
      </c>
      <c r="U73" s="11" t="str">
        <f>IF($C$4="High Inventory",IF(AND($O73&gt;=0,$P73&gt;=Summary!$C$129),"X"," "),IF(AND($O73&lt;=0,$P73&lt;=-Summary!$C$129),"X"," "))</f>
        <v>X</v>
      </c>
      <c r="V73" t="str">
        <f t="shared" si="8"/>
        <v xml:space="preserve"> </v>
      </c>
      <c r="W73" t="str">
        <f>IF($C$4="High Inventory",IF(O73&gt;Summary!$C$128,"X"," "),IF(O73&lt;-Summary!$C$128,"X"," "))</f>
        <v>X</v>
      </c>
      <c r="X73" t="str">
        <f>IF($C$4="High Inventory",IF(P73&gt;Summary!$C$129,"X"," "),IF(P73&lt;-Summary!$C$129,"X"," "))</f>
        <v>X</v>
      </c>
    </row>
    <row r="74" spans="1:24" x14ac:dyDescent="0.2">
      <c r="A74" s="28">
        <v>7604</v>
      </c>
      <c r="B74" s="56" t="s">
        <v>27</v>
      </c>
      <c r="C74" s="6">
        <v>61681</v>
      </c>
      <c r="D74" s="5">
        <v>73833</v>
      </c>
      <c r="E74" s="5">
        <v>-12152</v>
      </c>
      <c r="F74" s="6">
        <v>63751</v>
      </c>
      <c r="G74" s="5">
        <v>74051</v>
      </c>
      <c r="H74" s="5">
        <v>-10300</v>
      </c>
      <c r="I74" s="6">
        <v>62687</v>
      </c>
      <c r="J74" s="5">
        <v>71908</v>
      </c>
      <c r="K74" s="5">
        <v>-9221</v>
      </c>
      <c r="L74" s="6">
        <v>71123</v>
      </c>
      <c r="M74" s="5">
        <v>73032</v>
      </c>
      <c r="N74" s="5">
        <v>-1909</v>
      </c>
      <c r="O74" s="6">
        <f t="shared" si="6"/>
        <v>-31673</v>
      </c>
      <c r="P74" s="72">
        <f t="shared" si="7"/>
        <v>-0.14410377036575323</v>
      </c>
      <c r="Q74" s="193" t="s">
        <v>59</v>
      </c>
      <c r="R74" s="67" t="str">
        <f>IF($C$4="High Inventory",IF(AND(O74&gt;=Summary!$C$128,P74&gt;=Summary!$C$129),"X"," "),IF(AND(O74&lt;=-Summary!$C$128,P74&lt;=-Summary!$C$129),"X"," "))</f>
        <v>X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>X</v>
      </c>
      <c r="U74" s="11" t="str">
        <f>IF($C$4="High Inventory",IF(AND($O74&gt;=0,$P74&gt;=Summary!$C$129),"X"," "),IF(AND($O74&lt;=0,$P74&lt;=-Summary!$C$129),"X"," "))</f>
        <v>X</v>
      </c>
      <c r="V74" t="str">
        <f t="shared" si="8"/>
        <v xml:space="preserve"> </v>
      </c>
      <c r="W74" t="str">
        <f>IF($C$4="High Inventory",IF(O74&gt;Summary!$C$128,"X"," "),IF(O74&lt;-Summary!$C$128,"X"," "))</f>
        <v>X</v>
      </c>
      <c r="X74" t="str">
        <f>IF($C$4="High Inventory",IF(P74&gt;Summary!$C$129,"X"," "),IF(P74&lt;-Summary!$C$129,"X"," "))</f>
        <v>X</v>
      </c>
    </row>
    <row r="75" spans="1:24" x14ac:dyDescent="0.2">
      <c r="A75" s="28">
        <v>7610</v>
      </c>
      <c r="B75" s="56" t="s">
        <v>27</v>
      </c>
      <c r="C75" s="6">
        <v>230</v>
      </c>
      <c r="D75" s="5">
        <v>272</v>
      </c>
      <c r="E75" s="5">
        <v>-42</v>
      </c>
      <c r="F75" s="6">
        <v>230</v>
      </c>
      <c r="G75" s="5">
        <v>263</v>
      </c>
      <c r="H75" s="5">
        <v>-33</v>
      </c>
      <c r="I75" s="6">
        <v>230</v>
      </c>
      <c r="J75" s="5">
        <v>257</v>
      </c>
      <c r="K75" s="5">
        <v>-27</v>
      </c>
      <c r="L75" s="6">
        <v>230</v>
      </c>
      <c r="M75" s="5">
        <v>259</v>
      </c>
      <c r="N75" s="5">
        <v>-29</v>
      </c>
      <c r="O75" s="6">
        <f t="shared" si="6"/>
        <v>-102</v>
      </c>
      <c r="P75" s="72">
        <f t="shared" si="7"/>
        <v>-0.12862547288776796</v>
      </c>
      <c r="Q75" s="193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>X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>X</v>
      </c>
    </row>
    <row r="76" spans="1:24" x14ac:dyDescent="0.2">
      <c r="A76" s="28">
        <v>8576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8577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193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8578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8579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8580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72">
        <f t="shared" si="7"/>
        <v>0</v>
      </c>
      <c r="Q80" s="193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13636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16547</v>
      </c>
      <c r="B82" s="56" t="s">
        <v>27</v>
      </c>
      <c r="C82" s="6">
        <v>0</v>
      </c>
      <c r="D82" s="5">
        <v>68</v>
      </c>
      <c r="E82" s="5">
        <v>-68</v>
      </c>
      <c r="F82" s="6">
        <v>0</v>
      </c>
      <c r="G82" s="5">
        <v>0</v>
      </c>
      <c r="H82" s="5">
        <v>0</v>
      </c>
      <c r="I82" s="6">
        <v>0</v>
      </c>
      <c r="J82" s="5">
        <v>238</v>
      </c>
      <c r="K82" s="5">
        <v>-238</v>
      </c>
      <c r="L82" s="6">
        <v>0</v>
      </c>
      <c r="M82" s="5">
        <v>0</v>
      </c>
      <c r="N82" s="5">
        <v>0</v>
      </c>
      <c r="O82" s="6">
        <f t="shared" si="6"/>
        <v>-306</v>
      </c>
      <c r="P82" s="72">
        <f t="shared" si="7"/>
        <v>-0.99674267100977199</v>
      </c>
      <c r="Q82" s="193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>X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>X</v>
      </c>
    </row>
    <row r="83" spans="1:42" x14ac:dyDescent="0.2">
      <c r="A83" s="28">
        <v>18287</v>
      </c>
      <c r="B83" s="56" t="s">
        <v>27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1</v>
      </c>
      <c r="N83" s="5">
        <v>-1</v>
      </c>
      <c r="O83" s="6">
        <f t="shared" si="6"/>
        <v>0</v>
      </c>
      <c r="P83" s="72">
        <f t="shared" si="7"/>
        <v>0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">
      <c r="A84" s="28">
        <v>20566</v>
      </c>
      <c r="B84" s="56" t="s">
        <v>27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6"/>
        <v>0</v>
      </c>
      <c r="P84" s="72">
        <f t="shared" si="7"/>
        <v>0</v>
      </c>
      <c r="Q84" s="193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5" thickBot="1" x14ac:dyDescent="0.25">
      <c r="A85" s="28">
        <v>30049</v>
      </c>
      <c r="B85" s="56" t="s">
        <v>27</v>
      </c>
      <c r="C85" s="6">
        <v>0</v>
      </c>
      <c r="D85" s="5">
        <v>2</v>
      </c>
      <c r="E85" s="5">
        <v>-2</v>
      </c>
      <c r="F85" s="6">
        <v>0</v>
      </c>
      <c r="G85" s="5">
        <v>0</v>
      </c>
      <c r="H85" s="5">
        <v>0</v>
      </c>
      <c r="I85" s="6">
        <v>0</v>
      </c>
      <c r="J85" s="5">
        <v>6</v>
      </c>
      <c r="K85" s="5">
        <v>-6</v>
      </c>
      <c r="L85" s="6">
        <v>0</v>
      </c>
      <c r="M85" s="5">
        <v>6</v>
      </c>
      <c r="N85" s="5">
        <v>-6</v>
      </c>
      <c r="O85" s="6">
        <f t="shared" si="6"/>
        <v>-8</v>
      </c>
      <c r="P85" s="72">
        <f t="shared" si="7"/>
        <v>-0.88888888888888884</v>
      </c>
      <c r="Q85" s="196"/>
      <c r="R85" s="68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>X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>X</v>
      </c>
    </row>
    <row r="86" spans="1:42" s="163" customFormat="1" x14ac:dyDescent="0.2">
      <c r="A86" s="28">
        <v>30149</v>
      </c>
      <c r="B86" s="160" t="s">
        <v>27</v>
      </c>
      <c r="C86" s="6">
        <v>0</v>
      </c>
      <c r="D86" s="5">
        <v>0</v>
      </c>
      <c r="E86" s="159">
        <v>0</v>
      </c>
      <c r="F86" s="6">
        <v>0</v>
      </c>
      <c r="G86" s="5">
        <v>0</v>
      </c>
      <c r="H86" s="159">
        <v>0</v>
      </c>
      <c r="I86" s="6">
        <v>0</v>
      </c>
      <c r="J86" s="5">
        <v>0</v>
      </c>
      <c r="K86" s="159">
        <v>0</v>
      </c>
      <c r="L86" s="6">
        <v>0</v>
      </c>
      <c r="M86" s="5">
        <v>0</v>
      </c>
      <c r="N86" s="159">
        <v>0</v>
      </c>
      <c r="O86" s="6">
        <f t="shared" si="3"/>
        <v>0</v>
      </c>
      <c r="P86" s="88">
        <f t="shared" si="4"/>
        <v>0</v>
      </c>
      <c r="Q86" s="193"/>
      <c r="R86" s="67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164">
        <f>COUNTIF(T10:T85,"X")</f>
        <v>10</v>
      </c>
      <c r="U86" s="164">
        <f>COUNTIF(U10:U85,"X")</f>
        <v>24</v>
      </c>
      <c r="V86" s="163" t="e">
        <f>SUM(V$53:V$79)+SUM(V$28:V$49)+SUM(V$10:V$26)</f>
        <v>#VALUE!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</row>
    <row r="87" spans="1:42" x14ac:dyDescent="0.2">
      <c r="A87" s="28">
        <v>30511</v>
      </c>
      <c r="B87" s="160" t="s">
        <v>27</v>
      </c>
      <c r="C87" s="6">
        <v>500</v>
      </c>
      <c r="D87" s="5">
        <v>47</v>
      </c>
      <c r="E87" s="159">
        <v>453</v>
      </c>
      <c r="F87" s="6">
        <v>500</v>
      </c>
      <c r="G87" s="5">
        <v>47</v>
      </c>
      <c r="H87" s="159">
        <v>453</v>
      </c>
      <c r="I87" s="6">
        <v>500</v>
      </c>
      <c r="J87" s="5">
        <v>47</v>
      </c>
      <c r="K87" s="159">
        <v>453</v>
      </c>
      <c r="L87" s="6">
        <v>500</v>
      </c>
      <c r="M87" s="5">
        <v>47</v>
      </c>
      <c r="N87" s="159">
        <v>453</v>
      </c>
      <c r="O87" s="6">
        <f t="shared" si="3"/>
        <v>1359</v>
      </c>
      <c r="P87" s="88">
        <f t="shared" si="4"/>
        <v>9.570422535211268</v>
      </c>
      <c r="Q87" s="193"/>
      <c r="R87" s="67" t="str">
        <f>IF($C$4="High Inventory",IF(AND(O87&gt;=Summary!$C$128,P87&gt;=Summary!$C$129),"X"," "),IF(AND(O87&lt;=-Summary!$C$128,P87&lt;=-Summary!$C$129),"X"," "))</f>
        <v xml:space="preserve"> </v>
      </c>
      <c r="S87" s="85" t="str">
        <f>IF($C$4="High Inventory",IF(AND(L87-I87&gt;=Summary!$C$132,N87-K87&gt;Summary!$C$132,N87&gt;0),"X"," "),IF(AND(I87-L87&gt;=Summary!$C$132,K87-N87&gt;Summary!$C$132,N87&lt;0),"X"," "))</f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x14ac:dyDescent="0.2">
      <c r="A88" s="2" t="s">
        <v>28</v>
      </c>
      <c r="B88" s="2"/>
      <c r="C88" s="3"/>
      <c r="D88" s="3"/>
      <c r="E88" s="3">
        <f>SUM(E10:E87)</f>
        <v>-219173</v>
      </c>
      <c r="F88" s="3"/>
      <c r="G88" s="3"/>
      <c r="H88" s="3">
        <f>SUM(H10:H87)</f>
        <v>41481</v>
      </c>
      <c r="I88" s="3"/>
      <c r="J88" s="3"/>
      <c r="K88" s="3">
        <f>SUM(K10:K87)</f>
        <v>-210009</v>
      </c>
      <c r="L88" s="3"/>
      <c r="M88" s="3">
        <f>SUM(M10:M87)</f>
        <v>2708844</v>
      </c>
      <c r="N88" s="3">
        <f>SUM(N10:N87)</f>
        <v>-30327</v>
      </c>
      <c r="O88" s="3"/>
      <c r="P88" s="1"/>
      <c r="Q88" s="2">
        <f>COUNTIF(Q10:Q85,"X")</f>
        <v>9</v>
      </c>
      <c r="R88" s="2">
        <f>COUNTIF(R10:R85,"X")</f>
        <v>9</v>
      </c>
      <c r="S88" s="2">
        <f>COUNTIF(S10:S85,"X")</f>
        <v>4</v>
      </c>
    </row>
    <row r="89" spans="1:42" x14ac:dyDescent="0.2">
      <c r="M89" s="89" t="s">
        <v>56</v>
      </c>
      <c r="N89" s="90">
        <f>N88/M88</f>
        <v>-1.1195550574340936E-2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11" sqref="C11"/>
    </sheetView>
  </sheetViews>
  <sheetFormatPr defaultColWidth="7.85546875" defaultRowHeight="12.75" x14ac:dyDescent="0.2"/>
  <cols>
    <col min="1" max="1" width="9.42578125" style="29" customWidth="1"/>
    <col min="2" max="2" width="10" style="29" customWidth="1"/>
    <col min="3" max="19" width="10" customWidth="1"/>
    <col min="20" max="22" width="10" hidden="1" customWidth="1"/>
    <col min="23" max="42" width="7.85546875" style="15" customWidth="1"/>
    <col min="43" max="252" width="9.140625" customWidth="1"/>
  </cols>
  <sheetData>
    <row r="1" spans="1:42" ht="18" x14ac:dyDescent="0.25">
      <c r="A1" s="57" t="s">
        <v>0</v>
      </c>
    </row>
    <row r="2" spans="1:42" ht="20.25" customHeight="1" x14ac:dyDescent="0.2">
      <c r="A2" s="87" t="s">
        <v>34</v>
      </c>
    </row>
    <row r="3" spans="1:42" ht="15.75" x14ac:dyDescent="0.25">
      <c r="A3" s="58" t="s">
        <v>35</v>
      </c>
      <c r="C3" s="10">
        <f>L8</f>
        <v>36768</v>
      </c>
      <c r="D3" s="9"/>
    </row>
    <row r="4" spans="1:42" ht="15.75" x14ac:dyDescent="0.25">
      <c r="A4" s="58" t="s">
        <v>36</v>
      </c>
      <c r="C4" s="4" t="s">
        <v>60</v>
      </c>
      <c r="E4" s="97" t="s">
        <v>38</v>
      </c>
      <c r="G4" s="4" t="s">
        <v>64</v>
      </c>
    </row>
    <row r="5" spans="1:42" ht="16.5" thickBot="1" x14ac:dyDescent="0.3">
      <c r="A5" s="58" t="s">
        <v>39</v>
      </c>
      <c r="C5" s="4" t="s">
        <v>40</v>
      </c>
      <c r="E5" s="58"/>
    </row>
    <row r="6" spans="1:42" ht="21.75" customHeight="1" thickBot="1" x14ac:dyDescent="0.25">
      <c r="R6" s="152" t="s">
        <v>41</v>
      </c>
      <c r="S6" s="153"/>
    </row>
    <row r="7" spans="1:42" s="62" customFormat="1" ht="54" customHeight="1" thickBot="1" x14ac:dyDescent="0.25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5" customHeight="1" thickBot="1" x14ac:dyDescent="0.25">
      <c r="A8" s="178"/>
      <c r="B8" s="179"/>
      <c r="C8" s="182">
        <f>C9</f>
        <v>36765</v>
      </c>
      <c r="D8" s="180"/>
      <c r="E8" s="181" t="str">
        <f>TEXT(WEEKDAY(C8),"dddd")</f>
        <v>Sunday</v>
      </c>
      <c r="F8" s="182">
        <f>F9</f>
        <v>36766</v>
      </c>
      <c r="G8" s="180"/>
      <c r="H8" s="181" t="str">
        <f>TEXT(WEEKDAY(F8),"dddd")</f>
        <v>Monday</v>
      </c>
      <c r="I8" s="182">
        <f>I9</f>
        <v>36767</v>
      </c>
      <c r="J8" s="180"/>
      <c r="K8" s="181" t="str">
        <f>TEXT(WEEKDAY(I8),"dddd")</f>
        <v>Tuesday</v>
      </c>
      <c r="L8" s="182">
        <f>L9</f>
        <v>36768</v>
      </c>
      <c r="M8" s="180"/>
      <c r="N8" s="181" t="str">
        <f>TEXT(WEEKDAY(L8),"dddd")</f>
        <v>Wednesday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" hidden="1" x14ac:dyDescent="0.2">
      <c r="A9" s="28"/>
      <c r="B9" s="56"/>
      <c r="C9" s="155">
        <v>36765</v>
      </c>
      <c r="D9" s="157">
        <v>36765</v>
      </c>
      <c r="E9" s="157">
        <v>36765</v>
      </c>
      <c r="F9" s="158">
        <v>36766</v>
      </c>
      <c r="G9" s="157">
        <v>36766</v>
      </c>
      <c r="H9" s="157">
        <v>36766</v>
      </c>
      <c r="I9" s="158">
        <v>36767</v>
      </c>
      <c r="J9" s="157">
        <v>36767</v>
      </c>
      <c r="K9" s="157">
        <v>36767</v>
      </c>
      <c r="L9" s="158">
        <v>36768</v>
      </c>
      <c r="M9" s="157">
        <v>36768</v>
      </c>
      <c r="N9" s="157">
        <v>36768</v>
      </c>
      <c r="O9" s="6">
        <f t="shared" ref="O9:O36" si="0">K9+H9+E9</f>
        <v>110298</v>
      </c>
      <c r="P9" s="70"/>
      <c r="Q9" s="66"/>
      <c r="R9" s="64"/>
      <c r="S9" s="71"/>
      <c r="T9" s="66"/>
      <c r="U9" s="65"/>
    </row>
    <row r="10" spans="1:42" hidden="1" x14ac:dyDescent="0.2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">
      <c r="A11" s="28">
        <v>1117</v>
      </c>
      <c r="B11" s="56" t="s">
        <v>25</v>
      </c>
      <c r="C11" s="6">
        <v>288</v>
      </c>
      <c r="D11" s="5">
        <v>275</v>
      </c>
      <c r="E11" s="5">
        <v>13</v>
      </c>
      <c r="F11" s="6">
        <v>288</v>
      </c>
      <c r="G11" s="5">
        <v>312</v>
      </c>
      <c r="H11" s="5">
        <v>-24</v>
      </c>
      <c r="I11" s="6">
        <v>288</v>
      </c>
      <c r="J11" s="5">
        <v>320</v>
      </c>
      <c r="K11" s="5">
        <v>-32</v>
      </c>
      <c r="L11" s="6">
        <v>550</v>
      </c>
      <c r="M11" s="5">
        <v>303</v>
      </c>
      <c r="N11" s="5">
        <v>247</v>
      </c>
      <c r="O11" s="6">
        <f t="shared" si="0"/>
        <v>-43</v>
      </c>
      <c r="P11" s="72">
        <f t="shared" si="1"/>
        <v>-4.7356828193832599E-2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74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">
      <c r="A12" s="28">
        <v>1126</v>
      </c>
      <c r="B12" s="56" t="s">
        <v>25</v>
      </c>
      <c r="C12" s="6">
        <v>300</v>
      </c>
      <c r="D12" s="5">
        <v>377</v>
      </c>
      <c r="E12" s="5">
        <v>-77</v>
      </c>
      <c r="F12" s="6">
        <v>300</v>
      </c>
      <c r="G12" s="5">
        <v>420</v>
      </c>
      <c r="H12" s="5">
        <v>-120</v>
      </c>
      <c r="I12" s="6">
        <v>300</v>
      </c>
      <c r="J12" s="5">
        <v>441</v>
      </c>
      <c r="K12" s="5">
        <v>-141</v>
      </c>
      <c r="L12" s="6">
        <v>300</v>
      </c>
      <c r="M12" s="5">
        <v>435</v>
      </c>
      <c r="N12" s="5">
        <v>-135</v>
      </c>
      <c r="O12" s="6">
        <f t="shared" si="0"/>
        <v>-338</v>
      </c>
      <c r="P12" s="72">
        <f t="shared" si="1"/>
        <v>-0.27280064568200163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74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">
      <c r="A13" s="28">
        <v>1157</v>
      </c>
      <c r="B13" s="56" t="s">
        <v>25</v>
      </c>
      <c r="C13" s="6">
        <v>100</v>
      </c>
      <c r="D13" s="5">
        <v>109</v>
      </c>
      <c r="E13" s="5">
        <v>-9</v>
      </c>
      <c r="F13" s="6">
        <v>100</v>
      </c>
      <c r="G13" s="5">
        <v>124</v>
      </c>
      <c r="H13" s="5">
        <v>-24</v>
      </c>
      <c r="I13" s="6">
        <v>100</v>
      </c>
      <c r="J13" s="5">
        <v>127</v>
      </c>
      <c r="K13" s="5">
        <v>-27</v>
      </c>
      <c r="L13" s="6">
        <v>100</v>
      </c>
      <c r="M13" s="5">
        <v>120</v>
      </c>
      <c r="N13" s="5">
        <v>-20</v>
      </c>
      <c r="O13" s="6">
        <f t="shared" si="0"/>
        <v>-60</v>
      </c>
      <c r="P13" s="72">
        <f t="shared" si="1"/>
        <v>-0.16620498614958448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74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">
      <c r="A14" s="28">
        <v>1780</v>
      </c>
      <c r="B14" s="56" t="s">
        <v>25</v>
      </c>
      <c r="C14" s="6">
        <v>1040</v>
      </c>
      <c r="D14" s="5">
        <v>907</v>
      </c>
      <c r="E14" s="5">
        <v>133</v>
      </c>
      <c r="F14" s="6">
        <v>1040</v>
      </c>
      <c r="G14" s="5">
        <v>1032</v>
      </c>
      <c r="H14" s="5">
        <v>8</v>
      </c>
      <c r="I14" s="6">
        <v>1040</v>
      </c>
      <c r="J14" s="5">
        <v>1060</v>
      </c>
      <c r="K14" s="5">
        <v>-20</v>
      </c>
      <c r="L14" s="6">
        <v>1010</v>
      </c>
      <c r="M14" s="5">
        <v>1009</v>
      </c>
      <c r="N14" s="5">
        <v>1</v>
      </c>
      <c r="O14" s="6">
        <f t="shared" si="0"/>
        <v>121</v>
      </c>
      <c r="P14" s="72">
        <f t="shared" si="1"/>
        <v>4.0333333333333332E-2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74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">
      <c r="A15" s="28">
        <v>2280</v>
      </c>
      <c r="B15" s="56" t="s">
        <v>25</v>
      </c>
      <c r="C15" s="6">
        <v>811</v>
      </c>
      <c r="D15" s="5">
        <v>667</v>
      </c>
      <c r="E15" s="5">
        <v>144</v>
      </c>
      <c r="F15" s="6">
        <v>811</v>
      </c>
      <c r="G15" s="5">
        <v>759</v>
      </c>
      <c r="H15" s="5">
        <v>52</v>
      </c>
      <c r="I15" s="6">
        <v>2955</v>
      </c>
      <c r="J15" s="5">
        <v>779</v>
      </c>
      <c r="K15" s="5">
        <v>2176</v>
      </c>
      <c r="L15" s="6">
        <v>728</v>
      </c>
      <c r="M15" s="5">
        <v>735</v>
      </c>
      <c r="N15" s="5">
        <v>-7</v>
      </c>
      <c r="O15" s="6">
        <f t="shared" si="0"/>
        <v>2372</v>
      </c>
      <c r="P15" s="72">
        <f t="shared" si="1"/>
        <v>1.0752493200362647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74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">
      <c r="A16" s="28">
        <v>2584</v>
      </c>
      <c r="B16" s="56" t="s">
        <v>25</v>
      </c>
      <c r="C16" s="6">
        <v>2452</v>
      </c>
      <c r="D16" s="5">
        <v>2924</v>
      </c>
      <c r="E16" s="5">
        <v>-472</v>
      </c>
      <c r="F16" s="6">
        <v>2452</v>
      </c>
      <c r="G16" s="5">
        <v>3327</v>
      </c>
      <c r="H16" s="5">
        <v>-875</v>
      </c>
      <c r="I16" s="6">
        <v>2452</v>
      </c>
      <c r="J16" s="5">
        <v>3418</v>
      </c>
      <c r="K16" s="5">
        <v>-966</v>
      </c>
      <c r="L16" s="6">
        <v>3240</v>
      </c>
      <c r="M16" s="5">
        <v>3237</v>
      </c>
      <c r="N16" s="5">
        <v>3</v>
      </c>
      <c r="O16" s="6">
        <f t="shared" si="0"/>
        <v>-2313</v>
      </c>
      <c r="P16" s="72">
        <f t="shared" si="1"/>
        <v>-0.23919338159255429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74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>X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>X</v>
      </c>
    </row>
    <row r="17" spans="1:24" x14ac:dyDescent="0.2">
      <c r="A17" s="28">
        <v>2771</v>
      </c>
      <c r="B17" s="56" t="s">
        <v>25</v>
      </c>
      <c r="C17" s="6">
        <v>3735</v>
      </c>
      <c r="D17" s="5">
        <v>5919</v>
      </c>
      <c r="E17" s="5">
        <v>-2184</v>
      </c>
      <c r="F17" s="6">
        <v>21985</v>
      </c>
      <c r="G17" s="5">
        <v>6727</v>
      </c>
      <c r="H17" s="5">
        <v>15258</v>
      </c>
      <c r="I17" s="6">
        <v>0</v>
      </c>
      <c r="J17" s="5">
        <v>6920</v>
      </c>
      <c r="K17" s="5">
        <v>-6920</v>
      </c>
      <c r="L17" s="6">
        <v>6500</v>
      </c>
      <c r="M17" s="5">
        <v>6558</v>
      </c>
      <c r="N17" s="5">
        <v>-58</v>
      </c>
      <c r="O17" s="6">
        <f t="shared" si="0"/>
        <v>6154</v>
      </c>
      <c r="P17" s="72">
        <f t="shared" si="1"/>
        <v>0.314509122502172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74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 t="str">
        <f t="shared" si="2"/>
        <v xml:space="preserve"> 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">
      <c r="A18" s="28">
        <v>2832</v>
      </c>
      <c r="B18" s="56" t="s">
        <v>25</v>
      </c>
      <c r="C18" s="6">
        <v>800</v>
      </c>
      <c r="D18" s="5">
        <v>902</v>
      </c>
      <c r="E18" s="5">
        <v>-102</v>
      </c>
      <c r="F18" s="6">
        <v>800</v>
      </c>
      <c r="G18" s="5">
        <v>1027</v>
      </c>
      <c r="H18" s="5">
        <v>-227</v>
      </c>
      <c r="I18" s="6">
        <v>0</v>
      </c>
      <c r="J18" s="5">
        <v>1054</v>
      </c>
      <c r="K18" s="5">
        <v>-1054</v>
      </c>
      <c r="L18" s="6">
        <v>993</v>
      </c>
      <c r="M18" s="5">
        <v>1003</v>
      </c>
      <c r="N18" s="5">
        <v>-10</v>
      </c>
      <c r="O18" s="6">
        <f t="shared" si="0"/>
        <v>-1383</v>
      </c>
      <c r="P18" s="72">
        <f t="shared" si="1"/>
        <v>-0.46347184986595175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74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>X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>X</v>
      </c>
    </row>
    <row r="19" spans="1:24" x14ac:dyDescent="0.2">
      <c r="A19" s="28">
        <v>2892</v>
      </c>
      <c r="B19" s="56" t="s">
        <v>25</v>
      </c>
      <c r="C19" s="6">
        <v>7028</v>
      </c>
      <c r="D19" s="5">
        <v>4516</v>
      </c>
      <c r="E19" s="5">
        <v>2512</v>
      </c>
      <c r="F19" s="6">
        <v>7028</v>
      </c>
      <c r="G19" s="5">
        <v>5138</v>
      </c>
      <c r="H19" s="5">
        <v>1890</v>
      </c>
      <c r="I19" s="6">
        <v>4069</v>
      </c>
      <c r="J19" s="5">
        <v>5280</v>
      </c>
      <c r="K19" s="5">
        <v>-1211</v>
      </c>
      <c r="L19" s="6">
        <v>4968</v>
      </c>
      <c r="M19" s="5">
        <v>5009</v>
      </c>
      <c r="N19" s="5">
        <v>-41</v>
      </c>
      <c r="O19" s="6">
        <f t="shared" si="0"/>
        <v>3191</v>
      </c>
      <c r="P19" s="72">
        <f t="shared" si="1"/>
        <v>0.21365918982256443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74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">
      <c r="A20" s="28">
        <v>3152</v>
      </c>
      <c r="B20" s="56" t="s">
        <v>25</v>
      </c>
      <c r="C20" s="6">
        <v>3419</v>
      </c>
      <c r="D20" s="5">
        <v>3135</v>
      </c>
      <c r="E20" s="5">
        <v>284</v>
      </c>
      <c r="F20" s="6">
        <v>3419</v>
      </c>
      <c r="G20" s="5">
        <v>3562</v>
      </c>
      <c r="H20" s="5">
        <v>-143</v>
      </c>
      <c r="I20" s="6">
        <v>3419</v>
      </c>
      <c r="J20" s="5">
        <v>3666</v>
      </c>
      <c r="K20" s="5">
        <v>-247</v>
      </c>
      <c r="L20" s="6">
        <v>3497</v>
      </c>
      <c r="M20" s="5">
        <v>3497</v>
      </c>
      <c r="N20" s="5">
        <v>0</v>
      </c>
      <c r="O20" s="6">
        <f t="shared" si="0"/>
        <v>-106</v>
      </c>
      <c r="P20" s="72">
        <f t="shared" si="1"/>
        <v>-1.0227711308375145E-2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74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">
      <c r="A21" s="28">
        <v>4303</v>
      </c>
      <c r="B21" s="56" t="s">
        <v>25</v>
      </c>
      <c r="C21" s="6">
        <v>2209</v>
      </c>
      <c r="D21" s="5">
        <v>2370</v>
      </c>
      <c r="E21" s="5">
        <v>-161</v>
      </c>
      <c r="F21" s="6">
        <v>2168</v>
      </c>
      <c r="G21" s="5">
        <v>2697</v>
      </c>
      <c r="H21" s="5">
        <v>-529</v>
      </c>
      <c r="I21" s="6">
        <v>2529</v>
      </c>
      <c r="J21" s="5">
        <v>2770</v>
      </c>
      <c r="K21" s="5">
        <v>-241</v>
      </c>
      <c r="L21" s="6">
        <v>2636</v>
      </c>
      <c r="M21" s="5">
        <v>2620</v>
      </c>
      <c r="N21" s="5">
        <v>16</v>
      </c>
      <c r="O21" s="6">
        <f t="shared" si="0"/>
        <v>-931</v>
      </c>
      <c r="P21" s="72">
        <f t="shared" si="1"/>
        <v>-0.11878030109721868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74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">
      <c r="A22" s="28">
        <v>6500</v>
      </c>
      <c r="B22" s="56" t="s">
        <v>25</v>
      </c>
      <c r="C22" s="6">
        <v>467661</v>
      </c>
      <c r="D22" s="5">
        <v>433167</v>
      </c>
      <c r="E22" s="5">
        <v>34494</v>
      </c>
      <c r="F22" s="6">
        <v>475785</v>
      </c>
      <c r="G22" s="5">
        <v>492647</v>
      </c>
      <c r="H22" s="5">
        <v>-16862</v>
      </c>
      <c r="I22" s="6">
        <v>518413</v>
      </c>
      <c r="J22" s="5">
        <v>506517</v>
      </c>
      <c r="K22" s="5">
        <v>11896</v>
      </c>
      <c r="L22" s="6">
        <v>504930</v>
      </c>
      <c r="M22" s="5">
        <v>484483</v>
      </c>
      <c r="N22" s="5">
        <v>20447</v>
      </c>
      <c r="O22" s="6">
        <f t="shared" si="0"/>
        <v>29528</v>
      </c>
      <c r="P22" s="72">
        <f t="shared" si="1"/>
        <v>2.0615332199517989E-2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74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">
      <c r="A23" s="28">
        <v>10656</v>
      </c>
      <c r="B23" s="56" t="s">
        <v>25</v>
      </c>
      <c r="C23" s="6">
        <v>300</v>
      </c>
      <c r="D23" s="5">
        <v>198</v>
      </c>
      <c r="E23" s="5">
        <v>102</v>
      </c>
      <c r="F23" s="6">
        <v>300</v>
      </c>
      <c r="G23" s="5">
        <v>226</v>
      </c>
      <c r="H23" s="5">
        <v>74</v>
      </c>
      <c r="I23" s="6">
        <v>300</v>
      </c>
      <c r="J23" s="5">
        <v>231</v>
      </c>
      <c r="K23" s="5">
        <v>69</v>
      </c>
      <c r="L23" s="6">
        <v>500</v>
      </c>
      <c r="M23" s="5">
        <v>218</v>
      </c>
      <c r="N23" s="5">
        <v>282</v>
      </c>
      <c r="O23" s="6">
        <f t="shared" si="0"/>
        <v>245</v>
      </c>
      <c r="P23" s="72">
        <f t="shared" si="1"/>
        <v>0.37347560975609756</v>
      </c>
      <c r="Q23" s="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74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">
      <c r="A24" s="28">
        <v>12296</v>
      </c>
      <c r="B24" s="56" t="s">
        <v>25</v>
      </c>
      <c r="C24" s="6">
        <v>2850</v>
      </c>
      <c r="D24" s="5">
        <v>2955</v>
      </c>
      <c r="E24" s="5">
        <v>-105</v>
      </c>
      <c r="F24" s="6">
        <v>2850</v>
      </c>
      <c r="G24" s="5">
        <v>3364</v>
      </c>
      <c r="H24" s="5">
        <v>-514</v>
      </c>
      <c r="I24" s="6">
        <v>3450</v>
      </c>
      <c r="J24" s="5">
        <v>3456</v>
      </c>
      <c r="K24" s="5">
        <v>-6</v>
      </c>
      <c r="L24" s="6">
        <v>3250</v>
      </c>
      <c r="M24" s="5">
        <v>3263</v>
      </c>
      <c r="N24" s="5">
        <v>-13</v>
      </c>
      <c r="O24" s="6">
        <f t="shared" si="0"/>
        <v>-625</v>
      </c>
      <c r="P24" s="72">
        <f t="shared" si="1"/>
        <v>-6.3932078559738134E-2</v>
      </c>
      <c r="Q24" s="7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74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">
      <c r="A25" s="28">
        <v>16786</v>
      </c>
      <c r="B25" s="56" t="s">
        <v>25</v>
      </c>
      <c r="C25" s="6">
        <v>4079</v>
      </c>
      <c r="D25" s="5">
        <v>3417</v>
      </c>
      <c r="E25" s="5">
        <v>662</v>
      </c>
      <c r="F25" s="6">
        <v>4079</v>
      </c>
      <c r="G25" s="5">
        <v>3887</v>
      </c>
      <c r="H25" s="5">
        <v>192</v>
      </c>
      <c r="I25" s="6">
        <v>4079</v>
      </c>
      <c r="J25" s="5">
        <v>3995</v>
      </c>
      <c r="K25" s="5">
        <v>84</v>
      </c>
      <c r="L25" s="6">
        <v>4079</v>
      </c>
      <c r="M25" s="5">
        <v>3793</v>
      </c>
      <c r="N25" s="5">
        <v>286</v>
      </c>
      <c r="O25" s="6">
        <f t="shared" si="0"/>
        <v>938</v>
      </c>
      <c r="P25" s="72">
        <f t="shared" si="1"/>
        <v>8.3008849557522121E-2</v>
      </c>
      <c r="Q25" s="76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74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">
      <c r="A26" s="28">
        <v>17791</v>
      </c>
      <c r="B26" s="56" t="s">
        <v>25</v>
      </c>
      <c r="C26" s="6">
        <v>145</v>
      </c>
      <c r="D26" s="5">
        <v>146</v>
      </c>
      <c r="E26" s="5">
        <v>-1</v>
      </c>
      <c r="F26" s="6">
        <v>145</v>
      </c>
      <c r="G26" s="5">
        <v>166</v>
      </c>
      <c r="H26" s="5">
        <v>-21</v>
      </c>
      <c r="I26" s="6">
        <v>145</v>
      </c>
      <c r="J26" s="5">
        <v>171</v>
      </c>
      <c r="K26" s="5">
        <v>-26</v>
      </c>
      <c r="L26" s="6">
        <v>161</v>
      </c>
      <c r="M26" s="5">
        <v>161</v>
      </c>
      <c r="N26" s="5">
        <v>0</v>
      </c>
      <c r="O26" s="6">
        <f t="shared" si="0"/>
        <v>-48</v>
      </c>
      <c r="P26" s="72">
        <f t="shared" si="1"/>
        <v>-9.9173553719008267E-2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74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">
      <c r="A27" s="28">
        <v>30649</v>
      </c>
      <c r="B27" s="56" t="s">
        <v>25</v>
      </c>
      <c r="C27" s="6"/>
      <c r="D27" s="5"/>
      <c r="E27" s="5"/>
      <c r="F27" s="6">
        <v>0</v>
      </c>
      <c r="G27" s="5">
        <v>0</v>
      </c>
      <c r="H27" s="5">
        <v>0</v>
      </c>
      <c r="I27" s="6">
        <v>0</v>
      </c>
      <c r="J27" s="5">
        <v>0</v>
      </c>
      <c r="K27" s="5">
        <v>0</v>
      </c>
      <c r="L27" s="6">
        <v>0</v>
      </c>
      <c r="M27" s="5">
        <v>0</v>
      </c>
      <c r="N27" s="5">
        <v>0</v>
      </c>
      <c r="O27" s="6">
        <f t="shared" si="0"/>
        <v>0</v>
      </c>
      <c r="P27" s="72">
        <f t="shared" si="1"/>
        <v>0</v>
      </c>
      <c r="Q27" s="76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74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">
      <c r="A28" s="28">
        <v>1117</v>
      </c>
      <c r="B28" s="56" t="s">
        <v>26</v>
      </c>
      <c r="C28" s="6">
        <v>111387</v>
      </c>
      <c r="D28" s="5">
        <v>84524</v>
      </c>
      <c r="E28" s="5">
        <v>26863</v>
      </c>
      <c r="F28" s="6">
        <v>128264</v>
      </c>
      <c r="G28" s="5">
        <v>95663</v>
      </c>
      <c r="H28" s="5">
        <v>32601</v>
      </c>
      <c r="I28" s="6">
        <v>31741</v>
      </c>
      <c r="J28" s="5">
        <v>100493</v>
      </c>
      <c r="K28" s="5">
        <v>-68752</v>
      </c>
      <c r="L28" s="6">
        <v>169617</v>
      </c>
      <c r="M28" s="5">
        <v>99791</v>
      </c>
      <c r="N28" s="5">
        <v>69826</v>
      </c>
      <c r="O28" s="6">
        <f t="shared" si="0"/>
        <v>-9288</v>
      </c>
      <c r="P28" s="72">
        <f t="shared" si="1"/>
        <v>-3.3090946661868813E-2</v>
      </c>
      <c r="Q28" s="76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74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 xml:space="preserve"> </v>
      </c>
    </row>
    <row r="29" spans="1:24" x14ac:dyDescent="0.2">
      <c r="A29" s="28">
        <v>1126</v>
      </c>
      <c r="B29" s="56" t="s">
        <v>26</v>
      </c>
      <c r="C29" s="6">
        <v>26909</v>
      </c>
      <c r="D29" s="5">
        <v>27703</v>
      </c>
      <c r="E29" s="5">
        <v>-794</v>
      </c>
      <c r="F29" s="6">
        <v>26909</v>
      </c>
      <c r="G29" s="5">
        <v>29646</v>
      </c>
      <c r="H29" s="5">
        <v>-2737</v>
      </c>
      <c r="I29" s="6">
        <v>26909</v>
      </c>
      <c r="J29" s="5">
        <v>28735</v>
      </c>
      <c r="K29" s="5">
        <v>-1826</v>
      </c>
      <c r="L29" s="6">
        <v>26909</v>
      </c>
      <c r="M29" s="5">
        <v>28714</v>
      </c>
      <c r="N29" s="5">
        <v>-1805</v>
      </c>
      <c r="O29" s="6">
        <f t="shared" si="0"/>
        <v>-5357</v>
      </c>
      <c r="P29" s="72">
        <f t="shared" si="1"/>
        <v>-6.2229192077597723E-2</v>
      </c>
      <c r="Q29" s="76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74" t="str">
        <f>IF($C$4="High Inventory",IF(AND($O29&gt;=Summary!$C$128,$P29&gt;=0%),"X"," "),IF(AND($O29&lt;=-Summary!$C$128,$P29&lt;=0%),"X"," "))</f>
        <v>X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>X</v>
      </c>
      <c r="X29" t="str">
        <f>IF($C$4="High Inventory",IF(P29&gt;Summary!$C$129,"X"," "),IF(P29&lt;-Summary!$C$129,"X"," "))</f>
        <v xml:space="preserve"> </v>
      </c>
    </row>
    <row r="30" spans="1:24" x14ac:dyDescent="0.2">
      <c r="A30" s="28">
        <v>1157</v>
      </c>
      <c r="B30" s="56" t="s">
        <v>26</v>
      </c>
      <c r="C30" s="6">
        <v>237534</v>
      </c>
      <c r="D30" s="5">
        <v>172720</v>
      </c>
      <c r="E30" s="5">
        <v>64814</v>
      </c>
      <c r="F30" s="6">
        <v>240975</v>
      </c>
      <c r="G30" s="5">
        <v>208643</v>
      </c>
      <c r="H30" s="5">
        <v>32332</v>
      </c>
      <c r="I30" s="6">
        <v>193358</v>
      </c>
      <c r="J30" s="5">
        <v>189117</v>
      </c>
      <c r="K30" s="5">
        <v>4241</v>
      </c>
      <c r="L30" s="6">
        <v>214724</v>
      </c>
      <c r="M30" s="5">
        <v>176443</v>
      </c>
      <c r="N30" s="5">
        <v>38281</v>
      </c>
      <c r="O30" s="6">
        <f t="shared" si="0"/>
        <v>101387</v>
      </c>
      <c r="P30" s="72">
        <f t="shared" si="1"/>
        <v>0.17772195743591812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74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">
      <c r="A31" s="28">
        <v>1281</v>
      </c>
      <c r="B31" s="56" t="s">
        <v>26</v>
      </c>
      <c r="C31" s="6">
        <v>50929</v>
      </c>
      <c r="D31" s="5">
        <v>58878</v>
      </c>
      <c r="E31" s="5">
        <v>-7949</v>
      </c>
      <c r="F31" s="6">
        <v>60107</v>
      </c>
      <c r="G31" s="5">
        <v>68902</v>
      </c>
      <c r="H31" s="5">
        <v>-8795</v>
      </c>
      <c r="I31" s="6">
        <v>86331</v>
      </c>
      <c r="J31" s="5">
        <v>72487</v>
      </c>
      <c r="K31" s="5">
        <v>13844</v>
      </c>
      <c r="L31" s="6">
        <v>88860</v>
      </c>
      <c r="M31" s="5">
        <v>70586</v>
      </c>
      <c r="N31" s="5">
        <v>18274</v>
      </c>
      <c r="O31" s="6">
        <f t="shared" si="0"/>
        <v>-2900</v>
      </c>
      <c r="P31" s="72">
        <f t="shared" si="1"/>
        <v>-1.4480596001358179E-2</v>
      </c>
      <c r="Q31" s="76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74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">
      <c r="A32" s="28">
        <v>1340</v>
      </c>
      <c r="B32" s="56" t="s">
        <v>26</v>
      </c>
      <c r="C32" s="6">
        <v>6826</v>
      </c>
      <c r="D32" s="5">
        <v>4708</v>
      </c>
      <c r="E32" s="5">
        <v>2118</v>
      </c>
      <c r="F32" s="6">
        <v>6901</v>
      </c>
      <c r="G32" s="5">
        <v>6087</v>
      </c>
      <c r="H32" s="5">
        <v>814</v>
      </c>
      <c r="I32" s="6">
        <v>6837</v>
      </c>
      <c r="J32" s="5">
        <v>6413</v>
      </c>
      <c r="K32" s="5">
        <v>424</v>
      </c>
      <c r="L32" s="6">
        <v>6834</v>
      </c>
      <c r="M32" s="5">
        <v>6225</v>
      </c>
      <c r="N32" s="5">
        <v>609</v>
      </c>
      <c r="O32" s="6">
        <f t="shared" si="0"/>
        <v>3356</v>
      </c>
      <c r="P32" s="72">
        <f t="shared" si="1"/>
        <v>0.19501423673659132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74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">
      <c r="A33" s="28">
        <v>1377</v>
      </c>
      <c r="B33" s="56" t="s">
        <v>26</v>
      </c>
      <c r="C33" s="6">
        <v>184504</v>
      </c>
      <c r="D33" s="5">
        <v>168425</v>
      </c>
      <c r="E33" s="5">
        <v>16079</v>
      </c>
      <c r="F33" s="6">
        <v>183282</v>
      </c>
      <c r="G33" s="5">
        <v>161177</v>
      </c>
      <c r="H33" s="5">
        <v>22105</v>
      </c>
      <c r="I33" s="6">
        <v>131729</v>
      </c>
      <c r="J33" s="5">
        <v>153312</v>
      </c>
      <c r="K33" s="5">
        <v>-21583</v>
      </c>
      <c r="L33" s="6">
        <v>183823</v>
      </c>
      <c r="M33" s="5">
        <v>153410</v>
      </c>
      <c r="N33" s="5">
        <v>30413</v>
      </c>
      <c r="O33" s="6">
        <f t="shared" si="0"/>
        <v>16601</v>
      </c>
      <c r="P33" s="72">
        <f t="shared" si="1"/>
        <v>3.4376650135116947E-2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74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">
      <c r="A34" s="28">
        <v>1830</v>
      </c>
      <c r="B34" s="56" t="s">
        <v>26</v>
      </c>
      <c r="C34" s="6">
        <v>1266</v>
      </c>
      <c r="D34" s="5">
        <v>1</v>
      </c>
      <c r="E34" s="5">
        <v>1265</v>
      </c>
      <c r="F34" s="6">
        <v>2523</v>
      </c>
      <c r="G34" s="5">
        <v>1</v>
      </c>
      <c r="H34" s="5">
        <v>2522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3786</v>
      </c>
      <c r="P34" s="72">
        <f t="shared" si="1"/>
        <v>946.5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74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">
      <c r="A35" s="28">
        <v>1864</v>
      </c>
      <c r="B35" s="56" t="s">
        <v>26</v>
      </c>
      <c r="C35" s="6">
        <v>456710</v>
      </c>
      <c r="D35" s="5">
        <v>420768</v>
      </c>
      <c r="E35" s="5">
        <v>35942</v>
      </c>
      <c r="F35" s="6">
        <v>455242</v>
      </c>
      <c r="G35" s="5">
        <v>519592</v>
      </c>
      <c r="H35" s="5">
        <v>-64350</v>
      </c>
      <c r="I35" s="6">
        <v>517679</v>
      </c>
      <c r="J35" s="5">
        <v>527793</v>
      </c>
      <c r="K35" s="5">
        <v>-10114</v>
      </c>
      <c r="L35" s="6">
        <v>599055</v>
      </c>
      <c r="M35" s="5">
        <v>514891</v>
      </c>
      <c r="N35" s="5">
        <v>84164</v>
      </c>
      <c r="O35" s="6">
        <f t="shared" si="0"/>
        <v>-38522</v>
      </c>
      <c r="P35" s="72">
        <f t="shared" si="1"/>
        <v>-2.6238391885319932E-2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74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 xml:space="preserve"> </v>
      </c>
    </row>
    <row r="36" spans="1:24" x14ac:dyDescent="0.2">
      <c r="A36" s="28">
        <v>1922</v>
      </c>
      <c r="B36" s="56" t="s">
        <v>26</v>
      </c>
      <c r="C36" s="6">
        <v>45695</v>
      </c>
      <c r="D36" s="5">
        <v>55143</v>
      </c>
      <c r="E36" s="5">
        <v>-9448</v>
      </c>
      <c r="F36" s="6">
        <v>41483</v>
      </c>
      <c r="G36" s="5">
        <v>65641</v>
      </c>
      <c r="H36" s="5">
        <v>-24158</v>
      </c>
      <c r="I36" s="6">
        <v>70546</v>
      </c>
      <c r="J36" s="5">
        <v>68492</v>
      </c>
      <c r="K36" s="5">
        <v>2054</v>
      </c>
      <c r="L36" s="6">
        <v>65378</v>
      </c>
      <c r="M36" s="5">
        <v>63695</v>
      </c>
      <c r="N36" s="5">
        <v>1683</v>
      </c>
      <c r="O36" s="6">
        <f t="shared" si="0"/>
        <v>-31552</v>
      </c>
      <c r="P36" s="72">
        <f t="shared" si="1"/>
        <v>-0.16669748569556786</v>
      </c>
      <c r="Q36" s="76"/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74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">
      <c r="A37" s="28">
        <v>1928</v>
      </c>
      <c r="B37" s="56" t="s">
        <v>26</v>
      </c>
      <c r="C37" s="6">
        <v>3228</v>
      </c>
      <c r="D37" s="5">
        <v>5800</v>
      </c>
      <c r="E37" s="5">
        <v>-2572</v>
      </c>
      <c r="F37" s="6">
        <v>3222</v>
      </c>
      <c r="G37" s="5">
        <v>7004</v>
      </c>
      <c r="H37" s="5">
        <v>-3782</v>
      </c>
      <c r="I37" s="6">
        <v>6966</v>
      </c>
      <c r="J37" s="5">
        <v>6743</v>
      </c>
      <c r="K37" s="5">
        <v>223</v>
      </c>
      <c r="L37" s="6">
        <v>14324</v>
      </c>
      <c r="M37" s="5">
        <v>6397</v>
      </c>
      <c r="N37" s="5">
        <v>7927</v>
      </c>
      <c r="O37" s="6">
        <f t="shared" ref="O37:O64" si="3">K37+H37+E37</f>
        <v>-6131</v>
      </c>
      <c r="P37" s="72">
        <f t="shared" si="1"/>
        <v>-0.31363822385921836</v>
      </c>
      <c r="Q37" s="8"/>
      <c r="R37" s="67" t="str">
        <f>IF($C$4="High Inventory",IF(AND(O37&gt;=Summary!$C$128,P37&gt;=Summary!$C$129),"X"," "),IF(AND(O37&lt;=-Summary!$C$128,P37&lt;=-Summary!$C$129),"X"," "))</f>
        <v>X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74" t="str">
        <f>IF($C$4="High Inventory",IF(AND($O37&gt;=Summary!$C$128,$P37&gt;=0%),"X"," "),IF(AND($O37&lt;=-Summary!$C$128,$P37&lt;=0%),"X"," "))</f>
        <v>X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>X</v>
      </c>
      <c r="X37" t="str">
        <f>IF($C$4="High Inventory",IF(P37&gt;Summary!$C$129,"X"," "),IF(P37&lt;-Summary!$C$129,"X"," "))</f>
        <v>X</v>
      </c>
    </row>
    <row r="38" spans="1:24" x14ac:dyDescent="0.2">
      <c r="A38" s="28">
        <v>2056</v>
      </c>
      <c r="B38" s="56" t="s">
        <v>26</v>
      </c>
      <c r="C38" s="6">
        <v>65935</v>
      </c>
      <c r="D38" s="5">
        <v>54257</v>
      </c>
      <c r="E38" s="5">
        <v>11678</v>
      </c>
      <c r="F38" s="6">
        <v>65935</v>
      </c>
      <c r="G38" s="5">
        <v>52483</v>
      </c>
      <c r="H38" s="5">
        <v>13452</v>
      </c>
      <c r="I38" s="6">
        <v>54468</v>
      </c>
      <c r="J38" s="5">
        <v>55467</v>
      </c>
      <c r="K38" s="5">
        <v>-999</v>
      </c>
      <c r="L38" s="6">
        <v>73319</v>
      </c>
      <c r="M38" s="5">
        <v>56153</v>
      </c>
      <c r="N38" s="5">
        <v>17166</v>
      </c>
      <c r="O38" s="6">
        <f t="shared" si="3"/>
        <v>24131</v>
      </c>
      <c r="P38" s="72">
        <f t="shared" ref="P38:P65" si="4">O38/(J38+G38+D38+1)</f>
        <v>0.14876578220556322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74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">
      <c r="A39" s="28">
        <v>2280</v>
      </c>
      <c r="B39" s="56" t="s">
        <v>26</v>
      </c>
      <c r="C39" s="6">
        <v>19495</v>
      </c>
      <c r="D39" s="5">
        <v>13564</v>
      </c>
      <c r="E39" s="5">
        <v>5931</v>
      </c>
      <c r="F39" s="6">
        <v>19495</v>
      </c>
      <c r="G39" s="5">
        <v>17562</v>
      </c>
      <c r="H39" s="5">
        <v>1933</v>
      </c>
      <c r="I39" s="6">
        <v>18279</v>
      </c>
      <c r="J39" s="5">
        <v>18051</v>
      </c>
      <c r="K39" s="5">
        <v>228</v>
      </c>
      <c r="L39" s="6">
        <v>18898</v>
      </c>
      <c r="M39" s="5">
        <v>18279</v>
      </c>
      <c r="N39" s="5">
        <v>619</v>
      </c>
      <c r="O39" s="6">
        <f t="shared" si="3"/>
        <v>8092</v>
      </c>
      <c r="P39" s="72">
        <f t="shared" si="4"/>
        <v>0.16454512180243197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74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">
      <c r="A40" s="28">
        <v>2584</v>
      </c>
      <c r="B40" s="56" t="s">
        <v>26</v>
      </c>
      <c r="C40" s="6">
        <v>89377</v>
      </c>
      <c r="D40" s="5">
        <v>80492</v>
      </c>
      <c r="E40" s="5">
        <v>8885</v>
      </c>
      <c r="F40" s="6">
        <v>89377</v>
      </c>
      <c r="G40" s="5">
        <v>97078</v>
      </c>
      <c r="H40" s="5">
        <v>-7701</v>
      </c>
      <c r="I40" s="6">
        <v>89286</v>
      </c>
      <c r="J40" s="5">
        <v>100182</v>
      </c>
      <c r="K40" s="5">
        <v>-10896</v>
      </c>
      <c r="L40" s="6">
        <v>96825</v>
      </c>
      <c r="M40" s="5">
        <v>97770</v>
      </c>
      <c r="N40" s="5">
        <v>-945</v>
      </c>
      <c r="O40" s="6">
        <f t="shared" si="3"/>
        <v>-9712</v>
      </c>
      <c r="P40" s="72">
        <f t="shared" si="4"/>
        <v>-3.4966318995654409E-2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74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">
      <c r="A41" s="28">
        <v>2771</v>
      </c>
      <c r="B41" s="56" t="s">
        <v>26</v>
      </c>
      <c r="C41" s="6">
        <v>45965</v>
      </c>
      <c r="D41" s="5">
        <v>55986</v>
      </c>
      <c r="E41" s="5">
        <v>-10021</v>
      </c>
      <c r="F41" s="6">
        <v>25158</v>
      </c>
      <c r="G41" s="5">
        <v>91187</v>
      </c>
      <c r="H41" s="5">
        <v>-66029</v>
      </c>
      <c r="I41" s="6">
        <v>95213</v>
      </c>
      <c r="J41" s="5">
        <v>97504</v>
      </c>
      <c r="K41" s="5">
        <v>-2291</v>
      </c>
      <c r="L41" s="6">
        <v>102019</v>
      </c>
      <c r="M41" s="5">
        <v>85798</v>
      </c>
      <c r="N41" s="5">
        <v>16221</v>
      </c>
      <c r="O41" s="6">
        <f t="shared" si="3"/>
        <v>-78341</v>
      </c>
      <c r="P41" s="72">
        <f t="shared" si="4"/>
        <v>-0.32017999166251154</v>
      </c>
      <c r="Q41" s="76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74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">
      <c r="A42" s="28">
        <v>2832</v>
      </c>
      <c r="B42" s="56" t="s">
        <v>26</v>
      </c>
      <c r="C42" s="6">
        <v>4791</v>
      </c>
      <c r="D42" s="5">
        <v>1826</v>
      </c>
      <c r="E42" s="5">
        <v>2965</v>
      </c>
      <c r="F42" s="6">
        <v>4791</v>
      </c>
      <c r="G42" s="5">
        <v>2235</v>
      </c>
      <c r="H42" s="5">
        <v>2556</v>
      </c>
      <c r="I42" s="6">
        <v>0</v>
      </c>
      <c r="J42" s="5">
        <v>2544</v>
      </c>
      <c r="K42" s="5">
        <v>-2544</v>
      </c>
      <c r="L42" s="6">
        <v>4598</v>
      </c>
      <c r="M42" s="5">
        <v>2685</v>
      </c>
      <c r="N42" s="5">
        <v>1913</v>
      </c>
      <c r="O42" s="6">
        <f t="shared" si="3"/>
        <v>2977</v>
      </c>
      <c r="P42" s="72">
        <f t="shared" si="4"/>
        <v>0.45065092340296697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74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 xml:space="preserve"> 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 xml:space="preserve"> </v>
      </c>
    </row>
    <row r="43" spans="1:24" x14ac:dyDescent="0.2">
      <c r="A43" s="28">
        <v>2892</v>
      </c>
      <c r="B43" s="56" t="s">
        <v>26</v>
      </c>
      <c r="C43" s="6">
        <v>809</v>
      </c>
      <c r="D43" s="5">
        <v>1945</v>
      </c>
      <c r="E43" s="5">
        <v>-1136</v>
      </c>
      <c r="F43" s="6">
        <v>809</v>
      </c>
      <c r="G43" s="5">
        <v>1780</v>
      </c>
      <c r="H43" s="5">
        <v>-971</v>
      </c>
      <c r="I43" s="6">
        <v>810</v>
      </c>
      <c r="J43" s="5">
        <v>2003</v>
      </c>
      <c r="K43" s="5">
        <v>-1193</v>
      </c>
      <c r="L43" s="6">
        <v>1602</v>
      </c>
      <c r="M43" s="5">
        <v>2103</v>
      </c>
      <c r="N43" s="5">
        <v>-501</v>
      </c>
      <c r="O43" s="6">
        <f t="shared" si="3"/>
        <v>-3300</v>
      </c>
      <c r="P43" s="72">
        <f t="shared" si="4"/>
        <v>-0.57601675685110842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74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>X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>X</v>
      </c>
    </row>
    <row r="44" spans="1:24" x14ac:dyDescent="0.2">
      <c r="A44" s="28">
        <v>3015</v>
      </c>
      <c r="B44" s="56" t="s">
        <v>26</v>
      </c>
      <c r="C44" s="6">
        <v>7156</v>
      </c>
      <c r="D44" s="5">
        <v>9123</v>
      </c>
      <c r="E44" s="5">
        <v>-1967</v>
      </c>
      <c r="F44" s="6">
        <v>9067</v>
      </c>
      <c r="G44" s="5">
        <v>9864</v>
      </c>
      <c r="H44" s="5">
        <v>-797</v>
      </c>
      <c r="I44" s="6">
        <v>5999</v>
      </c>
      <c r="J44" s="5">
        <v>10042</v>
      </c>
      <c r="K44" s="5">
        <v>-4043</v>
      </c>
      <c r="L44" s="6">
        <v>12294</v>
      </c>
      <c r="M44" s="5">
        <v>10153</v>
      </c>
      <c r="N44" s="5">
        <v>2141</v>
      </c>
      <c r="O44" s="6">
        <f t="shared" si="3"/>
        <v>-6807</v>
      </c>
      <c r="P44" s="72">
        <f t="shared" si="4"/>
        <v>-0.23448157078883913</v>
      </c>
      <c r="Q44" s="76"/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74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">
      <c r="A45" s="28">
        <v>4303</v>
      </c>
      <c r="B45" s="56" t="s">
        <v>26</v>
      </c>
      <c r="C45" s="6">
        <v>4337</v>
      </c>
      <c r="D45" s="5">
        <v>2180</v>
      </c>
      <c r="E45" s="5">
        <v>2157</v>
      </c>
      <c r="F45" s="6">
        <v>4374</v>
      </c>
      <c r="G45" s="5">
        <v>3256</v>
      </c>
      <c r="H45" s="5">
        <v>1118</v>
      </c>
      <c r="I45" s="6">
        <v>3937</v>
      </c>
      <c r="J45" s="5">
        <v>3290</v>
      </c>
      <c r="K45" s="5">
        <v>647</v>
      </c>
      <c r="L45" s="6">
        <v>3874</v>
      </c>
      <c r="M45" s="5">
        <v>3336</v>
      </c>
      <c r="N45" s="5">
        <v>538</v>
      </c>
      <c r="O45" s="6">
        <f t="shared" si="3"/>
        <v>3922</v>
      </c>
      <c r="P45" s="72">
        <f t="shared" si="4"/>
        <v>0.44940987739200183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74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8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74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">
      <c r="A47" s="28">
        <v>4760</v>
      </c>
      <c r="B47" s="56" t="s">
        <v>26</v>
      </c>
      <c r="C47" s="6">
        <v>399684</v>
      </c>
      <c r="D47" s="5">
        <v>525065</v>
      </c>
      <c r="E47" s="5">
        <v>-125381</v>
      </c>
      <c r="F47" s="6">
        <v>400946</v>
      </c>
      <c r="G47" s="5">
        <v>508469</v>
      </c>
      <c r="H47" s="5">
        <v>-107523</v>
      </c>
      <c r="I47" s="6">
        <v>533296</v>
      </c>
      <c r="J47" s="5">
        <v>459463</v>
      </c>
      <c r="K47" s="5">
        <v>73833</v>
      </c>
      <c r="L47" s="6">
        <v>545000</v>
      </c>
      <c r="M47" s="5">
        <v>380160</v>
      </c>
      <c r="N47" s="5">
        <v>164840</v>
      </c>
      <c r="O47" s="6">
        <f t="shared" si="3"/>
        <v>-159071</v>
      </c>
      <c r="P47" s="72">
        <f t="shared" si="4"/>
        <v>-0.10654468391786191</v>
      </c>
      <c r="Q47" s="8"/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74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">
      <c r="A48" s="28">
        <v>6084</v>
      </c>
      <c r="B48" s="56" t="s">
        <v>26</v>
      </c>
      <c r="C48" s="6">
        <v>1800</v>
      </c>
      <c r="D48" s="5">
        <v>1315</v>
      </c>
      <c r="E48" s="5">
        <v>485</v>
      </c>
      <c r="F48" s="6">
        <v>1800</v>
      </c>
      <c r="G48" s="5">
        <v>1110</v>
      </c>
      <c r="H48" s="5">
        <v>690</v>
      </c>
      <c r="I48" s="6">
        <v>1800</v>
      </c>
      <c r="J48" s="5">
        <v>1191</v>
      </c>
      <c r="K48" s="5">
        <v>609</v>
      </c>
      <c r="L48" s="6">
        <v>1800</v>
      </c>
      <c r="M48" s="5">
        <v>1377</v>
      </c>
      <c r="N48" s="5">
        <v>423</v>
      </c>
      <c r="O48" s="6">
        <f t="shared" si="3"/>
        <v>1784</v>
      </c>
      <c r="P48" s="72">
        <f t="shared" si="4"/>
        <v>0.49322643074371025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74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">
      <c r="A49" s="28">
        <v>6728</v>
      </c>
      <c r="B49" s="56" t="s">
        <v>26</v>
      </c>
      <c r="C49" s="6">
        <v>11500</v>
      </c>
      <c r="D49" s="5">
        <v>10567</v>
      </c>
      <c r="E49" s="5">
        <v>933</v>
      </c>
      <c r="F49" s="6">
        <v>11500</v>
      </c>
      <c r="G49" s="5">
        <v>10698</v>
      </c>
      <c r="H49" s="5">
        <v>802</v>
      </c>
      <c r="I49" s="6">
        <v>11500</v>
      </c>
      <c r="J49" s="5">
        <v>12220</v>
      </c>
      <c r="K49" s="5">
        <v>-720</v>
      </c>
      <c r="L49" s="6">
        <v>11500</v>
      </c>
      <c r="M49" s="5">
        <v>10794</v>
      </c>
      <c r="N49" s="5">
        <v>706</v>
      </c>
      <c r="O49" s="6">
        <f t="shared" si="3"/>
        <v>1015</v>
      </c>
      <c r="P49" s="72">
        <f t="shared" si="4"/>
        <v>3.0311174819327481E-2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74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">
      <c r="A50" s="28">
        <v>12296</v>
      </c>
      <c r="B50" s="56" t="s">
        <v>26</v>
      </c>
      <c r="C50" s="6">
        <v>37223</v>
      </c>
      <c r="D50" s="5">
        <v>33621</v>
      </c>
      <c r="E50" s="5">
        <v>3602</v>
      </c>
      <c r="F50" s="6">
        <v>37223</v>
      </c>
      <c r="G50" s="5">
        <v>43364</v>
      </c>
      <c r="H50" s="5">
        <v>-6141</v>
      </c>
      <c r="I50" s="6">
        <v>46623</v>
      </c>
      <c r="J50" s="5">
        <v>45893</v>
      </c>
      <c r="K50" s="5">
        <v>730</v>
      </c>
      <c r="L50" s="6">
        <v>46823</v>
      </c>
      <c r="M50" s="5">
        <v>45822</v>
      </c>
      <c r="N50" s="5">
        <v>1001</v>
      </c>
      <c r="O50" s="6">
        <f t="shared" si="3"/>
        <v>-1809</v>
      </c>
      <c r="P50" s="72">
        <f t="shared" si="4"/>
        <v>-1.4721799493810984E-2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74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">
      <c r="A51" s="28">
        <v>15966</v>
      </c>
      <c r="B51" s="56" t="s">
        <v>26</v>
      </c>
      <c r="C51" s="6">
        <v>56468</v>
      </c>
      <c r="D51" s="5">
        <v>64102</v>
      </c>
      <c r="E51" s="5">
        <v>-7634</v>
      </c>
      <c r="F51" s="6">
        <v>58433</v>
      </c>
      <c r="G51" s="5">
        <v>64532</v>
      </c>
      <c r="H51" s="5">
        <v>-6099</v>
      </c>
      <c r="I51" s="6">
        <v>66981</v>
      </c>
      <c r="J51" s="5">
        <v>64548</v>
      </c>
      <c r="K51" s="5">
        <v>2433</v>
      </c>
      <c r="L51" s="6">
        <v>65551</v>
      </c>
      <c r="M51" s="5">
        <v>60878</v>
      </c>
      <c r="N51" s="5">
        <v>4673</v>
      </c>
      <c r="O51" s="6">
        <f t="shared" si="3"/>
        <v>-11300</v>
      </c>
      <c r="P51" s="72">
        <f t="shared" si="4"/>
        <v>-5.8493759802881205E-2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74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 xml:space="preserve"> </v>
      </c>
    </row>
    <row r="52" spans="1:24" x14ac:dyDescent="0.2">
      <c r="A52" s="28">
        <v>30069</v>
      </c>
      <c r="B52" s="56" t="s">
        <v>26</v>
      </c>
      <c r="C52" s="6">
        <v>6999</v>
      </c>
      <c r="D52" s="5">
        <v>5491</v>
      </c>
      <c r="E52" s="5">
        <v>1508</v>
      </c>
      <c r="F52" s="6">
        <v>6866</v>
      </c>
      <c r="G52" s="5">
        <v>9422</v>
      </c>
      <c r="H52" s="5">
        <v>-2556</v>
      </c>
      <c r="I52" s="6">
        <v>0</v>
      </c>
      <c r="J52" s="5">
        <v>7495</v>
      </c>
      <c r="K52" s="5">
        <v>-7495</v>
      </c>
      <c r="L52" s="6">
        <v>0</v>
      </c>
      <c r="M52" s="5">
        <v>7661</v>
      </c>
      <c r="N52" s="5">
        <v>-7661</v>
      </c>
      <c r="O52" s="6">
        <f t="shared" si="3"/>
        <v>-8543</v>
      </c>
      <c r="P52" s="72">
        <f t="shared" si="4"/>
        <v>-0.38123075550002233</v>
      </c>
      <c r="Q52" s="76"/>
      <c r="R52" s="67" t="str">
        <f>IF($C$4="High Inventory",IF(AND(O52&gt;=Summary!$C$128,P52&gt;=Summary!$C$129),"X"," "),IF(AND(O52&lt;=-Summary!$C$128,P52&lt;=-Summary!$C$129),"X"," "))</f>
        <v>X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74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74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">
      <c r="A54" s="28">
        <v>51</v>
      </c>
      <c r="B54" s="56" t="s">
        <v>27</v>
      </c>
      <c r="C54" s="6">
        <v>13053</v>
      </c>
      <c r="D54" s="5">
        <v>9367</v>
      </c>
      <c r="E54" s="5">
        <v>3686</v>
      </c>
      <c r="F54" s="6">
        <v>13053</v>
      </c>
      <c r="G54" s="5">
        <v>12385</v>
      </c>
      <c r="H54" s="5">
        <v>668</v>
      </c>
      <c r="I54" s="6">
        <v>13053</v>
      </c>
      <c r="J54" s="5">
        <v>12926</v>
      </c>
      <c r="K54" s="5">
        <v>127</v>
      </c>
      <c r="L54" s="6">
        <v>13053</v>
      </c>
      <c r="M54" s="5">
        <v>13360</v>
      </c>
      <c r="N54" s="5">
        <v>-307</v>
      </c>
      <c r="O54" s="6">
        <f t="shared" si="3"/>
        <v>4481</v>
      </c>
      <c r="P54" s="72">
        <f t="shared" si="4"/>
        <v>0.12921364514547709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74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74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">
      <c r="A56" s="28">
        <v>111</v>
      </c>
      <c r="B56" s="56" t="s">
        <v>27</v>
      </c>
      <c r="C56" s="6">
        <v>0</v>
      </c>
      <c r="D56" s="5">
        <v>74</v>
      </c>
      <c r="E56" s="5">
        <v>-74</v>
      </c>
      <c r="F56" s="6">
        <v>0</v>
      </c>
      <c r="G56" s="5">
        <v>88</v>
      </c>
      <c r="H56" s="5">
        <v>-88</v>
      </c>
      <c r="I56" s="6">
        <v>0</v>
      </c>
      <c r="J56" s="5">
        <v>88</v>
      </c>
      <c r="K56" s="5">
        <v>-88</v>
      </c>
      <c r="L56" s="6">
        <v>0</v>
      </c>
      <c r="M56" s="161">
        <v>94</v>
      </c>
      <c r="N56" s="213">
        <v>-94</v>
      </c>
      <c r="O56" s="6">
        <f t="shared" si="3"/>
        <v>-250</v>
      </c>
      <c r="P56" s="72">
        <f t="shared" si="4"/>
        <v>-0.99601593625498008</v>
      </c>
      <c r="Q56" s="6"/>
      <c r="R56" s="67" t="str">
        <f>IF(AND(O56&gt;=5000,P56&gt;=10%),"X"," ")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74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>X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>X</v>
      </c>
    </row>
    <row r="57" spans="1:24" x14ac:dyDescent="0.2">
      <c r="A57" s="28">
        <v>201</v>
      </c>
      <c r="B57" s="56" t="s">
        <v>27</v>
      </c>
      <c r="C57" s="6">
        <v>0</v>
      </c>
      <c r="D57" s="5">
        <v>15</v>
      </c>
      <c r="E57" s="5">
        <v>-15</v>
      </c>
      <c r="F57" s="6">
        <v>0</v>
      </c>
      <c r="G57" s="5">
        <v>149</v>
      </c>
      <c r="H57" s="5">
        <v>-149</v>
      </c>
      <c r="I57" s="6">
        <v>0</v>
      </c>
      <c r="J57" s="5">
        <v>153</v>
      </c>
      <c r="K57" s="5">
        <v>-153</v>
      </c>
      <c r="L57" s="6">
        <v>0</v>
      </c>
      <c r="M57" s="5">
        <v>175</v>
      </c>
      <c r="N57" s="5">
        <v>-175</v>
      </c>
      <c r="O57" s="6">
        <f t="shared" si="3"/>
        <v>-317</v>
      </c>
      <c r="P57" s="72">
        <f t="shared" si="4"/>
        <v>-0.99685534591194969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74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>X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>X</v>
      </c>
    </row>
    <row r="58" spans="1:24" x14ac:dyDescent="0.2">
      <c r="A58" s="28">
        <v>282</v>
      </c>
      <c r="B58" s="56" t="s">
        <v>27</v>
      </c>
      <c r="C58" s="6">
        <v>0</v>
      </c>
      <c r="D58" s="5">
        <v>233</v>
      </c>
      <c r="E58" s="5">
        <v>-233</v>
      </c>
      <c r="F58" s="6">
        <v>0</v>
      </c>
      <c r="G58" s="5">
        <v>236</v>
      </c>
      <c r="H58" s="5">
        <v>-236</v>
      </c>
      <c r="I58" s="6">
        <v>0</v>
      </c>
      <c r="J58" s="5">
        <v>248</v>
      </c>
      <c r="K58" s="5">
        <v>-248</v>
      </c>
      <c r="L58" s="6">
        <v>0</v>
      </c>
      <c r="M58" s="5">
        <v>249</v>
      </c>
      <c r="N58" s="5">
        <v>-249</v>
      </c>
      <c r="O58" s="6">
        <f t="shared" si="3"/>
        <v>-717</v>
      </c>
      <c r="P58" s="72">
        <f t="shared" si="4"/>
        <v>-0.99860724233983289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74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">
      <c r="A59" s="28">
        <v>363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74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">
      <c r="A60" s="28">
        <v>476</v>
      </c>
      <c r="B60" s="56" t="s">
        <v>27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3"/>
        <v>0</v>
      </c>
      <c r="P60" s="72">
        <f t="shared" si="4"/>
        <v>0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74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">
      <c r="A61" s="28">
        <v>512</v>
      </c>
      <c r="B61" s="56" t="s">
        <v>27</v>
      </c>
      <c r="C61" s="6">
        <v>2030</v>
      </c>
      <c r="D61" s="5">
        <v>2579</v>
      </c>
      <c r="E61" s="5">
        <v>-549</v>
      </c>
      <c r="F61" s="6">
        <v>2030</v>
      </c>
      <c r="G61" s="5">
        <v>2944</v>
      </c>
      <c r="H61" s="5">
        <v>-914</v>
      </c>
      <c r="I61" s="6">
        <v>4115</v>
      </c>
      <c r="J61" s="5">
        <v>1968</v>
      </c>
      <c r="K61" s="5">
        <v>2147</v>
      </c>
      <c r="L61" s="6">
        <v>3030</v>
      </c>
      <c r="M61" s="5">
        <v>1287</v>
      </c>
      <c r="N61" s="5">
        <v>1743</v>
      </c>
      <c r="O61" s="6">
        <f t="shared" si="3"/>
        <v>684</v>
      </c>
      <c r="P61" s="72">
        <f t="shared" si="4"/>
        <v>9.129738387613455E-2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74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">
      <c r="A62" s="28">
        <v>627</v>
      </c>
      <c r="B62" s="56" t="s">
        <v>27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21</v>
      </c>
      <c r="K62" s="5">
        <v>-21</v>
      </c>
      <c r="L62" s="6">
        <v>0</v>
      </c>
      <c r="M62" s="5">
        <v>35</v>
      </c>
      <c r="N62" s="5">
        <v>-35</v>
      </c>
      <c r="O62" s="6">
        <f t="shared" si="3"/>
        <v>-21</v>
      </c>
      <c r="P62" s="72">
        <f t="shared" si="4"/>
        <v>-0.95454545454545459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74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">
      <c r="A63" s="28">
        <v>757</v>
      </c>
      <c r="B63" s="56" t="s">
        <v>27</v>
      </c>
      <c r="C63" s="6">
        <v>0</v>
      </c>
      <c r="D63" s="5">
        <v>448</v>
      </c>
      <c r="E63" s="5">
        <v>-448</v>
      </c>
      <c r="F63" s="6">
        <v>0</v>
      </c>
      <c r="G63" s="5">
        <v>448</v>
      </c>
      <c r="H63" s="5">
        <v>-448</v>
      </c>
      <c r="I63" s="6">
        <v>0</v>
      </c>
      <c r="J63" s="5">
        <v>365</v>
      </c>
      <c r="K63" s="5">
        <v>-365</v>
      </c>
      <c r="L63" s="6">
        <v>370</v>
      </c>
      <c r="M63" s="5">
        <v>272</v>
      </c>
      <c r="N63" s="5">
        <v>98</v>
      </c>
      <c r="O63" s="6">
        <f t="shared" si="3"/>
        <v>-1261</v>
      </c>
      <c r="P63" s="72">
        <f t="shared" si="4"/>
        <v>-0.99920760697305866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74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>X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>X</v>
      </c>
    </row>
    <row r="64" spans="1:24" x14ac:dyDescent="0.2">
      <c r="A64" s="166">
        <v>777</v>
      </c>
      <c r="B64" s="199" t="s">
        <v>27</v>
      </c>
      <c r="C64" s="167">
        <v>0</v>
      </c>
      <c r="D64" s="168">
        <v>71</v>
      </c>
      <c r="E64" s="168">
        <v>-71</v>
      </c>
      <c r="F64" s="167">
        <v>0</v>
      </c>
      <c r="G64" s="168">
        <v>919</v>
      </c>
      <c r="H64" s="168">
        <v>-919</v>
      </c>
      <c r="I64" s="167">
        <v>0</v>
      </c>
      <c r="J64" s="168">
        <v>1086</v>
      </c>
      <c r="K64" s="168">
        <v>-1086</v>
      </c>
      <c r="L64" s="167">
        <v>860</v>
      </c>
      <c r="M64" s="168">
        <v>1017</v>
      </c>
      <c r="N64" s="168">
        <v>-157</v>
      </c>
      <c r="O64" s="6">
        <f t="shared" si="3"/>
        <v>-2076</v>
      </c>
      <c r="P64" s="72">
        <f t="shared" si="4"/>
        <v>-0.99951853635050558</v>
      </c>
      <c r="Q64" s="167"/>
      <c r="R64" s="168"/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74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>X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>X</v>
      </c>
    </row>
    <row r="65" spans="1:24" x14ac:dyDescent="0.2">
      <c r="A65" s="28">
        <v>779</v>
      </c>
      <c r="B65" s="56" t="s">
        <v>27</v>
      </c>
      <c r="C65" s="6">
        <v>1100</v>
      </c>
      <c r="D65" s="5">
        <v>244</v>
      </c>
      <c r="E65" s="5">
        <v>856</v>
      </c>
      <c r="F65" s="6">
        <v>1100</v>
      </c>
      <c r="G65" s="5">
        <v>626</v>
      </c>
      <c r="H65" s="5">
        <v>474</v>
      </c>
      <c r="I65" s="6">
        <v>1100</v>
      </c>
      <c r="J65" s="5">
        <v>1127</v>
      </c>
      <c r="K65" s="5">
        <v>-27</v>
      </c>
      <c r="L65" s="6">
        <v>1100</v>
      </c>
      <c r="M65" s="5">
        <v>1323</v>
      </c>
      <c r="N65" s="5">
        <v>-223</v>
      </c>
      <c r="O65" s="6">
        <f t="shared" ref="O65:O85" si="6">K65+H65+E65</f>
        <v>1303</v>
      </c>
      <c r="P65" s="72">
        <f t="shared" si="4"/>
        <v>0.65215215215215216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74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">
      <c r="A66" s="28">
        <v>809</v>
      </c>
      <c r="B66" s="56" t="s">
        <v>27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72">
        <f t="shared" ref="P66:P85" si="7">O66/(J66+G66+D66+1)</f>
        <v>0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74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">
      <c r="A67" s="28">
        <v>810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74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">
      <c r="A68" s="28">
        <v>915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74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">
      <c r="A69" s="28">
        <v>928</v>
      </c>
      <c r="B69" s="56" t="s">
        <v>27</v>
      </c>
      <c r="C69" s="6">
        <v>190</v>
      </c>
      <c r="D69" s="5">
        <v>177</v>
      </c>
      <c r="E69" s="5">
        <v>13</v>
      </c>
      <c r="F69" s="6">
        <v>190</v>
      </c>
      <c r="G69" s="5">
        <v>177</v>
      </c>
      <c r="H69" s="5">
        <v>13</v>
      </c>
      <c r="I69" s="6">
        <v>190</v>
      </c>
      <c r="J69" s="5">
        <v>173</v>
      </c>
      <c r="K69" s="5">
        <v>17</v>
      </c>
      <c r="L69" s="6">
        <v>190</v>
      </c>
      <c r="M69" s="5">
        <v>175</v>
      </c>
      <c r="N69" s="5">
        <v>15</v>
      </c>
      <c r="O69" s="6">
        <f t="shared" si="6"/>
        <v>43</v>
      </c>
      <c r="P69" s="72">
        <f t="shared" si="7"/>
        <v>8.1439393939393936E-2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74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">
      <c r="A70" s="28">
        <v>997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74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">
      <c r="A71" s="28">
        <v>5379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74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">
      <c r="A72" s="28">
        <v>6905</v>
      </c>
      <c r="B72" s="56" t="s">
        <v>27</v>
      </c>
      <c r="C72" s="6">
        <v>0</v>
      </c>
      <c r="D72" s="5">
        <v>46</v>
      </c>
      <c r="E72" s="5">
        <v>-46</v>
      </c>
      <c r="F72" s="6">
        <v>0</v>
      </c>
      <c r="G72" s="5">
        <v>47</v>
      </c>
      <c r="H72" s="5">
        <v>-47</v>
      </c>
      <c r="I72" s="6">
        <v>0</v>
      </c>
      <c r="J72" s="5">
        <v>66</v>
      </c>
      <c r="K72" s="5">
        <v>-66</v>
      </c>
      <c r="L72" s="6">
        <v>0</v>
      </c>
      <c r="M72" s="5">
        <v>73</v>
      </c>
      <c r="N72" s="5">
        <v>-73</v>
      </c>
      <c r="O72" s="6">
        <f t="shared" si="6"/>
        <v>-159</v>
      </c>
      <c r="P72" s="72">
        <f t="shared" si="7"/>
        <v>-0.99375000000000002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74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>X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>X</v>
      </c>
    </row>
    <row r="73" spans="1:24" x14ac:dyDescent="0.2">
      <c r="A73" s="28">
        <v>7602</v>
      </c>
      <c r="B73" s="56" t="s">
        <v>27</v>
      </c>
      <c r="C73" s="6">
        <v>38825</v>
      </c>
      <c r="D73" s="5">
        <v>44139</v>
      </c>
      <c r="E73" s="5">
        <v>-5314</v>
      </c>
      <c r="F73" s="6">
        <v>38825</v>
      </c>
      <c r="G73" s="5">
        <v>45570</v>
      </c>
      <c r="H73" s="5">
        <v>-6745</v>
      </c>
      <c r="I73" s="6">
        <v>44379</v>
      </c>
      <c r="J73" s="5">
        <v>43594</v>
      </c>
      <c r="K73" s="5">
        <v>785</v>
      </c>
      <c r="L73" s="6">
        <v>50384</v>
      </c>
      <c r="M73" s="5">
        <v>47565</v>
      </c>
      <c r="N73" s="5">
        <v>2819</v>
      </c>
      <c r="O73" s="6">
        <f t="shared" si="6"/>
        <v>-11274</v>
      </c>
      <c r="P73" s="72">
        <f t="shared" si="7"/>
        <v>-8.4573606193362544E-2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74" t="str">
        <f>IF($C$4="High Inventory",IF(AND($O73&gt;=Summary!$C$128,$P73&gt;=0%),"X"," "),IF(AND($O73&lt;=-Summary!$C$128,$P73&lt;=0%),"X"," "))</f>
        <v>X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>X</v>
      </c>
      <c r="X73" t="str">
        <f>IF($C$4="High Inventory",IF(P73&gt;Summary!$C$129,"X"," "),IF(P73&lt;-Summary!$C$129,"X"," "))</f>
        <v xml:space="preserve"> </v>
      </c>
    </row>
    <row r="74" spans="1:24" x14ac:dyDescent="0.2">
      <c r="A74" s="28">
        <v>7604</v>
      </c>
      <c r="B74" s="56" t="s">
        <v>27</v>
      </c>
      <c r="C74" s="6">
        <v>63751</v>
      </c>
      <c r="D74" s="5">
        <v>74051</v>
      </c>
      <c r="E74" s="5">
        <v>-10300</v>
      </c>
      <c r="F74" s="6">
        <v>62687</v>
      </c>
      <c r="G74" s="5">
        <v>71908</v>
      </c>
      <c r="H74" s="5">
        <v>-9221</v>
      </c>
      <c r="I74" s="6">
        <v>71123</v>
      </c>
      <c r="J74" s="5">
        <v>73032</v>
      </c>
      <c r="K74" s="5">
        <v>-1909</v>
      </c>
      <c r="L74" s="6">
        <v>73801</v>
      </c>
      <c r="M74" s="5">
        <v>78543</v>
      </c>
      <c r="N74" s="5">
        <v>-4742</v>
      </c>
      <c r="O74" s="6">
        <f t="shared" si="6"/>
        <v>-21430</v>
      </c>
      <c r="P74" s="72">
        <f t="shared" si="7"/>
        <v>-9.7857455980127128E-2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74" t="str">
        <f>IF($C$4="High Inventory",IF(AND($O74&gt;=Summary!$C$128,$P74&gt;=0%),"X"," "),IF(AND($O74&lt;=-Summary!$C$128,$P74&lt;=0%),"X"," "))</f>
        <v>X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>X</v>
      </c>
      <c r="X74" t="str">
        <f>IF($C$4="High Inventory",IF(P74&gt;Summary!$C$129,"X"," "),IF(P74&lt;-Summary!$C$129,"X"," "))</f>
        <v xml:space="preserve"> </v>
      </c>
    </row>
    <row r="75" spans="1:24" x14ac:dyDescent="0.2">
      <c r="A75" s="28">
        <v>7610</v>
      </c>
      <c r="B75" s="56" t="s">
        <v>27</v>
      </c>
      <c r="C75" s="6">
        <v>230</v>
      </c>
      <c r="D75" s="5">
        <v>263</v>
      </c>
      <c r="E75" s="5">
        <v>-33</v>
      </c>
      <c r="F75" s="6">
        <v>230</v>
      </c>
      <c r="G75" s="5">
        <v>257</v>
      </c>
      <c r="H75" s="5">
        <v>-27</v>
      </c>
      <c r="I75" s="6">
        <v>230</v>
      </c>
      <c r="J75" s="5">
        <v>259</v>
      </c>
      <c r="K75" s="5">
        <v>-29</v>
      </c>
      <c r="L75" s="6">
        <v>230</v>
      </c>
      <c r="M75" s="5">
        <v>247</v>
      </c>
      <c r="N75" s="5">
        <v>-17</v>
      </c>
      <c r="O75" s="6">
        <f t="shared" si="6"/>
        <v>-89</v>
      </c>
      <c r="P75" s="72">
        <f t="shared" si="7"/>
        <v>-0.1141025641025641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74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>X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>X</v>
      </c>
    </row>
    <row r="76" spans="1:24" x14ac:dyDescent="0.2">
      <c r="A76" s="28">
        <v>8576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74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">
      <c r="A77" s="28">
        <v>8577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74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">
      <c r="A78" s="28">
        <v>8578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74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">
      <c r="A79" s="28">
        <v>8579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74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">
      <c r="A80" s="28">
        <v>8580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72">
        <f t="shared" si="7"/>
        <v>0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74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">
      <c r="A81" s="28">
        <v>13636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74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">
      <c r="A82" s="28">
        <v>16547</v>
      </c>
      <c r="B82" s="56" t="s">
        <v>27</v>
      </c>
      <c r="C82" s="6">
        <v>0</v>
      </c>
      <c r="D82" s="5">
        <v>0</v>
      </c>
      <c r="E82" s="5">
        <v>0</v>
      </c>
      <c r="F82" s="6">
        <v>0</v>
      </c>
      <c r="G82" s="5">
        <v>238</v>
      </c>
      <c r="H82" s="5">
        <v>-238</v>
      </c>
      <c r="I82" s="6">
        <v>0</v>
      </c>
      <c r="J82" s="5">
        <v>0</v>
      </c>
      <c r="K82" s="5">
        <v>0</v>
      </c>
      <c r="L82" s="6">
        <v>0</v>
      </c>
      <c r="M82" s="5">
        <v>62</v>
      </c>
      <c r="N82" s="5">
        <v>-62</v>
      </c>
      <c r="O82" s="6">
        <f t="shared" si="6"/>
        <v>-238</v>
      </c>
      <c r="P82" s="72">
        <f t="shared" si="7"/>
        <v>-0.99581589958159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74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>X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>X</v>
      </c>
    </row>
    <row r="83" spans="1:42" x14ac:dyDescent="0.2">
      <c r="A83" s="28">
        <v>18287</v>
      </c>
      <c r="B83" s="56" t="s">
        <v>27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1</v>
      </c>
      <c r="K83" s="5">
        <v>-1</v>
      </c>
      <c r="L83" s="6">
        <v>0</v>
      </c>
      <c r="M83" s="5">
        <v>0</v>
      </c>
      <c r="N83" s="5">
        <v>0</v>
      </c>
      <c r="O83" s="6">
        <f t="shared" si="6"/>
        <v>-1</v>
      </c>
      <c r="P83" s="72">
        <f t="shared" si="7"/>
        <v>-0.5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74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>X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>X</v>
      </c>
    </row>
    <row r="84" spans="1:42" x14ac:dyDescent="0.2">
      <c r="A84" s="28">
        <v>20566</v>
      </c>
      <c r="B84" s="56" t="s">
        <v>27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74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5" thickBot="1" x14ac:dyDescent="0.25">
      <c r="A85" s="28">
        <v>30049</v>
      </c>
      <c r="B85" s="56" t="s">
        <v>27</v>
      </c>
      <c r="C85" s="6">
        <v>0</v>
      </c>
      <c r="D85" s="5">
        <v>0</v>
      </c>
      <c r="E85" s="5">
        <v>0</v>
      </c>
      <c r="F85" s="169">
        <v>0</v>
      </c>
      <c r="G85" s="170">
        <v>6</v>
      </c>
      <c r="H85" s="170">
        <v>-6</v>
      </c>
      <c r="I85" s="169">
        <v>0</v>
      </c>
      <c r="J85" s="170">
        <v>6</v>
      </c>
      <c r="K85" s="170">
        <v>-6</v>
      </c>
      <c r="L85" s="169">
        <v>5</v>
      </c>
      <c r="M85" s="170">
        <v>7</v>
      </c>
      <c r="N85" s="170">
        <v>-2</v>
      </c>
      <c r="O85" s="169">
        <f t="shared" si="6"/>
        <v>-12</v>
      </c>
      <c r="P85" s="171">
        <f t="shared" si="7"/>
        <v>-0.92307692307692313</v>
      </c>
      <c r="Q85" s="162"/>
      <c r="R85" s="68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173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>X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>X</v>
      </c>
    </row>
    <row r="86" spans="1:42" s="163" customFormat="1" x14ac:dyDescent="0.2">
      <c r="A86" s="28">
        <v>30149</v>
      </c>
      <c r="B86" s="160" t="s">
        <v>27</v>
      </c>
      <c r="C86" s="6">
        <v>0</v>
      </c>
      <c r="D86" s="5">
        <v>0</v>
      </c>
      <c r="E86" s="159">
        <v>0</v>
      </c>
      <c r="F86" s="6">
        <v>0</v>
      </c>
      <c r="G86" s="5">
        <v>0</v>
      </c>
      <c r="H86" s="70">
        <v>0</v>
      </c>
      <c r="I86" s="6">
        <v>0</v>
      </c>
      <c r="J86" s="5">
        <v>0</v>
      </c>
      <c r="K86" s="159">
        <v>0</v>
      </c>
      <c r="L86" s="172">
        <v>0</v>
      </c>
      <c r="M86" s="5">
        <v>0</v>
      </c>
      <c r="N86" s="70">
        <v>0</v>
      </c>
      <c r="O86" s="169">
        <f>K86+H86+E86</f>
        <v>0</v>
      </c>
      <c r="P86" s="88">
        <f>O86/(J86+G86+D86+1)</f>
        <v>0</v>
      </c>
      <c r="Q86" s="80"/>
      <c r="R86" s="67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164">
        <f>COUNTIF(T10:T85,"X")</f>
        <v>13</v>
      </c>
      <c r="U86" s="164">
        <f>COUNTIF(U10:U85,"X")</f>
        <v>23</v>
      </c>
      <c r="V86" s="163" t="e">
        <f>SUM(V$53:V$79)+SUM(V$28:V$49)+SUM(V$10:V$26)</f>
        <v>#VALUE!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</row>
    <row r="87" spans="1:42" x14ac:dyDescent="0.2">
      <c r="A87" s="28">
        <v>30511</v>
      </c>
      <c r="B87" s="160" t="s">
        <v>27</v>
      </c>
      <c r="C87" s="6">
        <v>500</v>
      </c>
      <c r="D87" s="5">
        <v>47</v>
      </c>
      <c r="E87" s="159">
        <v>453</v>
      </c>
      <c r="F87" s="6">
        <v>500</v>
      </c>
      <c r="G87" s="5">
        <v>47</v>
      </c>
      <c r="H87" s="70">
        <v>453</v>
      </c>
      <c r="I87" s="6">
        <v>500</v>
      </c>
      <c r="J87" s="5">
        <v>47</v>
      </c>
      <c r="K87" s="159">
        <v>453</v>
      </c>
      <c r="L87" s="172">
        <v>500</v>
      </c>
      <c r="M87" s="5">
        <v>47</v>
      </c>
      <c r="N87" s="70">
        <v>453</v>
      </c>
      <c r="O87" s="6">
        <f>K87+H87+E87</f>
        <v>1359</v>
      </c>
      <c r="P87" s="88">
        <f>O87/(J87+G87+D87+1)</f>
        <v>9.570422535211268</v>
      </c>
      <c r="Q87" s="80"/>
      <c r="R87" s="67" t="str">
        <f>IF($C$4="High Inventory",IF(AND(O87&gt;=Summary!$C$128,P87&gt;=Summary!$C$129),"X"," "),IF(AND(O87&lt;=-Summary!$C$128,P87&lt;=-Summary!$C$129),"X"," "))</f>
        <v xml:space="preserve"> </v>
      </c>
      <c r="S87" s="85" t="str">
        <f>IF($C$4="High Inventory",IF(AND(L87-I87&gt;=Summary!$C$132,N87-K87&gt;Summary!$C$132,N87&gt;0),"X"," "),IF(AND(I87-L87&gt;=Summary!$C$132,K87-N87&gt;Summary!$C$132,N87&lt;0),"X"," "))</f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x14ac:dyDescent="0.2">
      <c r="A88" s="16" t="s">
        <v>28</v>
      </c>
      <c r="B88" s="16"/>
      <c r="C88" s="211"/>
      <c r="D88" s="211"/>
      <c r="E88" s="211">
        <f>SUM(E10:E87)</f>
        <v>41481</v>
      </c>
      <c r="F88" s="211"/>
      <c r="G88" s="211"/>
      <c r="H88" s="211">
        <f>SUM(H10:H87)</f>
        <v>-210009</v>
      </c>
      <c r="I88" s="211"/>
      <c r="J88" s="211"/>
      <c r="K88" s="211">
        <f>SUM(K11:K87)</f>
        <v>-30327</v>
      </c>
      <c r="L88" s="211"/>
      <c r="M88" s="211">
        <f>SUM(M10:M87)</f>
        <v>2564097</v>
      </c>
      <c r="N88" s="211">
        <f>SUM(N11:N87)</f>
        <v>470495</v>
      </c>
      <c r="O88" s="211"/>
      <c r="P88" s="212"/>
      <c r="Q88" s="16">
        <f>COUNTIF(Q10:Q85,"X")</f>
        <v>0</v>
      </c>
      <c r="R88" s="16">
        <f>COUNTIF(R10:R85,"X")</f>
        <v>6</v>
      </c>
      <c r="S88" s="2">
        <f>COUNTIF(S10:S85,"X")</f>
        <v>0</v>
      </c>
    </row>
    <row r="89" spans="1:42" x14ac:dyDescent="0.2">
      <c r="A89" s="16"/>
      <c r="B89" s="16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89" t="s">
        <v>56</v>
      </c>
      <c r="N89" s="90">
        <f>N88/M88</f>
        <v>0.18349344818078256</v>
      </c>
      <c r="O89" s="211"/>
      <c r="P89" s="211"/>
      <c r="Q89" s="211"/>
      <c r="R89" s="211"/>
    </row>
    <row r="90" spans="1:42" x14ac:dyDescent="0.2">
      <c r="A90" s="16"/>
      <c r="B90" s="16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</row>
    <row r="91" spans="1:42" x14ac:dyDescent="0.2">
      <c r="A91" s="16"/>
      <c r="B91" s="16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96</vt:i4>
      </vt:variant>
    </vt:vector>
  </HeadingPairs>
  <TitlesOfParts>
    <vt:vector size="111" baseType="lpstr">
      <vt:lpstr>Summary</vt:lpstr>
      <vt:lpstr>July 5</vt:lpstr>
      <vt:lpstr>July 6</vt:lpstr>
      <vt:lpstr>July 8</vt:lpstr>
      <vt:lpstr>July 7</vt:lpstr>
      <vt:lpstr>July 21</vt:lpstr>
      <vt:lpstr>July 25</vt:lpstr>
      <vt:lpstr>August 29</vt:lpstr>
      <vt:lpstr>August 30</vt:lpstr>
      <vt:lpstr>Sept 10</vt:lpstr>
      <vt:lpstr>Sept 22</vt:lpstr>
      <vt:lpstr>Sept 23</vt:lpstr>
      <vt:lpstr>Sept 29</vt:lpstr>
      <vt:lpstr>Sheet1</vt:lpstr>
      <vt:lpstr>Template</vt:lpstr>
      <vt:lpstr>'August 29'!ctar0412</vt:lpstr>
      <vt:lpstr>'August 30'!ctar0412</vt:lpstr>
      <vt:lpstr>'July 21'!ctar0412</vt:lpstr>
      <vt:lpstr>'July 25'!ctar0412</vt:lpstr>
      <vt:lpstr>'July 7'!ctar0412</vt:lpstr>
      <vt:lpstr>'July 8'!ctar0412</vt:lpstr>
      <vt:lpstr>'Sept 10'!ctar0412</vt:lpstr>
      <vt:lpstr>'Sept 22'!ctar0412</vt:lpstr>
      <vt:lpstr>'Sept 23'!ctar0412</vt:lpstr>
      <vt:lpstr>'Sept 29'!ctar0412</vt:lpstr>
      <vt:lpstr>Template!ctar0412</vt:lpstr>
      <vt:lpstr>ctar0705</vt:lpstr>
      <vt:lpstr>ctar0706</vt:lpstr>
      <vt:lpstr>ctar0707</vt:lpstr>
      <vt:lpstr>ctar0708</vt:lpstr>
      <vt:lpstr>ctar0721</vt:lpstr>
      <vt:lpstr>ctar0725</vt:lpstr>
      <vt:lpstr>ctar0829</vt:lpstr>
      <vt:lpstr>ctar0830</vt:lpstr>
      <vt:lpstr>ctar0910</vt:lpstr>
      <vt:lpstr>ctar0922</vt:lpstr>
      <vt:lpstr>ctar0923</vt:lpstr>
      <vt:lpstr>ctar0929</vt:lpstr>
      <vt:lpstr>'August 29'!nbaa0412</vt:lpstr>
      <vt:lpstr>'August 30'!nbaa0412</vt:lpstr>
      <vt:lpstr>'July 21'!nbaa0412</vt:lpstr>
      <vt:lpstr>'July 7'!nbaa0412</vt:lpstr>
      <vt:lpstr>'July 8'!nbaa0412</vt:lpstr>
      <vt:lpstr>'Sept 10'!nbaa0412</vt:lpstr>
      <vt:lpstr>'Sept 22'!nbaa0412</vt:lpstr>
      <vt:lpstr>'Sept 23'!nbaa0412</vt:lpstr>
      <vt:lpstr>'Sept 29'!nbaa0412</vt:lpstr>
      <vt:lpstr>Template!nbaa0412</vt:lpstr>
      <vt:lpstr>nbaa0705</vt:lpstr>
      <vt:lpstr>nbaa0706</vt:lpstr>
      <vt:lpstr>nbaa0707</vt:lpstr>
      <vt:lpstr>nbaa0708</vt:lpstr>
      <vt:lpstr>nbaa0721</vt:lpstr>
      <vt:lpstr>nbaa0725</vt:lpstr>
      <vt:lpstr>nbaa0829</vt:lpstr>
      <vt:lpstr>nbaa0830</vt:lpstr>
      <vt:lpstr>nbaa0910</vt:lpstr>
      <vt:lpstr>nbaa0922</vt:lpstr>
      <vt:lpstr>nbaa0923</vt:lpstr>
      <vt:lpstr>nbaa0929</vt:lpstr>
      <vt:lpstr>nbaa0930</vt:lpstr>
      <vt:lpstr>'August 29'!ngsa0412</vt:lpstr>
      <vt:lpstr>'August 30'!ngsa0412</vt:lpstr>
      <vt:lpstr>'July 21'!ngsa0412</vt:lpstr>
      <vt:lpstr>'July 7'!ngsa0412</vt:lpstr>
      <vt:lpstr>'July 8'!ngsa0412</vt:lpstr>
      <vt:lpstr>'Sept 10'!ngsa0412</vt:lpstr>
      <vt:lpstr>'Sept 22'!ngsa0412</vt:lpstr>
      <vt:lpstr>'Sept 23'!ngsa0412</vt:lpstr>
      <vt:lpstr>'Sept 29'!ngsa0412</vt:lpstr>
      <vt:lpstr>Template!ngsa0412</vt:lpstr>
      <vt:lpstr>ngsa0705</vt:lpstr>
      <vt:lpstr>ngsa0706</vt:lpstr>
      <vt:lpstr>ngsa0707</vt:lpstr>
      <vt:lpstr>ngsa0708</vt:lpstr>
      <vt:lpstr>ngsa0721</vt:lpstr>
      <vt:lpstr>ngsa0725</vt:lpstr>
      <vt:lpstr>ngsa0829</vt:lpstr>
      <vt:lpstr>ngsa0830</vt:lpstr>
      <vt:lpstr>ngsa0910</vt:lpstr>
      <vt:lpstr>ngsa0922</vt:lpstr>
      <vt:lpstr>ngsa0923</vt:lpstr>
      <vt:lpstr>ngsa0929</vt:lpstr>
      <vt:lpstr>'August 29'!Print_Area</vt:lpstr>
      <vt:lpstr>'August 30'!Print_Area</vt:lpstr>
      <vt:lpstr>'July 21'!Print_Area</vt:lpstr>
      <vt:lpstr>'July 25'!Print_Area</vt:lpstr>
      <vt:lpstr>'July 5'!Print_Area</vt:lpstr>
      <vt:lpstr>'July 6'!Print_Area</vt:lpstr>
      <vt:lpstr>'July 7'!Print_Area</vt:lpstr>
      <vt:lpstr>'July 8'!Print_Area</vt:lpstr>
      <vt:lpstr>'Sept 10'!Print_Area</vt:lpstr>
      <vt:lpstr>'Sept 22'!Print_Area</vt:lpstr>
      <vt:lpstr>'Sept 23'!Print_Area</vt:lpstr>
      <vt:lpstr>'Sept 29'!Print_Area</vt:lpstr>
      <vt:lpstr>Summary!Print_Area</vt:lpstr>
      <vt:lpstr>Template!Print_Area</vt:lpstr>
      <vt:lpstr>'August 29'!Print_Titles</vt:lpstr>
      <vt:lpstr>'August 30'!Print_Titles</vt:lpstr>
      <vt:lpstr>'July 21'!Print_Titles</vt:lpstr>
      <vt:lpstr>'July 25'!Print_Titles</vt:lpstr>
      <vt:lpstr>'July 5'!Print_Titles</vt:lpstr>
      <vt:lpstr>'July 6'!Print_Titles</vt:lpstr>
      <vt:lpstr>'July 7'!Print_Titles</vt:lpstr>
      <vt:lpstr>'July 8'!Print_Titles</vt:lpstr>
      <vt:lpstr>'Sept 10'!Print_Titles</vt:lpstr>
      <vt:lpstr>'Sept 22'!Print_Titles</vt:lpstr>
      <vt:lpstr>'Sept 23'!Print_Titles</vt:lpstr>
      <vt:lpstr>'Sept 29'!Print_Titles</vt:lpstr>
      <vt:lpstr>Summary!Print_Titles</vt:lpstr>
      <vt:lpstr>Template!Print_Titles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2000-10-26T22:29:27Z</cp:lastPrinted>
  <dcterms:created xsi:type="dcterms:W3CDTF">2000-07-03T21:04:42Z</dcterms:created>
  <dcterms:modified xsi:type="dcterms:W3CDTF">2014-09-04T18:07:32Z</dcterms:modified>
</cp:coreProperties>
</file>