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210" yWindow="0" windowWidth="15180" windowHeight="6165" firstSheet="2" activeTab="7"/>
  </bookViews>
  <sheets>
    <sheet name="facts" sheetId="1" r:id="rId1"/>
    <sheet name="facts premium" sheetId="6" r:id="rId2"/>
    <sheet name="tax rev" sheetId="7" r:id="rId3"/>
    <sheet name="cashflow 4.88" sheetId="13" r:id="rId4"/>
    <sheet name="cashflow 5.63" sheetId="15" r:id="rId5"/>
    <sheet name="attendance" sheetId="2" r:id="rId6"/>
    <sheet name="elasticity" sheetId="3" r:id="rId7"/>
    <sheet name="Chart3" sheetId="12" r:id="rId8"/>
    <sheet name="chart data" sheetId="10" r:id="rId9"/>
  </sheets>
  <definedNames>
    <definedName name="DiscRate" localSheetId="1">'facts premium'!$C$15</definedName>
    <definedName name="DiscRate">facts!$C$15</definedName>
    <definedName name="discrate2" localSheetId="1">'facts premium'!$D$15</definedName>
    <definedName name="discrate2">facts!$D$15</definedName>
    <definedName name="DiscRate3" localSheetId="1">'facts premium'!$E$15</definedName>
    <definedName name="DiscRate3">facts!$E$15</definedName>
    <definedName name="DiscRate4" localSheetId="1">'facts premium'!$F$15</definedName>
    <definedName name="DiscRate4">facts!$F$15</definedName>
    <definedName name="DiscRate5" localSheetId="1">'facts premium'!$G$15</definedName>
    <definedName name="DiscRate5">facts!$G$15</definedName>
    <definedName name="DiscRate6" localSheetId="1">'facts premium'!$H$15</definedName>
    <definedName name="DiscRate6">facts!$H$15</definedName>
    <definedName name="inflation">elasticity!$B$1</definedName>
    <definedName name="_xlnm.Print_Area" localSheetId="5">attendance!$B$3:$K$24</definedName>
    <definedName name="_xlnm.Print_Area" localSheetId="3">'cashflow 4.88'!$A$1:$K$70</definedName>
    <definedName name="_xlnm.Print_Area" localSheetId="4">'cashflow 5.63'!$A$1:$K$70</definedName>
    <definedName name="tixdr0">attendance!$F$24</definedName>
    <definedName name="tixdr2">attendance!$G$24</definedName>
    <definedName name="tixdr3">attendance!$H$24</definedName>
    <definedName name="tixdr4">attendance!$I$24</definedName>
    <definedName name="tixdr5">attendance!$J$24</definedName>
    <definedName name="tixdr6">attendance!$K$24</definedName>
  </definedNames>
  <calcPr calcId="152511"/>
</workbook>
</file>

<file path=xl/calcChain.xml><?xml version="1.0" encoding="utf-8"?>
<calcChain xmlns="http://schemas.openxmlformats.org/spreadsheetml/2006/main">
  <c r="F2" i="2" l="1"/>
  <c r="E4" i="2"/>
  <c r="J4" i="2"/>
  <c r="E5" i="2"/>
  <c r="F5" i="2"/>
  <c r="G5" i="2"/>
  <c r="E6" i="2"/>
  <c r="G6" i="2" s="1"/>
  <c r="K6" i="2"/>
  <c r="E7" i="2"/>
  <c r="F7" i="2"/>
  <c r="H7" i="2"/>
  <c r="I7" i="2"/>
  <c r="E8" i="2"/>
  <c r="E9" i="2"/>
  <c r="F9" i="2"/>
  <c r="H9" i="2"/>
  <c r="E10" i="2"/>
  <c r="F10" i="2" s="1"/>
  <c r="E11" i="2"/>
  <c r="E12" i="2"/>
  <c r="F12" i="2"/>
  <c r="E13" i="2"/>
  <c r="F13" i="2"/>
  <c r="G13" i="2"/>
  <c r="E14" i="2"/>
  <c r="E15" i="2"/>
  <c r="F15" i="2"/>
  <c r="E16" i="2"/>
  <c r="F16" i="2"/>
  <c r="E17" i="2"/>
  <c r="F17" i="2"/>
  <c r="K17" i="2"/>
  <c r="E18" i="2"/>
  <c r="F18" i="2" s="1"/>
  <c r="E19" i="2"/>
  <c r="E20" i="2"/>
  <c r="F20" i="2"/>
  <c r="E21" i="2"/>
  <c r="F21" i="2"/>
  <c r="G21" i="2"/>
  <c r="E22" i="2"/>
  <c r="E23" i="2"/>
  <c r="F27" i="2"/>
  <c r="N27" i="2"/>
  <c r="D1" i="13"/>
  <c r="G11" i="13"/>
  <c r="G22" i="13"/>
  <c r="A35" i="13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35" i="15"/>
  <c r="A36" i="15"/>
  <c r="A37" i="15"/>
  <c r="A38" i="15" s="1"/>
  <c r="A39" i="15" s="1"/>
  <c r="A40" i="15"/>
  <c r="A41" i="15" s="1"/>
  <c r="A42" i="15" s="1"/>
  <c r="A43" i="15" s="1"/>
  <c r="A44" i="15" s="1"/>
  <c r="A45" i="15" s="1"/>
  <c r="A46" i="15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B3" i="10"/>
  <c r="D3" i="10"/>
  <c r="E3" i="10"/>
  <c r="B4" i="10"/>
  <c r="B5" i="10"/>
  <c r="C5" i="10"/>
  <c r="B6" i="10"/>
  <c r="C6" i="10"/>
  <c r="B7" i="10"/>
  <c r="C7" i="10"/>
  <c r="E7" i="10"/>
  <c r="B8" i="10"/>
  <c r="C8" i="10"/>
  <c r="B9" i="10"/>
  <c r="C9" i="10"/>
  <c r="B10" i="10"/>
  <c r="C10" i="10"/>
  <c r="E10" i="10"/>
  <c r="B11" i="10"/>
  <c r="C11" i="10"/>
  <c r="A4" i="3"/>
  <c r="G4" i="3" s="1"/>
  <c r="F4" i="3"/>
  <c r="A5" i="3"/>
  <c r="F5" i="3"/>
  <c r="G5" i="3"/>
  <c r="A6" i="3"/>
  <c r="F6" i="3"/>
  <c r="G6" i="3"/>
  <c r="I6" i="3"/>
  <c r="D6" i="10" s="1"/>
  <c r="A7" i="3"/>
  <c r="G7" i="3" s="1"/>
  <c r="I7" i="3" s="1"/>
  <c r="H7" i="3"/>
  <c r="A8" i="3"/>
  <c r="G8" i="3" s="1"/>
  <c r="I9" i="3" s="1"/>
  <c r="D9" i="10" s="1"/>
  <c r="F8" i="3"/>
  <c r="H8" i="3"/>
  <c r="E8" i="10" s="1"/>
  <c r="I8" i="3"/>
  <c r="D8" i="10" s="1"/>
  <c r="A9" i="3"/>
  <c r="G9" i="3"/>
  <c r="H9" i="3"/>
  <c r="A10" i="3"/>
  <c r="G10" i="3" s="1"/>
  <c r="I10" i="3" s="1"/>
  <c r="D10" i="10" s="1"/>
  <c r="H10" i="3"/>
  <c r="A11" i="3"/>
  <c r="G11" i="3" s="1"/>
  <c r="F11" i="3"/>
  <c r="H11" i="3" s="1"/>
  <c r="D16" i="3"/>
  <c r="D30" i="3"/>
  <c r="B6" i="1"/>
  <c r="D15" i="1"/>
  <c r="E15" i="1"/>
  <c r="F15" i="1"/>
  <c r="G15" i="1"/>
  <c r="H15" i="1"/>
  <c r="K21" i="2" s="1"/>
  <c r="D19" i="1"/>
  <c r="E19" i="1"/>
  <c r="E20" i="1" s="1"/>
  <c r="F19" i="1"/>
  <c r="G19" i="1"/>
  <c r="H19" i="1"/>
  <c r="C20" i="1"/>
  <c r="D20" i="1"/>
  <c r="G20" i="1"/>
  <c r="H20" i="1"/>
  <c r="C28" i="1"/>
  <c r="C29" i="1" s="1"/>
  <c r="D28" i="1"/>
  <c r="E28" i="1"/>
  <c r="F28" i="1"/>
  <c r="F29" i="1" s="1"/>
  <c r="G28" i="1"/>
  <c r="G29" i="1" s="1"/>
  <c r="D29" i="1"/>
  <c r="E29" i="1"/>
  <c r="D40" i="1"/>
  <c r="D41" i="1"/>
  <c r="E45" i="1" s="1"/>
  <c r="D43" i="1"/>
  <c r="E43" i="1"/>
  <c r="F43" i="1"/>
  <c r="G43" i="1"/>
  <c r="H43" i="1"/>
  <c r="B6" i="6"/>
  <c r="D15" i="6"/>
  <c r="E15" i="6"/>
  <c r="F15" i="6"/>
  <c r="F16" i="6" s="1"/>
  <c r="G15" i="6"/>
  <c r="H15" i="6"/>
  <c r="D1" i="15" s="1"/>
  <c r="D16" i="6"/>
  <c r="D16" i="7" s="1"/>
  <c r="E16" i="6"/>
  <c r="G16" i="6"/>
  <c r="H16" i="6"/>
  <c r="H10" i="7" s="1"/>
  <c r="D19" i="6"/>
  <c r="E19" i="6"/>
  <c r="F19" i="6"/>
  <c r="F20" i="6" s="1"/>
  <c r="G19" i="6"/>
  <c r="G20" i="6" s="1"/>
  <c r="H19" i="6"/>
  <c r="H20" i="6" s="1"/>
  <c r="C20" i="6"/>
  <c r="D20" i="6"/>
  <c r="E20" i="6"/>
  <c r="C32" i="6"/>
  <c r="D32" i="6"/>
  <c r="D33" i="6" s="1"/>
  <c r="E32" i="6"/>
  <c r="E33" i="6" s="1"/>
  <c r="F32" i="6"/>
  <c r="G32" i="6"/>
  <c r="H32" i="6"/>
  <c r="H33" i="6" s="1"/>
  <c r="C33" i="6"/>
  <c r="F33" i="6"/>
  <c r="G33" i="6"/>
  <c r="C2" i="7"/>
  <c r="F2" i="7"/>
  <c r="H2" i="7"/>
  <c r="C3" i="7"/>
  <c r="E3" i="13" s="1"/>
  <c r="H3" i="7"/>
  <c r="C4" i="7"/>
  <c r="D4" i="7"/>
  <c r="F4" i="7"/>
  <c r="C5" i="7"/>
  <c r="F5" i="7"/>
  <c r="H5" i="7"/>
  <c r="C6" i="7"/>
  <c r="F6" i="7"/>
  <c r="H6" i="7"/>
  <c r="C7" i="7"/>
  <c r="H7" i="7"/>
  <c r="C8" i="7"/>
  <c r="D8" i="7"/>
  <c r="F8" i="7"/>
  <c r="C9" i="7"/>
  <c r="E9" i="7"/>
  <c r="H9" i="7"/>
  <c r="C10" i="7"/>
  <c r="F10" i="7"/>
  <c r="C11" i="7"/>
  <c r="D11" i="7"/>
  <c r="H11" i="7"/>
  <c r="C12" i="7"/>
  <c r="D12" i="7"/>
  <c r="C13" i="7"/>
  <c r="D13" i="7"/>
  <c r="F13" i="7"/>
  <c r="H13" i="7"/>
  <c r="C14" i="7"/>
  <c r="C23" i="7" s="1"/>
  <c r="H14" i="7"/>
  <c r="C15" i="7"/>
  <c r="H15" i="7"/>
  <c r="C16" i="7"/>
  <c r="C17" i="7"/>
  <c r="F17" i="7"/>
  <c r="H17" i="7"/>
  <c r="C18" i="7"/>
  <c r="H18" i="7"/>
  <c r="C19" i="7"/>
  <c r="D19" i="7"/>
  <c r="H19" i="7"/>
  <c r="C20" i="7"/>
  <c r="F20" i="7"/>
  <c r="G20" i="7"/>
  <c r="C21" i="7"/>
  <c r="D21" i="7"/>
  <c r="E21" i="7"/>
  <c r="F21" i="7"/>
  <c r="H21" i="7"/>
  <c r="C22" i="7"/>
  <c r="F22" i="7"/>
  <c r="G22" i="7"/>
  <c r="H22" i="7"/>
  <c r="B23" i="7"/>
  <c r="C27" i="6" l="1"/>
  <c r="C28" i="6"/>
  <c r="G3" i="7"/>
  <c r="G7" i="7"/>
  <c r="G11" i="7"/>
  <c r="G15" i="7"/>
  <c r="G19" i="7"/>
  <c r="G5" i="7"/>
  <c r="G9" i="7"/>
  <c r="G13" i="7"/>
  <c r="G17" i="7"/>
  <c r="G21" i="7"/>
  <c r="G8" i="7"/>
  <c r="G10" i="7"/>
  <c r="G12" i="7"/>
  <c r="G14" i="7"/>
  <c r="G16" i="7"/>
  <c r="G18" i="7"/>
  <c r="B8" i="6"/>
  <c r="F24" i="6"/>
  <c r="G24" i="6"/>
  <c r="C24" i="6"/>
  <c r="G6" i="7"/>
  <c r="E18" i="7"/>
  <c r="E2" i="7"/>
  <c r="E6" i="7"/>
  <c r="E10" i="7"/>
  <c r="E14" i="7"/>
  <c r="E22" i="7"/>
  <c r="E4" i="7"/>
  <c r="E8" i="7"/>
  <c r="E12" i="7"/>
  <c r="E16" i="7"/>
  <c r="E20" i="7"/>
  <c r="E11" i="7"/>
  <c r="E13" i="7"/>
  <c r="E15" i="7"/>
  <c r="E17" i="7"/>
  <c r="E5" i="7"/>
  <c r="E3" i="7"/>
  <c r="G10" i="13"/>
  <c r="G14" i="13"/>
  <c r="G23" i="13"/>
  <c r="G5" i="13"/>
  <c r="G18" i="13"/>
  <c r="G27" i="13"/>
  <c r="G31" i="13"/>
  <c r="G7" i="13"/>
  <c r="G16" i="13"/>
  <c r="G20" i="13"/>
  <c r="G29" i="13"/>
  <c r="G8" i="13"/>
  <c r="G12" i="13"/>
  <c r="G5" i="15"/>
  <c r="G25" i="13"/>
  <c r="G4" i="15"/>
  <c r="G8" i="15"/>
  <c r="G13" i="13"/>
  <c r="G21" i="13"/>
  <c r="G13" i="15"/>
  <c r="G21" i="15"/>
  <c r="G25" i="15"/>
  <c r="G17" i="13"/>
  <c r="G15" i="15"/>
  <c r="G23" i="15"/>
  <c r="G3" i="13"/>
  <c r="G6" i="13"/>
  <c r="G9" i="13"/>
  <c r="G28" i="13"/>
  <c r="G9" i="15"/>
  <c r="G18" i="15"/>
  <c r="G27" i="15"/>
  <c r="G31" i="15"/>
  <c r="G16" i="15"/>
  <c r="C23" i="1"/>
  <c r="G4" i="13"/>
  <c r="G30" i="13"/>
  <c r="G29" i="15"/>
  <c r="G26" i="13"/>
  <c r="G3" i="15"/>
  <c r="G6" i="15"/>
  <c r="G14" i="15"/>
  <c r="C24" i="1"/>
  <c r="C44" i="1" s="1"/>
  <c r="C46" i="1" s="1"/>
  <c r="G19" i="13"/>
  <c r="G10" i="15"/>
  <c r="G15" i="13"/>
  <c r="G24" i="13"/>
  <c r="G32" i="13"/>
  <c r="G26" i="15"/>
  <c r="G30" i="15"/>
  <c r="G19" i="15"/>
  <c r="G7" i="15"/>
  <c r="G20" i="15"/>
  <c r="G22" i="15"/>
  <c r="B8" i="1"/>
  <c r="D24" i="1"/>
  <c r="G11" i="15"/>
  <c r="G17" i="15"/>
  <c r="G28" i="15"/>
  <c r="E24" i="1"/>
  <c r="E44" i="1" s="1"/>
  <c r="E46" i="1" s="1"/>
  <c r="G12" i="15"/>
  <c r="G24" i="15"/>
  <c r="D7" i="10"/>
  <c r="J7" i="3"/>
  <c r="H24" i="1"/>
  <c r="H44" i="1" s="1"/>
  <c r="G32" i="15"/>
  <c r="G31" i="1"/>
  <c r="J11" i="3"/>
  <c r="E11" i="10"/>
  <c r="I11" i="3"/>
  <c r="D11" i="10" s="1"/>
  <c r="E7" i="7"/>
  <c r="G2" i="7"/>
  <c r="D24" i="6"/>
  <c r="I9" i="2"/>
  <c r="I17" i="2"/>
  <c r="I2" i="2"/>
  <c r="I18" i="2"/>
  <c r="I20" i="2"/>
  <c r="I12" i="2"/>
  <c r="I10" i="2"/>
  <c r="F24" i="1"/>
  <c r="F44" i="1" s="1"/>
  <c r="I15" i="2"/>
  <c r="I19" i="2"/>
  <c r="I23" i="2"/>
  <c r="J10" i="3"/>
  <c r="I5" i="3"/>
  <c r="D5" i="10" s="1"/>
  <c r="F11" i="2"/>
  <c r="G11" i="2"/>
  <c r="K11" i="2"/>
  <c r="I11" i="2"/>
  <c r="H11" i="2"/>
  <c r="J11" i="2"/>
  <c r="E19" i="7"/>
  <c r="G4" i="7"/>
  <c r="H5" i="3"/>
  <c r="H6" i="3"/>
  <c r="F3" i="7"/>
  <c r="F7" i="7"/>
  <c r="F11" i="7"/>
  <c r="F15" i="7"/>
  <c r="F19" i="7"/>
  <c r="I13" i="2"/>
  <c r="D20" i="7"/>
  <c r="F18" i="7"/>
  <c r="F16" i="7"/>
  <c r="D5" i="7"/>
  <c r="D3" i="7"/>
  <c r="E24" i="6"/>
  <c r="F45" i="1"/>
  <c r="H28" i="1"/>
  <c r="H29" i="1" s="1"/>
  <c r="H31" i="1" s="1"/>
  <c r="J9" i="3"/>
  <c r="K12" i="2"/>
  <c r="D9" i="7"/>
  <c r="D7" i="7"/>
  <c r="G45" i="1"/>
  <c r="F14" i="7"/>
  <c r="F12" i="7"/>
  <c r="H4" i="7"/>
  <c r="H8" i="7"/>
  <c r="H12" i="7"/>
  <c r="H23" i="7" s="1"/>
  <c r="H16" i="7"/>
  <c r="H20" i="7"/>
  <c r="F20" i="1"/>
  <c r="D2" i="7"/>
  <c r="D6" i="7"/>
  <c r="D10" i="7"/>
  <c r="D14" i="7"/>
  <c r="D18" i="7"/>
  <c r="D22" i="7"/>
  <c r="C45" i="1"/>
  <c r="D45" i="1"/>
  <c r="H45" i="1"/>
  <c r="K2" i="2"/>
  <c r="K9" i="2"/>
  <c r="K5" i="2"/>
  <c r="K14" i="2"/>
  <c r="K22" i="2"/>
  <c r="K18" i="2"/>
  <c r="K10" i="2"/>
  <c r="J8" i="3"/>
  <c r="I21" i="2"/>
  <c r="K13" i="2"/>
  <c r="G4" i="2"/>
  <c r="H4" i="2"/>
  <c r="K4" i="2"/>
  <c r="E24" i="2"/>
  <c r="F4" i="2"/>
  <c r="I4" i="2"/>
  <c r="D17" i="7"/>
  <c r="D15" i="7"/>
  <c r="F9" i="7"/>
  <c r="C35" i="6"/>
  <c r="H24" i="6"/>
  <c r="J21" i="2"/>
  <c r="J13" i="2"/>
  <c r="J12" i="2"/>
  <c r="J20" i="2"/>
  <c r="J5" i="2"/>
  <c r="J24" i="2" s="1"/>
  <c r="G32" i="1" s="1"/>
  <c r="J17" i="2"/>
  <c r="J2" i="2"/>
  <c r="G24" i="1"/>
  <c r="G44" i="1" s="1"/>
  <c r="E9" i="10"/>
  <c r="K20" i="2"/>
  <c r="J9" i="2"/>
  <c r="F19" i="2"/>
  <c r="G19" i="2"/>
  <c r="K19" i="2"/>
  <c r="H19" i="2"/>
  <c r="K16" i="2"/>
  <c r="H16" i="2"/>
  <c r="J16" i="2"/>
  <c r="G16" i="2"/>
  <c r="I16" i="2"/>
  <c r="I5" i="2"/>
  <c r="H5" i="2"/>
  <c r="H13" i="2"/>
  <c r="H21" i="2"/>
  <c r="J27" i="2"/>
  <c r="H15" i="2"/>
  <c r="H10" i="2"/>
  <c r="H18" i="2"/>
  <c r="H22" i="2"/>
  <c r="H17" i="2"/>
  <c r="H2" i="2"/>
  <c r="J23" i="2"/>
  <c r="K23" i="2"/>
  <c r="G23" i="2"/>
  <c r="H23" i="2"/>
  <c r="F23" i="2"/>
  <c r="G2" i="2"/>
  <c r="G18" i="2"/>
  <c r="G10" i="2"/>
  <c r="G9" i="2"/>
  <c r="G17" i="2"/>
  <c r="G22" i="2"/>
  <c r="D23" i="3"/>
  <c r="E3" i="15"/>
  <c r="J19" i="2"/>
  <c r="I14" i="2"/>
  <c r="J14" i="2"/>
  <c r="F14" i="2"/>
  <c r="G14" i="2"/>
  <c r="H14" i="2"/>
  <c r="K8" i="2"/>
  <c r="H8" i="2"/>
  <c r="G8" i="2"/>
  <c r="J8" i="2"/>
  <c r="F8" i="2"/>
  <c r="I8" i="2"/>
  <c r="I6" i="2"/>
  <c r="J6" i="2"/>
  <c r="F6" i="2"/>
  <c r="H6" i="2"/>
  <c r="I22" i="2"/>
  <c r="J22" i="2"/>
  <c r="F22" i="2"/>
  <c r="G12" i="2"/>
  <c r="H12" i="2"/>
  <c r="J7" i="2"/>
  <c r="K7" i="2"/>
  <c r="G7" i="2"/>
  <c r="G20" i="2"/>
  <c r="H20" i="2"/>
  <c r="J15" i="2"/>
  <c r="K15" i="2"/>
  <c r="G15" i="2"/>
  <c r="J18" i="2"/>
  <c r="J10" i="2"/>
  <c r="H28" i="6" l="1"/>
  <c r="H27" i="6"/>
  <c r="H24" i="2"/>
  <c r="E32" i="1" s="1"/>
  <c r="J6" i="3"/>
  <c r="E6" i="10"/>
  <c r="G24" i="2"/>
  <c r="D32" i="1" s="1"/>
  <c r="E5" i="10"/>
  <c r="J5" i="3"/>
  <c r="F46" i="1"/>
  <c r="C31" i="1"/>
  <c r="G33" i="1"/>
  <c r="D32" i="3" s="1"/>
  <c r="I24" i="2"/>
  <c r="F32" i="1" s="1"/>
  <c r="G23" i="7"/>
  <c r="D23" i="7"/>
  <c r="E31" i="1"/>
  <c r="G46" i="1"/>
  <c r="H46" i="1"/>
  <c r="H14" i="13"/>
  <c r="H37" i="13"/>
  <c r="H45" i="13"/>
  <c r="H41" i="13"/>
  <c r="H32" i="13"/>
  <c r="H40" i="13"/>
  <c r="H48" i="13"/>
  <c r="H55" i="13"/>
  <c r="H63" i="13"/>
  <c r="H14" i="15"/>
  <c r="H47" i="13"/>
  <c r="H53" i="13"/>
  <c r="H61" i="13"/>
  <c r="H36" i="13"/>
  <c r="H42" i="13"/>
  <c r="H52" i="13"/>
  <c r="H58" i="13"/>
  <c r="H64" i="13"/>
  <c r="H8" i="15"/>
  <c r="H34" i="15"/>
  <c r="H39" i="13"/>
  <c r="H32" i="15"/>
  <c r="H33" i="13"/>
  <c r="H35" i="13"/>
  <c r="H43" i="13"/>
  <c r="H59" i="13"/>
  <c r="H62" i="13"/>
  <c r="H65" i="13"/>
  <c r="H37" i="15"/>
  <c r="C3" i="13"/>
  <c r="H20" i="15"/>
  <c r="H36" i="15"/>
  <c r="H39" i="15"/>
  <c r="H45" i="15"/>
  <c r="H53" i="15"/>
  <c r="H61" i="15"/>
  <c r="H8" i="13"/>
  <c r="H26" i="13"/>
  <c r="H34" i="13"/>
  <c r="H46" i="13"/>
  <c r="H49" i="13"/>
  <c r="H33" i="15"/>
  <c r="H43" i="15"/>
  <c r="H51" i="13"/>
  <c r="H56" i="13"/>
  <c r="H44" i="15"/>
  <c r="H52" i="15"/>
  <c r="H60" i="15"/>
  <c r="H67" i="15"/>
  <c r="H51" i="15"/>
  <c r="H50" i="13"/>
  <c r="H57" i="13"/>
  <c r="H48" i="15"/>
  <c r="H56" i="15"/>
  <c r="H64" i="15"/>
  <c r="H60" i="13"/>
  <c r="H54" i="13"/>
  <c r="H67" i="13"/>
  <c r="H40" i="15"/>
  <c r="H47" i="15"/>
  <c r="H65" i="15"/>
  <c r="H20" i="13"/>
  <c r="H54" i="15"/>
  <c r="H58" i="15"/>
  <c r="H55" i="15"/>
  <c r="H44" i="13"/>
  <c r="H46" i="15"/>
  <c r="H57" i="15"/>
  <c r="H59" i="15"/>
  <c r="H42" i="15"/>
  <c r="H38" i="13"/>
  <c r="H50" i="15"/>
  <c r="H26" i="15"/>
  <c r="H38" i="15"/>
  <c r="H62" i="15"/>
  <c r="H63" i="15"/>
  <c r="H35" i="15"/>
  <c r="H41" i="15"/>
  <c r="H49" i="15"/>
  <c r="F24" i="2"/>
  <c r="C32" i="1" s="1"/>
  <c r="F31" i="1"/>
  <c r="F33" i="1" s="1"/>
  <c r="K24" i="2"/>
  <c r="H32" i="1" s="1"/>
  <c r="H33" i="1" s="1"/>
  <c r="F23" i="7"/>
  <c r="D44" i="1"/>
  <c r="D46" i="1" s="1"/>
  <c r="D31" i="1"/>
  <c r="D33" i="1" s="1"/>
  <c r="E23" i="7"/>
  <c r="D28" i="6" l="1"/>
  <c r="D35" i="6" s="1"/>
  <c r="D27" i="6"/>
  <c r="G27" i="6"/>
  <c r="G28" i="6"/>
  <c r="G35" i="6" s="1"/>
  <c r="F27" i="6"/>
  <c r="F28" i="6"/>
  <c r="F35" i="6" s="1"/>
  <c r="L32" i="2"/>
  <c r="L34" i="2"/>
  <c r="L36" i="2"/>
  <c r="L38" i="2"/>
  <c r="L40" i="2"/>
  <c r="L42" i="2"/>
  <c r="L44" i="2"/>
  <c r="L46" i="2"/>
  <c r="L48" i="2"/>
  <c r="L31" i="2"/>
  <c r="L33" i="2"/>
  <c r="L35" i="2"/>
  <c r="L37" i="2"/>
  <c r="L39" i="2"/>
  <c r="L41" i="2"/>
  <c r="L43" i="2"/>
  <c r="L45" i="2"/>
  <c r="L47" i="2"/>
  <c r="D34" i="3"/>
  <c r="L30" i="2" s="1"/>
  <c r="E35" i="3"/>
  <c r="D33" i="3"/>
  <c r="L29" i="2" s="1"/>
  <c r="E34" i="3"/>
  <c r="K30" i="2" s="1"/>
  <c r="M30" i="2" s="1"/>
  <c r="N30" i="2" s="1"/>
  <c r="F35" i="3"/>
  <c r="H33" i="3"/>
  <c r="I34" i="3"/>
  <c r="J35" i="3"/>
  <c r="G33" i="3"/>
  <c r="G35" i="3"/>
  <c r="I33" i="3"/>
  <c r="H35" i="3"/>
  <c r="G34" i="3"/>
  <c r="E33" i="3"/>
  <c r="K29" i="2" s="1"/>
  <c r="M29" i="2" s="1"/>
  <c r="H34" i="3"/>
  <c r="J34" i="3"/>
  <c r="J33" i="3"/>
  <c r="D35" i="3"/>
  <c r="F33" i="3"/>
  <c r="F34" i="3"/>
  <c r="I35" i="3"/>
  <c r="C33" i="1"/>
  <c r="D18" i="3" s="1"/>
  <c r="E28" i="6"/>
  <c r="E35" i="6" s="1"/>
  <c r="E27" i="6"/>
  <c r="D3" i="13"/>
  <c r="K3" i="13" s="1"/>
  <c r="J4" i="13" s="1"/>
  <c r="I3" i="13"/>
  <c r="C4" i="13" s="1"/>
  <c r="E33" i="1"/>
  <c r="D25" i="3" s="1"/>
  <c r="C3" i="15"/>
  <c r="H35" i="6"/>
  <c r="D32" i="2" l="1"/>
  <c r="D34" i="2"/>
  <c r="D36" i="2"/>
  <c r="D38" i="2"/>
  <c r="D40" i="2"/>
  <c r="D42" i="2"/>
  <c r="D44" i="2"/>
  <c r="D46" i="2"/>
  <c r="D48" i="2"/>
  <c r="D31" i="2"/>
  <c r="D33" i="2"/>
  <c r="D35" i="2"/>
  <c r="D37" i="2"/>
  <c r="D39" i="2"/>
  <c r="D41" i="2"/>
  <c r="D43" i="2"/>
  <c r="D45" i="2"/>
  <c r="D47" i="2"/>
  <c r="I19" i="3"/>
  <c r="J20" i="3"/>
  <c r="J19" i="3"/>
  <c r="D21" i="3"/>
  <c r="F19" i="3"/>
  <c r="G20" i="3"/>
  <c r="H21" i="3"/>
  <c r="H20" i="3"/>
  <c r="D19" i="3"/>
  <c r="D29" i="2" s="1"/>
  <c r="I20" i="3"/>
  <c r="H19" i="3"/>
  <c r="G21" i="3"/>
  <c r="E20" i="3"/>
  <c r="C30" i="2" s="1"/>
  <c r="E30" i="2" s="1"/>
  <c r="F30" i="2" s="1"/>
  <c r="J21" i="3"/>
  <c r="D20" i="3"/>
  <c r="D30" i="2" s="1"/>
  <c r="I21" i="3"/>
  <c r="E21" i="3"/>
  <c r="F21" i="3"/>
  <c r="E19" i="3"/>
  <c r="C29" i="2" s="1"/>
  <c r="E29" i="2" s="1"/>
  <c r="G19" i="3"/>
  <c r="F20" i="3"/>
  <c r="D3" i="15"/>
  <c r="K3" i="15" s="1"/>
  <c r="J4" i="15" s="1"/>
  <c r="N29" i="2"/>
  <c r="H31" i="2"/>
  <c r="H33" i="2"/>
  <c r="H35" i="2"/>
  <c r="H37" i="2"/>
  <c r="H39" i="2"/>
  <c r="H41" i="2"/>
  <c r="H43" i="2"/>
  <c r="H45" i="2"/>
  <c r="H47" i="2"/>
  <c r="H32" i="2"/>
  <c r="H34" i="2"/>
  <c r="H36" i="2"/>
  <c r="H38" i="2"/>
  <c r="H40" i="2"/>
  <c r="H42" i="2"/>
  <c r="H44" i="2"/>
  <c r="H46" i="2"/>
  <c r="H48" i="2"/>
  <c r="J26" i="3"/>
  <c r="D28" i="3"/>
  <c r="D27" i="3"/>
  <c r="H30" i="2" s="1"/>
  <c r="E28" i="3"/>
  <c r="G26" i="3"/>
  <c r="H27" i="3"/>
  <c r="I28" i="3"/>
  <c r="E26" i="3"/>
  <c r="G29" i="2" s="1"/>
  <c r="J27" i="3"/>
  <c r="F26" i="3"/>
  <c r="F28" i="3"/>
  <c r="E27" i="3"/>
  <c r="G30" i="2" s="1"/>
  <c r="J28" i="3"/>
  <c r="G27" i="3"/>
  <c r="F27" i="3"/>
  <c r="D26" i="3"/>
  <c r="H29" i="2" s="1"/>
  <c r="H26" i="3"/>
  <c r="I26" i="3"/>
  <c r="I27" i="3"/>
  <c r="G28" i="3"/>
  <c r="H28" i="3"/>
  <c r="D4" i="13"/>
  <c r="I4" i="13"/>
  <c r="C5" i="13" s="1"/>
  <c r="K4" i="13"/>
  <c r="J5" i="13" s="1"/>
  <c r="K32" i="2"/>
  <c r="M32" i="2" s="1"/>
  <c r="N32" i="2" s="1"/>
  <c r="K34" i="2"/>
  <c r="M34" i="2" s="1"/>
  <c r="N34" i="2" s="1"/>
  <c r="K36" i="2"/>
  <c r="M36" i="2" s="1"/>
  <c r="N36" i="2" s="1"/>
  <c r="K38" i="2"/>
  <c r="M38" i="2" s="1"/>
  <c r="N38" i="2" s="1"/>
  <c r="K40" i="2"/>
  <c r="M40" i="2" s="1"/>
  <c r="N40" i="2" s="1"/>
  <c r="K42" i="2"/>
  <c r="M42" i="2" s="1"/>
  <c r="N42" i="2" s="1"/>
  <c r="K44" i="2"/>
  <c r="M44" i="2" s="1"/>
  <c r="N44" i="2" s="1"/>
  <c r="K46" i="2"/>
  <c r="M46" i="2" s="1"/>
  <c r="N46" i="2" s="1"/>
  <c r="K48" i="2"/>
  <c r="M48" i="2" s="1"/>
  <c r="N48" i="2" s="1"/>
  <c r="K43" i="2"/>
  <c r="M43" i="2" s="1"/>
  <c r="N43" i="2" s="1"/>
  <c r="K39" i="2"/>
  <c r="M39" i="2" s="1"/>
  <c r="N39" i="2" s="1"/>
  <c r="K37" i="2"/>
  <c r="M37" i="2" s="1"/>
  <c r="N37" i="2" s="1"/>
  <c r="K35" i="2"/>
  <c r="M35" i="2" s="1"/>
  <c r="N35" i="2" s="1"/>
  <c r="K33" i="2"/>
  <c r="M33" i="2" s="1"/>
  <c r="N33" i="2" s="1"/>
  <c r="K45" i="2"/>
  <c r="M45" i="2" s="1"/>
  <c r="N45" i="2" s="1"/>
  <c r="K31" i="2"/>
  <c r="M31" i="2" s="1"/>
  <c r="N31" i="2" s="1"/>
  <c r="K47" i="2"/>
  <c r="M47" i="2" s="1"/>
  <c r="N47" i="2" s="1"/>
  <c r="K41" i="2"/>
  <c r="M41" i="2" s="1"/>
  <c r="N41" i="2" s="1"/>
  <c r="I29" i="2" l="1"/>
  <c r="F29" i="2"/>
  <c r="D5" i="13"/>
  <c r="K5" i="13" s="1"/>
  <c r="J6" i="13" s="1"/>
  <c r="I5" i="13"/>
  <c r="C6" i="13" s="1"/>
  <c r="N49" i="2"/>
  <c r="G35" i="1" s="1"/>
  <c r="G36" i="1" s="1"/>
  <c r="M49" i="2"/>
  <c r="C32" i="2"/>
  <c r="E32" i="2" s="1"/>
  <c r="F32" i="2" s="1"/>
  <c r="C34" i="2"/>
  <c r="E34" i="2" s="1"/>
  <c r="F34" i="2" s="1"/>
  <c r="C36" i="2"/>
  <c r="E36" i="2" s="1"/>
  <c r="F36" i="2" s="1"/>
  <c r="C38" i="2"/>
  <c r="E38" i="2" s="1"/>
  <c r="F38" i="2" s="1"/>
  <c r="C40" i="2"/>
  <c r="E40" i="2" s="1"/>
  <c r="F40" i="2" s="1"/>
  <c r="C42" i="2"/>
  <c r="E42" i="2" s="1"/>
  <c r="F42" i="2" s="1"/>
  <c r="C44" i="2"/>
  <c r="E44" i="2" s="1"/>
  <c r="F44" i="2" s="1"/>
  <c r="C46" i="2"/>
  <c r="E46" i="2" s="1"/>
  <c r="F46" i="2" s="1"/>
  <c r="C48" i="2"/>
  <c r="E48" i="2" s="1"/>
  <c r="F48" i="2" s="1"/>
  <c r="C33" i="2"/>
  <c r="E33" i="2" s="1"/>
  <c r="F33" i="2" s="1"/>
  <c r="C45" i="2"/>
  <c r="E45" i="2" s="1"/>
  <c r="F45" i="2" s="1"/>
  <c r="C39" i="2"/>
  <c r="E39" i="2" s="1"/>
  <c r="F39" i="2" s="1"/>
  <c r="C37" i="2"/>
  <c r="E37" i="2" s="1"/>
  <c r="F37" i="2" s="1"/>
  <c r="C47" i="2"/>
  <c r="E47" i="2" s="1"/>
  <c r="F47" i="2" s="1"/>
  <c r="C43" i="2"/>
  <c r="E43" i="2" s="1"/>
  <c r="F43" i="2" s="1"/>
  <c r="C41" i="2"/>
  <c r="E41" i="2" s="1"/>
  <c r="F41" i="2" s="1"/>
  <c r="C35" i="2"/>
  <c r="E35" i="2" s="1"/>
  <c r="F35" i="2" s="1"/>
  <c r="C31" i="2"/>
  <c r="E31" i="2" s="1"/>
  <c r="F31" i="2" s="1"/>
  <c r="I30" i="2"/>
  <c r="J30" i="2" s="1"/>
  <c r="G31" i="2"/>
  <c r="I31" i="2" s="1"/>
  <c r="J31" i="2" s="1"/>
  <c r="G33" i="2"/>
  <c r="I33" i="2" s="1"/>
  <c r="J33" i="2" s="1"/>
  <c r="G35" i="2"/>
  <c r="I35" i="2" s="1"/>
  <c r="J35" i="2" s="1"/>
  <c r="G37" i="2"/>
  <c r="I37" i="2" s="1"/>
  <c r="J37" i="2" s="1"/>
  <c r="G39" i="2"/>
  <c r="I39" i="2" s="1"/>
  <c r="J39" i="2" s="1"/>
  <c r="G41" i="2"/>
  <c r="I41" i="2" s="1"/>
  <c r="J41" i="2" s="1"/>
  <c r="G43" i="2"/>
  <c r="I43" i="2" s="1"/>
  <c r="J43" i="2" s="1"/>
  <c r="G45" i="2"/>
  <c r="I45" i="2" s="1"/>
  <c r="J45" i="2" s="1"/>
  <c r="G47" i="2"/>
  <c r="I47" i="2" s="1"/>
  <c r="J47" i="2" s="1"/>
  <c r="G38" i="2"/>
  <c r="I38" i="2" s="1"/>
  <c r="J38" i="2" s="1"/>
  <c r="G34" i="2"/>
  <c r="I34" i="2" s="1"/>
  <c r="J34" i="2" s="1"/>
  <c r="G40" i="2"/>
  <c r="I40" i="2" s="1"/>
  <c r="J40" i="2" s="1"/>
  <c r="G48" i="2"/>
  <c r="I48" i="2" s="1"/>
  <c r="J48" i="2" s="1"/>
  <c r="G36" i="2"/>
  <c r="I36" i="2" s="1"/>
  <c r="J36" i="2" s="1"/>
  <c r="G44" i="2"/>
  <c r="I44" i="2" s="1"/>
  <c r="J44" i="2" s="1"/>
  <c r="G46" i="2"/>
  <c r="I46" i="2" s="1"/>
  <c r="J46" i="2" s="1"/>
  <c r="G42" i="2"/>
  <c r="I42" i="2" s="1"/>
  <c r="J42" i="2" s="1"/>
  <c r="G32" i="2"/>
  <c r="I32" i="2" s="1"/>
  <c r="J32" i="2" s="1"/>
  <c r="I3" i="15"/>
  <c r="C4" i="15" s="1"/>
  <c r="K6" i="13" l="1"/>
  <c r="J7" i="13" s="1"/>
  <c r="D6" i="13"/>
  <c r="I6" i="13" s="1"/>
  <c r="C7" i="13" s="1"/>
  <c r="J29" i="2"/>
  <c r="J49" i="2" s="1"/>
  <c r="E35" i="1" s="1"/>
  <c r="E36" i="1" s="1"/>
  <c r="I49" i="2"/>
  <c r="F49" i="2"/>
  <c r="C35" i="1" s="1"/>
  <c r="C36" i="1" s="1"/>
  <c r="D4" i="15"/>
  <c r="K4" i="15" s="1"/>
  <c r="J5" i="15" s="1"/>
  <c r="E49" i="2"/>
  <c r="D7" i="13" l="1"/>
  <c r="I7" i="13" s="1"/>
  <c r="C8" i="13" s="1"/>
  <c r="I4" i="15"/>
  <c r="C5" i="15" s="1"/>
  <c r="D8" i="13" l="1"/>
  <c r="I8" i="13" s="1"/>
  <c r="C9" i="13" s="1"/>
  <c r="D5" i="15"/>
  <c r="K5" i="15" s="1"/>
  <c r="J6" i="15" s="1"/>
  <c r="K7" i="13"/>
  <c r="J8" i="13" s="1"/>
  <c r="K8" i="13" s="1"/>
  <c r="J9" i="13" s="1"/>
  <c r="D9" i="13" l="1"/>
  <c r="K9" i="13" s="1"/>
  <c r="J10" i="13" s="1"/>
  <c r="I9" i="13"/>
  <c r="C10" i="13" s="1"/>
  <c r="I5" i="15"/>
  <c r="C6" i="15" s="1"/>
  <c r="D10" i="13" l="1"/>
  <c r="I10" i="13" s="1"/>
  <c r="C11" i="13" s="1"/>
  <c r="D6" i="15"/>
  <c r="K6" i="15" s="1"/>
  <c r="J7" i="15" s="1"/>
  <c r="D11" i="13" l="1"/>
  <c r="I11" i="13"/>
  <c r="C12" i="13" s="1"/>
  <c r="K10" i="13"/>
  <c r="J11" i="13" s="1"/>
  <c r="K11" i="13" s="1"/>
  <c r="J12" i="13" s="1"/>
  <c r="I6" i="15"/>
  <c r="C7" i="15" s="1"/>
  <c r="D7" i="15" l="1"/>
  <c r="K7" i="15" s="1"/>
  <c r="J8" i="15" s="1"/>
  <c r="D12" i="13"/>
  <c r="I12" i="13" s="1"/>
  <c r="C13" i="13" s="1"/>
  <c r="K12" i="13"/>
  <c r="J13" i="13" s="1"/>
  <c r="D13" i="13" l="1"/>
  <c r="K13" i="13" s="1"/>
  <c r="J14" i="13" s="1"/>
  <c r="I13" i="13"/>
  <c r="C14" i="13" s="1"/>
  <c r="I7" i="15"/>
  <c r="C8" i="15" s="1"/>
  <c r="D14" i="13" l="1"/>
  <c r="I14" i="13" s="1"/>
  <c r="C15" i="13" s="1"/>
  <c r="D8" i="15"/>
  <c r="K8" i="15" s="1"/>
  <c r="J9" i="15" s="1"/>
  <c r="D15" i="13" l="1"/>
  <c r="I15" i="13" s="1"/>
  <c r="C16" i="13" s="1"/>
  <c r="I8" i="15"/>
  <c r="C9" i="15" s="1"/>
  <c r="K14" i="13"/>
  <c r="J15" i="13" s="1"/>
  <c r="K15" i="13" s="1"/>
  <c r="J16" i="13" s="1"/>
  <c r="I16" i="13" l="1"/>
  <c r="C17" i="13" s="1"/>
  <c r="D16" i="13"/>
  <c r="K16" i="13"/>
  <c r="J17" i="13" s="1"/>
  <c r="D9" i="15"/>
  <c r="K9" i="15" s="1"/>
  <c r="J10" i="15" s="1"/>
  <c r="D17" i="13" l="1"/>
  <c r="I17" i="13"/>
  <c r="C18" i="13" s="1"/>
  <c r="I9" i="15"/>
  <c r="C10" i="15" s="1"/>
  <c r="K17" i="13"/>
  <c r="J18" i="13" s="1"/>
  <c r="K18" i="13" l="1"/>
  <c r="J19" i="13" s="1"/>
  <c r="I10" i="15"/>
  <c r="C11" i="15" s="1"/>
  <c r="D10" i="15"/>
  <c r="K10" i="15" s="1"/>
  <c r="J11" i="15" s="1"/>
  <c r="D18" i="13"/>
  <c r="I18" i="13"/>
  <c r="C19" i="13" s="1"/>
  <c r="D19" i="13" l="1"/>
  <c r="K19" i="13" s="1"/>
  <c r="J20" i="13" s="1"/>
  <c r="D11" i="15"/>
  <c r="K11" i="15" s="1"/>
  <c r="J12" i="15" s="1"/>
  <c r="I11" i="15"/>
  <c r="C12" i="15" s="1"/>
  <c r="K12" i="15" l="1"/>
  <c r="J13" i="15" s="1"/>
  <c r="I19" i="13"/>
  <c r="C20" i="13" s="1"/>
  <c r="D12" i="15"/>
  <c r="I12" i="15" s="1"/>
  <c r="C13" i="15" s="1"/>
  <c r="D13" i="15" l="1"/>
  <c r="K13" i="15" s="1"/>
  <c r="J14" i="15" s="1"/>
  <c r="I13" i="15"/>
  <c r="C14" i="15" s="1"/>
  <c r="D20" i="13"/>
  <c r="K20" i="13" s="1"/>
  <c r="J21" i="13" s="1"/>
  <c r="D14" i="15" l="1"/>
  <c r="I14" i="15" s="1"/>
  <c r="C15" i="15" s="1"/>
  <c r="I20" i="13"/>
  <c r="C21" i="13" s="1"/>
  <c r="D15" i="15" l="1"/>
  <c r="I15" i="15" s="1"/>
  <c r="C16" i="15" s="1"/>
  <c r="K14" i="15"/>
  <c r="J15" i="15" s="1"/>
  <c r="K15" i="15" s="1"/>
  <c r="J16" i="15" s="1"/>
  <c r="D21" i="13"/>
  <c r="K21" i="13" s="1"/>
  <c r="J22" i="13" s="1"/>
  <c r="D16" i="15" l="1"/>
  <c r="K16" i="15" s="1"/>
  <c r="J17" i="15" s="1"/>
  <c r="I16" i="15"/>
  <c r="C17" i="15" s="1"/>
  <c r="I21" i="13"/>
  <c r="C22" i="13" s="1"/>
  <c r="D17" i="15" l="1"/>
  <c r="K17" i="15" s="1"/>
  <c r="J18" i="15" s="1"/>
  <c r="D22" i="13"/>
  <c r="K22" i="13" s="1"/>
  <c r="J23" i="13" s="1"/>
  <c r="I22" i="13"/>
  <c r="C23" i="13" s="1"/>
  <c r="D23" i="13" l="1"/>
  <c r="K23" i="13" s="1"/>
  <c r="J24" i="13" s="1"/>
  <c r="I17" i="15"/>
  <c r="C18" i="15" s="1"/>
  <c r="I23" i="13" l="1"/>
  <c r="C24" i="13" s="1"/>
  <c r="D18" i="15"/>
  <c r="K18" i="15" s="1"/>
  <c r="J19" i="15" s="1"/>
  <c r="I18" i="15"/>
  <c r="C19" i="15" s="1"/>
  <c r="D24" i="13" l="1"/>
  <c r="K24" i="13" s="1"/>
  <c r="J25" i="13" s="1"/>
  <c r="I24" i="13"/>
  <c r="C25" i="13" s="1"/>
  <c r="D19" i="15"/>
  <c r="I19" i="15" s="1"/>
  <c r="C20" i="15" s="1"/>
  <c r="K19" i="15"/>
  <c r="J20" i="15" s="1"/>
  <c r="D20" i="15" l="1"/>
  <c r="K20" i="15" s="1"/>
  <c r="J21" i="15" s="1"/>
  <c r="I20" i="15"/>
  <c r="C21" i="15" s="1"/>
  <c r="D25" i="13"/>
  <c r="I25" i="13" s="1"/>
  <c r="C26" i="13" s="1"/>
  <c r="K25" i="13"/>
  <c r="J26" i="13" s="1"/>
  <c r="D26" i="13" l="1"/>
  <c r="I26" i="13"/>
  <c r="C27" i="13" s="1"/>
  <c r="D21" i="15"/>
  <c r="K21" i="15" s="1"/>
  <c r="J22" i="15" s="1"/>
  <c r="I21" i="15"/>
  <c r="C22" i="15" s="1"/>
  <c r="K26" i="13"/>
  <c r="J27" i="13" s="1"/>
  <c r="K22" i="15" l="1"/>
  <c r="J23" i="15" s="1"/>
  <c r="D22" i="15"/>
  <c r="I22" i="15"/>
  <c r="C23" i="15" s="1"/>
  <c r="D27" i="13"/>
  <c r="K27" i="13" s="1"/>
  <c r="J28" i="13" s="1"/>
  <c r="I27" i="13" l="1"/>
  <c r="C28" i="13" s="1"/>
  <c r="D23" i="15"/>
  <c r="I23" i="15" s="1"/>
  <c r="C24" i="15" s="1"/>
  <c r="D24" i="15" l="1"/>
  <c r="I24" i="15" s="1"/>
  <c r="C25" i="15" s="1"/>
  <c r="K23" i="15"/>
  <c r="J24" i="15" s="1"/>
  <c r="D28" i="13"/>
  <c r="K28" i="13" s="1"/>
  <c r="J29" i="13" s="1"/>
  <c r="D25" i="15" l="1"/>
  <c r="I25" i="15"/>
  <c r="C26" i="15" s="1"/>
  <c r="I28" i="13"/>
  <c r="C29" i="13" s="1"/>
  <c r="K24" i="15"/>
  <c r="J25" i="15" s="1"/>
  <c r="D29" i="13" l="1"/>
  <c r="K29" i="13" s="1"/>
  <c r="J30" i="13" s="1"/>
  <c r="D26" i="15"/>
  <c r="I26" i="15" s="1"/>
  <c r="C27" i="15" s="1"/>
  <c r="K25" i="15"/>
  <c r="J26" i="15" s="1"/>
  <c r="K26" i="15" s="1"/>
  <c r="J27" i="15" s="1"/>
  <c r="D27" i="15" l="1"/>
  <c r="K27" i="15" s="1"/>
  <c r="J28" i="15" s="1"/>
  <c r="I27" i="15"/>
  <c r="C28" i="15" s="1"/>
  <c r="I29" i="13"/>
  <c r="C30" i="13" s="1"/>
  <c r="D28" i="15" l="1"/>
  <c r="K28" i="15" s="1"/>
  <c r="J29" i="15" s="1"/>
  <c r="I30" i="13"/>
  <c r="C31" i="13" s="1"/>
  <c r="D30" i="13"/>
  <c r="K30" i="13" s="1"/>
  <c r="J31" i="13" s="1"/>
  <c r="D31" i="13" l="1"/>
  <c r="K31" i="13" s="1"/>
  <c r="J32" i="13" s="1"/>
  <c r="I31" i="13"/>
  <c r="C32" i="13" s="1"/>
  <c r="I28" i="15"/>
  <c r="C29" i="15" s="1"/>
  <c r="K32" i="13" l="1"/>
  <c r="J33" i="13" s="1"/>
  <c r="D29" i="15"/>
  <c r="K29" i="15" s="1"/>
  <c r="J30" i="15" s="1"/>
  <c r="I29" i="15"/>
  <c r="C30" i="15" s="1"/>
  <c r="I32" i="13"/>
  <c r="C33" i="13" s="1"/>
  <c r="D32" i="13"/>
  <c r="D33" i="13" l="1"/>
  <c r="I33" i="13" s="1"/>
  <c r="C34" i="13" s="1"/>
  <c r="D30" i="15"/>
  <c r="I30" i="15" s="1"/>
  <c r="C31" i="15" s="1"/>
  <c r="K30" i="15"/>
  <c r="J31" i="15" s="1"/>
  <c r="D31" i="15" l="1"/>
  <c r="I31" i="15" s="1"/>
  <c r="C32" i="15" s="1"/>
  <c r="D34" i="13"/>
  <c r="I34" i="13" s="1"/>
  <c r="C35" i="13" s="1"/>
  <c r="K33" i="13"/>
  <c r="J34" i="13" s="1"/>
  <c r="K34" i="13" s="1"/>
  <c r="J35" i="13" s="1"/>
  <c r="D35" i="13" l="1"/>
  <c r="I35" i="13" s="1"/>
  <c r="C36" i="13" s="1"/>
  <c r="D32" i="15"/>
  <c r="I32" i="15" s="1"/>
  <c r="C33" i="15" s="1"/>
  <c r="K31" i="15"/>
  <c r="J32" i="15" s="1"/>
  <c r="K32" i="15" s="1"/>
  <c r="J33" i="15" s="1"/>
  <c r="D33" i="15" l="1"/>
  <c r="I33" i="15" s="1"/>
  <c r="C34" i="15" s="1"/>
  <c r="D36" i="13"/>
  <c r="I36" i="13"/>
  <c r="C37" i="13" s="1"/>
  <c r="K35" i="13"/>
  <c r="J36" i="13" s="1"/>
  <c r="K36" i="13" s="1"/>
  <c r="J37" i="13" s="1"/>
  <c r="D34" i="15" l="1"/>
  <c r="I34" i="15"/>
  <c r="C35" i="15" s="1"/>
  <c r="K33" i="15"/>
  <c r="J34" i="15" s="1"/>
  <c r="D37" i="13"/>
  <c r="K37" i="13" s="1"/>
  <c r="J38" i="13" s="1"/>
  <c r="I37" i="13"/>
  <c r="C38" i="13" s="1"/>
  <c r="D35" i="15" l="1"/>
  <c r="I35" i="15" s="1"/>
  <c r="C36" i="15" s="1"/>
  <c r="D38" i="13"/>
  <c r="I38" i="13" s="1"/>
  <c r="C39" i="13" s="1"/>
  <c r="K34" i="15"/>
  <c r="J35" i="15" s="1"/>
  <c r="D39" i="13" l="1"/>
  <c r="I39" i="13" s="1"/>
  <c r="C40" i="13" s="1"/>
  <c r="D36" i="15"/>
  <c r="I36" i="15"/>
  <c r="C37" i="15" s="1"/>
  <c r="K38" i="13"/>
  <c r="J39" i="13" s="1"/>
  <c r="K35" i="15"/>
  <c r="J36" i="15" s="1"/>
  <c r="D40" i="13" l="1"/>
  <c r="I40" i="13"/>
  <c r="C41" i="13" s="1"/>
  <c r="D37" i="15"/>
  <c r="I37" i="15"/>
  <c r="C38" i="15" s="1"/>
  <c r="K36" i="15"/>
  <c r="J37" i="15" s="1"/>
  <c r="K39" i="13"/>
  <c r="J40" i="13" s="1"/>
  <c r="D38" i="15" l="1"/>
  <c r="I38" i="15" s="1"/>
  <c r="C39" i="15" s="1"/>
  <c r="D41" i="13"/>
  <c r="I41" i="13"/>
  <c r="C42" i="13" s="1"/>
  <c r="K40" i="13"/>
  <c r="J41" i="13" s="1"/>
  <c r="K37" i="15"/>
  <c r="J38" i="15" s="1"/>
  <c r="D39" i="15" l="1"/>
  <c r="I39" i="15" s="1"/>
  <c r="C40" i="15" s="1"/>
  <c r="D42" i="13"/>
  <c r="I42" i="13"/>
  <c r="C43" i="13" s="1"/>
  <c r="K38" i="15"/>
  <c r="J39" i="15" s="1"/>
  <c r="K41" i="13"/>
  <c r="J42" i="13" s="1"/>
  <c r="D40" i="15" l="1"/>
  <c r="I40" i="15"/>
  <c r="C41" i="15" s="1"/>
  <c r="D43" i="13"/>
  <c r="I43" i="13"/>
  <c r="C44" i="13" s="1"/>
  <c r="K42" i="13"/>
  <c r="J43" i="13" s="1"/>
  <c r="K39" i="15"/>
  <c r="J40" i="15" s="1"/>
  <c r="D44" i="13" l="1"/>
  <c r="I44" i="13"/>
  <c r="C45" i="13" s="1"/>
  <c r="K40" i="15"/>
  <c r="J41" i="15" s="1"/>
  <c r="K41" i="15" s="1"/>
  <c r="J42" i="15" s="1"/>
  <c r="K43" i="13"/>
  <c r="J44" i="13" s="1"/>
  <c r="K44" i="13" s="1"/>
  <c r="J45" i="13" s="1"/>
  <c r="D41" i="15"/>
  <c r="I41" i="15"/>
  <c r="C42" i="15" s="1"/>
  <c r="D45" i="13" l="1"/>
  <c r="K45" i="13" s="1"/>
  <c r="J46" i="13" s="1"/>
  <c r="I45" i="13"/>
  <c r="C46" i="13" s="1"/>
  <c r="D42" i="15"/>
  <c r="K42" i="15" s="1"/>
  <c r="J43" i="15" s="1"/>
  <c r="I42" i="15"/>
  <c r="C43" i="15" s="1"/>
  <c r="K46" i="13" l="1"/>
  <c r="J47" i="13" s="1"/>
  <c r="D43" i="15"/>
  <c r="K43" i="15" s="1"/>
  <c r="J44" i="15" s="1"/>
  <c r="I43" i="15"/>
  <c r="C44" i="15" s="1"/>
  <c r="D46" i="13"/>
  <c r="I46" i="13" s="1"/>
  <c r="C47" i="13" s="1"/>
  <c r="D47" i="13" l="1"/>
  <c r="I47" i="13" s="1"/>
  <c r="C48" i="13" s="1"/>
  <c r="D44" i="15"/>
  <c r="I44" i="15" s="1"/>
  <c r="C45" i="15" s="1"/>
  <c r="K47" i="13"/>
  <c r="J48" i="13" s="1"/>
  <c r="D45" i="15" l="1"/>
  <c r="I45" i="15" s="1"/>
  <c r="C46" i="15" s="1"/>
  <c r="D48" i="13"/>
  <c r="K48" i="13" s="1"/>
  <c r="J49" i="13" s="1"/>
  <c r="K44" i="15"/>
  <c r="J45" i="15" s="1"/>
  <c r="D46" i="15" l="1"/>
  <c r="I46" i="15" s="1"/>
  <c r="C47" i="15" s="1"/>
  <c r="I48" i="13"/>
  <c r="C49" i="13" s="1"/>
  <c r="K45" i="15"/>
  <c r="J46" i="15" s="1"/>
  <c r="D47" i="15" l="1"/>
  <c r="I47" i="15" s="1"/>
  <c r="C48" i="15" s="1"/>
  <c r="D49" i="13"/>
  <c r="K49" i="13" s="1"/>
  <c r="J50" i="13" s="1"/>
  <c r="I49" i="13"/>
  <c r="C50" i="13" s="1"/>
  <c r="K46" i="15"/>
  <c r="J47" i="15" s="1"/>
  <c r="D48" i="15" l="1"/>
  <c r="I48" i="15" s="1"/>
  <c r="C49" i="15" s="1"/>
  <c r="K47" i="15"/>
  <c r="J48" i="15" s="1"/>
  <c r="K48" i="15" s="1"/>
  <c r="J49" i="15" s="1"/>
  <c r="K50" i="13"/>
  <c r="J51" i="13" s="1"/>
  <c r="D50" i="13"/>
  <c r="I50" i="13"/>
  <c r="C51" i="13" s="1"/>
  <c r="D49" i="15" l="1"/>
  <c r="K49" i="15" s="1"/>
  <c r="J50" i="15" s="1"/>
  <c r="D51" i="13"/>
  <c r="K51" i="13" s="1"/>
  <c r="J52" i="13" s="1"/>
  <c r="I49" i="15" l="1"/>
  <c r="C50" i="15" s="1"/>
  <c r="I51" i="13"/>
  <c r="C52" i="13" s="1"/>
  <c r="D52" i="13" l="1"/>
  <c r="K52" i="13" s="1"/>
  <c r="J53" i="13" s="1"/>
  <c r="I52" i="13"/>
  <c r="C53" i="13" s="1"/>
  <c r="D50" i="15"/>
  <c r="K50" i="15" s="1"/>
  <c r="J51" i="15" s="1"/>
  <c r="I50" i="15"/>
  <c r="C51" i="15" s="1"/>
  <c r="K51" i="15" l="1"/>
  <c r="J52" i="15" s="1"/>
  <c r="D53" i="13"/>
  <c r="I53" i="13" s="1"/>
  <c r="C54" i="13" s="1"/>
  <c r="D51" i="15"/>
  <c r="I51" i="15"/>
  <c r="C52" i="15" s="1"/>
  <c r="D54" i="13" l="1"/>
  <c r="I54" i="13"/>
  <c r="C55" i="13" s="1"/>
  <c r="D52" i="15"/>
  <c r="I52" i="15" s="1"/>
  <c r="C53" i="15" s="1"/>
  <c r="K53" i="13"/>
  <c r="J54" i="13" s="1"/>
  <c r="D53" i="15" l="1"/>
  <c r="I53" i="15" s="1"/>
  <c r="C54" i="15" s="1"/>
  <c r="K52" i="15"/>
  <c r="J53" i="15" s="1"/>
  <c r="K53" i="15" s="1"/>
  <c r="J54" i="15" s="1"/>
  <c r="D55" i="13"/>
  <c r="I55" i="13" s="1"/>
  <c r="C56" i="13" s="1"/>
  <c r="K54" i="13"/>
  <c r="J55" i="13" s="1"/>
  <c r="D54" i="15" l="1"/>
  <c r="K54" i="15" s="1"/>
  <c r="J55" i="15" s="1"/>
  <c r="D56" i="13"/>
  <c r="I56" i="13" s="1"/>
  <c r="C57" i="13" s="1"/>
  <c r="K55" i="13"/>
  <c r="J56" i="13" s="1"/>
  <c r="K56" i="13" s="1"/>
  <c r="J57" i="13" s="1"/>
  <c r="I57" i="13" l="1"/>
  <c r="C58" i="13" s="1"/>
  <c r="D57" i="13"/>
  <c r="I54" i="15"/>
  <c r="C55" i="15" s="1"/>
  <c r="K57" i="13"/>
  <c r="J58" i="13" s="1"/>
  <c r="I58" i="13" l="1"/>
  <c r="C59" i="13" s="1"/>
  <c r="D58" i="13"/>
  <c r="K58" i="13"/>
  <c r="J59" i="13" s="1"/>
  <c r="D55" i="15"/>
  <c r="K55" i="15" s="1"/>
  <c r="J56" i="15" s="1"/>
  <c r="I55" i="15"/>
  <c r="C56" i="15" s="1"/>
  <c r="D59" i="13" l="1"/>
  <c r="I59" i="13" s="1"/>
  <c r="C60" i="13" s="1"/>
  <c r="D56" i="15"/>
  <c r="I56" i="15"/>
  <c r="C57" i="15" s="1"/>
  <c r="K56" i="15"/>
  <c r="J57" i="15" s="1"/>
  <c r="D60" i="13" l="1"/>
  <c r="I60" i="13" s="1"/>
  <c r="C61" i="13" s="1"/>
  <c r="K59" i="13"/>
  <c r="J60" i="13" s="1"/>
  <c r="D57" i="15"/>
  <c r="K57" i="15" s="1"/>
  <c r="J58" i="15" s="1"/>
  <c r="D61" i="13" l="1"/>
  <c r="I61" i="13" s="1"/>
  <c r="C62" i="13" s="1"/>
  <c r="I57" i="15"/>
  <c r="C58" i="15" s="1"/>
  <c r="K60" i="13"/>
  <c r="J61" i="13" s="1"/>
  <c r="D62" i="13" l="1"/>
  <c r="I62" i="13"/>
  <c r="C63" i="13" s="1"/>
  <c r="K61" i="13"/>
  <c r="J62" i="13" s="1"/>
  <c r="D58" i="15"/>
  <c r="K58" i="15" s="1"/>
  <c r="J59" i="15" s="1"/>
  <c r="I58" i="15"/>
  <c r="C59" i="15" s="1"/>
  <c r="D63" i="13" l="1"/>
  <c r="I63" i="13" s="1"/>
  <c r="C64" i="13" s="1"/>
  <c r="D59" i="15"/>
  <c r="I59" i="15"/>
  <c r="C60" i="15" s="1"/>
  <c r="K59" i="15"/>
  <c r="J60" i="15" s="1"/>
  <c r="K62" i="13"/>
  <c r="J63" i="13" s="1"/>
  <c r="I64" i="13" l="1"/>
  <c r="C65" i="13" s="1"/>
  <c r="D64" i="13"/>
  <c r="K63" i="13"/>
  <c r="J64" i="13" s="1"/>
  <c r="K64" i="13" s="1"/>
  <c r="J65" i="13" s="1"/>
  <c r="D60" i="15"/>
  <c r="K60" i="15" s="1"/>
  <c r="J61" i="15" s="1"/>
  <c r="I60" i="15"/>
  <c r="C61" i="15" s="1"/>
  <c r="K61" i="15" l="1"/>
  <c r="J62" i="15" s="1"/>
  <c r="D65" i="13"/>
  <c r="I65" i="13" s="1"/>
  <c r="C66" i="13" s="1"/>
  <c r="D61" i="15"/>
  <c r="I61" i="15" s="1"/>
  <c r="C62" i="15" s="1"/>
  <c r="D62" i="15" l="1"/>
  <c r="K62" i="15" s="1"/>
  <c r="J63" i="15" s="1"/>
  <c r="D66" i="13"/>
  <c r="I66" i="13" s="1"/>
  <c r="C67" i="13" s="1"/>
  <c r="K65" i="13"/>
  <c r="J66" i="13" s="1"/>
  <c r="K66" i="13" s="1"/>
  <c r="J67" i="13" s="1"/>
  <c r="D67" i="13" l="1"/>
  <c r="I67" i="13"/>
  <c r="C68" i="13" s="1"/>
  <c r="I62" i="15"/>
  <c r="C63" i="15" s="1"/>
  <c r="K67" i="13"/>
  <c r="J68" i="13" s="1"/>
  <c r="K68" i="13" l="1"/>
  <c r="J69" i="13" s="1"/>
  <c r="D63" i="15"/>
  <c r="K63" i="15" s="1"/>
  <c r="J64" i="15" s="1"/>
  <c r="D68" i="13"/>
  <c r="I68" i="13" s="1"/>
  <c r="C69" i="13" s="1"/>
  <c r="I69" i="13" l="1"/>
  <c r="C70" i="13" s="1"/>
  <c r="D69" i="13"/>
  <c r="K69" i="13"/>
  <c r="J70" i="13" s="1"/>
  <c r="I63" i="15"/>
  <c r="C64" i="15" s="1"/>
  <c r="D70" i="13" l="1"/>
  <c r="I70" i="13" s="1"/>
  <c r="D64" i="15"/>
  <c r="K64" i="15" s="1"/>
  <c r="J65" i="15" s="1"/>
  <c r="K70" i="13" l="1"/>
  <c r="I64" i="15"/>
  <c r="C65" i="15" s="1"/>
  <c r="I65" i="15" l="1"/>
  <c r="C66" i="15" s="1"/>
  <c r="D65" i="15"/>
  <c r="K65" i="15" s="1"/>
  <c r="J66" i="15" s="1"/>
  <c r="I66" i="15" l="1"/>
  <c r="C67" i="15" s="1"/>
  <c r="D66" i="15"/>
  <c r="K66" i="15"/>
  <c r="J67" i="15" s="1"/>
  <c r="D67" i="15" l="1"/>
  <c r="K67" i="15" s="1"/>
  <c r="J68" i="15" s="1"/>
  <c r="I67" i="15"/>
  <c r="C68" i="15" s="1"/>
  <c r="K68" i="15" l="1"/>
  <c r="J69" i="15" s="1"/>
  <c r="D68" i="15"/>
  <c r="I68" i="15" s="1"/>
  <c r="C69" i="15" s="1"/>
  <c r="D69" i="15" l="1"/>
  <c r="I69" i="15" s="1"/>
  <c r="C70" i="15" s="1"/>
  <c r="D70" i="15" l="1"/>
  <c r="I70" i="15" s="1"/>
  <c r="K69" i="15"/>
  <c r="J70" i="15" s="1"/>
  <c r="K70" i="15" l="1"/>
</calcChain>
</file>

<file path=xl/sharedStrings.xml><?xml version="1.0" encoding="utf-8"?>
<sst xmlns="http://schemas.openxmlformats.org/spreadsheetml/2006/main" count="162" uniqueCount="78">
  <si>
    <t>Facts:</t>
  </si>
  <si>
    <t>20 year lease</t>
  </si>
  <si>
    <t>min 90% home games</t>
  </si>
  <si>
    <t>est cost:</t>
  </si>
  <si>
    <t>County pd</t>
  </si>
  <si>
    <t>Mariners</t>
  </si>
  <si>
    <t>3-yrs to build</t>
  </si>
  <si>
    <t>Discount Rate:</t>
  </si>
  <si>
    <t>(384 - 45)</t>
  </si>
  <si>
    <t>PV 3/1/99</t>
  </si>
  <si>
    <t>Lease Payments (Revenue)</t>
  </si>
  <si>
    <t>Cost of Building (Expense)</t>
  </si>
  <si>
    <t>Assumes project goes over, as most do.</t>
  </si>
  <si>
    <t>40 payments of $350,000</t>
  </si>
  <si>
    <t>Population</t>
  </si>
  <si>
    <t>1990</t>
  </si>
  <si>
    <t>2000</t>
  </si>
  <si>
    <t>Cost per Capita</t>
  </si>
  <si>
    <t>NPV of Investments</t>
  </si>
  <si>
    <t>people per hh</t>
  </si>
  <si>
    <t>Cost per Household</t>
  </si>
  <si>
    <t>Attendance</t>
  </si>
  <si>
    <t>Year</t>
  </si>
  <si>
    <t>price 1</t>
  </si>
  <si>
    <t>PV Ticket Sales</t>
  </si>
  <si>
    <t>price</t>
  </si>
  <si>
    <t>note</t>
  </si>
  <si>
    <t>purchased  200,000 worth of tickets by county</t>
  </si>
  <si>
    <t>Inflation:</t>
  </si>
  <si>
    <t>%changeQ</t>
  </si>
  <si>
    <t>%changeP</t>
  </si>
  <si>
    <t>Price</t>
  </si>
  <si>
    <t>Elasticity</t>
  </si>
  <si>
    <t>Tax on tickets</t>
  </si>
  <si>
    <t>elasticity</t>
  </si>
  <si>
    <t>new price</t>
  </si>
  <si>
    <t>year</t>
  </si>
  <si>
    <t>Discount Rate w/ premium:</t>
  </si>
  <si>
    <t>PV of cash flow</t>
  </si>
  <si>
    <t>Sales</t>
  </si>
  <si>
    <t>strike shortened seasons - adj. up to full season</t>
  </si>
  <si>
    <t>Monthly pymt</t>
  </si>
  <si>
    <t>win %</t>
  </si>
  <si>
    <t>infl ticket pr</t>
  </si>
  <si>
    <t>beg bal</t>
  </si>
  <si>
    <t>end bal</t>
  </si>
  <si>
    <t>interest</t>
  </si>
  <si>
    <t>month</t>
  </si>
  <si>
    <t>Discount Rate (APR):</t>
  </si>
  <si>
    <t>Cost to County</t>
  </si>
  <si>
    <t>Construction Duration</t>
  </si>
  <si>
    <t>(7/1/97 - 12/31/99)</t>
  </si>
  <si>
    <t>Bonds Issued 7/97</t>
  </si>
  <si>
    <t xml:space="preserve">paid </t>
  </si>
  <si>
    <t>attendance</t>
  </si>
  <si>
    <t xml:space="preserve">adj. paid </t>
  </si>
  <si>
    <t>% win</t>
  </si>
  <si>
    <t>ASSUMES ATTENDANCE HOLDS DESPITE INCREASED PRICES</t>
  </si>
  <si>
    <t>price incl.</t>
  </si>
  <si>
    <t>10% tax</t>
  </si>
  <si>
    <t>2001-18</t>
  </si>
  <si>
    <t>PV 7/97</t>
  </si>
  <si>
    <t>PV 3/99</t>
  </si>
  <si>
    <t>PV 1/19</t>
  </si>
  <si>
    <t xml:space="preserve">Residual value of stadium </t>
  </si>
  <si>
    <t>PV @ 7/97</t>
  </si>
  <si>
    <t>Assumes Price Elasticity of .75</t>
  </si>
  <si>
    <t>coupon</t>
  </si>
  <si>
    <t>tax rev</t>
  </si>
  <si>
    <t>const pay</t>
  </si>
  <si>
    <t>lease pay</t>
  </si>
  <si>
    <t>no tax rev</t>
  </si>
  <si>
    <t>est 1996</t>
  </si>
  <si>
    <t>Cost of Construction 7/97</t>
  </si>
  <si>
    <t>Face value of bonds issued</t>
  </si>
  <si>
    <t>Bonds issued at DR w/ Premium</t>
  </si>
  <si>
    <t>PV of future tax revenue</t>
  </si>
  <si>
    <t>ASSUMES ATTENDANCE DROPS WITH INCREASED PRICES - ELASTICITY = 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</si>
</sst>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8" formatCode="_(* #,##0_);_(* \(#,##0\);_(* &quot;-&quot;??_);_(@_)"/>
    <numFmt numFmtId="169" formatCode="0.0%"/>
    <numFmt numFmtId="170" formatCode="0\ &quot;mos&quot;"/>
    <numFmt numFmtId="171" formatCode="_(&quot;$&quot;* #,##0.0_);_(&quot;$&quot;* \(#,##0.0\);_(&quot;$&quot;* &quot;-&quot;??_);_(@_)"/>
    <numFmt numFmtId="172" formatCode="_(&quot;$&quot;* #,##0_);_(&quot;$&quot;* \(#,##0\);_(&quot;$&quot;* &quot;-&quot;??_);_(@_)"/>
    <numFmt numFmtId="181" formatCode="&quot;with &quot;0%&quot; tax&quot;"/>
    <numFmt numFmtId="182" formatCode="&quot;DR=&quot;0.00%"/>
    <numFmt numFmtId="183" formatCode="mm/yyyy"/>
    <numFmt numFmtId="184" formatCode="&quot;@ &quot;\&amp;0.00%"/>
  </numFmts>
  <fonts count="14" x14ac:knownFonts="1">
    <font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color indexed="57"/>
      <name val="Arial"/>
      <family val="2"/>
    </font>
    <font>
      <b/>
      <sz val="10"/>
      <color indexed="10"/>
      <name val="Arial"/>
      <family val="2"/>
    </font>
    <font>
      <sz val="9.5"/>
      <name val="Arial"/>
    </font>
    <font>
      <sz val="8"/>
      <name val="Arial"/>
    </font>
    <font>
      <sz val="10"/>
      <color indexed="10"/>
      <name val="Arial"/>
      <family val="2"/>
    </font>
    <font>
      <b/>
      <sz val="10"/>
      <color indexed="17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164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  <xf numFmtId="43" fontId="0" fillId="0" borderId="0" xfId="1" applyFont="1"/>
    <xf numFmtId="14" fontId="0" fillId="0" borderId="0" xfId="0" applyNumberFormat="1"/>
    <xf numFmtId="43" fontId="0" fillId="0" borderId="0" xfId="0" applyNumberFormat="1"/>
    <xf numFmtId="2" fontId="0" fillId="0" borderId="0" xfId="0" applyNumberFormat="1"/>
    <xf numFmtId="8" fontId="0" fillId="0" borderId="0" xfId="1" applyNumberFormat="1" applyFont="1"/>
    <xf numFmtId="0" fontId="3" fillId="0" borderId="0" xfId="0" applyFont="1"/>
    <xf numFmtId="17" fontId="0" fillId="0" borderId="0" xfId="0" applyNumberFormat="1"/>
    <xf numFmtId="8" fontId="0" fillId="0" borderId="0" xfId="0" applyNumberFormat="1"/>
    <xf numFmtId="168" fontId="0" fillId="0" borderId="0" xfId="1" applyNumberFormat="1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43" fontId="0" fillId="0" borderId="0" xfId="1" applyNumberFormat="1" applyFont="1"/>
    <xf numFmtId="168" fontId="0" fillId="0" borderId="0" xfId="0" applyNumberFormat="1"/>
    <xf numFmtId="9" fontId="0" fillId="0" borderId="0" xfId="3" applyFont="1"/>
    <xf numFmtId="9" fontId="0" fillId="0" borderId="0" xfId="0" applyNumberFormat="1"/>
    <xf numFmtId="0" fontId="0" fillId="0" borderId="0" xfId="0" applyAlignment="1">
      <alignment horizontal="center"/>
    </xf>
    <xf numFmtId="170" fontId="0" fillId="0" borderId="0" xfId="0" applyNumberFormat="1"/>
    <xf numFmtId="44" fontId="0" fillId="0" borderId="0" xfId="2" applyFont="1"/>
    <xf numFmtId="171" fontId="0" fillId="0" borderId="0" xfId="2" applyNumberFormat="1" applyFont="1"/>
    <xf numFmtId="172" fontId="0" fillId="0" borderId="0" xfId="2" applyNumberFormat="1" applyFont="1"/>
    <xf numFmtId="43" fontId="1" fillId="0" borderId="0" xfId="1"/>
    <xf numFmtId="168" fontId="0" fillId="0" borderId="1" xfId="1" applyNumberFormat="1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8" fontId="0" fillId="0" borderId="1" xfId="0" applyNumberFormat="1" applyBorder="1"/>
    <xf numFmtId="43" fontId="4" fillId="0" borderId="0" xfId="1" applyNumberFormat="1" applyFont="1" applyAlignment="1">
      <alignment horizontal="center"/>
    </xf>
    <xf numFmtId="169" fontId="0" fillId="0" borderId="0" xfId="3" applyNumberFormat="1" applyFont="1"/>
    <xf numFmtId="0" fontId="6" fillId="0" borderId="0" xfId="0" applyFont="1"/>
    <xf numFmtId="2" fontId="7" fillId="0" borderId="0" xfId="0" applyNumberFormat="1" applyFont="1"/>
    <xf numFmtId="2" fontId="8" fillId="0" borderId="0" xfId="0" applyNumberFormat="1" applyFont="1"/>
    <xf numFmtId="10" fontId="2" fillId="0" borderId="0" xfId="0" applyNumberFormat="1" applyFont="1"/>
    <xf numFmtId="10" fontId="0" fillId="0" borderId="0" xfId="0" applyNumberFormat="1"/>
    <xf numFmtId="43" fontId="2" fillId="0" borderId="0" xfId="1" applyFont="1"/>
    <xf numFmtId="10" fontId="6" fillId="0" borderId="0" xfId="0" applyNumberFormat="1" applyFont="1"/>
    <xf numFmtId="43" fontId="6" fillId="0" borderId="0" xfId="1" applyFont="1"/>
    <xf numFmtId="171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 wrapText="1"/>
    </xf>
    <xf numFmtId="9" fontId="2" fillId="0" borderId="0" xfId="0" applyNumberFormat="1" applyFont="1"/>
    <xf numFmtId="10" fontId="0" fillId="0" borderId="0" xfId="3" applyNumberFormat="1" applyFont="1"/>
    <xf numFmtId="43" fontId="0" fillId="0" borderId="0" xfId="0" applyNumberFormat="1" applyAlignment="1">
      <alignment horizontal="center"/>
    </xf>
    <xf numFmtId="9" fontId="0" fillId="0" borderId="0" xfId="3" applyNumberFormat="1" applyFont="1"/>
    <xf numFmtId="168" fontId="4" fillId="0" borderId="0" xfId="1" applyNumberFormat="1" applyFont="1"/>
    <xf numFmtId="182" fontId="4" fillId="0" borderId="0" xfId="3" applyNumberFormat="1" applyFont="1" applyAlignment="1">
      <alignment horizontal="center"/>
    </xf>
    <xf numFmtId="168" fontId="4" fillId="0" borderId="0" xfId="0" applyNumberFormat="1" applyFont="1"/>
    <xf numFmtId="10" fontId="2" fillId="0" borderId="0" xfId="3" applyNumberFormat="1" applyFont="1"/>
    <xf numFmtId="2" fontId="0" fillId="0" borderId="0" xfId="0" applyNumberFormat="1" applyBorder="1"/>
    <xf numFmtId="0" fontId="0" fillId="0" borderId="0" xfId="0" applyBorder="1"/>
    <xf numFmtId="0" fontId="7" fillId="0" borderId="0" xfId="0" applyFont="1"/>
    <xf numFmtId="2" fontId="11" fillId="0" borderId="0" xfId="0" applyNumberFormat="1" applyFont="1"/>
    <xf numFmtId="0" fontId="8" fillId="0" borderId="0" xfId="0" applyFont="1"/>
    <xf numFmtId="0" fontId="11" fillId="0" borderId="0" xfId="0" applyFont="1"/>
    <xf numFmtId="0" fontId="12" fillId="0" borderId="0" xfId="0" applyFont="1"/>
    <xf numFmtId="2" fontId="12" fillId="0" borderId="0" xfId="0" applyNumberFormat="1" applyFont="1"/>
    <xf numFmtId="183" fontId="0" fillId="0" borderId="0" xfId="0" applyNumberFormat="1"/>
    <xf numFmtId="10" fontId="4" fillId="0" borderId="0" xfId="3" applyNumberFormat="1" applyFont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2" xfId="0" applyBorder="1"/>
    <xf numFmtId="2" fontId="0" fillId="0" borderId="2" xfId="0" applyNumberFormat="1" applyBorder="1"/>
    <xf numFmtId="44" fontId="0" fillId="0" borderId="0" xfId="2" applyNumberFormat="1" applyFont="1"/>
    <xf numFmtId="14" fontId="13" fillId="0" borderId="0" xfId="0" applyNumberFormat="1" applyFont="1"/>
    <xf numFmtId="0" fontId="6" fillId="0" borderId="0" xfId="0" applyFont="1" applyBorder="1" applyAlignment="1">
      <alignment horizontal="center"/>
    </xf>
    <xf numFmtId="10" fontId="4" fillId="0" borderId="0" xfId="0" applyNumberFormat="1" applyFont="1"/>
    <xf numFmtId="10" fontId="6" fillId="0" borderId="0" xfId="3" applyNumberFormat="1" applyFont="1"/>
    <xf numFmtId="184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181" fontId="4" fillId="0" borderId="0" xfId="3" applyNumberFormat="1" applyFont="1" applyAlignment="1">
      <alignment horizontal="center"/>
    </xf>
    <xf numFmtId="181" fontId="4" fillId="0" borderId="0" xfId="3" applyNumberFormat="1" applyFont="1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Price Elasticity</a:t>
            </a:r>
          </a:p>
        </c:rich>
      </c:tx>
      <c:layout>
        <c:manualLayout>
          <c:xMode val="edge"/>
          <c:yMode val="edge"/>
          <c:x val="0.44364012409513959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025853154084798"/>
          <c:y val="9.152542372881356E-2"/>
          <c:w val="0.42399172699069287"/>
          <c:h val="0.801694915254237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'chart data'!$E$3</c:f>
              <c:strCache>
                <c:ptCount val="1"/>
                <c:pt idx="0">
                  <c:v>%changeQ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1"/>
              <c:layout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48%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51%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40%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51%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44% win, 1st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55% win, post losing yr - 2nd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53% win, post winning yr - 3rd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'chart data'!$D$4:$D$11</c:f>
              <c:numCache>
                <c:formatCode>0%</c:formatCode>
                <c:ptCount val="8"/>
                <c:pt idx="1">
                  <c:v>1.6561964591661926E-2</c:v>
                </c:pt>
                <c:pt idx="2">
                  <c:v>-0.13139522199192755</c:v>
                </c:pt>
                <c:pt idx="3">
                  <c:v>0.35343158921522333</c:v>
                </c:pt>
                <c:pt idx="4">
                  <c:v>-2.5846234584098737E-2</c:v>
                </c:pt>
                <c:pt idx="5">
                  <c:v>0.29231909167184233</c:v>
                </c:pt>
                <c:pt idx="6">
                  <c:v>-0.10935018582491507</c:v>
                </c:pt>
                <c:pt idx="7">
                  <c:v>0.10115648201027971</c:v>
                </c:pt>
              </c:numCache>
            </c:numRef>
          </c:xVal>
          <c:yVal>
            <c:numRef>
              <c:f>'chart data'!$E$4:$E$11</c:f>
              <c:numCache>
                <c:formatCode>0%</c:formatCode>
                <c:ptCount val="8"/>
                <c:pt idx="1">
                  <c:v>0.16275733000623838</c:v>
                </c:pt>
                <c:pt idx="2">
                  <c:v>0.40186601023453594</c:v>
                </c:pt>
                <c:pt idx="3">
                  <c:v>-0.21974309421155203</c:v>
                </c:pt>
                <c:pt idx="4">
                  <c:v>0.24249454098890766</c:v>
                </c:pt>
                <c:pt idx="5">
                  <c:v>-9.3135326945936736E-3</c:v>
                </c:pt>
                <c:pt idx="6">
                  <c:v>-0.10304450685600686</c:v>
                </c:pt>
                <c:pt idx="7">
                  <c:v>0.49392852441753332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16064"/>
        <c:axId val="159016624"/>
      </c:scatterChart>
      <c:valAx>
        <c:axId val="15901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Change Quantity</a:t>
                </a:r>
              </a:p>
            </c:rich>
          </c:tx>
          <c:layout>
            <c:manualLayout>
              <c:xMode val="edge"/>
              <c:yMode val="edge"/>
              <c:x val="0.40744570837642191"/>
              <c:y val="0.9389830508474575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016624"/>
        <c:crossesAt val="-0.3"/>
        <c:crossBetween val="midCat"/>
      </c:valAx>
      <c:valAx>
        <c:axId val="159016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Change Price</a:t>
                </a:r>
              </a:p>
            </c:rich>
          </c:tx>
          <c:layout>
            <c:manualLayout>
              <c:xMode val="edge"/>
              <c:yMode val="edge"/>
              <c:x val="0.21302998965873837"/>
              <c:y val="0.4169491525423728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016064"/>
        <c:crossesAt val="0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0522" cy="561033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14" workbookViewId="0">
      <selection activeCell="C32" sqref="C32"/>
    </sheetView>
  </sheetViews>
  <sheetFormatPr defaultRowHeight="12.75" x14ac:dyDescent="0.2"/>
  <cols>
    <col min="1" max="1" width="13.5703125" customWidth="1"/>
    <col min="2" max="2" width="10" customWidth="1"/>
    <col min="3" max="3" width="15" bestFit="1" customWidth="1"/>
    <col min="4" max="4" width="12.85546875" bestFit="1" customWidth="1"/>
    <col min="5" max="5" width="10.140625" bestFit="1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t="s">
        <v>2</v>
      </c>
    </row>
    <row r="4" spans="1:8" x14ac:dyDescent="0.2">
      <c r="A4" t="s">
        <v>6</v>
      </c>
    </row>
    <row r="5" spans="1:8" x14ac:dyDescent="0.2">
      <c r="A5" t="s">
        <v>3</v>
      </c>
      <c r="B5" s="22">
        <v>363.5</v>
      </c>
    </row>
    <row r="6" spans="1:8" x14ac:dyDescent="0.2">
      <c r="A6" s="3" t="s">
        <v>4</v>
      </c>
      <c r="B6" s="22">
        <f>384-45</f>
        <v>339</v>
      </c>
      <c r="C6" t="s">
        <v>8</v>
      </c>
      <c r="E6" t="s">
        <v>12</v>
      </c>
    </row>
    <row r="7" spans="1:8" ht="25.5" customHeight="1" x14ac:dyDescent="0.2">
      <c r="A7" s="42" t="s">
        <v>50</v>
      </c>
      <c r="B7" s="20">
        <v>30</v>
      </c>
      <c r="C7" t="s">
        <v>51</v>
      </c>
      <c r="D7" s="10"/>
    </row>
    <row r="8" spans="1:8" x14ac:dyDescent="0.2">
      <c r="A8" s="3"/>
      <c r="B8" s="23">
        <f>B6/B7</f>
        <v>11.3</v>
      </c>
      <c r="D8" s="10"/>
    </row>
    <row r="9" spans="1:8" x14ac:dyDescent="0.2">
      <c r="A9" s="3" t="s">
        <v>5</v>
      </c>
      <c r="B9" s="1">
        <v>45</v>
      </c>
    </row>
    <row r="10" spans="1:8" x14ac:dyDescent="0.2">
      <c r="B10" s="2"/>
    </row>
    <row r="11" spans="1:8" x14ac:dyDescent="0.2">
      <c r="B11" s="2"/>
    </row>
    <row r="13" spans="1:8" x14ac:dyDescent="0.2">
      <c r="B13" s="21"/>
    </row>
    <row r="15" spans="1:8" x14ac:dyDescent="0.2">
      <c r="A15" t="s">
        <v>48</v>
      </c>
      <c r="C15" s="35">
        <v>4.8800000000000003E-2</v>
      </c>
      <c r="D15" s="38">
        <f>DiscRate-0.0025</f>
        <v>4.6300000000000001E-2</v>
      </c>
      <c r="E15" s="38">
        <f>DiscRate-0.005</f>
        <v>4.3800000000000006E-2</v>
      </c>
      <c r="F15" s="38">
        <f>DiscRate+0.0025</f>
        <v>5.1300000000000005E-2</v>
      </c>
      <c r="G15" s="38">
        <f>DiscRate+0.005</f>
        <v>5.3800000000000001E-2</v>
      </c>
      <c r="H15" s="38">
        <f>DiscRate+0.0075</f>
        <v>5.6300000000000003E-2</v>
      </c>
    </row>
    <row r="16" spans="1:8" x14ac:dyDescent="0.2">
      <c r="C16" s="36"/>
      <c r="D16" s="36"/>
      <c r="E16" s="36"/>
      <c r="F16" s="36"/>
      <c r="G16" s="36"/>
      <c r="H16" s="36"/>
    </row>
    <row r="17" spans="1:10" x14ac:dyDescent="0.2">
      <c r="A17" s="5"/>
      <c r="C17" s="36"/>
      <c r="D17" s="36"/>
      <c r="E17" s="36"/>
      <c r="F17" s="36"/>
      <c r="G17" s="36"/>
      <c r="H17" s="36"/>
    </row>
    <row r="18" spans="1:10" x14ac:dyDescent="0.2">
      <c r="A18" s="5" t="s">
        <v>64</v>
      </c>
      <c r="C18" s="36"/>
      <c r="D18" s="36"/>
      <c r="E18" s="36"/>
      <c r="F18" s="36"/>
      <c r="G18" s="36"/>
      <c r="H18" s="36"/>
    </row>
    <row r="19" spans="1:10" x14ac:dyDescent="0.2">
      <c r="B19" t="s">
        <v>63</v>
      </c>
      <c r="C19" s="37">
        <v>0.6</v>
      </c>
      <c r="D19" s="39">
        <f>$C$19</f>
        <v>0.6</v>
      </c>
      <c r="E19" s="39">
        <f>$C$19</f>
        <v>0.6</v>
      </c>
      <c r="F19" s="39">
        <f>$C$19</f>
        <v>0.6</v>
      </c>
      <c r="G19" s="39">
        <f>$C$19</f>
        <v>0.6</v>
      </c>
      <c r="H19" s="39">
        <f>$C$19</f>
        <v>0.6</v>
      </c>
    </row>
    <row r="20" spans="1:10" x14ac:dyDescent="0.2">
      <c r="B20" t="s">
        <v>61</v>
      </c>
      <c r="C20" s="6">
        <f>C19/POWER(1+DiscRate,21.5)</f>
        <v>0.21540642783562447</v>
      </c>
      <c r="D20" s="6">
        <f>D19/POWER(1+discrate2,21.5)</f>
        <v>0.22674744703982064</v>
      </c>
      <c r="E20" s="6">
        <f>E19/POWER(1+DiscRate3,21.5)</f>
        <v>0.23871486359256694</v>
      </c>
      <c r="F20" s="6">
        <f>F19/POWER(1+DiscRate4,21.5)</f>
        <v>0.20465764175019699</v>
      </c>
      <c r="G20" s="6">
        <f>G19/POWER(1+DiscRate5,21.5)</f>
        <v>0.19446886267447069</v>
      </c>
      <c r="H20" s="6">
        <f>H19/POWER(1+DiscRate6,21.5)</f>
        <v>0.18480968844912118</v>
      </c>
    </row>
    <row r="22" spans="1:10" x14ac:dyDescent="0.2">
      <c r="A22" t="s">
        <v>11</v>
      </c>
      <c r="C22" s="7"/>
    </row>
    <row r="23" spans="1:10" x14ac:dyDescent="0.2">
      <c r="B23" s="3" t="s">
        <v>49</v>
      </c>
      <c r="C23" s="40">
        <f>B6</f>
        <v>339</v>
      </c>
      <c r="J23" s="10"/>
    </row>
    <row r="24" spans="1:10" x14ac:dyDescent="0.2">
      <c r="A24" s="9"/>
      <c r="B24" s="41" t="s">
        <v>52</v>
      </c>
      <c r="C24" s="51">
        <f>-PV(DiscRate/12,$B$7,$B$6/$B$7,,0)</f>
        <v>318.52835153629991</v>
      </c>
      <c r="D24" s="7">
        <f>-PV(discrate2/12,$B$7,$B$6/$B$7,,0)</f>
        <v>319.53488163322675</v>
      </c>
      <c r="E24" s="7">
        <f>-PV(DiscRate3/12,$B$7,$B$6/$B$7,,0)</f>
        <v>320.54583590625344</v>
      </c>
      <c r="F24" s="7">
        <f>-PV(DiscRate4/12,$B$7,$B$6/$B$7,,0)</f>
        <v>317.52622308253854</v>
      </c>
      <c r="G24" s="7">
        <f>-PV(DiscRate5/12,$B$7,$B$6/$B$7,,0)</f>
        <v>316.52847386532915</v>
      </c>
      <c r="H24" s="7">
        <f>-PV(DiscRate6/12,$B$7,$B$6/$B$7,,0)</f>
        <v>315.53508160360451</v>
      </c>
      <c r="J24" s="10"/>
    </row>
    <row r="25" spans="1:10" x14ac:dyDescent="0.2">
      <c r="C25" s="52"/>
      <c r="J25" s="4"/>
    </row>
    <row r="26" spans="1:10" x14ac:dyDescent="0.2">
      <c r="A26" t="s">
        <v>10</v>
      </c>
      <c r="J26" s="4"/>
    </row>
    <row r="27" spans="1:10" x14ac:dyDescent="0.2">
      <c r="B27" t="s">
        <v>13</v>
      </c>
    </row>
    <row r="28" spans="1:10" x14ac:dyDescent="0.2">
      <c r="B28" t="s">
        <v>62</v>
      </c>
      <c r="C28" s="8">
        <f>PV(DiscRate/2,40,-0.35)</f>
        <v>8.875419668267579</v>
      </c>
      <c r="D28" s="8">
        <f>PV(discrate2/2,40,-0.35)</f>
        <v>9.0661524216024354</v>
      </c>
      <c r="E28" s="8">
        <f>PV(DiscRate3/2,40,-0.35)</f>
        <v>9.2629931760068427</v>
      </c>
      <c r="F28" s="8">
        <f>PV(DiscRate4/2,40,-0.35)</f>
        <v>8.6905705275883172</v>
      </c>
      <c r="G28" s="8">
        <f>PV(DiscRate5/2,40,-0.35)</f>
        <v>8.5113897301320609</v>
      </c>
      <c r="H28" s="8">
        <f>PV(DiscRate6/2,40,-0.35)</f>
        <v>8.3376707277859321</v>
      </c>
    </row>
    <row r="29" spans="1:10" x14ac:dyDescent="0.2">
      <c r="B29" s="5" t="s">
        <v>61</v>
      </c>
      <c r="C29" s="6">
        <f>C28/POWER(1+DiscRate,20/12)</f>
        <v>8.1978713712285067</v>
      </c>
      <c r="D29" s="11">
        <f>D28/POWER(1+discrate2,20/12)</f>
        <v>8.407418009164715</v>
      </c>
      <c r="E29" s="11">
        <f>E28/POWER(1+DiscRate3,20/12)</f>
        <v>8.6242735492764666</v>
      </c>
      <c r="F29" s="11">
        <f>F28/POWER(1+DiscRate4,20/12)</f>
        <v>7.9953444974546324</v>
      </c>
      <c r="G29" s="11">
        <f>G28/POWER(1+DiscRate5,20/12)</f>
        <v>7.7995608965936816</v>
      </c>
      <c r="H29" s="11">
        <f>H28/POWER(1+DiscRate6,20/12)</f>
        <v>7.6102561303459213</v>
      </c>
    </row>
    <row r="30" spans="1:10" x14ac:dyDescent="0.2">
      <c r="B30" s="5"/>
      <c r="C30" s="6"/>
      <c r="D30" s="11"/>
      <c r="E30" s="6"/>
      <c r="F30" s="11"/>
      <c r="G30" s="11"/>
      <c r="H30" s="11"/>
    </row>
    <row r="31" spans="1:10" x14ac:dyDescent="0.2">
      <c r="A31" s="5" t="s">
        <v>18</v>
      </c>
      <c r="C31" s="6">
        <f t="shared" ref="C31:H31" si="0">C20+C29-C24</f>
        <v>-310.11507373723578</v>
      </c>
      <c r="D31" s="6">
        <f t="shared" si="0"/>
        <v>-310.90071617702222</v>
      </c>
      <c r="E31" s="6">
        <f t="shared" si="0"/>
        <v>-311.68284749338443</v>
      </c>
      <c r="F31" s="6">
        <f t="shared" si="0"/>
        <v>-309.32622094333368</v>
      </c>
      <c r="G31" s="6">
        <f t="shared" si="0"/>
        <v>-308.53444410606102</v>
      </c>
      <c r="H31" s="6">
        <f t="shared" si="0"/>
        <v>-307.74001578480949</v>
      </c>
    </row>
    <row r="32" spans="1:10" x14ac:dyDescent="0.2">
      <c r="A32" s="5" t="s">
        <v>24</v>
      </c>
      <c r="C32" s="6">
        <f>tixdr0/1000000</f>
        <v>597.45071180101036</v>
      </c>
      <c r="D32" s="6">
        <f>tixdr2/1000000</f>
        <v>613.41216537330479</v>
      </c>
      <c r="E32" s="6">
        <f>tixdr3/1000000</f>
        <v>629.96010714159831</v>
      </c>
      <c r="F32" s="6">
        <f>tixdr4/1000000</f>
        <v>582.05140886726349</v>
      </c>
      <c r="G32" s="6">
        <f>tixdr5/1000000</f>
        <v>567.19103962513952</v>
      </c>
      <c r="H32" s="6">
        <f>tixdr6/1000000</f>
        <v>552.84745192505795</v>
      </c>
    </row>
    <row r="33" spans="1:8" x14ac:dyDescent="0.2">
      <c r="A33" s="5" t="s">
        <v>33</v>
      </c>
      <c r="C33" s="17">
        <f>-C$31/C32</f>
        <v>0.51906386185798725</v>
      </c>
      <c r="D33" s="17">
        <f>-D31/D32</f>
        <v>0.50683819742606029</v>
      </c>
      <c r="E33" s="17">
        <f>-E31/E32</f>
        <v>0.49476600813283944</v>
      </c>
      <c r="F33" s="17">
        <f>-F31/F32</f>
        <v>0.53144140917950322</v>
      </c>
      <c r="G33" s="17">
        <f>-G31/G32</f>
        <v>0.54396917890306162</v>
      </c>
      <c r="H33" s="17">
        <f>-H31/H32</f>
        <v>0.55664544480260281</v>
      </c>
    </row>
    <row r="34" spans="1:8" x14ac:dyDescent="0.2">
      <c r="A34" s="65" t="s">
        <v>66</v>
      </c>
      <c r="E34" s="6"/>
    </row>
    <row r="35" spans="1:8" x14ac:dyDescent="0.2">
      <c r="A35" s="5" t="s">
        <v>24</v>
      </c>
      <c r="C35" s="6">
        <f>attendance!F49/1000000</f>
        <v>554.25233438950124</v>
      </c>
      <c r="D35" s="6"/>
      <c r="E35" s="6">
        <f>attendance!J49/1000000</f>
        <v>592.22326032161072</v>
      </c>
      <c r="F35" s="6"/>
      <c r="G35" s="6">
        <f>attendance!N49/1000000</f>
        <v>518.44972948388977</v>
      </c>
      <c r="H35" s="6"/>
    </row>
    <row r="36" spans="1:8" x14ac:dyDescent="0.2">
      <c r="A36" s="5" t="s">
        <v>33</v>
      </c>
      <c r="C36" s="17">
        <f>-C$31/C35</f>
        <v>0.55951965286501104</v>
      </c>
      <c r="D36" s="17"/>
      <c r="E36" s="17">
        <f>-E$31/E35</f>
        <v>0.52629281619928781</v>
      </c>
      <c r="F36" s="17"/>
      <c r="G36" s="17">
        <f>-G$31/G35</f>
        <v>0.595109663598828</v>
      </c>
      <c r="H36" s="17"/>
    </row>
    <row r="37" spans="1:8" x14ac:dyDescent="0.2">
      <c r="A37" s="6"/>
    </row>
    <row r="39" spans="1:8" x14ac:dyDescent="0.2">
      <c r="B39" s="14" t="s">
        <v>15</v>
      </c>
      <c r="C39" s="14" t="s">
        <v>16</v>
      </c>
      <c r="D39" s="13" t="s">
        <v>72</v>
      </c>
    </row>
    <row r="40" spans="1:8" x14ac:dyDescent="0.2">
      <c r="A40" s="66" t="s">
        <v>14</v>
      </c>
      <c r="B40" s="12">
        <v>1507319</v>
      </c>
      <c r="C40" s="12">
        <v>1686234</v>
      </c>
      <c r="D40" s="12">
        <f>(C40*6+B40*4)/10</f>
        <v>1614668</v>
      </c>
    </row>
    <row r="41" spans="1:8" x14ac:dyDescent="0.2">
      <c r="A41" t="s">
        <v>19</v>
      </c>
      <c r="B41" s="7">
        <v>2.4</v>
      </c>
      <c r="C41">
        <v>2.34</v>
      </c>
      <c r="D41" s="15">
        <f>(C41*6+B41*4)/10</f>
        <v>2.3639999999999999</v>
      </c>
    </row>
    <row r="42" spans="1:8" x14ac:dyDescent="0.2">
      <c r="D42" s="12"/>
    </row>
    <row r="43" spans="1:8" x14ac:dyDescent="0.2">
      <c r="A43" t="s">
        <v>48</v>
      </c>
      <c r="C43" s="35">
        <v>4.8800000000000003E-2</v>
      </c>
      <c r="D43" s="67">
        <f>DiscRate-0.0025</f>
        <v>4.6300000000000001E-2</v>
      </c>
      <c r="E43" s="67">
        <f>DiscRate-0.005</f>
        <v>4.3800000000000006E-2</v>
      </c>
      <c r="F43" s="67">
        <f>DiscRate+0.0025</f>
        <v>5.1300000000000005E-2</v>
      </c>
      <c r="G43" s="67">
        <f>DiscRate+0.005</f>
        <v>5.3800000000000001E-2</v>
      </c>
      <c r="H43" s="67">
        <f>DiscRate+0.0075</f>
        <v>5.6300000000000003E-2</v>
      </c>
    </row>
    <row r="44" spans="1:8" x14ac:dyDescent="0.2">
      <c r="A44" s="26" t="s">
        <v>17</v>
      </c>
      <c r="C44" s="21">
        <f t="shared" ref="C44:H44" si="1">C24*1000000/$D$40</f>
        <v>197.27173111518894</v>
      </c>
      <c r="D44" s="21">
        <f t="shared" si="1"/>
        <v>197.89509771248748</v>
      </c>
      <c r="E44" s="21">
        <f t="shared" si="1"/>
        <v>198.52120430097918</v>
      </c>
      <c r="F44" s="21">
        <f t="shared" si="1"/>
        <v>196.65109055393341</v>
      </c>
      <c r="G44" s="21">
        <f t="shared" si="1"/>
        <v>196.03316215180405</v>
      </c>
      <c r="H44" s="21">
        <f t="shared" si="1"/>
        <v>195.41793210963772</v>
      </c>
    </row>
    <row r="45" spans="1:8" x14ac:dyDescent="0.2">
      <c r="A45" t="s">
        <v>19</v>
      </c>
      <c r="C45" s="6">
        <f t="shared" ref="C45:H45" si="2">$D$41</f>
        <v>2.3639999999999999</v>
      </c>
      <c r="D45" s="6">
        <f t="shared" si="2"/>
        <v>2.3639999999999999</v>
      </c>
      <c r="E45" s="6">
        <f t="shared" si="2"/>
        <v>2.3639999999999999</v>
      </c>
      <c r="F45" s="6">
        <f t="shared" si="2"/>
        <v>2.3639999999999999</v>
      </c>
      <c r="G45" s="6">
        <f t="shared" si="2"/>
        <v>2.3639999999999999</v>
      </c>
      <c r="H45" s="6">
        <f t="shared" si="2"/>
        <v>2.3639999999999999</v>
      </c>
    </row>
    <row r="46" spans="1:8" x14ac:dyDescent="0.2">
      <c r="A46" s="26" t="s">
        <v>20</v>
      </c>
      <c r="C46" s="21">
        <f t="shared" ref="C46:H46" si="3">C44*C45</f>
        <v>466.35037235630665</v>
      </c>
      <c r="D46" s="21">
        <f t="shared" si="3"/>
        <v>467.82401099232038</v>
      </c>
      <c r="E46" s="21">
        <f t="shared" si="3"/>
        <v>469.30412696751478</v>
      </c>
      <c r="F46" s="21">
        <f t="shared" si="3"/>
        <v>464.88317806949857</v>
      </c>
      <c r="G46" s="21">
        <f t="shared" si="3"/>
        <v>463.42239532686477</v>
      </c>
      <c r="H46" s="21">
        <f t="shared" si="3"/>
        <v>461.96799150718357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&amp;C&amp;A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8" workbookViewId="0">
      <selection activeCell="H35" sqref="H35"/>
    </sheetView>
  </sheetViews>
  <sheetFormatPr defaultRowHeight="12.75" x14ac:dyDescent="0.2"/>
  <cols>
    <col min="1" max="1" width="13.5703125" customWidth="1"/>
    <col min="2" max="2" width="10.85546875" customWidth="1"/>
    <col min="3" max="3" width="15.28515625" bestFit="1" customWidth="1"/>
    <col min="4" max="4" width="13.140625" bestFit="1" customWidth="1"/>
    <col min="5" max="8" width="10.5703125" bestFit="1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t="s">
        <v>2</v>
      </c>
    </row>
    <row r="4" spans="1:8" x14ac:dyDescent="0.2">
      <c r="A4" t="s">
        <v>6</v>
      </c>
    </row>
    <row r="5" spans="1:8" x14ac:dyDescent="0.2">
      <c r="A5" t="s">
        <v>3</v>
      </c>
      <c r="B5" s="22">
        <v>363.5</v>
      </c>
    </row>
    <row r="6" spans="1:8" x14ac:dyDescent="0.2">
      <c r="A6" s="3" t="s">
        <v>4</v>
      </c>
      <c r="B6" s="22">
        <f>384-45</f>
        <v>339</v>
      </c>
      <c r="C6" t="s">
        <v>8</v>
      </c>
      <c r="E6" t="s">
        <v>12</v>
      </c>
    </row>
    <row r="7" spans="1:8" ht="25.5" customHeight="1" x14ac:dyDescent="0.2">
      <c r="A7" s="42" t="s">
        <v>50</v>
      </c>
      <c r="B7" s="20">
        <v>30</v>
      </c>
      <c r="C7" t="s">
        <v>51</v>
      </c>
      <c r="D7" s="10"/>
    </row>
    <row r="8" spans="1:8" x14ac:dyDescent="0.2">
      <c r="A8" s="3" t="s">
        <v>41</v>
      </c>
      <c r="B8" s="64">
        <f>B6/B7</f>
        <v>11.3</v>
      </c>
      <c r="D8" s="10"/>
    </row>
    <row r="9" spans="1:8" x14ac:dyDescent="0.2">
      <c r="A9" s="3"/>
      <c r="B9" s="1"/>
    </row>
    <row r="10" spans="1:8" x14ac:dyDescent="0.2">
      <c r="B10" s="2"/>
    </row>
    <row r="11" spans="1:8" x14ac:dyDescent="0.2">
      <c r="B11" s="2"/>
    </row>
    <row r="15" spans="1:8" x14ac:dyDescent="0.2">
      <c r="A15" t="s">
        <v>7</v>
      </c>
      <c r="C15" s="35">
        <v>4.8800000000000003E-2</v>
      </c>
      <c r="D15" s="38">
        <f>DiscRate-0.0025</f>
        <v>4.6300000000000001E-2</v>
      </c>
      <c r="E15" s="38">
        <f>DiscRate-0.005</f>
        <v>4.3800000000000006E-2</v>
      </c>
      <c r="F15" s="38">
        <f>DiscRate+0.0025</f>
        <v>5.1300000000000005E-2</v>
      </c>
      <c r="G15" s="38">
        <f>DiscRate+0.005</f>
        <v>5.3800000000000001E-2</v>
      </c>
      <c r="H15" s="38">
        <f>DiscRate+0.0075</f>
        <v>5.6300000000000003E-2</v>
      </c>
    </row>
    <row r="16" spans="1:8" x14ac:dyDescent="0.2">
      <c r="A16" t="s">
        <v>37</v>
      </c>
      <c r="C16" s="50">
        <v>5.7000000000000002E-2</v>
      </c>
      <c r="D16" s="68">
        <f>discrate2+($C$16-DiscRate)</f>
        <v>5.45E-2</v>
      </c>
      <c r="E16" s="68">
        <f>DiscRate3+($C$16-DiscRate)</f>
        <v>5.2000000000000005E-2</v>
      </c>
      <c r="F16" s="68">
        <f>DiscRate4+($C$16-DiscRate)</f>
        <v>5.9500000000000004E-2</v>
      </c>
      <c r="G16" s="68">
        <f>DiscRate5+($C$16-DiscRate)</f>
        <v>6.2E-2</v>
      </c>
      <c r="H16" s="68">
        <f>DiscRate6+($C$16-DiscRate)</f>
        <v>6.4500000000000002E-2</v>
      </c>
    </row>
    <row r="17" spans="1:10" x14ac:dyDescent="0.2">
      <c r="C17" s="7"/>
    </row>
    <row r="18" spans="1:10" x14ac:dyDescent="0.2">
      <c r="A18" s="5" t="s">
        <v>64</v>
      </c>
      <c r="C18" s="36"/>
      <c r="D18" s="36"/>
      <c r="E18" s="36"/>
      <c r="F18" s="36"/>
      <c r="G18" s="36"/>
      <c r="H18" s="36"/>
    </row>
    <row r="19" spans="1:10" x14ac:dyDescent="0.2">
      <c r="B19" t="s">
        <v>63</v>
      </c>
      <c r="C19" s="37">
        <v>0.6</v>
      </c>
      <c r="D19" s="39">
        <f>$C$19</f>
        <v>0.6</v>
      </c>
      <c r="E19" s="39">
        <f>$C$19</f>
        <v>0.6</v>
      </c>
      <c r="F19" s="39">
        <f>$C$19</f>
        <v>0.6</v>
      </c>
      <c r="G19" s="39">
        <f>$C$19</f>
        <v>0.6</v>
      </c>
      <c r="H19" s="39">
        <f>$C$19</f>
        <v>0.6</v>
      </c>
    </row>
    <row r="20" spans="1:10" x14ac:dyDescent="0.2">
      <c r="B20" t="s">
        <v>61</v>
      </c>
      <c r="C20" s="6">
        <f>C19/POWER(1+DiscRate,21.5)</f>
        <v>0.21540642783562447</v>
      </c>
      <c r="D20" s="6">
        <f>D19/POWER(1+discrate2,21.5)</f>
        <v>0.22674744703982064</v>
      </c>
      <c r="E20" s="6">
        <f>E19/POWER(1+DiscRate3,21.5)</f>
        <v>0.23871486359256694</v>
      </c>
      <c r="F20" s="6">
        <f>F19/POWER(1+DiscRate4,21.5)</f>
        <v>0.20465764175019699</v>
      </c>
      <c r="G20" s="6">
        <f>G19/POWER(1+DiscRate5,21.5)</f>
        <v>0.19446886267447069</v>
      </c>
      <c r="H20" s="6">
        <f>H19/POWER(1+DiscRate6,21.5)</f>
        <v>0.18480968844912118</v>
      </c>
    </row>
    <row r="21" spans="1:10" x14ac:dyDescent="0.2">
      <c r="C21" s="6"/>
      <c r="D21" s="6"/>
      <c r="E21" s="6"/>
      <c r="F21" s="6"/>
      <c r="G21" s="6"/>
      <c r="H21" s="6"/>
    </row>
    <row r="22" spans="1:10" x14ac:dyDescent="0.2">
      <c r="A22" t="s">
        <v>11</v>
      </c>
    </row>
    <row r="23" spans="1:10" x14ac:dyDescent="0.2">
      <c r="B23" s="3" t="s">
        <v>49</v>
      </c>
      <c r="C23" s="7">
        <v>339</v>
      </c>
      <c r="D23" s="7"/>
      <c r="E23" s="7"/>
      <c r="F23" s="7"/>
      <c r="G23" s="7"/>
      <c r="H23" s="7"/>
      <c r="J23" s="10"/>
    </row>
    <row r="24" spans="1:10" x14ac:dyDescent="0.2">
      <c r="A24" s="9"/>
      <c r="B24" s="41" t="s">
        <v>73</v>
      </c>
      <c r="C24" s="7">
        <f>-PV(DiscRate/12,$B$7,$B$6/$B$7,,0)</f>
        <v>318.52835153629991</v>
      </c>
      <c r="D24" s="7">
        <f>-PV(discrate2/12,$B$7,$B$6/$B$7,,0)</f>
        <v>319.53488163322675</v>
      </c>
      <c r="E24" s="7">
        <f>-PV(DiscRate3/12,$B$7,$B$6/$B$7,,0)</f>
        <v>320.54583590625344</v>
      </c>
      <c r="F24" s="7">
        <f>-PV(DiscRate4/12,$B$7,$B$6/$B$7,,0)</f>
        <v>317.52622308253854</v>
      </c>
      <c r="G24" s="7">
        <f>-PV(DiscRate5/12,$B$7,$B$6/$B$7,,0)</f>
        <v>316.52847386532915</v>
      </c>
      <c r="H24" s="7">
        <f>-PV(DiscRate6/12,$B$7,$B$6/$B$7,,0)</f>
        <v>315.53508160360451</v>
      </c>
      <c r="J24" s="10"/>
    </row>
    <row r="25" spans="1:10" x14ac:dyDescent="0.2">
      <c r="A25" s="9"/>
      <c r="B25" s="41"/>
      <c r="C25" s="7"/>
      <c r="D25" s="7"/>
      <c r="E25" s="7"/>
      <c r="F25" s="7"/>
      <c r="G25" s="7"/>
      <c r="H25" s="7"/>
      <c r="J25" s="10"/>
    </row>
    <row r="26" spans="1:10" x14ac:dyDescent="0.2">
      <c r="A26" s="32" t="s">
        <v>75</v>
      </c>
      <c r="B26" s="41"/>
      <c r="C26" s="7"/>
      <c r="D26" s="7"/>
      <c r="E26" s="7"/>
      <c r="F26" s="7"/>
      <c r="G26" s="7"/>
      <c r="H26" s="7"/>
      <c r="J26" s="10"/>
    </row>
    <row r="27" spans="1:10" x14ac:dyDescent="0.2">
      <c r="A27" s="32" t="s">
        <v>76</v>
      </c>
      <c r="B27" s="41"/>
      <c r="C27" s="7">
        <f>'tax rev'!C23/1000000</f>
        <v>350.47254933445214</v>
      </c>
      <c r="D27" s="7">
        <f>'tax rev'!D23/1000000</f>
        <v>358.00885115460517</v>
      </c>
      <c r="E27" s="7">
        <f>'tax rev'!E23/1000000</f>
        <v>365.78832882535619</v>
      </c>
      <c r="F27" s="7">
        <f>'tax rev'!F23/1000000</f>
        <v>343.17042928153199</v>
      </c>
      <c r="G27" s="7">
        <f>'tax rev'!G23/1000000</f>
        <v>336.09386837468276</v>
      </c>
      <c r="H27" s="7">
        <f>'tax rev'!H23/1000000</f>
        <v>329.2345987776576</v>
      </c>
      <c r="J27" s="10"/>
    </row>
    <row r="28" spans="1:10" x14ac:dyDescent="0.2">
      <c r="A28" t="s">
        <v>74</v>
      </c>
      <c r="B28" s="7"/>
      <c r="C28" s="7">
        <f>('tax rev'!C23/(C16/DiscRate*(1-POWER(1+DiscRate,-20))+POWER(1+DiscRate,-20)))/1000000</f>
        <v>317.67630181747052</v>
      </c>
      <c r="D28" s="7">
        <f>('tax rev'!D23/(D16/discrate2*(1-POWER(1+discrate2,-20))+POWER(1+discrate2,-20)))/1000000</f>
        <v>323.85110276196554</v>
      </c>
      <c r="E28" s="7">
        <f>('tax rev'!E23/(E16/DiscRate3*(1-POWER(1+DiscRate3,-20))+POWER(1+DiscRate3,-20)))/1000000</f>
        <v>330.19856775361598</v>
      </c>
      <c r="F28" s="7">
        <f>('tax rev'!F23/(F16/DiscRate4*(1-POWER(1+DiscRate4,-20))+POWER(1+DiscRate4,-20)))/1000000</f>
        <v>311.66908758374728</v>
      </c>
      <c r="G28" s="7">
        <f>('tax rev'!G23/(G16/DiscRate5*(1-POWER(1+DiscRate5,-20))+POWER(1+DiscRate5,-20)))/1000000</f>
        <v>305.82451845255019</v>
      </c>
      <c r="H28" s="7">
        <f>('tax rev'!H23/(H16/DiscRate6*(1-POWER(1+DiscRate6,-20))+POWER(1+DiscRate6,-20)))/1000000</f>
        <v>300.13778682578987</v>
      </c>
      <c r="J28" s="10"/>
    </row>
    <row r="29" spans="1:10" x14ac:dyDescent="0.2">
      <c r="C29" s="6"/>
      <c r="J29" s="24"/>
    </row>
    <row r="30" spans="1:10" x14ac:dyDescent="0.2">
      <c r="A30" t="s">
        <v>10</v>
      </c>
      <c r="J30" s="24"/>
    </row>
    <row r="31" spans="1:10" x14ac:dyDescent="0.2">
      <c r="B31" t="s">
        <v>13</v>
      </c>
      <c r="C31" s="4"/>
      <c r="D31" s="8"/>
      <c r="E31" s="8"/>
      <c r="F31" s="8"/>
      <c r="G31" s="8"/>
      <c r="H31" s="8"/>
    </row>
    <row r="32" spans="1:10" x14ac:dyDescent="0.2">
      <c r="B32" s="5" t="s">
        <v>9</v>
      </c>
      <c r="C32" s="8">
        <f>PV(DiscRate/2,40,-0.35)</f>
        <v>8.875419668267579</v>
      </c>
      <c r="D32" s="8">
        <f>PV(discrate2/2,40,-0.35)</f>
        <v>9.0661524216024354</v>
      </c>
      <c r="E32" s="8">
        <f>PV(DiscRate3/2,40,-0.35)</f>
        <v>9.2629931760068427</v>
      </c>
      <c r="F32" s="8">
        <f>PV(DiscRate4/2,40,-0.35)</f>
        <v>8.6905705275883172</v>
      </c>
      <c r="G32" s="8">
        <f>PV(DiscRate5/2,40,-0.35)</f>
        <v>8.5113897301320609</v>
      </c>
      <c r="H32" s="8">
        <f>PV(DiscRate6/2,40,-0.35)</f>
        <v>8.3376707277859321</v>
      </c>
    </row>
    <row r="33" spans="1:8" x14ac:dyDescent="0.2">
      <c r="A33" s="5"/>
      <c r="B33" s="5" t="s">
        <v>61</v>
      </c>
      <c r="C33" s="6">
        <f>C32/POWER(1+DiscRate,20/12)</f>
        <v>8.1978713712285067</v>
      </c>
      <c r="D33" s="11">
        <f>D32/POWER(1+discrate2,20/12)</f>
        <v>8.407418009164715</v>
      </c>
      <c r="E33" s="11">
        <f>E32/POWER(1+DiscRate3,20/12)</f>
        <v>8.6242735492764666</v>
      </c>
      <c r="F33" s="11">
        <f>F32/POWER(1+DiscRate4,20/12)</f>
        <v>7.9953444974546324</v>
      </c>
      <c r="G33" s="11">
        <f>G32/POWER(1+DiscRate5,20/12)</f>
        <v>7.7995608965936816</v>
      </c>
      <c r="H33" s="11">
        <f>H32/POWER(1+DiscRate6,20/12)</f>
        <v>7.6102561303459213</v>
      </c>
    </row>
    <row r="34" spans="1:8" x14ac:dyDescent="0.2">
      <c r="A34" s="5"/>
    </row>
    <row r="35" spans="1:8" x14ac:dyDescent="0.2">
      <c r="A35" s="5" t="s">
        <v>18</v>
      </c>
      <c r="C35" s="6">
        <f t="shared" ref="C35:H35" si="0">C20+C33+C28-C24</f>
        <v>7.5612280802347414</v>
      </c>
      <c r="D35" s="6">
        <f t="shared" si="0"/>
        <v>12.950386584943317</v>
      </c>
      <c r="E35" s="6">
        <f t="shared" si="0"/>
        <v>18.515720260231546</v>
      </c>
      <c r="F35" s="6">
        <f t="shared" si="0"/>
        <v>2.3428666404136038</v>
      </c>
      <c r="G35" s="6">
        <f t="shared" si="0"/>
        <v>-2.7099256535108225</v>
      </c>
      <c r="H35" s="6">
        <f t="shared" si="0"/>
        <v>-7.6022289590196124</v>
      </c>
    </row>
    <row r="36" spans="1:8" x14ac:dyDescent="0.2">
      <c r="A36" s="5"/>
    </row>
  </sheetData>
  <phoneticPr fontId="0" type="noConversion"/>
  <pageMargins left="0.75" right="0.75" top="1" bottom="1" header="0.5" footer="0.5"/>
  <pageSetup orientation="portrait" r:id="rId1"/>
  <headerFooter alignWithMargins="0">
    <oddFooter>&amp;C&amp;A</oddFooter>
  </headerFooter>
  <rowBreaks count="1" manualBreakCount="1">
    <brk id="3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I12" sqref="I12"/>
    </sheetView>
  </sheetViews>
  <sheetFormatPr defaultRowHeight="12.75" x14ac:dyDescent="0.2"/>
  <cols>
    <col min="2" max="2" width="12.28515625" bestFit="1" customWidth="1"/>
    <col min="3" max="8" width="15.140625" bestFit="1" customWidth="1"/>
  </cols>
  <sheetData>
    <row r="1" spans="1:8" x14ac:dyDescent="0.2">
      <c r="A1" s="26"/>
      <c r="B1" s="26"/>
      <c r="C1" s="27" t="s">
        <v>38</v>
      </c>
      <c r="D1" s="27" t="s">
        <v>38</v>
      </c>
      <c r="E1" s="27" t="s">
        <v>38</v>
      </c>
      <c r="F1" s="27" t="s">
        <v>38</v>
      </c>
      <c r="G1" s="27" t="s">
        <v>38</v>
      </c>
      <c r="H1" s="27" t="s">
        <v>38</v>
      </c>
    </row>
    <row r="2" spans="1:8" x14ac:dyDescent="0.2">
      <c r="A2" s="28" t="s">
        <v>36</v>
      </c>
      <c r="B2" s="26"/>
      <c r="C2" s="69">
        <f>'facts premium'!C16</f>
        <v>5.7000000000000002E-2</v>
      </c>
      <c r="D2" s="69">
        <f>'facts premium'!D16</f>
        <v>5.45E-2</v>
      </c>
      <c r="E2" s="69">
        <f>'facts premium'!E16</f>
        <v>5.2000000000000005E-2</v>
      </c>
      <c r="F2" s="69">
        <f>'facts premium'!F16</f>
        <v>5.9500000000000004E-2</v>
      </c>
      <c r="G2" s="69">
        <f>'facts premium'!G16</f>
        <v>6.2E-2</v>
      </c>
      <c r="H2" s="69">
        <f>'facts premium'!H16</f>
        <v>6.4500000000000002E-2</v>
      </c>
    </row>
    <row r="3" spans="1:8" x14ac:dyDescent="0.2">
      <c r="A3" s="27">
        <v>1996</v>
      </c>
      <c r="B3" s="12">
        <v>4602104</v>
      </c>
      <c r="C3" s="12">
        <f>$B3/(POWER(1+'facts premium'!C$16,($A3-1996.5)))</f>
        <v>4731446.3768222621</v>
      </c>
      <c r="D3" s="12">
        <f>$B3/(POWER(1+'facts premium'!D$16,($A3-1996.5)))</f>
        <v>4725847.6926026167</v>
      </c>
      <c r="E3" s="12">
        <f>$B3/(POWER(1+'facts premium'!E$16,($A3-1996.5)))</f>
        <v>4720242.367782658</v>
      </c>
      <c r="F3" s="12">
        <f>$B3/(POWER(1+'facts premium'!F$16,($A3-1996.5)))</f>
        <v>4737038.4439870818</v>
      </c>
      <c r="G3" s="12">
        <f>$B3/(POWER(1+'facts premium'!G$16,($A3-1996.5)))</f>
        <v>4742623.9175037481</v>
      </c>
      <c r="H3" s="12">
        <f>$B3/(POWER(1+'facts premium'!H$16,($A3-1996.5)))</f>
        <v>4748202.8206412625</v>
      </c>
    </row>
    <row r="4" spans="1:8" x14ac:dyDescent="0.2">
      <c r="A4" s="27">
        <v>1997</v>
      </c>
      <c r="B4" s="12">
        <v>19893231</v>
      </c>
      <c r="C4" s="12">
        <f>$B4/(POWER(1+'facts premium'!C$16,($A4-1996.5)))</f>
        <v>19349414.67507688</v>
      </c>
      <c r="D4" s="12">
        <f>$B4/(POWER(1+'facts premium'!D$16,($A4-1996.5)))</f>
        <v>19372337.813875936</v>
      </c>
      <c r="E4" s="12">
        <f>$B4/(POWER(1+'facts premium'!E$16,($A4-1996.5)))</f>
        <v>19395342.616915267</v>
      </c>
      <c r="F4" s="12">
        <f>$B4/(POWER(1+'facts premium'!F$16,($A4-1996.5)))</f>
        <v>19326572.718495265</v>
      </c>
      <c r="G4" s="12">
        <f>$B4/(POWER(1+'facts premium'!G$16,($A4-1996.5)))</f>
        <v>19303811.466082089</v>
      </c>
      <c r="H4" s="12">
        <f>$B4/(POWER(1+'facts premium'!H$16,($A4-1996.5)))</f>
        <v>19281130.443720125</v>
      </c>
    </row>
    <row r="5" spans="1:8" x14ac:dyDescent="0.2">
      <c r="A5" s="27">
        <v>1998</v>
      </c>
      <c r="B5" s="12">
        <v>20428789</v>
      </c>
      <c r="C5" s="12">
        <f>$B5/(POWER(1+'facts premium'!C$16,($A5-1996.5)))</f>
        <v>18798800.623253863</v>
      </c>
      <c r="D5" s="12">
        <f>$B5/(POWER(1+'facts premium'!D$16,($A5-1996.5)))</f>
        <v>18865692.295499239</v>
      </c>
      <c r="E5" s="12">
        <f>$B5/(POWER(1+'facts premium'!E$16,($A5-1996.5)))</f>
        <v>18932981.611409176</v>
      </c>
      <c r="F5" s="12">
        <f>$B5/(POWER(1+'facts premium'!F$16,($A5-1996.5)))</f>
        <v>18732303.312627606</v>
      </c>
      <c r="G5" s="12">
        <f>$B5/(POWER(1+'facts premium'!G$16,($A5-1996.5)))</f>
        <v>18666197.116321977</v>
      </c>
      <c r="H5" s="12">
        <f>$B5/(POWER(1+'facts premium'!H$16,($A5-1996.5)))</f>
        <v>18600478.821336843</v>
      </c>
    </row>
    <row r="6" spans="1:8" x14ac:dyDescent="0.2">
      <c r="A6" s="27">
        <v>1999</v>
      </c>
      <c r="B6" s="12">
        <v>24715328</v>
      </c>
      <c r="C6" s="12">
        <f>$B6/(POWER(1+'facts premium'!C$16,($A6-1996.5)))</f>
        <v>21516860.793465313</v>
      </c>
      <c r="D6" s="12">
        <f>$B6/(POWER(1+'facts premium'!D$16,($A6-1996.5)))</f>
        <v>21644617.638563152</v>
      </c>
      <c r="E6" s="12">
        <f>$B6/(POWER(1+'facts premium'!E$16,($A6-1996.5)))</f>
        <v>21773438.99392939</v>
      </c>
      <c r="F6" s="12">
        <f>$B6/(POWER(1+'facts premium'!F$16,($A6-1996.5)))</f>
        <v>21390157.17544698</v>
      </c>
      <c r="G6" s="12">
        <f>$B6/(POWER(1+'facts premium'!G$16,($A6-1996.5)))</f>
        <v>21264495.647147655</v>
      </c>
      <c r="H6" s="12">
        <f>$B6/(POWER(1+'facts premium'!H$16,($A6-1996.5)))</f>
        <v>21139865.214812975</v>
      </c>
    </row>
    <row r="7" spans="1:8" x14ac:dyDescent="0.2">
      <c r="A7" s="27">
        <v>2000</v>
      </c>
      <c r="B7" s="12">
        <v>25091313</v>
      </c>
      <c r="C7" s="12">
        <f>$B7/(POWER(1+'facts premium'!C$16,($A7-1996.5)))</f>
        <v>20666214.487632751</v>
      </c>
      <c r="D7" s="12">
        <f>$B7/(POWER(1+'facts premium'!D$16,($A7-1996.5)))</f>
        <v>20838206.804566547</v>
      </c>
      <c r="E7" s="12">
        <f>$B7/(POWER(1+'facts premium'!E$16,($A7-1996.5)))</f>
        <v>21012043.86089946</v>
      </c>
      <c r="F7" s="12">
        <f>$B7/(POWER(1+'facts premium'!F$16,($A7-1996.5)))</f>
        <v>20496043.039988302</v>
      </c>
      <c r="G7" s="12">
        <f>$B7/(POWER(1+'facts premium'!G$16,($A7-1996.5)))</f>
        <v>20327668.955692869</v>
      </c>
      <c r="H7" s="12">
        <f>$B7/(POWER(1+'facts premium'!H$16,($A7-1996.5)))</f>
        <v>20161069.086579837</v>
      </c>
    </row>
    <row r="8" spans="1:8" x14ac:dyDescent="0.2">
      <c r="A8" s="27">
        <v>2001</v>
      </c>
      <c r="B8" s="12">
        <v>25488810</v>
      </c>
      <c r="C8" s="12">
        <f>$B8/(POWER(1+'facts premium'!C$16,($A8-1996.5)))</f>
        <v>19861503.314120166</v>
      </c>
      <c r="D8" s="12">
        <f>$B8/(POWER(1+'facts premium'!D$16,($A8-1996.5)))</f>
        <v>20074277.880624834</v>
      </c>
      <c r="E8" s="12">
        <f>$B8/(POWER(1+'facts premium'!E$16,($A8-1996.5)))</f>
        <v>20289845.06749456</v>
      </c>
      <c r="F8" s="12">
        <f>$B8/(POWER(1+'facts premium'!F$16,($A8-1996.5)))</f>
        <v>19651478.713036533</v>
      </c>
      <c r="G8" s="12">
        <f>$B8/(POWER(1+'facts premium'!G$16,($A8-1996.5)))</f>
        <v>19444162.172418676</v>
      </c>
      <c r="H8" s="12">
        <f>$B8/(POWER(1+'facts premium'!H$16,($A8-1996.5)))</f>
        <v>19239512.5223899</v>
      </c>
    </row>
    <row r="9" spans="1:8" x14ac:dyDescent="0.2">
      <c r="A9" s="27">
        <v>2002</v>
      </c>
      <c r="B9" s="12">
        <v>26244265</v>
      </c>
      <c r="C9" s="12">
        <f>$B9/(POWER(1+'facts premium'!C$16,($A9-1996.5)))</f>
        <v>19347372.092760041</v>
      </c>
      <c r="D9" s="12">
        <f>$B9/(POWER(1+'facts premium'!D$16,($A9-1996.5)))</f>
        <v>19600998.794201627</v>
      </c>
      <c r="E9" s="12">
        <f>$B9/(POWER(1+'facts premium'!E$16,($A9-1996.5)))</f>
        <v>19858564.206183463</v>
      </c>
      <c r="F9" s="12">
        <f>$B9/(POWER(1+'facts premium'!F$16,($A9-1996.5)))</f>
        <v>19097614.767729543</v>
      </c>
      <c r="G9" s="12">
        <f>$B9/(POWER(1+'facts premium'!G$16,($A9-1996.5)))</f>
        <v>18851658.864979796</v>
      </c>
      <c r="H9" s="12">
        <f>$B9/(POWER(1+'facts premium'!H$16,($A9-1996.5)))</f>
        <v>18609437.779752593</v>
      </c>
    </row>
    <row r="10" spans="1:8" x14ac:dyDescent="0.2">
      <c r="A10" s="27">
        <v>2003</v>
      </c>
      <c r="B10" s="12">
        <v>27316484</v>
      </c>
      <c r="C10" s="12">
        <f>$B10/(POWER(1+'facts premium'!C$16,($A10-1996.5)))</f>
        <v>19051860.002299946</v>
      </c>
      <c r="D10" s="12">
        <f>$B10/(POWER(1+'facts premium'!D$16,($A10-1996.5)))</f>
        <v>19347372.911413081</v>
      </c>
      <c r="E10" s="12">
        <f>$B10/(POWER(1+'facts premium'!E$16,($A10-1996.5)))</f>
        <v>19648187.33434628</v>
      </c>
      <c r="F10" s="12">
        <f>$B10/(POWER(1+'facts premium'!F$16,($A10-1996.5)))</f>
        <v>18761542.964577511</v>
      </c>
      <c r="G10" s="12">
        <f>$B10/(POWER(1+'facts premium'!G$16,($A10-1996.5)))</f>
        <v>18476318.503089018</v>
      </c>
      <c r="H10" s="12">
        <f>$B10/(POWER(1+'facts premium'!H$16,($A10-1996.5)))</f>
        <v>18196085.612440739</v>
      </c>
    </row>
    <row r="11" spans="1:8" x14ac:dyDescent="0.2">
      <c r="A11" s="27">
        <v>2004</v>
      </c>
      <c r="B11" s="12">
        <v>28432512</v>
      </c>
      <c r="C11" s="12">
        <f>$B11/(POWER(1+'facts premium'!C$16,($A11-1996.5)))</f>
        <v>18760863.615649723</v>
      </c>
      <c r="D11" s="12">
        <f>$B11/(POWER(1+'facts premium'!D$16,($A11-1996.5)))</f>
        <v>19097030.888470184</v>
      </c>
      <c r="E11" s="12">
        <f>$B11/(POWER(1+'facts premium'!E$16,($A11-1996.5)))</f>
        <v>19440041.265913505</v>
      </c>
      <c r="F11" s="12">
        <f>$B11/(POWER(1+'facts premium'!F$16,($A11-1996.5)))</f>
        <v>18431387.223019909</v>
      </c>
      <c r="G11" s="12">
        <f>$B11/(POWER(1+'facts premium'!G$16,($A11-1996.5)))</f>
        <v>18108453.220061757</v>
      </c>
      <c r="H11" s="12">
        <f>$B11/(POWER(1+'facts premium'!H$16,($A11-1996.5)))</f>
        <v>17791916.750091515</v>
      </c>
    </row>
    <row r="12" spans="1:8" x14ac:dyDescent="0.2">
      <c r="A12" s="27">
        <v>2005</v>
      </c>
      <c r="B12" s="12">
        <v>29594139</v>
      </c>
      <c r="C12" s="12">
        <f>$B12/(POWER(1+'facts premium'!C$16,($A12-1996.5)))</f>
        <v>18474313.843560465</v>
      </c>
      <c r="D12" s="12">
        <f>$B12/(POWER(1+'facts premium'!D$16,($A12-1996.5)))</f>
        <v>18849930.125279933</v>
      </c>
      <c r="E12" s="12">
        <f>$B12/(POWER(1+'facts premium'!E$16,($A12-1996.5)))</f>
        <v>19234102.267356351</v>
      </c>
      <c r="F12" s="12">
        <f>$B12/(POWER(1+'facts premium'!F$16,($A12-1996.5)))</f>
        <v>18107043.311198793</v>
      </c>
      <c r="G12" s="12">
        <f>$B12/(POWER(1+'facts premium'!G$16,($A12-1996.5)))</f>
        <v>17747914.055213153</v>
      </c>
      <c r="H12" s="12">
        <f>$B12/(POWER(1+'facts premium'!H$16,($A12-1996.5)))</f>
        <v>17396727.076579027</v>
      </c>
    </row>
    <row r="13" spans="1:8" x14ac:dyDescent="0.2">
      <c r="A13" s="27">
        <v>2006</v>
      </c>
      <c r="B13" s="12">
        <v>30803229</v>
      </c>
      <c r="C13" s="12">
        <f>$B13/(POWER(1+'facts premium'!C$16,($A13-1996.5)))</f>
        <v>18192143.166175708</v>
      </c>
      <c r="D13" s="12">
        <f>$B13/(POWER(1+'facts premium'!D$16,($A13-1996.5)))</f>
        <v>18606029.097980384</v>
      </c>
      <c r="E13" s="12">
        <f>$B13/(POWER(1+'facts premium'!E$16,($A13-1996.5)))</f>
        <v>19030347.392800771</v>
      </c>
      <c r="F13" s="12">
        <f>$B13/(POWER(1+'facts premium'!F$16,($A13-1996.5)))</f>
        <v>17788409.335037578</v>
      </c>
      <c r="G13" s="12">
        <f>$B13/(POWER(1+'facts premium'!G$16,($A13-1996.5)))</f>
        <v>17394555.506987233</v>
      </c>
      <c r="H13" s="12">
        <f>$B13/(POWER(1+'facts premium'!H$16,($A13-1996.5)))</f>
        <v>17010317.492924564</v>
      </c>
    </row>
    <row r="14" spans="1:8" x14ac:dyDescent="0.2">
      <c r="A14" s="27">
        <v>2007</v>
      </c>
      <c r="B14" s="12">
        <v>32061720</v>
      </c>
      <c r="C14" s="12">
        <f>$B14/(POWER(1+'facts premium'!C$16,($A14-1996.5)))</f>
        <v>17914283.809659161</v>
      </c>
      <c r="D14" s="12">
        <f>$B14/(POWER(1+'facts premium'!D$16,($A14-1996.5)))</f>
        <v>18365285.50529509</v>
      </c>
      <c r="E14" s="12">
        <f>$B14/(POWER(1+'facts premium'!E$16,($A14-1996.5)))</f>
        <v>18828752.594636977</v>
      </c>
      <c r="F14" s="12">
        <f>$B14/(POWER(1+'facts premium'!F$16,($A14-1996.5)))</f>
        <v>17475383.937036943</v>
      </c>
      <c r="G14" s="12">
        <f>$B14/(POWER(1+'facts premium'!G$16,($A14-1996.5)))</f>
        <v>17048233.742400691</v>
      </c>
      <c r="H14" s="12">
        <f>$B14/(POWER(1+'facts premium'!H$16,($A14-1996.5)))</f>
        <v>16632492.121620972</v>
      </c>
    </row>
    <row r="15" spans="1:8" x14ac:dyDescent="0.2">
      <c r="A15" s="27">
        <v>2008</v>
      </c>
      <c r="B15" s="12">
        <v>33371633</v>
      </c>
      <c r="C15" s="12">
        <f>$B15/(POWER(1+'facts premium'!C$16,($A15-1996.5)))</f>
        <v>17640671.178506892</v>
      </c>
      <c r="D15" s="12">
        <f>$B15/(POWER(1+'facts premium'!D$16,($A15-1996.5)))</f>
        <v>18127659.789189167</v>
      </c>
      <c r="E15" s="12">
        <f>$B15/(POWER(1+'facts premium'!E$16,($A15-1996.5)))</f>
        <v>18629296.330136441</v>
      </c>
      <c r="F15" s="12">
        <f>$B15/(POWER(1+'facts premium'!F$16,($A15-1996.5)))</f>
        <v>17167869.635223854</v>
      </c>
      <c r="G15" s="12">
        <f>$B15/(POWER(1+'facts premium'!G$16,($A15-1996.5)))</f>
        <v>16708809.83423315</v>
      </c>
      <c r="H15" s="12">
        <f>$B15/(POWER(1+'facts premium'!H$16,($A15-1996.5)))</f>
        <v>16263061.429512966</v>
      </c>
    </row>
    <row r="16" spans="1:8" x14ac:dyDescent="0.2">
      <c r="A16" s="27">
        <v>2009</v>
      </c>
      <c r="B16" s="12">
        <v>34735066</v>
      </c>
      <c r="C16" s="12">
        <f>$B16/(POWER(1+'facts premium'!C$16,($A16-1996.5)))</f>
        <v>17371238.662203837</v>
      </c>
      <c r="D16" s="12">
        <f>$B16/(POWER(1+'facts premium'!D$16,($A16-1996.5)))</f>
        <v>17893109.820868738</v>
      </c>
      <c r="E16" s="12">
        <f>$B16/(POWER(1+'facts premium'!E$16,($A16-1996.5)))</f>
        <v>18431954.118871</v>
      </c>
      <c r="F16" s="12">
        <f>$B16/(POWER(1+'facts premium'!F$16,($A16-1996.5)))</f>
        <v>16865767.740143314</v>
      </c>
      <c r="G16" s="12">
        <f>$B16/(POWER(1+'facts premium'!G$16,($A16-1996.5)))</f>
        <v>16376144.774927419</v>
      </c>
      <c r="H16" s="12">
        <f>$B16/(POWER(1+'facts premium'!H$16,($A16-1996.5)))</f>
        <v>15901837.321337394</v>
      </c>
    </row>
    <row r="17" spans="1:8" x14ac:dyDescent="0.2">
      <c r="A17" s="27">
        <v>2010</v>
      </c>
      <c r="B17" s="12">
        <v>36154209</v>
      </c>
      <c r="C17" s="12">
        <f>$B17/(POWER(1+'facts premium'!C$16,($A17-1996.5)))</f>
        <v>17105923.899244022</v>
      </c>
      <c r="D17" s="12">
        <f>$B17/(POWER(1+'facts premium'!D$16,($A17-1996.5)))</f>
        <v>17661597.340493713</v>
      </c>
      <c r="E17" s="12">
        <f>$B17/(POWER(1+'facts premium'!E$16,($A17-1996.5)))</f>
        <v>18236705.158753876</v>
      </c>
      <c r="F17" s="12">
        <f>$B17/(POWER(1+'facts premium'!F$16,($A17-1996.5)))</f>
        <v>16568984.44124129</v>
      </c>
      <c r="G17" s="12">
        <f>$B17/(POWER(1+'facts premium'!G$16,($A17-1996.5)))</f>
        <v>16050105.38014885</v>
      </c>
      <c r="H17" s="12">
        <f>$B17/(POWER(1+'facts premium'!H$16,($A17-1996.5)))</f>
        <v>15548638.851347683</v>
      </c>
    </row>
    <row r="18" spans="1:8" x14ac:dyDescent="0.2">
      <c r="A18" s="27">
        <v>2011</v>
      </c>
      <c r="B18" s="12">
        <v>37631336</v>
      </c>
      <c r="C18" s="12">
        <f>$B18/(POWER(1+'facts premium'!C$16,($A18-1996.5)))</f>
        <v>16844662.780401167</v>
      </c>
      <c r="D18" s="12">
        <f>$B18/(POWER(1+'facts premium'!D$16,($A18-1996.5)))</f>
        <v>17433081.79965543</v>
      </c>
      <c r="E18" s="12">
        <f>$B18/(POWER(1+'facts premium'!E$16,($A18-1996.5)))</f>
        <v>18043525.998312518</v>
      </c>
      <c r="F18" s="12">
        <f>$B18/(POWER(1+'facts premium'!F$16,($A18-1996.5)))</f>
        <v>16277424.959329598</v>
      </c>
      <c r="G18" s="12">
        <f>$B18/(POWER(1+'facts premium'!G$16,($A18-1996.5)))</f>
        <v>15730558.576022113</v>
      </c>
      <c r="H18" s="12">
        <f>$B18/(POWER(1+'facts premium'!H$16,($A18-1996.5)))</f>
        <v>15203286.627425876</v>
      </c>
    </row>
    <row r="19" spans="1:8" x14ac:dyDescent="0.2">
      <c r="A19" s="27">
        <v>2012</v>
      </c>
      <c r="B19" s="12">
        <v>39168818</v>
      </c>
      <c r="C19" s="12">
        <f>$B19/(POWER(1+'facts premium'!C$16,($A19-1996.5)))</f>
        <v>16587394.083234323</v>
      </c>
      <c r="D19" s="12">
        <f>$B19/(POWER(1+'facts premium'!D$16,($A19-1996.5)))</f>
        <v>17207525.144617092</v>
      </c>
      <c r="E19" s="12">
        <f>$B19/(POWER(1+'facts premium'!E$16,($A19-1996.5)))</f>
        <v>17852395.469197441</v>
      </c>
      <c r="F19" s="12">
        <f>$B19/(POWER(1+'facts premium'!F$16,($A19-1996.5)))</f>
        <v>15990998.030445324</v>
      </c>
      <c r="G19" s="12">
        <f>$B19/(POWER(1+'facts premium'!G$16,($A19-1996.5)))</f>
        <v>15417375.727397032</v>
      </c>
      <c r="H19" s="12">
        <f>$B19/(POWER(1+'facts premium'!H$16,($A19-1996.5)))</f>
        <v>14865606.975173708</v>
      </c>
    </row>
    <row r="20" spans="1:8" x14ac:dyDescent="0.2">
      <c r="A20" s="27">
        <v>2013</v>
      </c>
      <c r="B20" s="12">
        <v>40769121</v>
      </c>
      <c r="C20" s="12">
        <f>$B20/(POWER(1+'facts premium'!C$16,($A20-1996.5)))</f>
        <v>16334056.647037996</v>
      </c>
      <c r="D20" s="12">
        <f>$B20/(POWER(1+'facts premium'!D$16,($A20-1996.5)))</f>
        <v>16984888.910993401</v>
      </c>
      <c r="E20" s="12">
        <f>$B20/(POWER(1+'facts premium'!E$16,($A20-1996.5)))</f>
        <v>17663291.693585448</v>
      </c>
      <c r="F20" s="12">
        <f>$B20/(POWER(1+'facts premium'!F$16,($A20-1996.5)))</f>
        <v>15709613.151952472</v>
      </c>
      <c r="G20" s="12">
        <f>$B20/(POWER(1+'facts premium'!G$16,($A20-1996.5)))</f>
        <v>15110429.943302179</v>
      </c>
      <c r="H20" s="12">
        <f>$B20/(POWER(1+'facts premium'!H$16,($A20-1996.5)))</f>
        <v>14535429.287670126</v>
      </c>
    </row>
    <row r="21" spans="1:8" x14ac:dyDescent="0.2">
      <c r="A21" s="27">
        <v>2014</v>
      </c>
      <c r="B21" s="12">
        <v>42434811</v>
      </c>
      <c r="C21" s="12">
        <f>$B21/(POWER(1+'facts premium'!C$16,($A21-1996.5)))</f>
        <v>16084589.971365949</v>
      </c>
      <c r="D21" s="12">
        <f>$B21/(POWER(1+'facts premium'!D$16,($A21-1996.5)))</f>
        <v>16765134.84530649</v>
      </c>
      <c r="E21" s="12">
        <f>$B21/(POWER(1+'facts premium'!E$16,($A21-1996.5)))</f>
        <v>17476192.725173276</v>
      </c>
      <c r="F21" s="12">
        <f>$B21/(POWER(1+'facts premium'!F$16,($A21-1996.5)))</f>
        <v>15433181.152283873</v>
      </c>
      <c r="G21" s="12">
        <f>$B21/(POWER(1+'facts premium'!G$16,($A21-1996.5)))</f>
        <v>14809596.609467018</v>
      </c>
      <c r="H21" s="12">
        <f>$B21/(POWER(1+'facts premium'!H$16,($A21-1996.5)))</f>
        <v>14212586.509121357</v>
      </c>
    </row>
    <row r="22" spans="1:8" x14ac:dyDescent="0.2">
      <c r="A22" s="27">
        <v>2015</v>
      </c>
      <c r="B22" s="25">
        <v>44168561</v>
      </c>
      <c r="C22" s="25">
        <f>$B22/(POWER(1+'facts premium'!C$16,($A22-1996.5)))</f>
        <v>15838935.311981725</v>
      </c>
      <c r="D22" s="25">
        <f>$B22/(POWER(1+'facts premium'!D$16,($A22-1996.5)))</f>
        <v>16548226.055108462</v>
      </c>
      <c r="E22" s="25">
        <f>$B22/(POWER(1+'facts premium'!E$16,($A22-1996.5)))</f>
        <v>17291077.75165819</v>
      </c>
      <c r="F22" s="25">
        <f>$B22/(POWER(1+'facts premium'!F$16,($A22-1996.5)))</f>
        <v>15161615.228730252</v>
      </c>
      <c r="G22" s="25">
        <f>$B22/(POWER(1+'facts premium'!G$16,($A22-1996.5)))</f>
        <v>14514754.36128642</v>
      </c>
      <c r="H22" s="25">
        <f>$B22/(POWER(1+'facts premium'!H$16,($A22-1996.5)))</f>
        <v>13896916.033178009</v>
      </c>
    </row>
    <row r="23" spans="1:8" x14ac:dyDescent="0.2">
      <c r="B23" s="12">
        <f t="shared" ref="B23:H23" si="0">SUM(B3:B22)</f>
        <v>603105479</v>
      </c>
      <c r="C23" s="12">
        <f t="shared" si="0"/>
        <v>350472549.33445215</v>
      </c>
      <c r="D23" s="12">
        <f t="shared" si="0"/>
        <v>358008851.15460515</v>
      </c>
      <c r="E23" s="12">
        <f t="shared" si="0"/>
        <v>365788328.82535619</v>
      </c>
      <c r="F23" s="12">
        <f t="shared" si="0"/>
        <v>343170429.28153199</v>
      </c>
      <c r="G23" s="12">
        <f t="shared" si="0"/>
        <v>336093868.37468278</v>
      </c>
      <c r="H23" s="12">
        <f t="shared" si="0"/>
        <v>329234598.77765757</v>
      </c>
    </row>
  </sheetData>
  <phoneticPr fontId="0" type="noConversion"/>
  <pageMargins left="0.75" right="0.75" top="1" bottom="1" header="0.5" footer="0.5"/>
  <pageSetup orientation="landscape" r:id="rId1"/>
  <headerFooter alignWithMargins="0">
    <oddFooter>&amp;C&amp;A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1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2.75" x14ac:dyDescent="0.2"/>
  <cols>
    <col min="1" max="1" width="10.140625" bestFit="1" customWidth="1"/>
    <col min="3" max="3" width="9.140625" style="57"/>
    <col min="5" max="5" width="9.85546875" customWidth="1"/>
    <col min="8" max="8" width="9.140625" style="56"/>
    <col min="10" max="10" width="9.140625" style="62"/>
  </cols>
  <sheetData>
    <row r="1" spans="1:14" x14ac:dyDescent="0.2">
      <c r="D1" s="60">
        <f>'facts premium'!DiscRate</f>
        <v>4.8800000000000003E-2</v>
      </c>
      <c r="J1" s="73" t="s">
        <v>71</v>
      </c>
      <c r="K1" s="73"/>
    </row>
    <row r="2" spans="1:14" x14ac:dyDescent="0.2">
      <c r="B2" s="26" t="s">
        <v>47</v>
      </c>
      <c r="C2" s="57" t="s">
        <v>44</v>
      </c>
      <c r="D2" s="53" t="s">
        <v>46</v>
      </c>
      <c r="E2" s="53" t="s">
        <v>68</v>
      </c>
      <c r="F2" s="53" t="s">
        <v>70</v>
      </c>
      <c r="G2" s="55" t="s">
        <v>69</v>
      </c>
      <c r="H2" s="55" t="s">
        <v>67</v>
      </c>
      <c r="I2" s="26" t="s">
        <v>45</v>
      </c>
      <c r="J2" s="61" t="s">
        <v>44</v>
      </c>
      <c r="K2" s="27" t="s">
        <v>45</v>
      </c>
      <c r="L2" s="27"/>
      <c r="M2" s="53"/>
      <c r="N2" s="27"/>
    </row>
    <row r="3" spans="1:14" x14ac:dyDescent="0.2">
      <c r="A3" s="59">
        <v>35582</v>
      </c>
      <c r="B3">
        <v>1</v>
      </c>
      <c r="C3" s="58">
        <f>'facts premium'!C28</f>
        <v>317.67630181747052</v>
      </c>
      <c r="D3" s="33">
        <f t="shared" ref="D3:D32" si="0">C3*DiscRate/12</f>
        <v>1.2918836273910468</v>
      </c>
      <c r="E3" s="33">
        <f>'tax rev'!C3/1000000</f>
        <v>4.7314463768222623</v>
      </c>
      <c r="F3" s="33"/>
      <c r="G3" s="34">
        <f>facts!$B$6/facts!$B$7</f>
        <v>11.3</v>
      </c>
      <c r="H3" s="34"/>
      <c r="I3" s="7">
        <f>C3+D3+E3+F3-G3-H3</f>
        <v>312.39963182168378</v>
      </c>
      <c r="J3" s="62">
        <v>360.32</v>
      </c>
      <c r="K3" s="7">
        <f>J3+D3+F3-G3-H3</f>
        <v>350.31188362739101</v>
      </c>
    </row>
    <row r="4" spans="1:14" x14ac:dyDescent="0.2">
      <c r="A4" s="59"/>
      <c r="B4">
        <v>2</v>
      </c>
      <c r="C4" s="58">
        <f>I3</f>
        <v>312.39963182168378</v>
      </c>
      <c r="D4" s="33">
        <f t="shared" si="0"/>
        <v>1.2704251694081807</v>
      </c>
      <c r="E4" s="33"/>
      <c r="F4" s="33"/>
      <c r="G4" s="34">
        <f>facts!$B$6/facts!$B$7</f>
        <v>11.3</v>
      </c>
      <c r="H4" s="54"/>
      <c r="I4" s="7">
        <f t="shared" ref="I4:I67" si="1">C4+D4+E4+F4-G4-H4</f>
        <v>302.37005699109193</v>
      </c>
      <c r="J4" s="63">
        <f>K3</f>
        <v>350.31188362739101</v>
      </c>
      <c r="K4" s="7">
        <f t="shared" ref="K4:K67" si="2">J4+D4+F4-G4-H4</f>
        <v>340.28230879679916</v>
      </c>
    </row>
    <row r="5" spans="1:14" x14ac:dyDescent="0.2">
      <c r="A5" s="59"/>
      <c r="B5">
        <v>3</v>
      </c>
      <c r="C5" s="58">
        <f t="shared" ref="C5:C68" si="3">I4</f>
        <v>302.37005699109193</v>
      </c>
      <c r="D5" s="33">
        <f t="shared" si="0"/>
        <v>1.229638231763774</v>
      </c>
      <c r="E5" s="33"/>
      <c r="F5" s="33"/>
      <c r="G5" s="34">
        <f>facts!$B$6/facts!$B$7</f>
        <v>11.3</v>
      </c>
      <c r="H5" s="54"/>
      <c r="I5" s="7">
        <f t="shared" si="1"/>
        <v>292.29969522285569</v>
      </c>
      <c r="J5" s="63">
        <f t="shared" ref="J5:J68" si="4">K4</f>
        <v>340.28230879679916</v>
      </c>
      <c r="K5" s="7">
        <f t="shared" si="2"/>
        <v>330.21194702856292</v>
      </c>
    </row>
    <row r="6" spans="1:14" x14ac:dyDescent="0.2">
      <c r="A6" s="59"/>
      <c r="B6">
        <v>4</v>
      </c>
      <c r="C6" s="58">
        <f t="shared" si="3"/>
        <v>292.29969522285569</v>
      </c>
      <c r="D6" s="33">
        <f t="shared" si="0"/>
        <v>1.1886854272396132</v>
      </c>
      <c r="E6" s="33"/>
      <c r="F6" s="33"/>
      <c r="G6" s="34">
        <f>facts!$B$6/facts!$B$7</f>
        <v>11.3</v>
      </c>
      <c r="H6" s="54"/>
      <c r="I6" s="7">
        <f t="shared" si="1"/>
        <v>282.18838065009527</v>
      </c>
      <c r="J6" s="63">
        <f t="shared" si="4"/>
        <v>330.21194702856292</v>
      </c>
      <c r="K6" s="7">
        <f t="shared" si="2"/>
        <v>320.1006324558025</v>
      </c>
    </row>
    <row r="7" spans="1:14" x14ac:dyDescent="0.2">
      <c r="A7" s="59"/>
      <c r="B7">
        <v>5</v>
      </c>
      <c r="C7" s="58">
        <f t="shared" si="3"/>
        <v>282.18838065009527</v>
      </c>
      <c r="D7" s="33">
        <f t="shared" si="0"/>
        <v>1.1475660813103874</v>
      </c>
      <c r="E7" s="33"/>
      <c r="F7" s="33"/>
      <c r="G7" s="34">
        <f>facts!$B$6/facts!$B$7</f>
        <v>11.3</v>
      </c>
      <c r="H7" s="54"/>
      <c r="I7" s="7">
        <f t="shared" si="1"/>
        <v>272.03594673140566</v>
      </c>
      <c r="J7" s="63">
        <f t="shared" si="4"/>
        <v>320.1006324558025</v>
      </c>
      <c r="K7" s="7">
        <f t="shared" si="2"/>
        <v>309.94819853711289</v>
      </c>
    </row>
    <row r="8" spans="1:14" x14ac:dyDescent="0.2">
      <c r="A8" s="59">
        <v>35765</v>
      </c>
      <c r="B8">
        <v>6</v>
      </c>
      <c r="C8" s="58">
        <f t="shared" si="3"/>
        <v>272.03594673140566</v>
      </c>
      <c r="D8" s="33">
        <f t="shared" si="0"/>
        <v>1.1062795167077164</v>
      </c>
      <c r="E8" s="33">
        <v>19.89</v>
      </c>
      <c r="F8" s="33"/>
      <c r="G8" s="34">
        <f>facts!$B$6/facts!$B$7</f>
        <v>11.3</v>
      </c>
      <c r="H8" s="34">
        <f>'facts premium'!$C$28*'facts premium'!$C$16/2</f>
        <v>9.0537746017979099</v>
      </c>
      <c r="I8" s="7">
        <f t="shared" si="1"/>
        <v>272.67845164631547</v>
      </c>
      <c r="J8" s="63">
        <f t="shared" si="4"/>
        <v>309.94819853711289</v>
      </c>
      <c r="K8" s="7">
        <f t="shared" si="2"/>
        <v>290.70070345202271</v>
      </c>
    </row>
    <row r="9" spans="1:14" x14ac:dyDescent="0.2">
      <c r="A9" s="59"/>
      <c r="B9">
        <v>7</v>
      </c>
      <c r="C9" s="58">
        <f t="shared" si="3"/>
        <v>272.67845164631547</v>
      </c>
      <c r="D9" s="33">
        <f t="shared" si="0"/>
        <v>1.1088923700283495</v>
      </c>
      <c r="E9" s="33"/>
      <c r="F9" s="33"/>
      <c r="G9" s="34">
        <f>facts!$B$6/facts!$B$7</f>
        <v>11.3</v>
      </c>
      <c r="H9" s="54"/>
      <c r="I9" s="7">
        <f t="shared" si="1"/>
        <v>262.4873440163438</v>
      </c>
      <c r="J9" s="63">
        <f t="shared" si="4"/>
        <v>290.70070345202271</v>
      </c>
      <c r="K9" s="7">
        <f t="shared" si="2"/>
        <v>280.50959582205104</v>
      </c>
    </row>
    <row r="10" spans="1:14" x14ac:dyDescent="0.2">
      <c r="A10" s="59"/>
      <c r="B10">
        <v>8</v>
      </c>
      <c r="C10" s="58">
        <f t="shared" si="3"/>
        <v>262.4873440163438</v>
      </c>
      <c r="D10" s="33">
        <f t="shared" si="0"/>
        <v>1.0674485323331315</v>
      </c>
      <c r="E10" s="33"/>
      <c r="F10" s="33"/>
      <c r="G10" s="34">
        <f>facts!$B$6/facts!$B$7</f>
        <v>11.3</v>
      </c>
      <c r="H10" s="54"/>
      <c r="I10" s="7">
        <f t="shared" si="1"/>
        <v>252.2547925486769</v>
      </c>
      <c r="J10" s="63">
        <f t="shared" si="4"/>
        <v>280.50959582205104</v>
      </c>
      <c r="K10" s="7">
        <f t="shared" si="2"/>
        <v>270.27704435438415</v>
      </c>
    </row>
    <row r="11" spans="1:14" x14ac:dyDescent="0.2">
      <c r="A11" s="59"/>
      <c r="B11">
        <v>9</v>
      </c>
      <c r="C11" s="58">
        <f t="shared" si="3"/>
        <v>252.2547925486769</v>
      </c>
      <c r="D11" s="33">
        <f t="shared" si="0"/>
        <v>1.0258361563646194</v>
      </c>
      <c r="E11" s="33"/>
      <c r="F11" s="33"/>
      <c r="G11" s="34">
        <f>facts!$B$6/facts!$B$7</f>
        <v>11.3</v>
      </c>
      <c r="H11" s="54"/>
      <c r="I11" s="7">
        <f t="shared" si="1"/>
        <v>241.98062870504151</v>
      </c>
      <c r="J11" s="63">
        <f t="shared" si="4"/>
        <v>270.27704435438415</v>
      </c>
      <c r="K11" s="7">
        <f t="shared" si="2"/>
        <v>260.00288051074875</v>
      </c>
    </row>
    <row r="12" spans="1:14" x14ac:dyDescent="0.2">
      <c r="A12" s="59"/>
      <c r="B12">
        <v>10</v>
      </c>
      <c r="C12" s="58">
        <f t="shared" si="3"/>
        <v>241.98062870504151</v>
      </c>
      <c r="D12" s="33">
        <f t="shared" si="0"/>
        <v>0.98405455673383557</v>
      </c>
      <c r="E12" s="33"/>
      <c r="F12" s="33"/>
      <c r="G12" s="34">
        <f>facts!$B$6/facts!$B$7</f>
        <v>11.3</v>
      </c>
      <c r="H12" s="54"/>
      <c r="I12" s="7">
        <f t="shared" si="1"/>
        <v>231.66468326177534</v>
      </c>
      <c r="J12" s="63">
        <f t="shared" si="4"/>
        <v>260.00288051074875</v>
      </c>
      <c r="K12" s="7">
        <f t="shared" si="2"/>
        <v>249.68693506748258</v>
      </c>
    </row>
    <row r="13" spans="1:14" x14ac:dyDescent="0.2">
      <c r="A13" s="59"/>
      <c r="B13">
        <v>11</v>
      </c>
      <c r="C13" s="58">
        <f t="shared" si="3"/>
        <v>231.66468326177534</v>
      </c>
      <c r="D13" s="33">
        <f t="shared" si="0"/>
        <v>0.94210304526455302</v>
      </c>
      <c r="E13" s="33"/>
      <c r="F13" s="33"/>
      <c r="G13" s="34">
        <f>facts!$B$6/facts!$B$7</f>
        <v>11.3</v>
      </c>
      <c r="H13" s="54"/>
      <c r="I13" s="7">
        <f t="shared" si="1"/>
        <v>221.30678630703989</v>
      </c>
      <c r="J13" s="63">
        <f t="shared" si="4"/>
        <v>249.68693506748258</v>
      </c>
      <c r="K13" s="7">
        <f t="shared" si="2"/>
        <v>239.32903811274713</v>
      </c>
    </row>
    <row r="14" spans="1:14" x14ac:dyDescent="0.2">
      <c r="A14" s="59">
        <v>35947</v>
      </c>
      <c r="B14">
        <v>12</v>
      </c>
      <c r="C14" s="58">
        <f t="shared" si="3"/>
        <v>221.30678630703989</v>
      </c>
      <c r="D14" s="33">
        <f t="shared" si="0"/>
        <v>0.8999809309819623</v>
      </c>
      <c r="E14" s="33"/>
      <c r="F14" s="33"/>
      <c r="G14" s="34">
        <f>facts!$B$6/facts!$B$7</f>
        <v>11.3</v>
      </c>
      <c r="H14" s="34">
        <f>'facts premium'!$C$28*'facts premium'!$C$16/2</f>
        <v>9.0537746017979099</v>
      </c>
      <c r="I14" s="7">
        <f t="shared" si="1"/>
        <v>201.85299263622395</v>
      </c>
      <c r="J14" s="63">
        <f t="shared" si="4"/>
        <v>239.32903811274713</v>
      </c>
      <c r="K14" s="7">
        <f t="shared" si="2"/>
        <v>219.87524444193119</v>
      </c>
    </row>
    <row r="15" spans="1:14" x14ac:dyDescent="0.2">
      <c r="B15">
        <v>13</v>
      </c>
      <c r="C15" s="58">
        <f t="shared" si="3"/>
        <v>201.85299263622395</v>
      </c>
      <c r="D15" s="33">
        <f t="shared" si="0"/>
        <v>0.82086883672064415</v>
      </c>
      <c r="E15" s="33"/>
      <c r="F15" s="33"/>
      <c r="G15" s="34">
        <f>facts!$B$6/facts!$B$7</f>
        <v>11.3</v>
      </c>
      <c r="H15" s="34"/>
      <c r="I15" s="7">
        <f t="shared" si="1"/>
        <v>191.37386147294458</v>
      </c>
      <c r="J15" s="63">
        <f t="shared" si="4"/>
        <v>219.87524444193119</v>
      </c>
      <c r="K15" s="7">
        <f t="shared" si="2"/>
        <v>209.39611327865182</v>
      </c>
    </row>
    <row r="16" spans="1:14" x14ac:dyDescent="0.2">
      <c r="A16" s="59"/>
      <c r="B16">
        <v>14</v>
      </c>
      <c r="C16" s="58">
        <f t="shared" si="3"/>
        <v>191.37386147294458</v>
      </c>
      <c r="D16" s="33">
        <f t="shared" si="0"/>
        <v>0.77825370332330801</v>
      </c>
      <c r="E16" s="33"/>
      <c r="F16" s="33"/>
      <c r="G16" s="34">
        <f>facts!$B$6/facts!$B$7</f>
        <v>11.3</v>
      </c>
      <c r="H16" s="54"/>
      <c r="I16" s="7">
        <f t="shared" si="1"/>
        <v>180.85211517626789</v>
      </c>
      <c r="J16" s="63">
        <f t="shared" si="4"/>
        <v>209.39611327865182</v>
      </c>
      <c r="K16" s="7">
        <f t="shared" si="2"/>
        <v>198.87436698197513</v>
      </c>
    </row>
    <row r="17" spans="1:11" x14ac:dyDescent="0.2">
      <c r="A17" s="59"/>
      <c r="B17">
        <v>15</v>
      </c>
      <c r="C17" s="58">
        <f t="shared" si="3"/>
        <v>180.85211517626789</v>
      </c>
      <c r="D17" s="33">
        <f t="shared" si="0"/>
        <v>0.73546526838348936</v>
      </c>
      <c r="E17" s="33"/>
      <c r="F17" s="33"/>
      <c r="G17" s="34">
        <f>facts!$B$6/facts!$B$7</f>
        <v>11.3</v>
      </c>
      <c r="H17" s="54"/>
      <c r="I17" s="7">
        <f t="shared" si="1"/>
        <v>170.28758044465135</v>
      </c>
      <c r="J17" s="63">
        <f t="shared" si="4"/>
        <v>198.87436698197513</v>
      </c>
      <c r="K17" s="7">
        <f t="shared" si="2"/>
        <v>188.3098322503586</v>
      </c>
    </row>
    <row r="18" spans="1:11" x14ac:dyDescent="0.2">
      <c r="A18" s="59"/>
      <c r="B18">
        <v>16</v>
      </c>
      <c r="C18" s="58">
        <f t="shared" si="3"/>
        <v>170.28758044465135</v>
      </c>
      <c r="D18" s="33">
        <f t="shared" si="0"/>
        <v>0.69250282714158218</v>
      </c>
      <c r="E18" s="33"/>
      <c r="F18" s="33"/>
      <c r="G18" s="34">
        <f>facts!$B$6/facts!$B$7</f>
        <v>11.3</v>
      </c>
      <c r="H18" s="54"/>
      <c r="I18" s="7">
        <f t="shared" si="1"/>
        <v>159.68008327179294</v>
      </c>
      <c r="J18" s="63">
        <f t="shared" si="4"/>
        <v>188.3098322503586</v>
      </c>
      <c r="K18" s="7">
        <f t="shared" si="2"/>
        <v>177.70233507750018</v>
      </c>
    </row>
    <row r="19" spans="1:11" x14ac:dyDescent="0.2">
      <c r="A19" s="59"/>
      <c r="B19">
        <v>17</v>
      </c>
      <c r="C19" s="58">
        <f t="shared" si="3"/>
        <v>159.68008327179294</v>
      </c>
      <c r="D19" s="33">
        <f t="shared" si="0"/>
        <v>0.64936567197195794</v>
      </c>
      <c r="E19" s="33"/>
      <c r="F19" s="33"/>
      <c r="G19" s="34">
        <f>facts!$B$6/facts!$B$7</f>
        <v>11.3</v>
      </c>
      <c r="H19" s="54"/>
      <c r="I19" s="7">
        <f t="shared" si="1"/>
        <v>149.02944894376489</v>
      </c>
      <c r="J19" s="63">
        <f t="shared" si="4"/>
        <v>177.70233507750018</v>
      </c>
      <c r="K19" s="7">
        <f t="shared" si="2"/>
        <v>167.05170074947213</v>
      </c>
    </row>
    <row r="20" spans="1:11" x14ac:dyDescent="0.2">
      <c r="A20" s="59">
        <v>36130</v>
      </c>
      <c r="B20">
        <v>18</v>
      </c>
      <c r="C20" s="58">
        <f t="shared" si="3"/>
        <v>149.02944894376489</v>
      </c>
      <c r="D20" s="33">
        <f t="shared" si="0"/>
        <v>0.60605309237131066</v>
      </c>
      <c r="E20" s="33">
        <v>20.43</v>
      </c>
      <c r="F20" s="33"/>
      <c r="G20" s="34">
        <f>facts!$B$6/facts!$B$7</f>
        <v>11.3</v>
      </c>
      <c r="H20" s="34">
        <f>'facts premium'!$C$28*'facts premium'!$C$16/2</f>
        <v>9.0537746017979099</v>
      </c>
      <c r="I20" s="7">
        <f t="shared" si="1"/>
        <v>149.71172743433829</v>
      </c>
      <c r="J20" s="63">
        <f t="shared" si="4"/>
        <v>167.05170074947213</v>
      </c>
      <c r="K20" s="7">
        <f t="shared" si="2"/>
        <v>147.30397924004552</v>
      </c>
    </row>
    <row r="21" spans="1:11" x14ac:dyDescent="0.2">
      <c r="A21" s="59"/>
      <c r="B21">
        <v>19</v>
      </c>
      <c r="C21" s="58">
        <f t="shared" si="3"/>
        <v>149.71172743433829</v>
      </c>
      <c r="D21" s="33">
        <f t="shared" si="0"/>
        <v>0.608827691566309</v>
      </c>
      <c r="E21" s="33"/>
      <c r="F21" s="33"/>
      <c r="G21" s="34">
        <f>facts!$B$6/facts!$B$7</f>
        <v>11.3</v>
      </c>
      <c r="H21" s="54"/>
      <c r="I21" s="7">
        <f t="shared" si="1"/>
        <v>139.02055512590459</v>
      </c>
      <c r="J21" s="63">
        <f t="shared" si="4"/>
        <v>147.30397924004552</v>
      </c>
      <c r="K21" s="7">
        <f t="shared" si="2"/>
        <v>136.61280693161183</v>
      </c>
    </row>
    <row r="22" spans="1:11" x14ac:dyDescent="0.2">
      <c r="A22" s="59"/>
      <c r="B22">
        <v>20</v>
      </c>
      <c r="C22" s="58">
        <f t="shared" si="3"/>
        <v>139.02055512590459</v>
      </c>
      <c r="D22" s="33">
        <f t="shared" si="0"/>
        <v>0.56535025751201207</v>
      </c>
      <c r="E22" s="33"/>
      <c r="F22" s="33"/>
      <c r="G22" s="34">
        <f>facts!$B$6/facts!$B$7</f>
        <v>11.3</v>
      </c>
      <c r="H22" s="54"/>
      <c r="I22" s="7">
        <f t="shared" si="1"/>
        <v>128.2859053834166</v>
      </c>
      <c r="J22" s="63">
        <f t="shared" si="4"/>
        <v>136.61280693161183</v>
      </c>
      <c r="K22" s="7">
        <f t="shared" si="2"/>
        <v>125.87815718912385</v>
      </c>
    </row>
    <row r="23" spans="1:11" x14ac:dyDescent="0.2">
      <c r="A23" s="59"/>
      <c r="B23">
        <v>21</v>
      </c>
      <c r="C23" s="58">
        <f t="shared" si="3"/>
        <v>128.2859053834166</v>
      </c>
      <c r="D23" s="33">
        <f t="shared" si="0"/>
        <v>0.52169601522589426</v>
      </c>
      <c r="E23" s="33"/>
      <c r="F23" s="33"/>
      <c r="G23" s="34">
        <f>facts!$B$6/facts!$B$7</f>
        <v>11.3</v>
      </c>
      <c r="H23" s="54"/>
      <c r="I23" s="7">
        <f t="shared" si="1"/>
        <v>117.50760139864251</v>
      </c>
      <c r="J23" s="63">
        <f t="shared" si="4"/>
        <v>125.87815718912385</v>
      </c>
      <c r="K23" s="7">
        <f t="shared" si="2"/>
        <v>115.09985320434976</v>
      </c>
    </row>
    <row r="24" spans="1:11" x14ac:dyDescent="0.2">
      <c r="A24" s="59"/>
      <c r="B24">
        <v>22</v>
      </c>
      <c r="C24" s="58">
        <f t="shared" si="3"/>
        <v>117.50760139864251</v>
      </c>
      <c r="D24" s="33">
        <f t="shared" si="0"/>
        <v>0.47786424568781288</v>
      </c>
      <c r="E24" s="33"/>
      <c r="F24" s="33"/>
      <c r="G24" s="34">
        <f>facts!$B$6/facts!$B$7</f>
        <v>11.3</v>
      </c>
      <c r="H24" s="54"/>
      <c r="I24" s="7">
        <f t="shared" si="1"/>
        <v>106.68546564433032</v>
      </c>
      <c r="J24" s="63">
        <f t="shared" si="4"/>
        <v>115.09985320434976</v>
      </c>
      <c r="K24" s="7">
        <f t="shared" si="2"/>
        <v>104.27771745003757</v>
      </c>
    </row>
    <row r="25" spans="1:11" x14ac:dyDescent="0.2">
      <c r="A25" s="59"/>
      <c r="B25">
        <v>23</v>
      </c>
      <c r="C25" s="58">
        <f t="shared" si="3"/>
        <v>106.68546564433032</v>
      </c>
      <c r="D25" s="33">
        <f t="shared" si="0"/>
        <v>0.43385422695361003</v>
      </c>
      <c r="E25" s="33"/>
      <c r="F25" s="33"/>
      <c r="G25" s="34">
        <f>facts!$B$6/facts!$B$7</f>
        <v>11.3</v>
      </c>
      <c r="H25" s="54"/>
      <c r="I25" s="7">
        <f t="shared" si="1"/>
        <v>95.819319871283938</v>
      </c>
      <c r="J25" s="63">
        <f t="shared" si="4"/>
        <v>104.27771745003757</v>
      </c>
      <c r="K25" s="7">
        <f t="shared" si="2"/>
        <v>93.411571676991187</v>
      </c>
    </row>
    <row r="26" spans="1:11" x14ac:dyDescent="0.2">
      <c r="A26" s="59">
        <v>36312</v>
      </c>
      <c r="B26">
        <v>24</v>
      </c>
      <c r="C26" s="58">
        <f t="shared" si="3"/>
        <v>95.819319871283938</v>
      </c>
      <c r="D26" s="33">
        <f t="shared" si="0"/>
        <v>0.38966523414322141</v>
      </c>
      <c r="E26" s="33"/>
      <c r="F26" s="33">
        <v>0.35</v>
      </c>
      <c r="G26" s="34">
        <f>facts!$B$6/facts!$B$7</f>
        <v>11.3</v>
      </c>
      <c r="H26" s="34">
        <f>'facts premium'!$C$28*'facts premium'!$C$16/2</f>
        <v>9.0537746017979099</v>
      </c>
      <c r="I26" s="7">
        <f t="shared" si="1"/>
        <v>76.205210503629246</v>
      </c>
      <c r="J26" s="63">
        <f t="shared" si="4"/>
        <v>93.411571676991187</v>
      </c>
      <c r="K26" s="7">
        <f t="shared" si="2"/>
        <v>73.797462309336495</v>
      </c>
    </row>
    <row r="27" spans="1:11" x14ac:dyDescent="0.2">
      <c r="B27">
        <v>25</v>
      </c>
      <c r="C27" s="58">
        <f t="shared" si="3"/>
        <v>76.205210503629246</v>
      </c>
      <c r="D27" s="33">
        <f t="shared" si="0"/>
        <v>0.30990118938142563</v>
      </c>
      <c r="E27" s="33"/>
      <c r="F27" s="33"/>
      <c r="G27" s="34">
        <f>facts!$B$6/facts!$B$7</f>
        <v>11.3</v>
      </c>
      <c r="H27" s="34"/>
      <c r="I27" s="7">
        <f t="shared" si="1"/>
        <v>65.21511169301067</v>
      </c>
      <c r="J27" s="63">
        <f t="shared" si="4"/>
        <v>73.797462309336495</v>
      </c>
      <c r="K27" s="7">
        <f t="shared" si="2"/>
        <v>62.807363498717919</v>
      </c>
    </row>
    <row r="28" spans="1:11" x14ac:dyDescent="0.2">
      <c r="A28" s="59"/>
      <c r="B28">
        <v>26</v>
      </c>
      <c r="C28" s="58">
        <f t="shared" si="3"/>
        <v>65.21511169301067</v>
      </c>
      <c r="D28" s="33">
        <f t="shared" si="0"/>
        <v>0.26520812088491008</v>
      </c>
      <c r="E28" s="33"/>
      <c r="F28" s="33"/>
      <c r="G28" s="34">
        <f>facts!$B$6/facts!$B$7</f>
        <v>11.3</v>
      </c>
      <c r="H28" s="54"/>
      <c r="I28" s="7">
        <f t="shared" si="1"/>
        <v>54.180319813895579</v>
      </c>
      <c r="J28" s="63">
        <f t="shared" si="4"/>
        <v>62.807363498717919</v>
      </c>
      <c r="K28" s="7">
        <f t="shared" si="2"/>
        <v>51.772571619602829</v>
      </c>
    </row>
    <row r="29" spans="1:11" x14ac:dyDescent="0.2">
      <c r="A29" s="59"/>
      <c r="B29">
        <v>27</v>
      </c>
      <c r="C29" s="58">
        <f t="shared" si="3"/>
        <v>54.180319813895579</v>
      </c>
      <c r="D29" s="33">
        <f t="shared" si="0"/>
        <v>0.22033330057650871</v>
      </c>
      <c r="E29" s="33"/>
      <c r="F29" s="33"/>
      <c r="G29" s="34">
        <f>facts!$B$6/facts!$B$7</f>
        <v>11.3</v>
      </c>
      <c r="H29" s="54"/>
      <c r="I29" s="7">
        <f t="shared" si="1"/>
        <v>43.100653114472081</v>
      </c>
      <c r="J29" s="63">
        <f t="shared" si="4"/>
        <v>51.772571619602829</v>
      </c>
      <c r="K29" s="7">
        <f t="shared" si="2"/>
        <v>40.69290492017933</v>
      </c>
    </row>
    <row r="30" spans="1:11" x14ac:dyDescent="0.2">
      <c r="A30" s="59"/>
      <c r="B30">
        <v>28</v>
      </c>
      <c r="C30" s="58">
        <f t="shared" si="3"/>
        <v>43.100653114472081</v>
      </c>
      <c r="D30" s="33">
        <f t="shared" si="0"/>
        <v>0.17527598933218647</v>
      </c>
      <c r="E30" s="33"/>
      <c r="F30" s="33"/>
      <c r="G30" s="34">
        <f>facts!$B$6/facts!$B$7</f>
        <v>11.3</v>
      </c>
      <c r="H30" s="54"/>
      <c r="I30" s="7">
        <f t="shared" si="1"/>
        <v>31.975929103804265</v>
      </c>
      <c r="J30" s="63">
        <f t="shared" si="4"/>
        <v>40.69290492017933</v>
      </c>
      <c r="K30" s="7">
        <f t="shared" si="2"/>
        <v>29.568180909511515</v>
      </c>
    </row>
    <row r="31" spans="1:11" x14ac:dyDescent="0.2">
      <c r="A31" s="59"/>
      <c r="B31">
        <v>29</v>
      </c>
      <c r="C31" s="58">
        <f t="shared" si="3"/>
        <v>31.975929103804265</v>
      </c>
      <c r="D31" s="33">
        <f t="shared" si="0"/>
        <v>0.13003544502213735</v>
      </c>
      <c r="E31" s="33"/>
      <c r="F31" s="33"/>
      <c r="G31" s="34">
        <f>facts!$B$6/facts!$B$7</f>
        <v>11.3</v>
      </c>
      <c r="H31" s="54"/>
      <c r="I31" s="7">
        <f t="shared" si="1"/>
        <v>20.805964548826399</v>
      </c>
      <c r="J31" s="63">
        <f t="shared" si="4"/>
        <v>29.568180909511515</v>
      </c>
      <c r="K31" s="7">
        <f t="shared" si="2"/>
        <v>18.398216354533652</v>
      </c>
    </row>
    <row r="32" spans="1:11" x14ac:dyDescent="0.2">
      <c r="A32" s="59">
        <v>36495</v>
      </c>
      <c r="B32">
        <v>30</v>
      </c>
      <c r="C32" s="58">
        <f t="shared" si="3"/>
        <v>20.805964548826399</v>
      </c>
      <c r="D32" s="33">
        <f t="shared" si="0"/>
        <v>8.4610922498560684E-2</v>
      </c>
      <c r="E32" s="33">
        <v>24.715328</v>
      </c>
      <c r="F32" s="33">
        <v>0.35</v>
      </c>
      <c r="G32" s="34">
        <f>facts!$B$6/facts!$B$7</f>
        <v>11.3</v>
      </c>
      <c r="H32" s="34">
        <f>'facts premium'!$C$28*'facts premium'!$C$16/2</f>
        <v>9.0537746017979099</v>
      </c>
      <c r="I32" s="7">
        <f t="shared" si="1"/>
        <v>25.60212886952705</v>
      </c>
      <c r="J32" s="63">
        <f t="shared" si="4"/>
        <v>18.398216354533652</v>
      </c>
      <c r="K32" s="7">
        <f t="shared" si="2"/>
        <v>-1.5209473247656984</v>
      </c>
    </row>
    <row r="33" spans="1:11" x14ac:dyDescent="0.2">
      <c r="A33" s="59">
        <v>36678</v>
      </c>
      <c r="B33">
        <v>36</v>
      </c>
      <c r="C33" s="58">
        <f t="shared" si="3"/>
        <v>25.60212886952705</v>
      </c>
      <c r="D33" s="33">
        <f>C33*DiscRate/2</f>
        <v>0.62469194441646003</v>
      </c>
      <c r="E33" s="33"/>
      <c r="F33" s="33">
        <v>0.35</v>
      </c>
      <c r="G33" s="34"/>
      <c r="H33" s="34">
        <f>'facts premium'!$C$28*'facts premium'!$C$16/2</f>
        <v>9.0537746017979099</v>
      </c>
      <c r="I33" s="7">
        <f t="shared" si="1"/>
        <v>17.523046212145601</v>
      </c>
      <c r="J33" s="63">
        <f t="shared" si="4"/>
        <v>-1.5209473247656984</v>
      </c>
      <c r="K33" s="7">
        <f t="shared" si="2"/>
        <v>-9.6000299821471486</v>
      </c>
    </row>
    <row r="34" spans="1:11" x14ac:dyDescent="0.2">
      <c r="A34" s="59">
        <v>36861</v>
      </c>
      <c r="B34">
        <v>42</v>
      </c>
      <c r="C34" s="58">
        <f t="shared" si="3"/>
        <v>17.523046212145601</v>
      </c>
      <c r="D34" s="33">
        <f t="shared" ref="D34:D70" si="5">C34*DiscRate/2</f>
        <v>0.42756232757635271</v>
      </c>
      <c r="E34" s="33">
        <v>25.091313</v>
      </c>
      <c r="F34" s="33">
        <v>0.35</v>
      </c>
      <c r="G34" s="34"/>
      <c r="H34" s="34">
        <f>'facts premium'!$C$28*'facts premium'!$C$16/2</f>
        <v>9.0537746017979099</v>
      </c>
      <c r="I34" s="7">
        <f t="shared" si="1"/>
        <v>34.338146937924044</v>
      </c>
      <c r="J34" s="63">
        <f t="shared" si="4"/>
        <v>-9.6000299821471486</v>
      </c>
      <c r="K34" s="7">
        <f t="shared" si="2"/>
        <v>-17.876242256368705</v>
      </c>
    </row>
    <row r="35" spans="1:11" x14ac:dyDescent="0.2">
      <c r="A35" s="59">
        <f>A34+366/2</f>
        <v>37044</v>
      </c>
      <c r="B35">
        <v>48</v>
      </c>
      <c r="C35" s="58">
        <f t="shared" si="3"/>
        <v>34.338146937924044</v>
      </c>
      <c r="D35" s="33">
        <f t="shared" si="5"/>
        <v>0.83785078528534673</v>
      </c>
      <c r="E35" s="33"/>
      <c r="F35" s="33">
        <v>0.35</v>
      </c>
      <c r="G35" s="34"/>
      <c r="H35" s="34">
        <f>'facts premium'!$C$28*'facts premium'!$C$16/2</f>
        <v>9.0537746017979099</v>
      </c>
      <c r="I35" s="7">
        <f t="shared" si="1"/>
        <v>26.472223121411481</v>
      </c>
      <c r="J35" s="63">
        <f t="shared" si="4"/>
        <v>-17.876242256368705</v>
      </c>
      <c r="K35" s="7">
        <f t="shared" si="2"/>
        <v>-25.742166072881268</v>
      </c>
    </row>
    <row r="36" spans="1:11" x14ac:dyDescent="0.2">
      <c r="A36" s="59">
        <f t="shared" ref="A36:A70" si="6">A35+366/2</f>
        <v>37227</v>
      </c>
      <c r="B36">
        <v>54</v>
      </c>
      <c r="C36" s="58">
        <f t="shared" si="3"/>
        <v>26.472223121411481</v>
      </c>
      <c r="D36" s="33">
        <f t="shared" si="5"/>
        <v>0.64592224416244015</v>
      </c>
      <c r="E36" s="33">
        <v>25.488810000000001</v>
      </c>
      <c r="F36" s="33">
        <v>0.35</v>
      </c>
      <c r="G36" s="34"/>
      <c r="H36" s="34">
        <f>'facts premium'!$C$28*'facts premium'!$C$16/2</f>
        <v>9.0537746017979099</v>
      </c>
      <c r="I36" s="7">
        <f t="shared" si="1"/>
        <v>43.903180763776014</v>
      </c>
      <c r="J36" s="63">
        <f t="shared" si="4"/>
        <v>-25.742166072881268</v>
      </c>
      <c r="K36" s="7">
        <f t="shared" si="2"/>
        <v>-33.800018430516737</v>
      </c>
    </row>
    <row r="37" spans="1:11" x14ac:dyDescent="0.2">
      <c r="A37" s="59">
        <f t="shared" si="6"/>
        <v>37410</v>
      </c>
      <c r="B37">
        <v>60</v>
      </c>
      <c r="C37" s="58">
        <f t="shared" si="3"/>
        <v>43.903180763776014</v>
      </c>
      <c r="D37" s="33">
        <f t="shared" si="5"/>
        <v>1.0712376106361348</v>
      </c>
      <c r="E37" s="33"/>
      <c r="F37" s="33">
        <v>0.35</v>
      </c>
      <c r="G37" s="34"/>
      <c r="H37" s="34">
        <f>'facts premium'!$C$28*'facts premium'!$C$16/2</f>
        <v>9.0537746017979099</v>
      </c>
      <c r="I37" s="7">
        <f t="shared" si="1"/>
        <v>36.270643772614235</v>
      </c>
      <c r="J37" s="63">
        <f t="shared" si="4"/>
        <v>-33.800018430516737</v>
      </c>
      <c r="K37" s="7">
        <f t="shared" si="2"/>
        <v>-41.432555421678515</v>
      </c>
    </row>
    <row r="38" spans="1:11" x14ac:dyDescent="0.2">
      <c r="A38" s="59">
        <f t="shared" si="6"/>
        <v>37593</v>
      </c>
      <c r="B38">
        <v>66</v>
      </c>
      <c r="C38" s="58">
        <f t="shared" si="3"/>
        <v>36.270643772614235</v>
      </c>
      <c r="D38" s="33">
        <f t="shared" si="5"/>
        <v>0.88500370805178741</v>
      </c>
      <c r="E38" s="33">
        <v>26.244264999999999</v>
      </c>
      <c r="F38" s="33">
        <v>0.35</v>
      </c>
      <c r="G38" s="34"/>
      <c r="H38" s="34">
        <f>'facts premium'!$C$28*'facts premium'!$C$16/2</f>
        <v>9.0537746017979099</v>
      </c>
      <c r="I38" s="7">
        <f t="shared" si="1"/>
        <v>54.696137878868115</v>
      </c>
      <c r="J38" s="63">
        <f t="shared" si="4"/>
        <v>-41.432555421678515</v>
      </c>
      <c r="K38" s="7">
        <f t="shared" si="2"/>
        <v>-49.251326315424635</v>
      </c>
    </row>
    <row r="39" spans="1:11" x14ac:dyDescent="0.2">
      <c r="A39" s="59">
        <f t="shared" si="6"/>
        <v>37776</v>
      </c>
      <c r="B39">
        <v>72</v>
      </c>
      <c r="C39" s="58">
        <f t="shared" si="3"/>
        <v>54.696137878868115</v>
      </c>
      <c r="D39" s="33">
        <f t="shared" si="5"/>
        <v>1.3345857642443821</v>
      </c>
      <c r="E39" s="33"/>
      <c r="F39" s="33">
        <v>0.35</v>
      </c>
      <c r="G39" s="34"/>
      <c r="H39" s="34">
        <f>'facts premium'!$C$28*'facts premium'!$C$16/2</f>
        <v>9.0537746017979099</v>
      </c>
      <c r="I39" s="7">
        <f t="shared" si="1"/>
        <v>47.326949041314585</v>
      </c>
      <c r="J39" s="63">
        <f t="shared" si="4"/>
        <v>-49.251326315424635</v>
      </c>
      <c r="K39" s="7">
        <f t="shared" si="2"/>
        <v>-56.620515152978165</v>
      </c>
    </row>
    <row r="40" spans="1:11" x14ac:dyDescent="0.2">
      <c r="A40" s="59">
        <f t="shared" si="6"/>
        <v>37959</v>
      </c>
      <c r="B40">
        <v>78</v>
      </c>
      <c r="C40" s="58">
        <f t="shared" si="3"/>
        <v>47.326949041314585</v>
      </c>
      <c r="D40" s="33">
        <f t="shared" si="5"/>
        <v>1.154777556608076</v>
      </c>
      <c r="E40" s="33">
        <v>27.316483999999999</v>
      </c>
      <c r="F40" s="33">
        <v>0.35</v>
      </c>
      <c r="G40" s="34"/>
      <c r="H40" s="34">
        <f>'facts premium'!$C$28*'facts premium'!$C$16/2</f>
        <v>9.0537746017979099</v>
      </c>
      <c r="I40" s="7">
        <f t="shared" si="1"/>
        <v>67.094435996124744</v>
      </c>
      <c r="J40" s="63">
        <f t="shared" si="4"/>
        <v>-56.620515152978165</v>
      </c>
      <c r="K40" s="7">
        <f t="shared" si="2"/>
        <v>-64.169512198167993</v>
      </c>
    </row>
    <row r="41" spans="1:11" x14ac:dyDescent="0.2">
      <c r="A41" s="59">
        <f t="shared" si="6"/>
        <v>38142</v>
      </c>
      <c r="B41">
        <v>84</v>
      </c>
      <c r="C41" s="58">
        <f t="shared" si="3"/>
        <v>67.094435996124744</v>
      </c>
      <c r="D41" s="33">
        <f t="shared" si="5"/>
        <v>1.6371042383054439</v>
      </c>
      <c r="E41" s="33"/>
      <c r="F41" s="33">
        <v>0.35</v>
      </c>
      <c r="G41" s="34"/>
      <c r="H41" s="34">
        <f>'facts premium'!$C$28*'facts premium'!$C$16/2</f>
        <v>9.0537746017979099</v>
      </c>
      <c r="I41" s="7">
        <f t="shared" si="1"/>
        <v>60.027765632632267</v>
      </c>
      <c r="J41" s="63">
        <f t="shared" si="4"/>
        <v>-64.169512198167993</v>
      </c>
      <c r="K41" s="7">
        <f t="shared" si="2"/>
        <v>-71.236182561660456</v>
      </c>
    </row>
    <row r="42" spans="1:11" x14ac:dyDescent="0.2">
      <c r="A42" s="59">
        <f t="shared" si="6"/>
        <v>38325</v>
      </c>
      <c r="B42">
        <v>90</v>
      </c>
      <c r="C42" s="58">
        <f t="shared" si="3"/>
        <v>60.027765632632267</v>
      </c>
      <c r="D42" s="33">
        <f t="shared" si="5"/>
        <v>1.4646774814362273</v>
      </c>
      <c r="E42" s="33">
        <v>28.432511999999999</v>
      </c>
      <c r="F42" s="33">
        <v>0.35</v>
      </c>
      <c r="G42" s="34"/>
      <c r="H42" s="34">
        <f>'facts premium'!$C$28*'facts premium'!$C$16/2</f>
        <v>9.0537746017979099</v>
      </c>
      <c r="I42" s="7">
        <f t="shared" si="1"/>
        <v>81.221180512270578</v>
      </c>
      <c r="J42" s="63">
        <f t="shared" si="4"/>
        <v>-71.236182561660456</v>
      </c>
      <c r="K42" s="7">
        <f t="shared" si="2"/>
        <v>-78.475279682022148</v>
      </c>
    </row>
    <row r="43" spans="1:11" x14ac:dyDescent="0.2">
      <c r="A43" s="59">
        <f t="shared" si="6"/>
        <v>38508</v>
      </c>
      <c r="B43">
        <v>96</v>
      </c>
      <c r="C43" s="58">
        <f t="shared" si="3"/>
        <v>81.221180512270578</v>
      </c>
      <c r="D43" s="33">
        <f t="shared" si="5"/>
        <v>1.9817968044994023</v>
      </c>
      <c r="E43" s="33"/>
      <c r="F43" s="33">
        <v>0.35</v>
      </c>
      <c r="G43" s="34"/>
      <c r="H43" s="34">
        <f>'facts premium'!$C$28*'facts premium'!$C$16/2</f>
        <v>9.0537746017979099</v>
      </c>
      <c r="I43" s="7">
        <f t="shared" si="1"/>
        <v>74.499202714972057</v>
      </c>
      <c r="J43" s="63">
        <f t="shared" si="4"/>
        <v>-78.475279682022148</v>
      </c>
      <c r="K43" s="7">
        <f t="shared" si="2"/>
        <v>-85.197257479320669</v>
      </c>
    </row>
    <row r="44" spans="1:11" x14ac:dyDescent="0.2">
      <c r="A44" s="59">
        <f t="shared" si="6"/>
        <v>38691</v>
      </c>
      <c r="B44">
        <v>102</v>
      </c>
      <c r="C44" s="58">
        <f t="shared" si="3"/>
        <v>74.499202714972057</v>
      </c>
      <c r="D44" s="33">
        <f t="shared" si="5"/>
        <v>1.8177805462453183</v>
      </c>
      <c r="E44" s="33">
        <v>29.594138999999998</v>
      </c>
      <c r="F44" s="33">
        <v>0.35</v>
      </c>
      <c r="G44" s="34"/>
      <c r="H44" s="34">
        <f>'facts premium'!$C$28*'facts premium'!$C$16/2</f>
        <v>9.0537746017979099</v>
      </c>
      <c r="I44" s="7">
        <f t="shared" si="1"/>
        <v>97.207347659419455</v>
      </c>
      <c r="J44" s="63">
        <f t="shared" si="4"/>
        <v>-85.197257479320669</v>
      </c>
      <c r="K44" s="7">
        <f t="shared" si="2"/>
        <v>-92.08325153487327</v>
      </c>
    </row>
    <row r="45" spans="1:11" x14ac:dyDescent="0.2">
      <c r="A45" s="59">
        <f t="shared" si="6"/>
        <v>38874</v>
      </c>
      <c r="B45">
        <v>108</v>
      </c>
      <c r="C45" s="58">
        <f t="shared" si="3"/>
        <v>97.207347659419455</v>
      </c>
      <c r="D45" s="33">
        <f t="shared" si="5"/>
        <v>2.3718592828898348</v>
      </c>
      <c r="E45" s="33"/>
      <c r="F45" s="33">
        <v>0.35</v>
      </c>
      <c r="G45" s="34"/>
      <c r="H45" s="34">
        <f>'facts premium'!$C$28*'facts premium'!$C$16/2</f>
        <v>9.0537746017979099</v>
      </c>
      <c r="I45" s="7">
        <f t="shared" si="1"/>
        <v>90.875432340511367</v>
      </c>
      <c r="J45" s="63">
        <f t="shared" si="4"/>
        <v>-92.08325153487327</v>
      </c>
      <c r="K45" s="7">
        <f t="shared" si="2"/>
        <v>-98.415166853781358</v>
      </c>
    </row>
    <row r="46" spans="1:11" x14ac:dyDescent="0.2">
      <c r="A46" s="59">
        <f t="shared" si="6"/>
        <v>39057</v>
      </c>
      <c r="B46">
        <v>114</v>
      </c>
      <c r="C46" s="58">
        <f t="shared" si="3"/>
        <v>90.875432340511367</v>
      </c>
      <c r="D46" s="33">
        <f t="shared" si="5"/>
        <v>2.2173605491084776</v>
      </c>
      <c r="E46" s="33">
        <v>30.803229000000002</v>
      </c>
      <c r="F46" s="33">
        <v>0.35</v>
      </c>
      <c r="G46" s="34"/>
      <c r="H46" s="34">
        <f>'facts premium'!$C$28*'facts premium'!$C$16/2</f>
        <v>9.0537746017979099</v>
      </c>
      <c r="I46" s="7">
        <f t="shared" si="1"/>
        <v>115.19224728782193</v>
      </c>
      <c r="J46" s="63">
        <f t="shared" si="4"/>
        <v>-98.415166853781358</v>
      </c>
      <c r="K46" s="7">
        <f t="shared" si="2"/>
        <v>-104.9015809064708</v>
      </c>
    </row>
    <row r="47" spans="1:11" x14ac:dyDescent="0.2">
      <c r="A47" s="59">
        <f t="shared" si="6"/>
        <v>39240</v>
      </c>
      <c r="B47">
        <v>120</v>
      </c>
      <c r="C47" s="58">
        <f t="shared" si="3"/>
        <v>115.19224728782193</v>
      </c>
      <c r="D47" s="33">
        <f t="shared" si="5"/>
        <v>2.8106908338228553</v>
      </c>
      <c r="E47" s="33"/>
      <c r="F47" s="33">
        <v>0.35</v>
      </c>
      <c r="G47" s="34"/>
      <c r="H47" s="34">
        <f>'facts premium'!$C$28*'facts premium'!$C$16/2</f>
        <v>9.0537746017979099</v>
      </c>
      <c r="I47" s="7">
        <f t="shared" si="1"/>
        <v>109.29916351984687</v>
      </c>
      <c r="J47" s="63">
        <f t="shared" si="4"/>
        <v>-104.9015809064708</v>
      </c>
      <c r="K47" s="7">
        <f t="shared" si="2"/>
        <v>-110.79466467444585</v>
      </c>
    </row>
    <row r="48" spans="1:11" x14ac:dyDescent="0.2">
      <c r="A48" s="59">
        <f t="shared" si="6"/>
        <v>39423</v>
      </c>
      <c r="B48">
        <v>126</v>
      </c>
      <c r="C48" s="58">
        <f t="shared" si="3"/>
        <v>109.29916351984687</v>
      </c>
      <c r="D48" s="33">
        <f t="shared" si="5"/>
        <v>2.666899589884264</v>
      </c>
      <c r="E48" s="33">
        <v>32.061720000000001</v>
      </c>
      <c r="F48" s="33">
        <v>0.35</v>
      </c>
      <c r="G48" s="34"/>
      <c r="H48" s="34">
        <f>'facts premium'!$C$28*'facts premium'!$C$16/2</f>
        <v>9.0537746017979099</v>
      </c>
      <c r="I48" s="7">
        <f t="shared" si="1"/>
        <v>135.32400850793323</v>
      </c>
      <c r="J48" s="63">
        <f t="shared" si="4"/>
        <v>-110.79466467444585</v>
      </c>
      <c r="K48" s="7">
        <f t="shared" si="2"/>
        <v>-116.83153968635951</v>
      </c>
    </row>
    <row r="49" spans="1:11" x14ac:dyDescent="0.2">
      <c r="A49" s="59">
        <f t="shared" si="6"/>
        <v>39606</v>
      </c>
      <c r="B49">
        <v>132</v>
      </c>
      <c r="C49" s="58">
        <f t="shared" si="3"/>
        <v>135.32400850793323</v>
      </c>
      <c r="D49" s="33">
        <f t="shared" si="5"/>
        <v>3.3019058075935708</v>
      </c>
      <c r="E49" s="33"/>
      <c r="F49" s="33">
        <v>0.35</v>
      </c>
      <c r="G49" s="34"/>
      <c r="H49" s="34">
        <f>'facts premium'!$C$28*'facts premium'!$C$16/2</f>
        <v>9.0537746017979099</v>
      </c>
      <c r="I49" s="7">
        <f t="shared" si="1"/>
        <v>129.92213971372891</v>
      </c>
      <c r="J49" s="63">
        <f t="shared" si="4"/>
        <v>-116.83153968635951</v>
      </c>
      <c r="K49" s="7">
        <f t="shared" si="2"/>
        <v>-122.23340848056385</v>
      </c>
    </row>
    <row r="50" spans="1:11" x14ac:dyDescent="0.2">
      <c r="A50" s="59">
        <f t="shared" si="6"/>
        <v>39789</v>
      </c>
      <c r="B50">
        <v>138</v>
      </c>
      <c r="C50" s="58">
        <f t="shared" si="3"/>
        <v>129.92213971372891</v>
      </c>
      <c r="D50" s="33">
        <f t="shared" si="5"/>
        <v>3.1701002090149855</v>
      </c>
      <c r="E50" s="33">
        <v>33.371633000000003</v>
      </c>
      <c r="F50" s="33">
        <v>0.35</v>
      </c>
      <c r="G50" s="34"/>
      <c r="H50" s="34">
        <f>'facts premium'!$C$28*'facts premium'!$C$16/2</f>
        <v>9.0537746017979099</v>
      </c>
      <c r="I50" s="7">
        <f t="shared" si="1"/>
        <v>157.76009832094599</v>
      </c>
      <c r="J50" s="63">
        <f t="shared" si="4"/>
        <v>-122.23340848056385</v>
      </c>
      <c r="K50" s="7">
        <f t="shared" si="2"/>
        <v>-127.76708287334678</v>
      </c>
    </row>
    <row r="51" spans="1:11" x14ac:dyDescent="0.2">
      <c r="A51" s="59">
        <f t="shared" si="6"/>
        <v>39972</v>
      </c>
      <c r="B51">
        <v>144</v>
      </c>
      <c r="C51" s="58">
        <f t="shared" si="3"/>
        <v>157.76009832094599</v>
      </c>
      <c r="D51" s="33">
        <f t="shared" si="5"/>
        <v>3.8493463990310821</v>
      </c>
      <c r="E51" s="33"/>
      <c r="F51" s="33">
        <v>0.35</v>
      </c>
      <c r="G51" s="34"/>
      <c r="H51" s="34">
        <f>'facts premium'!$C$28*'facts premium'!$C$16/2</f>
        <v>9.0537746017979099</v>
      </c>
      <c r="I51" s="7">
        <f t="shared" si="1"/>
        <v>152.90567011817916</v>
      </c>
      <c r="J51" s="63">
        <f t="shared" si="4"/>
        <v>-127.76708287334678</v>
      </c>
      <c r="K51" s="7">
        <f t="shared" si="2"/>
        <v>-132.62151107611362</v>
      </c>
    </row>
    <row r="52" spans="1:11" x14ac:dyDescent="0.2">
      <c r="A52" s="59">
        <f t="shared" si="6"/>
        <v>40155</v>
      </c>
      <c r="B52">
        <v>150</v>
      </c>
      <c r="C52" s="58">
        <f t="shared" si="3"/>
        <v>152.90567011817916</v>
      </c>
      <c r="D52" s="33">
        <f t="shared" si="5"/>
        <v>3.7308983508835718</v>
      </c>
      <c r="E52" s="33">
        <v>34.735066000000003</v>
      </c>
      <c r="F52" s="33">
        <v>0.35</v>
      </c>
      <c r="G52" s="34"/>
      <c r="H52" s="34">
        <f>'facts premium'!$C$28*'facts premium'!$C$16/2</f>
        <v>9.0537746017979099</v>
      </c>
      <c r="I52" s="7">
        <f t="shared" si="1"/>
        <v>182.66785986726481</v>
      </c>
      <c r="J52" s="63">
        <f t="shared" si="4"/>
        <v>-132.62151107611362</v>
      </c>
      <c r="K52" s="7">
        <f t="shared" si="2"/>
        <v>-137.59438732702796</v>
      </c>
    </row>
    <row r="53" spans="1:11" x14ac:dyDescent="0.2">
      <c r="A53" s="59">
        <f t="shared" si="6"/>
        <v>40338</v>
      </c>
      <c r="B53">
        <v>156</v>
      </c>
      <c r="C53" s="58">
        <f t="shared" si="3"/>
        <v>182.66785986726481</v>
      </c>
      <c r="D53" s="33">
        <f t="shared" si="5"/>
        <v>4.4570957807612617</v>
      </c>
      <c r="E53" s="33"/>
      <c r="F53" s="33">
        <v>0.35</v>
      </c>
      <c r="G53" s="34"/>
      <c r="H53" s="34">
        <f>'facts premium'!$C$28*'facts premium'!$C$16/2</f>
        <v>9.0537746017979099</v>
      </c>
      <c r="I53" s="7">
        <f t="shared" si="1"/>
        <v>178.42118104622816</v>
      </c>
      <c r="J53" s="63">
        <f t="shared" si="4"/>
        <v>-137.59438732702796</v>
      </c>
      <c r="K53" s="7">
        <f t="shared" si="2"/>
        <v>-141.84106614806461</v>
      </c>
    </row>
    <row r="54" spans="1:11" x14ac:dyDescent="0.2">
      <c r="A54" s="59">
        <f t="shared" si="6"/>
        <v>40521</v>
      </c>
      <c r="B54">
        <v>162</v>
      </c>
      <c r="C54" s="58">
        <f t="shared" si="3"/>
        <v>178.42118104622816</v>
      </c>
      <c r="D54" s="33">
        <f t="shared" si="5"/>
        <v>4.3534768175279677</v>
      </c>
      <c r="E54" s="33">
        <v>36.154209000000002</v>
      </c>
      <c r="F54" s="33">
        <v>0.35</v>
      </c>
      <c r="G54" s="34"/>
      <c r="H54" s="34">
        <f>'facts premium'!$C$28*'facts premium'!$C$16/2</f>
        <v>9.0537746017979099</v>
      </c>
      <c r="I54" s="7">
        <f t="shared" si="1"/>
        <v>210.22509226195822</v>
      </c>
      <c r="J54" s="63">
        <f t="shared" si="4"/>
        <v>-141.84106614806461</v>
      </c>
      <c r="K54" s="7">
        <f t="shared" si="2"/>
        <v>-146.19136393233455</v>
      </c>
    </row>
    <row r="55" spans="1:11" x14ac:dyDescent="0.2">
      <c r="A55" s="59">
        <f t="shared" si="6"/>
        <v>40704</v>
      </c>
      <c r="B55">
        <v>168</v>
      </c>
      <c r="C55" s="58">
        <f t="shared" si="3"/>
        <v>210.22509226195822</v>
      </c>
      <c r="D55" s="33">
        <f t="shared" si="5"/>
        <v>5.1294922511917811</v>
      </c>
      <c r="E55" s="33"/>
      <c r="F55" s="33">
        <v>0.35</v>
      </c>
      <c r="G55" s="34"/>
      <c r="H55" s="34">
        <f>'facts premium'!$C$28*'facts premium'!$C$16/2</f>
        <v>9.0537746017979099</v>
      </c>
      <c r="I55" s="7">
        <f t="shared" si="1"/>
        <v>206.6508099113521</v>
      </c>
      <c r="J55" s="63">
        <f t="shared" si="4"/>
        <v>-146.19136393233455</v>
      </c>
      <c r="K55" s="7">
        <f t="shared" si="2"/>
        <v>-149.76564628294068</v>
      </c>
    </row>
    <row r="56" spans="1:11" x14ac:dyDescent="0.2">
      <c r="A56" s="59">
        <f t="shared" si="6"/>
        <v>40887</v>
      </c>
      <c r="B56">
        <v>174</v>
      </c>
      <c r="C56" s="58">
        <f t="shared" si="3"/>
        <v>206.6508099113521</v>
      </c>
      <c r="D56" s="33">
        <f t="shared" si="5"/>
        <v>5.0422797618369914</v>
      </c>
      <c r="E56" s="33">
        <v>37.631335999999997</v>
      </c>
      <c r="F56" s="33">
        <v>0.35</v>
      </c>
      <c r="G56" s="34"/>
      <c r="H56" s="34">
        <f>'facts premium'!$C$28*'facts premium'!$C$16/2</f>
        <v>9.0537746017979099</v>
      </c>
      <c r="I56" s="7">
        <f t="shared" si="1"/>
        <v>240.62065107139119</v>
      </c>
      <c r="J56" s="63">
        <f t="shared" si="4"/>
        <v>-149.76564628294068</v>
      </c>
      <c r="K56" s="7">
        <f t="shared" si="2"/>
        <v>-153.42714112290159</v>
      </c>
    </row>
    <row r="57" spans="1:11" x14ac:dyDescent="0.2">
      <c r="A57" s="59">
        <f t="shared" si="6"/>
        <v>41070</v>
      </c>
      <c r="B57">
        <v>180</v>
      </c>
      <c r="C57" s="58">
        <f t="shared" si="3"/>
        <v>240.62065107139119</v>
      </c>
      <c r="D57" s="33">
        <f t="shared" si="5"/>
        <v>5.8711438861419456</v>
      </c>
      <c r="E57" s="33"/>
      <c r="F57" s="33">
        <v>0.35</v>
      </c>
      <c r="G57" s="34"/>
      <c r="H57" s="34">
        <f>'facts premium'!$C$28*'facts premium'!$C$16/2</f>
        <v>9.0537746017979099</v>
      </c>
      <c r="I57" s="7">
        <f t="shared" si="1"/>
        <v>237.78802035573523</v>
      </c>
      <c r="J57" s="63">
        <f t="shared" si="4"/>
        <v>-153.42714112290159</v>
      </c>
      <c r="K57" s="7">
        <f t="shared" si="2"/>
        <v>-156.25977183855755</v>
      </c>
    </row>
    <row r="58" spans="1:11" x14ac:dyDescent="0.2">
      <c r="A58" s="59">
        <f t="shared" si="6"/>
        <v>41253</v>
      </c>
      <c r="B58">
        <v>186</v>
      </c>
      <c r="C58" s="58">
        <f t="shared" si="3"/>
        <v>237.78802035573523</v>
      </c>
      <c r="D58" s="33">
        <f t="shared" si="5"/>
        <v>5.8020276966799402</v>
      </c>
      <c r="E58" s="33">
        <v>39.168818000000002</v>
      </c>
      <c r="F58" s="33">
        <v>0.35</v>
      </c>
      <c r="G58" s="34"/>
      <c r="H58" s="34">
        <f>'facts premium'!$C$28*'facts premium'!$C$16/2</f>
        <v>9.0537746017979099</v>
      </c>
      <c r="I58" s="7">
        <f t="shared" si="1"/>
        <v>274.05509145061728</v>
      </c>
      <c r="J58" s="63">
        <f t="shared" si="4"/>
        <v>-156.25977183855755</v>
      </c>
      <c r="K58" s="7">
        <f t="shared" si="2"/>
        <v>-159.16151874367551</v>
      </c>
    </row>
    <row r="59" spans="1:11" x14ac:dyDescent="0.2">
      <c r="A59" s="59">
        <f t="shared" si="6"/>
        <v>41436</v>
      </c>
      <c r="B59">
        <v>192</v>
      </c>
      <c r="C59" s="58">
        <f t="shared" si="3"/>
        <v>274.05509145061728</v>
      </c>
      <c r="D59" s="33">
        <f t="shared" si="5"/>
        <v>6.6869442313950618</v>
      </c>
      <c r="E59" s="33"/>
      <c r="F59" s="33">
        <v>0.35</v>
      </c>
      <c r="G59" s="34"/>
      <c r="H59" s="34">
        <f>'facts premium'!$C$28*'facts premium'!$C$16/2</f>
        <v>9.0537746017979099</v>
      </c>
      <c r="I59" s="7">
        <f t="shared" si="1"/>
        <v>272.03826108021445</v>
      </c>
      <c r="J59" s="63">
        <f t="shared" si="4"/>
        <v>-159.16151874367551</v>
      </c>
      <c r="K59" s="7">
        <f t="shared" si="2"/>
        <v>-161.17834911407834</v>
      </c>
    </row>
    <row r="60" spans="1:11" x14ac:dyDescent="0.2">
      <c r="A60" s="59">
        <f t="shared" si="6"/>
        <v>41619</v>
      </c>
      <c r="B60">
        <v>198</v>
      </c>
      <c r="C60" s="58">
        <f t="shared" si="3"/>
        <v>272.03826108021445</v>
      </c>
      <c r="D60" s="33">
        <f t="shared" si="5"/>
        <v>6.6377335703572333</v>
      </c>
      <c r="E60" s="33">
        <v>40.769120999999998</v>
      </c>
      <c r="F60" s="33">
        <v>0.35</v>
      </c>
      <c r="G60" s="34"/>
      <c r="H60" s="34">
        <f>'facts premium'!$C$28*'facts premium'!$C$16/2</f>
        <v>9.0537746017979099</v>
      </c>
      <c r="I60" s="7">
        <f t="shared" si="1"/>
        <v>310.74134104877379</v>
      </c>
      <c r="J60" s="63">
        <f t="shared" si="4"/>
        <v>-161.17834911407834</v>
      </c>
      <c r="K60" s="7">
        <f t="shared" si="2"/>
        <v>-163.24439014551902</v>
      </c>
    </row>
    <row r="61" spans="1:11" x14ac:dyDescent="0.2">
      <c r="A61" s="59">
        <f t="shared" si="6"/>
        <v>41802</v>
      </c>
      <c r="B61">
        <v>204</v>
      </c>
      <c r="C61" s="58">
        <f t="shared" si="3"/>
        <v>310.74134104877379</v>
      </c>
      <c r="D61" s="33">
        <f t="shared" si="5"/>
        <v>7.5820887215900807</v>
      </c>
      <c r="E61" s="33"/>
      <c r="F61" s="33">
        <v>0.35</v>
      </c>
      <c r="G61" s="34"/>
      <c r="H61" s="34">
        <f>'facts premium'!$C$28*'facts premium'!$C$16/2</f>
        <v>9.0537746017979099</v>
      </c>
      <c r="I61" s="7">
        <f t="shared" si="1"/>
        <v>309.619655168566</v>
      </c>
      <c r="J61" s="63">
        <f t="shared" si="4"/>
        <v>-163.24439014551902</v>
      </c>
      <c r="K61" s="7">
        <f t="shared" si="2"/>
        <v>-164.36607602572684</v>
      </c>
    </row>
    <row r="62" spans="1:11" x14ac:dyDescent="0.2">
      <c r="A62" s="59">
        <f t="shared" si="6"/>
        <v>41985</v>
      </c>
      <c r="B62">
        <v>210</v>
      </c>
      <c r="C62" s="58">
        <f t="shared" si="3"/>
        <v>309.619655168566</v>
      </c>
      <c r="D62" s="33">
        <f t="shared" si="5"/>
        <v>7.554719586113011</v>
      </c>
      <c r="E62" s="33">
        <v>42.434811000000003</v>
      </c>
      <c r="F62" s="33">
        <v>0.35</v>
      </c>
      <c r="G62" s="34"/>
      <c r="H62" s="34">
        <f>'facts premium'!$C$28*'facts premium'!$C$16/2</f>
        <v>9.0537746017979099</v>
      </c>
      <c r="I62" s="7">
        <f t="shared" si="1"/>
        <v>350.90541115288119</v>
      </c>
      <c r="J62" s="63">
        <f t="shared" si="4"/>
        <v>-164.36607602572684</v>
      </c>
      <c r="K62" s="7">
        <f t="shared" si="2"/>
        <v>-165.51513104141173</v>
      </c>
    </row>
    <row r="63" spans="1:11" x14ac:dyDescent="0.2">
      <c r="A63" s="59">
        <f t="shared" si="6"/>
        <v>42168</v>
      </c>
      <c r="B63">
        <v>216</v>
      </c>
      <c r="C63" s="58">
        <f t="shared" si="3"/>
        <v>350.90541115288119</v>
      </c>
      <c r="D63" s="33">
        <f t="shared" si="5"/>
        <v>8.5620920321303018</v>
      </c>
      <c r="E63" s="33"/>
      <c r="F63" s="33">
        <v>0.35</v>
      </c>
      <c r="G63" s="34"/>
      <c r="H63" s="34">
        <f>'facts premium'!$C$28*'facts premium'!$C$16/2</f>
        <v>9.0537746017979099</v>
      </c>
      <c r="I63" s="7">
        <f t="shared" si="1"/>
        <v>350.76372858321361</v>
      </c>
      <c r="J63" s="63">
        <f t="shared" si="4"/>
        <v>-165.51513104141173</v>
      </c>
      <c r="K63" s="7">
        <f t="shared" si="2"/>
        <v>-165.65681361107934</v>
      </c>
    </row>
    <row r="64" spans="1:11" x14ac:dyDescent="0.2">
      <c r="A64" s="59">
        <f t="shared" si="6"/>
        <v>42351</v>
      </c>
      <c r="B64">
        <v>222</v>
      </c>
      <c r="C64" s="58">
        <f t="shared" si="3"/>
        <v>350.76372858321361</v>
      </c>
      <c r="D64" s="33">
        <f t="shared" si="5"/>
        <v>8.5586349774304118</v>
      </c>
      <c r="E64" s="33">
        <v>44.168560999999997</v>
      </c>
      <c r="F64" s="33">
        <v>0.35</v>
      </c>
      <c r="G64" s="34"/>
      <c r="H64" s="34">
        <f>'facts premium'!$C$28*'facts premium'!$C$16/2</f>
        <v>9.0537746017979099</v>
      </c>
      <c r="I64" s="7">
        <f t="shared" si="1"/>
        <v>394.78714995884616</v>
      </c>
      <c r="J64" s="63">
        <f t="shared" si="4"/>
        <v>-165.65681361107934</v>
      </c>
      <c r="K64" s="7">
        <f t="shared" si="2"/>
        <v>-165.80195323544683</v>
      </c>
    </row>
    <row r="65" spans="1:11" x14ac:dyDescent="0.2">
      <c r="A65" s="59">
        <f t="shared" si="6"/>
        <v>42534</v>
      </c>
      <c r="B65">
        <v>228</v>
      </c>
      <c r="C65" s="58">
        <f t="shared" si="3"/>
        <v>394.78714995884616</v>
      </c>
      <c r="D65" s="33">
        <f t="shared" si="5"/>
        <v>9.6328064589958462</v>
      </c>
      <c r="E65" s="33"/>
      <c r="F65" s="33">
        <v>0.35</v>
      </c>
      <c r="G65" s="34"/>
      <c r="H65" s="34">
        <f>'facts premium'!$C$28*'facts premium'!$C$16/2</f>
        <v>9.0537746017979099</v>
      </c>
      <c r="I65" s="7">
        <f t="shared" si="1"/>
        <v>395.71618181604413</v>
      </c>
      <c r="J65" s="63">
        <f t="shared" si="4"/>
        <v>-165.80195323544683</v>
      </c>
      <c r="K65" s="7">
        <f t="shared" si="2"/>
        <v>-164.87292137824889</v>
      </c>
    </row>
    <row r="66" spans="1:11" x14ac:dyDescent="0.2">
      <c r="A66" s="59">
        <f t="shared" si="6"/>
        <v>42717</v>
      </c>
      <c r="B66">
        <v>234</v>
      </c>
      <c r="C66" s="58">
        <f t="shared" si="3"/>
        <v>395.71618181604413</v>
      </c>
      <c r="D66" s="33">
        <f t="shared" si="5"/>
        <v>9.6554748363114768</v>
      </c>
      <c r="E66" s="33"/>
      <c r="F66" s="33">
        <v>0.35</v>
      </c>
      <c r="G66" s="33"/>
      <c r="H66" s="34">
        <v>9.31</v>
      </c>
      <c r="I66" s="7">
        <f>C66+D66+E66+F66-G66-H66</f>
        <v>396.41165665235565</v>
      </c>
      <c r="J66" s="63">
        <f t="shared" si="4"/>
        <v>-164.87292137824889</v>
      </c>
      <c r="K66" s="7">
        <f t="shared" si="2"/>
        <v>-164.17744654193743</v>
      </c>
    </row>
    <row r="67" spans="1:11" x14ac:dyDescent="0.2">
      <c r="A67" s="59">
        <f t="shared" si="6"/>
        <v>42900</v>
      </c>
      <c r="B67">
        <v>240</v>
      </c>
      <c r="C67" s="58">
        <f t="shared" si="3"/>
        <v>396.41165665235565</v>
      </c>
      <c r="D67" s="33">
        <f t="shared" si="5"/>
        <v>9.6724444223174793</v>
      </c>
      <c r="E67" s="33"/>
      <c r="F67" s="33">
        <v>0.35</v>
      </c>
      <c r="G67" s="34"/>
      <c r="H67" s="34">
        <f>9.31+'facts premium'!C28</f>
        <v>326.98630181747052</v>
      </c>
      <c r="I67" s="7">
        <f t="shared" si="1"/>
        <v>79.447799257202632</v>
      </c>
      <c r="J67" s="63">
        <f t="shared" si="4"/>
        <v>-164.17744654193743</v>
      </c>
      <c r="K67" s="7">
        <f t="shared" si="2"/>
        <v>-481.14130393709047</v>
      </c>
    </row>
    <row r="68" spans="1:11" x14ac:dyDescent="0.2">
      <c r="A68" s="59">
        <f t="shared" si="6"/>
        <v>43083</v>
      </c>
      <c r="B68">
        <v>246</v>
      </c>
      <c r="C68" s="58">
        <f t="shared" si="3"/>
        <v>79.447799257202632</v>
      </c>
      <c r="D68" s="33">
        <f t="shared" si="5"/>
        <v>1.9385263018757444</v>
      </c>
      <c r="E68" s="33"/>
      <c r="F68" s="33">
        <v>0.35</v>
      </c>
      <c r="G68" s="34"/>
      <c r="H68" s="54"/>
      <c r="I68" s="7">
        <f>C68+D68+E68+F68-G68-H68</f>
        <v>81.736325559078367</v>
      </c>
      <c r="J68" s="63">
        <f t="shared" si="4"/>
        <v>-481.14130393709047</v>
      </c>
      <c r="K68" s="7">
        <f>J68+D68+F68-G68-H68</f>
        <v>-478.85277763521469</v>
      </c>
    </row>
    <row r="69" spans="1:11" x14ac:dyDescent="0.2">
      <c r="A69" s="59">
        <f t="shared" si="6"/>
        <v>43266</v>
      </c>
      <c r="B69">
        <v>252</v>
      </c>
      <c r="C69" s="58">
        <f>I68</f>
        <v>81.736325559078367</v>
      </c>
      <c r="D69" s="33">
        <f t="shared" si="5"/>
        <v>1.9943663436415122</v>
      </c>
      <c r="E69" s="33"/>
      <c r="F69" s="33">
        <v>0.35</v>
      </c>
      <c r="G69" s="34"/>
      <c r="H69" s="54"/>
      <c r="I69" s="7">
        <f>C69+D69+E69+F69-G69-H69</f>
        <v>84.080691902719877</v>
      </c>
      <c r="J69" s="63">
        <f>K68</f>
        <v>-478.85277763521469</v>
      </c>
      <c r="K69" s="7">
        <f>J69+D69+F69-G69-H69</f>
        <v>-476.50841129157317</v>
      </c>
    </row>
    <row r="70" spans="1:11" x14ac:dyDescent="0.2">
      <c r="A70" s="59">
        <f t="shared" si="6"/>
        <v>43449</v>
      </c>
      <c r="B70">
        <v>258</v>
      </c>
      <c r="C70" s="58">
        <f>I69</f>
        <v>84.080691902719877</v>
      </c>
      <c r="D70" s="33">
        <f t="shared" si="5"/>
        <v>2.0515688824263649</v>
      </c>
      <c r="E70" s="33"/>
      <c r="F70" s="33">
        <v>0.35</v>
      </c>
      <c r="G70" s="34"/>
      <c r="H70" s="54"/>
      <c r="I70" s="7">
        <f>C70+D70+E70+F70-G70-H70</f>
        <v>86.482260785146238</v>
      </c>
      <c r="J70" s="63">
        <f>K69</f>
        <v>-476.50841129157317</v>
      </c>
      <c r="K70" s="7">
        <f>J70+D70+F70-G70-H70</f>
        <v>-474.10684240914679</v>
      </c>
    </row>
    <row r="71" spans="1:11" x14ac:dyDescent="0.2">
      <c r="A71" s="59"/>
      <c r="C71" s="58"/>
      <c r="D71" s="33"/>
      <c r="E71" s="33"/>
      <c r="F71" s="33"/>
      <c r="G71" s="34"/>
      <c r="H71" s="54"/>
      <c r="I71" s="7"/>
    </row>
  </sheetData>
  <mergeCells count="1">
    <mergeCell ref="J1:K1"/>
  </mergeCells>
  <phoneticPr fontId="0" type="noConversion"/>
  <pageMargins left="0.75" right="0.75" top="0.41" bottom="0.23" header="0.17" footer="0.18"/>
  <pageSetup scale="8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2.75" x14ac:dyDescent="0.2"/>
  <cols>
    <col min="1" max="1" width="10.140625" bestFit="1" customWidth="1"/>
    <col min="3" max="3" width="9.140625" style="57"/>
    <col min="8" max="8" width="9.140625" style="56"/>
    <col min="10" max="10" width="9.140625" style="62"/>
  </cols>
  <sheetData>
    <row r="1" spans="1:14" x14ac:dyDescent="0.2">
      <c r="D1" s="60">
        <f>'facts premium'!DiscRate6</f>
        <v>5.6300000000000003E-2</v>
      </c>
      <c r="J1" s="73" t="s">
        <v>71</v>
      </c>
      <c r="K1" s="73"/>
    </row>
    <row r="2" spans="1:14" x14ac:dyDescent="0.2">
      <c r="B2" s="26" t="s">
        <v>47</v>
      </c>
      <c r="C2" s="57" t="s">
        <v>44</v>
      </c>
      <c r="D2" s="53" t="s">
        <v>46</v>
      </c>
      <c r="E2" s="53" t="s">
        <v>68</v>
      </c>
      <c r="F2" s="53" t="s">
        <v>70</v>
      </c>
      <c r="G2" s="55" t="s">
        <v>69</v>
      </c>
      <c r="H2" s="55" t="s">
        <v>67</v>
      </c>
      <c r="I2" s="26" t="s">
        <v>45</v>
      </c>
      <c r="J2" s="61" t="s">
        <v>44</v>
      </c>
      <c r="K2" s="27" t="s">
        <v>45</v>
      </c>
      <c r="L2" s="27"/>
      <c r="M2" s="53"/>
      <c r="N2" s="27"/>
    </row>
    <row r="3" spans="1:14" x14ac:dyDescent="0.2">
      <c r="A3" s="59">
        <v>35582</v>
      </c>
      <c r="B3">
        <v>1</v>
      </c>
      <c r="C3" s="58">
        <f>'facts premium'!H28</f>
        <v>300.13778682578987</v>
      </c>
      <c r="D3" s="33">
        <f>C3*DiscRate6/12</f>
        <v>1.4081464498576644</v>
      </c>
      <c r="E3" s="33">
        <f>'tax rev'!C3/1000000</f>
        <v>4.7314463768222623</v>
      </c>
      <c r="F3" s="33"/>
      <c r="G3" s="34">
        <f>facts!$B$6/facts!$B$7</f>
        <v>11.3</v>
      </c>
      <c r="H3" s="34"/>
      <c r="I3" s="7">
        <f t="shared" ref="I3:I34" si="0">C3+D3+E3+F3-G3-H3</f>
        <v>294.97737965246978</v>
      </c>
      <c r="J3" s="62">
        <v>360.32</v>
      </c>
      <c r="K3" s="7">
        <f t="shared" ref="K3:K34" si="1">J3+D3+F3-G3-H3</f>
        <v>350.42814644985765</v>
      </c>
    </row>
    <row r="4" spans="1:14" x14ac:dyDescent="0.2">
      <c r="A4" s="59"/>
      <c r="B4">
        <v>2</v>
      </c>
      <c r="C4" s="58">
        <f t="shared" ref="C4:C35" si="2">I3</f>
        <v>294.97737965246978</v>
      </c>
      <c r="D4" s="33">
        <f t="shared" ref="D4:D32" si="3">C4*DiscRate/12</f>
        <v>1.1995746772533773</v>
      </c>
      <c r="E4" s="33"/>
      <c r="F4" s="33"/>
      <c r="G4" s="34">
        <f>facts!$B$6/facts!$B$7</f>
        <v>11.3</v>
      </c>
      <c r="H4" s="54"/>
      <c r="I4" s="7">
        <f t="shared" si="0"/>
        <v>284.87695432972316</v>
      </c>
      <c r="J4" s="63">
        <f t="shared" ref="J4:J35" si="4">K3</f>
        <v>350.42814644985765</v>
      </c>
      <c r="K4" s="7">
        <f t="shared" si="1"/>
        <v>340.32772112711103</v>
      </c>
    </row>
    <row r="5" spans="1:14" x14ac:dyDescent="0.2">
      <c r="A5" s="59"/>
      <c r="B5">
        <v>3</v>
      </c>
      <c r="C5" s="58">
        <f t="shared" si="2"/>
        <v>284.87695432972316</v>
      </c>
      <c r="D5" s="33">
        <f t="shared" si="3"/>
        <v>1.1584996142742077</v>
      </c>
      <c r="E5" s="33"/>
      <c r="F5" s="33"/>
      <c r="G5" s="34">
        <f>facts!$B$6/facts!$B$7</f>
        <v>11.3</v>
      </c>
      <c r="H5" s="54"/>
      <c r="I5" s="7">
        <f t="shared" si="0"/>
        <v>274.73545394399736</v>
      </c>
      <c r="J5" s="63">
        <f t="shared" si="4"/>
        <v>340.32772112711103</v>
      </c>
      <c r="K5" s="7">
        <f t="shared" si="1"/>
        <v>330.18622074138523</v>
      </c>
    </row>
    <row r="6" spans="1:14" x14ac:dyDescent="0.2">
      <c r="A6" s="59"/>
      <c r="B6">
        <v>4</v>
      </c>
      <c r="C6" s="58">
        <f t="shared" si="2"/>
        <v>274.73545394399736</v>
      </c>
      <c r="D6" s="33">
        <f t="shared" si="3"/>
        <v>1.1172575127055893</v>
      </c>
      <c r="E6" s="33"/>
      <c r="F6" s="33"/>
      <c r="G6" s="34">
        <f>facts!$B$6/facts!$B$7</f>
        <v>11.3</v>
      </c>
      <c r="H6" s="54"/>
      <c r="I6" s="7">
        <f t="shared" si="0"/>
        <v>264.55271145670292</v>
      </c>
      <c r="J6" s="63">
        <f t="shared" si="4"/>
        <v>330.18622074138523</v>
      </c>
      <c r="K6" s="7">
        <f t="shared" si="1"/>
        <v>320.00347825409079</v>
      </c>
    </row>
    <row r="7" spans="1:14" x14ac:dyDescent="0.2">
      <c r="A7" s="59"/>
      <c r="B7">
        <v>5</v>
      </c>
      <c r="C7" s="58">
        <f t="shared" si="2"/>
        <v>264.55271145670292</v>
      </c>
      <c r="D7" s="33">
        <f t="shared" si="3"/>
        <v>1.0758476932572585</v>
      </c>
      <c r="E7" s="33"/>
      <c r="F7" s="33"/>
      <c r="G7" s="34">
        <f>facts!$B$6/facts!$B$7</f>
        <v>11.3</v>
      </c>
      <c r="H7" s="54"/>
      <c r="I7" s="7">
        <f t="shared" si="0"/>
        <v>254.32855914996014</v>
      </c>
      <c r="J7" s="63">
        <f t="shared" si="4"/>
        <v>320.00347825409079</v>
      </c>
      <c r="K7" s="7">
        <f t="shared" si="1"/>
        <v>309.77932594734801</v>
      </c>
    </row>
    <row r="8" spans="1:14" x14ac:dyDescent="0.2">
      <c r="A8" s="59">
        <v>35765</v>
      </c>
      <c r="B8">
        <v>6</v>
      </c>
      <c r="C8" s="58">
        <f t="shared" si="2"/>
        <v>254.32855914996014</v>
      </c>
      <c r="D8" s="33">
        <f t="shared" si="3"/>
        <v>1.0342694738765046</v>
      </c>
      <c r="E8" s="33">
        <v>19.89</v>
      </c>
      <c r="F8" s="33"/>
      <c r="G8" s="34">
        <f>facts!$B$6/facts!$B$7</f>
        <v>11.3</v>
      </c>
      <c r="H8" s="34">
        <f>'facts premium'!$C$28*'facts premium'!$H$16/2</f>
        <v>10.245060733613425</v>
      </c>
      <c r="I8" s="7">
        <f t="shared" si="0"/>
        <v>253.70776789022321</v>
      </c>
      <c r="J8" s="63">
        <f t="shared" si="4"/>
        <v>309.77932594734801</v>
      </c>
      <c r="K8" s="7">
        <f t="shared" si="1"/>
        <v>289.26853468761112</v>
      </c>
    </row>
    <row r="9" spans="1:14" x14ac:dyDescent="0.2">
      <c r="A9" s="59"/>
      <c r="B9">
        <v>7</v>
      </c>
      <c r="C9" s="58">
        <f t="shared" si="2"/>
        <v>253.70776789022321</v>
      </c>
      <c r="D9" s="33">
        <f t="shared" si="3"/>
        <v>1.0317449227535744</v>
      </c>
      <c r="E9" s="33"/>
      <c r="F9" s="33"/>
      <c r="G9" s="34">
        <f>facts!$B$6/facts!$B$7</f>
        <v>11.3</v>
      </c>
      <c r="H9" s="54"/>
      <c r="I9" s="7">
        <f t="shared" si="0"/>
        <v>243.43951281297677</v>
      </c>
      <c r="J9" s="63">
        <f t="shared" si="4"/>
        <v>289.26853468761112</v>
      </c>
      <c r="K9" s="7">
        <f t="shared" si="1"/>
        <v>279.00027961036466</v>
      </c>
    </row>
    <row r="10" spans="1:14" x14ac:dyDescent="0.2">
      <c r="A10" s="59"/>
      <c r="B10">
        <v>8</v>
      </c>
      <c r="C10" s="58">
        <f t="shared" si="2"/>
        <v>243.43951281297677</v>
      </c>
      <c r="D10" s="33">
        <f t="shared" si="3"/>
        <v>0.98998735210610567</v>
      </c>
      <c r="E10" s="33"/>
      <c r="F10" s="33"/>
      <c r="G10" s="34">
        <f>facts!$B$6/facts!$B$7</f>
        <v>11.3</v>
      </c>
      <c r="H10" s="54"/>
      <c r="I10" s="7">
        <f t="shared" si="0"/>
        <v>233.12950016508287</v>
      </c>
      <c r="J10" s="63">
        <f t="shared" si="4"/>
        <v>279.00027961036466</v>
      </c>
      <c r="K10" s="7">
        <f t="shared" si="1"/>
        <v>268.69026696247073</v>
      </c>
    </row>
    <row r="11" spans="1:14" x14ac:dyDescent="0.2">
      <c r="A11" s="59"/>
      <c r="B11">
        <v>9</v>
      </c>
      <c r="C11" s="58">
        <f t="shared" si="2"/>
        <v>233.12950016508287</v>
      </c>
      <c r="D11" s="33">
        <f t="shared" si="3"/>
        <v>0.94805996733800368</v>
      </c>
      <c r="E11" s="33"/>
      <c r="F11" s="33"/>
      <c r="G11" s="34">
        <f>facts!$B$6/facts!$B$7</f>
        <v>11.3</v>
      </c>
      <c r="H11" s="54"/>
      <c r="I11" s="7">
        <f t="shared" si="0"/>
        <v>222.77756013242086</v>
      </c>
      <c r="J11" s="63">
        <f t="shared" si="4"/>
        <v>268.69026696247073</v>
      </c>
      <c r="K11" s="7">
        <f t="shared" si="1"/>
        <v>258.33832692980872</v>
      </c>
    </row>
    <row r="12" spans="1:14" x14ac:dyDescent="0.2">
      <c r="A12" s="59"/>
      <c r="B12">
        <v>10</v>
      </c>
      <c r="C12" s="58">
        <f t="shared" si="2"/>
        <v>222.77756013242086</v>
      </c>
      <c r="D12" s="33">
        <f t="shared" si="3"/>
        <v>0.9059620778718448</v>
      </c>
      <c r="E12" s="33"/>
      <c r="F12" s="33"/>
      <c r="G12" s="34">
        <f>facts!$B$6/facts!$B$7</f>
        <v>11.3</v>
      </c>
      <c r="H12" s="54"/>
      <c r="I12" s="7">
        <f t="shared" si="0"/>
        <v>212.38352221029268</v>
      </c>
      <c r="J12" s="63">
        <f t="shared" si="4"/>
        <v>258.33832692980872</v>
      </c>
      <c r="K12" s="7">
        <f t="shared" si="1"/>
        <v>247.94428900768054</v>
      </c>
    </row>
    <row r="13" spans="1:14" x14ac:dyDescent="0.2">
      <c r="A13" s="59"/>
      <c r="B13">
        <v>11</v>
      </c>
      <c r="C13" s="58">
        <f t="shared" si="2"/>
        <v>212.38352221029268</v>
      </c>
      <c r="D13" s="33">
        <f t="shared" si="3"/>
        <v>0.86369299032185698</v>
      </c>
      <c r="E13" s="33"/>
      <c r="F13" s="33"/>
      <c r="G13" s="34">
        <f>facts!$B$6/facts!$B$7</f>
        <v>11.3</v>
      </c>
      <c r="H13" s="54"/>
      <c r="I13" s="7">
        <f t="shared" si="0"/>
        <v>201.94721520061452</v>
      </c>
      <c r="J13" s="63">
        <f t="shared" si="4"/>
        <v>247.94428900768054</v>
      </c>
      <c r="K13" s="7">
        <f t="shared" si="1"/>
        <v>237.50798199800238</v>
      </c>
    </row>
    <row r="14" spans="1:14" x14ac:dyDescent="0.2">
      <c r="A14" s="59">
        <v>35947</v>
      </c>
      <c r="B14">
        <v>12</v>
      </c>
      <c r="C14" s="58">
        <f t="shared" si="2"/>
        <v>201.94721520061452</v>
      </c>
      <c r="D14" s="33">
        <f t="shared" si="3"/>
        <v>0.82125200848249913</v>
      </c>
      <c r="E14" s="33"/>
      <c r="F14" s="33"/>
      <c r="G14" s="34">
        <f>facts!$B$6/facts!$B$7</f>
        <v>11.3</v>
      </c>
      <c r="H14" s="34">
        <f>'facts premium'!$C$28*'facts premium'!$H$16/2</f>
        <v>10.245060733613425</v>
      </c>
      <c r="I14" s="7">
        <f t="shared" si="0"/>
        <v>181.22340647548359</v>
      </c>
      <c r="J14" s="63">
        <f t="shared" si="4"/>
        <v>237.50798199800238</v>
      </c>
      <c r="K14" s="7">
        <f t="shared" si="1"/>
        <v>216.78417327287144</v>
      </c>
    </row>
    <row r="15" spans="1:14" x14ac:dyDescent="0.2">
      <c r="B15">
        <v>13</v>
      </c>
      <c r="C15" s="58">
        <f t="shared" si="2"/>
        <v>181.22340647548359</v>
      </c>
      <c r="D15" s="33">
        <f t="shared" si="3"/>
        <v>0.73697518633363324</v>
      </c>
      <c r="E15" s="33"/>
      <c r="F15" s="33"/>
      <c r="G15" s="34">
        <f>facts!$B$6/facts!$B$7</f>
        <v>11.3</v>
      </c>
      <c r="H15" s="34"/>
      <c r="I15" s="7">
        <f t="shared" si="0"/>
        <v>170.66038166181721</v>
      </c>
      <c r="J15" s="63">
        <f t="shared" si="4"/>
        <v>216.78417327287144</v>
      </c>
      <c r="K15" s="7">
        <f t="shared" si="1"/>
        <v>206.22114845920507</v>
      </c>
    </row>
    <row r="16" spans="1:14" x14ac:dyDescent="0.2">
      <c r="A16" s="59"/>
      <c r="B16">
        <v>14</v>
      </c>
      <c r="C16" s="58">
        <f t="shared" si="2"/>
        <v>170.66038166181721</v>
      </c>
      <c r="D16" s="33">
        <f t="shared" si="3"/>
        <v>0.69401888542472345</v>
      </c>
      <c r="E16" s="33"/>
      <c r="F16" s="33"/>
      <c r="G16" s="34">
        <f>facts!$B$6/facts!$B$7</f>
        <v>11.3</v>
      </c>
      <c r="H16" s="54"/>
      <c r="I16" s="7">
        <f t="shared" si="0"/>
        <v>160.05440054724193</v>
      </c>
      <c r="J16" s="63">
        <f t="shared" si="4"/>
        <v>206.22114845920507</v>
      </c>
      <c r="K16" s="7">
        <f t="shared" si="1"/>
        <v>195.61516734462978</v>
      </c>
    </row>
    <row r="17" spans="1:11" x14ac:dyDescent="0.2">
      <c r="A17" s="59"/>
      <c r="B17">
        <v>15</v>
      </c>
      <c r="C17" s="58">
        <f t="shared" si="2"/>
        <v>160.05440054724193</v>
      </c>
      <c r="D17" s="33">
        <f t="shared" si="3"/>
        <v>0.6508878955587839</v>
      </c>
      <c r="E17" s="33"/>
      <c r="F17" s="33"/>
      <c r="G17" s="34">
        <f>facts!$B$6/facts!$B$7</f>
        <v>11.3</v>
      </c>
      <c r="H17" s="54"/>
      <c r="I17" s="7">
        <f t="shared" si="0"/>
        <v>149.4052884428007</v>
      </c>
      <c r="J17" s="63">
        <f t="shared" si="4"/>
        <v>195.61516734462978</v>
      </c>
      <c r="K17" s="7">
        <f t="shared" si="1"/>
        <v>184.96605524018855</v>
      </c>
    </row>
    <row r="18" spans="1:11" x14ac:dyDescent="0.2">
      <c r="A18" s="59"/>
      <c r="B18">
        <v>16</v>
      </c>
      <c r="C18" s="58">
        <f t="shared" si="2"/>
        <v>149.4052884428007</v>
      </c>
      <c r="D18" s="33">
        <f t="shared" si="3"/>
        <v>0.60758150633405628</v>
      </c>
      <c r="E18" s="33"/>
      <c r="F18" s="33"/>
      <c r="G18" s="34">
        <f>facts!$B$6/facts!$B$7</f>
        <v>11.3</v>
      </c>
      <c r="H18" s="54"/>
      <c r="I18" s="7">
        <f t="shared" si="0"/>
        <v>138.71286994913473</v>
      </c>
      <c r="J18" s="63">
        <f t="shared" si="4"/>
        <v>184.96605524018855</v>
      </c>
      <c r="K18" s="7">
        <f t="shared" si="1"/>
        <v>174.27363674652258</v>
      </c>
    </row>
    <row r="19" spans="1:11" x14ac:dyDescent="0.2">
      <c r="A19" s="59"/>
      <c r="B19">
        <v>17</v>
      </c>
      <c r="C19" s="58">
        <f t="shared" si="2"/>
        <v>138.71286994913473</v>
      </c>
      <c r="D19" s="33">
        <f t="shared" si="3"/>
        <v>0.56409900445981453</v>
      </c>
      <c r="E19" s="33"/>
      <c r="F19" s="33"/>
      <c r="G19" s="34">
        <f>facts!$B$6/facts!$B$7</f>
        <v>11.3</v>
      </c>
      <c r="H19" s="54"/>
      <c r="I19" s="7">
        <f t="shared" si="0"/>
        <v>127.97696895359455</v>
      </c>
      <c r="J19" s="63">
        <f t="shared" si="4"/>
        <v>174.27363674652258</v>
      </c>
      <c r="K19" s="7">
        <f t="shared" si="1"/>
        <v>163.53773575098239</v>
      </c>
    </row>
    <row r="20" spans="1:11" x14ac:dyDescent="0.2">
      <c r="A20" s="59">
        <v>36130</v>
      </c>
      <c r="B20">
        <v>18</v>
      </c>
      <c r="C20" s="58">
        <f t="shared" si="2"/>
        <v>127.97696895359455</v>
      </c>
      <c r="D20" s="33">
        <f t="shared" si="3"/>
        <v>0.52043967374461786</v>
      </c>
      <c r="E20" s="33">
        <v>20.43</v>
      </c>
      <c r="F20" s="33"/>
      <c r="G20" s="34">
        <f>facts!$B$6/facts!$B$7</f>
        <v>11.3</v>
      </c>
      <c r="H20" s="34">
        <f>'facts premium'!$C$28*'facts premium'!$H$16/2</f>
        <v>10.245060733613425</v>
      </c>
      <c r="I20" s="7">
        <f t="shared" si="0"/>
        <v>127.38234789372572</v>
      </c>
      <c r="J20" s="63">
        <f t="shared" si="4"/>
        <v>163.53773575098239</v>
      </c>
      <c r="K20" s="7">
        <f t="shared" si="1"/>
        <v>142.51311469111357</v>
      </c>
    </row>
    <row r="21" spans="1:11" x14ac:dyDescent="0.2">
      <c r="A21" s="59"/>
      <c r="B21">
        <v>19</v>
      </c>
      <c r="C21" s="58">
        <f t="shared" si="2"/>
        <v>127.38234789372572</v>
      </c>
      <c r="D21" s="33">
        <f t="shared" si="3"/>
        <v>0.51802154810115131</v>
      </c>
      <c r="E21" s="33"/>
      <c r="F21" s="33"/>
      <c r="G21" s="34">
        <f>facts!$B$6/facts!$B$7</f>
        <v>11.3</v>
      </c>
      <c r="H21" s="54"/>
      <c r="I21" s="7">
        <f t="shared" si="0"/>
        <v>116.60036944182687</v>
      </c>
      <c r="J21" s="63">
        <f t="shared" si="4"/>
        <v>142.51311469111357</v>
      </c>
      <c r="K21" s="7">
        <f t="shared" si="1"/>
        <v>131.73113623921472</v>
      </c>
    </row>
    <row r="22" spans="1:11" x14ac:dyDescent="0.2">
      <c r="A22" s="59"/>
      <c r="B22">
        <v>20</v>
      </c>
      <c r="C22" s="58">
        <f t="shared" si="2"/>
        <v>116.60036944182687</v>
      </c>
      <c r="D22" s="33">
        <f t="shared" si="3"/>
        <v>0.47417483573009594</v>
      </c>
      <c r="E22" s="33"/>
      <c r="F22" s="33"/>
      <c r="G22" s="34">
        <f>facts!$B$6/facts!$B$7</f>
        <v>11.3</v>
      </c>
      <c r="H22" s="54"/>
      <c r="I22" s="7">
        <f t="shared" si="0"/>
        <v>105.77454427755697</v>
      </c>
      <c r="J22" s="63">
        <f t="shared" si="4"/>
        <v>131.73113623921472</v>
      </c>
      <c r="K22" s="7">
        <f t="shared" si="1"/>
        <v>120.90531107494481</v>
      </c>
    </row>
    <row r="23" spans="1:11" x14ac:dyDescent="0.2">
      <c r="A23" s="59"/>
      <c r="B23">
        <v>21</v>
      </c>
      <c r="C23" s="58">
        <f t="shared" si="2"/>
        <v>105.77454427755697</v>
      </c>
      <c r="D23" s="33">
        <f t="shared" si="3"/>
        <v>0.43014981339539832</v>
      </c>
      <c r="E23" s="33"/>
      <c r="F23" s="33"/>
      <c r="G23" s="34">
        <f>facts!$B$6/facts!$B$7</f>
        <v>11.3</v>
      </c>
      <c r="H23" s="54"/>
      <c r="I23" s="7">
        <f t="shared" si="0"/>
        <v>94.904694090952376</v>
      </c>
      <c r="J23" s="63">
        <f t="shared" si="4"/>
        <v>120.90531107494481</v>
      </c>
      <c r="K23" s="7">
        <f t="shared" si="1"/>
        <v>110.03546088834021</v>
      </c>
    </row>
    <row r="24" spans="1:11" x14ac:dyDescent="0.2">
      <c r="A24" s="59"/>
      <c r="B24">
        <v>22</v>
      </c>
      <c r="C24" s="58">
        <f t="shared" si="2"/>
        <v>94.904694090952376</v>
      </c>
      <c r="D24" s="33">
        <f t="shared" si="3"/>
        <v>0.38594575596987307</v>
      </c>
      <c r="E24" s="33"/>
      <c r="F24" s="33"/>
      <c r="G24" s="34">
        <f>facts!$B$6/facts!$B$7</f>
        <v>11.3</v>
      </c>
      <c r="H24" s="54"/>
      <c r="I24" s="7">
        <f t="shared" si="0"/>
        <v>83.990639846922249</v>
      </c>
      <c r="J24" s="63">
        <f t="shared" si="4"/>
        <v>110.03546088834021</v>
      </c>
      <c r="K24" s="7">
        <f t="shared" si="1"/>
        <v>99.121406644310085</v>
      </c>
    </row>
    <row r="25" spans="1:11" x14ac:dyDescent="0.2">
      <c r="A25" s="59"/>
      <c r="B25">
        <v>23</v>
      </c>
      <c r="C25" s="58">
        <f t="shared" si="2"/>
        <v>83.990639846922249</v>
      </c>
      <c r="D25" s="33">
        <f t="shared" si="3"/>
        <v>0.34156193537748386</v>
      </c>
      <c r="E25" s="33"/>
      <c r="F25" s="33"/>
      <c r="G25" s="34">
        <f>facts!$B$6/facts!$B$7</f>
        <v>11.3</v>
      </c>
      <c r="H25" s="54"/>
      <c r="I25" s="7">
        <f t="shared" si="0"/>
        <v>73.032201782299737</v>
      </c>
      <c r="J25" s="63">
        <f t="shared" si="4"/>
        <v>99.121406644310085</v>
      </c>
      <c r="K25" s="7">
        <f t="shared" si="1"/>
        <v>88.162968579687572</v>
      </c>
    </row>
    <row r="26" spans="1:11" x14ac:dyDescent="0.2">
      <c r="A26" s="59">
        <v>36312</v>
      </c>
      <c r="B26">
        <v>24</v>
      </c>
      <c r="C26" s="58">
        <f t="shared" si="2"/>
        <v>73.032201782299737</v>
      </c>
      <c r="D26" s="33">
        <f t="shared" si="3"/>
        <v>0.29699762058135232</v>
      </c>
      <c r="E26" s="33"/>
      <c r="F26" s="33">
        <v>0.35</v>
      </c>
      <c r="G26" s="34">
        <f>facts!$B$6/facts!$B$7</f>
        <v>11.3</v>
      </c>
      <c r="H26" s="34">
        <f>'facts premium'!$C$28*'facts premium'!$H$16/2</f>
        <v>10.245060733613425</v>
      </c>
      <c r="I26" s="7">
        <f t="shared" si="0"/>
        <v>52.134138669267656</v>
      </c>
      <c r="J26" s="63">
        <f t="shared" si="4"/>
        <v>88.162968579687572</v>
      </c>
      <c r="K26" s="7">
        <f t="shared" si="1"/>
        <v>67.264905466655492</v>
      </c>
    </row>
    <row r="27" spans="1:11" x14ac:dyDescent="0.2">
      <c r="B27">
        <v>25</v>
      </c>
      <c r="C27" s="58">
        <f t="shared" si="2"/>
        <v>52.134138669267656</v>
      </c>
      <c r="D27" s="33">
        <f t="shared" si="3"/>
        <v>0.21201216392168851</v>
      </c>
      <c r="E27" s="33"/>
      <c r="F27" s="33"/>
      <c r="G27" s="34">
        <f>facts!$B$6/facts!$B$7</f>
        <v>11.3</v>
      </c>
      <c r="H27" s="34"/>
      <c r="I27" s="7">
        <f t="shared" si="0"/>
        <v>41.046150833189344</v>
      </c>
      <c r="J27" s="63">
        <f t="shared" si="4"/>
        <v>67.264905466655492</v>
      </c>
      <c r="K27" s="7">
        <f t="shared" si="1"/>
        <v>56.176917630577179</v>
      </c>
    </row>
    <row r="28" spans="1:11" x14ac:dyDescent="0.2">
      <c r="A28" s="59"/>
      <c r="B28">
        <v>26</v>
      </c>
      <c r="C28" s="58">
        <f t="shared" si="2"/>
        <v>41.046150833189344</v>
      </c>
      <c r="D28" s="33">
        <f t="shared" si="3"/>
        <v>0.16692101338830334</v>
      </c>
      <c r="E28" s="33"/>
      <c r="F28" s="33"/>
      <c r="G28" s="34">
        <f>facts!$B$6/facts!$B$7</f>
        <v>11.3</v>
      </c>
      <c r="H28" s="54"/>
      <c r="I28" s="7">
        <f t="shared" si="0"/>
        <v>29.913071846577648</v>
      </c>
      <c r="J28" s="63">
        <f t="shared" si="4"/>
        <v>56.176917630577179</v>
      </c>
      <c r="K28" s="7">
        <f t="shared" si="1"/>
        <v>45.043838643965486</v>
      </c>
    </row>
    <row r="29" spans="1:11" x14ac:dyDescent="0.2">
      <c r="A29" s="59"/>
      <c r="B29">
        <v>27</v>
      </c>
      <c r="C29" s="58">
        <f t="shared" si="2"/>
        <v>29.913071846577648</v>
      </c>
      <c r="D29" s="33">
        <f t="shared" si="3"/>
        <v>0.12164649217608244</v>
      </c>
      <c r="E29" s="33"/>
      <c r="F29" s="33"/>
      <c r="G29" s="34">
        <f>facts!$B$6/facts!$B$7</f>
        <v>11.3</v>
      </c>
      <c r="H29" s="54"/>
      <c r="I29" s="7">
        <f t="shared" si="0"/>
        <v>18.73471833875373</v>
      </c>
      <c r="J29" s="63">
        <f t="shared" si="4"/>
        <v>45.043838643965486</v>
      </c>
      <c r="K29" s="7">
        <f t="shared" si="1"/>
        <v>33.865485136141572</v>
      </c>
    </row>
    <row r="30" spans="1:11" x14ac:dyDescent="0.2">
      <c r="A30" s="59"/>
      <c r="B30">
        <v>28</v>
      </c>
      <c r="C30" s="58">
        <f t="shared" si="2"/>
        <v>18.73471833875373</v>
      </c>
      <c r="D30" s="33">
        <f t="shared" si="3"/>
        <v>7.618785457759851E-2</v>
      </c>
      <c r="E30" s="33"/>
      <c r="F30" s="33"/>
      <c r="G30" s="34">
        <f>facts!$B$6/facts!$B$7</f>
        <v>11.3</v>
      </c>
      <c r="H30" s="54"/>
      <c r="I30" s="7">
        <f t="shared" si="0"/>
        <v>7.5109061933313264</v>
      </c>
      <c r="J30" s="63">
        <f t="shared" si="4"/>
        <v>33.865485136141572</v>
      </c>
      <c r="K30" s="7">
        <f t="shared" si="1"/>
        <v>22.641672990719169</v>
      </c>
    </row>
    <row r="31" spans="1:11" x14ac:dyDescent="0.2">
      <c r="A31" s="59"/>
      <c r="B31">
        <v>29</v>
      </c>
      <c r="C31" s="58">
        <f t="shared" si="2"/>
        <v>7.5109061933313264</v>
      </c>
      <c r="D31" s="33">
        <f t="shared" si="3"/>
        <v>3.0544351852880732E-2</v>
      </c>
      <c r="E31" s="33"/>
      <c r="F31" s="33"/>
      <c r="G31" s="34">
        <f>facts!$B$6/facts!$B$7</f>
        <v>11.3</v>
      </c>
      <c r="H31" s="54"/>
      <c r="I31" s="7">
        <f t="shared" si="0"/>
        <v>-3.7585494548157934</v>
      </c>
      <c r="J31" s="63">
        <f t="shared" si="4"/>
        <v>22.641672990719169</v>
      </c>
      <c r="K31" s="7">
        <f t="shared" si="1"/>
        <v>11.37221734257205</v>
      </c>
    </row>
    <row r="32" spans="1:11" x14ac:dyDescent="0.2">
      <c r="A32" s="59">
        <v>36495</v>
      </c>
      <c r="B32">
        <v>30</v>
      </c>
      <c r="C32" s="58">
        <f t="shared" si="2"/>
        <v>-3.7585494548157934</v>
      </c>
      <c r="D32" s="33">
        <f t="shared" si="3"/>
        <v>-1.5284767782917562E-2</v>
      </c>
      <c r="E32" s="33">
        <v>24.715328</v>
      </c>
      <c r="F32" s="33">
        <v>0.35</v>
      </c>
      <c r="G32" s="34">
        <f>facts!$B$6/facts!$B$7</f>
        <v>11.3</v>
      </c>
      <c r="H32" s="34">
        <f>'facts premium'!$C$28*'facts premium'!$H$16/2</f>
        <v>10.245060733613425</v>
      </c>
      <c r="I32" s="7">
        <f t="shared" si="0"/>
        <v>-0.25356695621213632</v>
      </c>
      <c r="J32" s="63">
        <f t="shared" si="4"/>
        <v>11.37221734257205</v>
      </c>
      <c r="K32" s="7">
        <f t="shared" si="1"/>
        <v>-9.8381281588242935</v>
      </c>
    </row>
    <row r="33" spans="1:11" x14ac:dyDescent="0.2">
      <c r="A33" s="59">
        <v>36678</v>
      </c>
      <c r="B33">
        <v>36</v>
      </c>
      <c r="C33" s="58">
        <f t="shared" si="2"/>
        <v>-0.25356695621213632</v>
      </c>
      <c r="D33" s="33">
        <f t="shared" ref="D33:D70" si="5">C33*DiscRate/2</f>
        <v>-6.1870337315761267E-3</v>
      </c>
      <c r="E33" s="33"/>
      <c r="F33" s="33">
        <v>0.35</v>
      </c>
      <c r="G33" s="34"/>
      <c r="H33" s="34">
        <f>'facts premium'!$C$28*'facts premium'!$H$16/2</f>
        <v>10.245060733613425</v>
      </c>
      <c r="I33" s="7">
        <f t="shared" si="0"/>
        <v>-10.154814723557138</v>
      </c>
      <c r="J33" s="63">
        <f t="shared" si="4"/>
        <v>-9.8381281588242935</v>
      </c>
      <c r="K33" s="7">
        <f t="shared" si="1"/>
        <v>-19.739375926169295</v>
      </c>
    </row>
    <row r="34" spans="1:11" x14ac:dyDescent="0.2">
      <c r="A34" s="59">
        <v>36861</v>
      </c>
      <c r="B34">
        <v>42</v>
      </c>
      <c r="C34" s="58">
        <f t="shared" si="2"/>
        <v>-10.154814723557138</v>
      </c>
      <c r="D34" s="33">
        <f t="shared" si="5"/>
        <v>-0.24777747925479418</v>
      </c>
      <c r="E34" s="33">
        <v>25.091313</v>
      </c>
      <c r="F34" s="33">
        <v>0.35</v>
      </c>
      <c r="G34" s="34"/>
      <c r="H34" s="34">
        <f>'facts premium'!$C$28*'facts premium'!$H$16/2</f>
        <v>10.245060733613425</v>
      </c>
      <c r="I34" s="7">
        <f t="shared" si="0"/>
        <v>4.7936600635746434</v>
      </c>
      <c r="J34" s="63">
        <f t="shared" si="4"/>
        <v>-19.739375926169295</v>
      </c>
      <c r="K34" s="7">
        <f t="shared" si="1"/>
        <v>-29.882214139037512</v>
      </c>
    </row>
    <row r="35" spans="1:11" x14ac:dyDescent="0.2">
      <c r="A35" s="59">
        <f t="shared" ref="A35:A70" si="6">A34+366/2</f>
        <v>37044</v>
      </c>
      <c r="B35">
        <v>48</v>
      </c>
      <c r="C35" s="58">
        <f t="shared" si="2"/>
        <v>4.7936600635746434</v>
      </c>
      <c r="D35" s="33">
        <f t="shared" si="5"/>
        <v>0.11696530555122131</v>
      </c>
      <c r="E35" s="33"/>
      <c r="F35" s="33">
        <v>0.35</v>
      </c>
      <c r="G35" s="34"/>
      <c r="H35" s="34">
        <f>'facts premium'!$C$28*'facts premium'!$H$16/2</f>
        <v>10.245060733613425</v>
      </c>
      <c r="I35" s="7">
        <f t="shared" ref="I35:I66" si="7">C35+D35+E35+F35-G35-H35</f>
        <v>-4.9844353644875605</v>
      </c>
      <c r="J35" s="63">
        <f t="shared" si="4"/>
        <v>-29.882214139037512</v>
      </c>
      <c r="K35" s="7">
        <f t="shared" ref="K35:K66" si="8">J35+D35+F35-G35-H35</f>
        <v>-39.660309567099716</v>
      </c>
    </row>
    <row r="36" spans="1:11" x14ac:dyDescent="0.2">
      <c r="A36" s="59">
        <f t="shared" si="6"/>
        <v>37227</v>
      </c>
      <c r="B36">
        <v>54</v>
      </c>
      <c r="C36" s="58">
        <f t="shared" ref="C36:C70" si="9">I35</f>
        <v>-4.9844353644875605</v>
      </c>
      <c r="D36" s="33">
        <f t="shared" si="5"/>
        <v>-0.12162022289349649</v>
      </c>
      <c r="E36" s="33">
        <v>25.488810000000001</v>
      </c>
      <c r="F36" s="33">
        <v>0.35</v>
      </c>
      <c r="G36" s="34"/>
      <c r="H36" s="34">
        <f>'facts premium'!$C$28*'facts premium'!$H$16/2</f>
        <v>10.245060733613425</v>
      </c>
      <c r="I36" s="7">
        <f t="shared" si="7"/>
        <v>10.48769367900552</v>
      </c>
      <c r="J36" s="63">
        <f t="shared" ref="J36:J70" si="10">K35</f>
        <v>-39.660309567099716</v>
      </c>
      <c r="K36" s="7">
        <f t="shared" si="8"/>
        <v>-49.676990523606634</v>
      </c>
    </row>
    <row r="37" spans="1:11" x14ac:dyDescent="0.2">
      <c r="A37" s="59">
        <f t="shared" si="6"/>
        <v>37410</v>
      </c>
      <c r="B37">
        <v>60</v>
      </c>
      <c r="C37" s="58">
        <f t="shared" si="9"/>
        <v>10.48769367900552</v>
      </c>
      <c r="D37" s="33">
        <f t="shared" si="5"/>
        <v>0.25589972576773473</v>
      </c>
      <c r="E37" s="33"/>
      <c r="F37" s="33">
        <v>0.35</v>
      </c>
      <c r="G37" s="34"/>
      <c r="H37" s="34">
        <f>'facts premium'!$C$28*'facts premium'!$H$16/2</f>
        <v>10.245060733613425</v>
      </c>
      <c r="I37" s="7">
        <f t="shared" si="7"/>
        <v>0.84853267115983044</v>
      </c>
      <c r="J37" s="63">
        <f t="shared" si="10"/>
        <v>-49.676990523606634</v>
      </c>
      <c r="K37" s="7">
        <f t="shared" si="8"/>
        <v>-59.31615153145232</v>
      </c>
    </row>
    <row r="38" spans="1:11" x14ac:dyDescent="0.2">
      <c r="A38" s="59">
        <f t="shared" si="6"/>
        <v>37593</v>
      </c>
      <c r="B38">
        <v>66</v>
      </c>
      <c r="C38" s="58">
        <f t="shared" si="9"/>
        <v>0.84853267115983044</v>
      </c>
      <c r="D38" s="33">
        <f t="shared" si="5"/>
        <v>2.0704197176299864E-2</v>
      </c>
      <c r="E38" s="33">
        <v>26.244264999999999</v>
      </c>
      <c r="F38" s="33">
        <v>0.35</v>
      </c>
      <c r="G38" s="34"/>
      <c r="H38" s="34">
        <f>'facts premium'!$C$28*'facts premium'!$H$16/2</f>
        <v>10.245060733613425</v>
      </c>
      <c r="I38" s="7">
        <f t="shared" si="7"/>
        <v>17.218441134722706</v>
      </c>
      <c r="J38" s="63">
        <f t="shared" si="10"/>
        <v>-59.31615153145232</v>
      </c>
      <c r="K38" s="7">
        <f t="shared" si="8"/>
        <v>-69.190508067889439</v>
      </c>
    </row>
    <row r="39" spans="1:11" x14ac:dyDescent="0.2">
      <c r="A39" s="59">
        <f t="shared" si="6"/>
        <v>37776</v>
      </c>
      <c r="B39">
        <v>72</v>
      </c>
      <c r="C39" s="58">
        <f t="shared" si="9"/>
        <v>17.218441134722706</v>
      </c>
      <c r="D39" s="33">
        <f t="shared" si="5"/>
        <v>0.42012996368723404</v>
      </c>
      <c r="E39" s="33"/>
      <c r="F39" s="33">
        <v>0.35</v>
      </c>
      <c r="G39" s="34"/>
      <c r="H39" s="34">
        <f>'facts premium'!$C$28*'facts premium'!$H$16/2</f>
        <v>10.245060733613425</v>
      </c>
      <c r="I39" s="7">
        <f t="shared" si="7"/>
        <v>7.7435103647965171</v>
      </c>
      <c r="J39" s="63">
        <f t="shared" si="10"/>
        <v>-69.190508067889439</v>
      </c>
      <c r="K39" s="7">
        <f t="shared" si="8"/>
        <v>-78.665438837815643</v>
      </c>
    </row>
    <row r="40" spans="1:11" x14ac:dyDescent="0.2">
      <c r="A40" s="59">
        <f t="shared" si="6"/>
        <v>37959</v>
      </c>
      <c r="B40">
        <v>78</v>
      </c>
      <c r="C40" s="58">
        <f t="shared" si="9"/>
        <v>7.7435103647965171</v>
      </c>
      <c r="D40" s="33">
        <f t="shared" si="5"/>
        <v>0.18894165290103504</v>
      </c>
      <c r="E40" s="33">
        <v>27.316483999999999</v>
      </c>
      <c r="F40" s="33">
        <v>0.35</v>
      </c>
      <c r="G40" s="34"/>
      <c r="H40" s="34">
        <f>'facts premium'!$C$28*'facts premium'!$H$16/2</f>
        <v>10.245060733613425</v>
      </c>
      <c r="I40" s="7">
        <f t="shared" si="7"/>
        <v>25.353875284084129</v>
      </c>
      <c r="J40" s="63">
        <f t="shared" si="10"/>
        <v>-78.665438837815643</v>
      </c>
      <c r="K40" s="7">
        <f t="shared" si="8"/>
        <v>-88.37155791852804</v>
      </c>
    </row>
    <row r="41" spans="1:11" x14ac:dyDescent="0.2">
      <c r="A41" s="59">
        <f t="shared" si="6"/>
        <v>38142</v>
      </c>
      <c r="B41">
        <v>84</v>
      </c>
      <c r="C41" s="58">
        <f t="shared" si="9"/>
        <v>25.353875284084129</v>
      </c>
      <c r="D41" s="33">
        <f t="shared" si="5"/>
        <v>0.61863455693165281</v>
      </c>
      <c r="E41" s="33"/>
      <c r="F41" s="33">
        <v>0.35</v>
      </c>
      <c r="G41" s="34"/>
      <c r="H41" s="34">
        <f>'facts premium'!$C$28*'facts premium'!$H$16/2</f>
        <v>10.245060733613425</v>
      </c>
      <c r="I41" s="7">
        <f t="shared" si="7"/>
        <v>16.077449107402359</v>
      </c>
      <c r="J41" s="63">
        <f t="shared" si="10"/>
        <v>-88.37155791852804</v>
      </c>
      <c r="K41" s="7">
        <f t="shared" si="8"/>
        <v>-97.647984095209821</v>
      </c>
    </row>
    <row r="42" spans="1:11" x14ac:dyDescent="0.2">
      <c r="A42" s="59">
        <f t="shared" si="6"/>
        <v>38325</v>
      </c>
      <c r="B42">
        <v>90</v>
      </c>
      <c r="C42" s="58">
        <f t="shared" si="9"/>
        <v>16.077449107402359</v>
      </c>
      <c r="D42" s="33">
        <f t="shared" si="5"/>
        <v>0.39228975822061757</v>
      </c>
      <c r="E42" s="33">
        <v>28.432511999999999</v>
      </c>
      <c r="F42" s="33">
        <v>0.35</v>
      </c>
      <c r="G42" s="34"/>
      <c r="H42" s="34">
        <f>'facts premium'!$C$28*'facts premium'!$H$16/2</f>
        <v>10.245060733613425</v>
      </c>
      <c r="I42" s="7">
        <f t="shared" si="7"/>
        <v>35.007190132009555</v>
      </c>
      <c r="J42" s="63">
        <f t="shared" si="10"/>
        <v>-97.647984095209821</v>
      </c>
      <c r="K42" s="7">
        <f t="shared" si="8"/>
        <v>-107.15075507060264</v>
      </c>
    </row>
    <row r="43" spans="1:11" x14ac:dyDescent="0.2">
      <c r="A43" s="59">
        <f t="shared" si="6"/>
        <v>38508</v>
      </c>
      <c r="B43">
        <v>96</v>
      </c>
      <c r="C43" s="58">
        <f t="shared" si="9"/>
        <v>35.007190132009555</v>
      </c>
      <c r="D43" s="33">
        <f t="shared" si="5"/>
        <v>0.85417543922103323</v>
      </c>
      <c r="E43" s="33"/>
      <c r="F43" s="33">
        <v>0.35</v>
      </c>
      <c r="G43" s="34"/>
      <c r="H43" s="34">
        <f>'facts premium'!$C$28*'facts premium'!$H$16/2</f>
        <v>10.245060733613425</v>
      </c>
      <c r="I43" s="7">
        <f t="shared" si="7"/>
        <v>25.966304837617162</v>
      </c>
      <c r="J43" s="63">
        <f t="shared" si="10"/>
        <v>-107.15075507060264</v>
      </c>
      <c r="K43" s="7">
        <f t="shared" si="8"/>
        <v>-116.19164036499504</v>
      </c>
    </row>
    <row r="44" spans="1:11" x14ac:dyDescent="0.2">
      <c r="A44" s="59">
        <f t="shared" si="6"/>
        <v>38691</v>
      </c>
      <c r="B44">
        <v>102</v>
      </c>
      <c r="C44" s="58">
        <f t="shared" si="9"/>
        <v>25.966304837617162</v>
      </c>
      <c r="D44" s="33">
        <f t="shared" si="5"/>
        <v>0.63357783803785883</v>
      </c>
      <c r="E44" s="33">
        <v>29.594138999999998</v>
      </c>
      <c r="F44" s="33">
        <v>0.35</v>
      </c>
      <c r="G44" s="34"/>
      <c r="H44" s="34">
        <f>'facts premium'!$C$28*'facts premium'!$H$16/2</f>
        <v>10.245060733613425</v>
      </c>
      <c r="I44" s="7">
        <f t="shared" si="7"/>
        <v>46.298960942041603</v>
      </c>
      <c r="J44" s="63">
        <f t="shared" si="10"/>
        <v>-116.19164036499504</v>
      </c>
      <c r="K44" s="7">
        <f t="shared" si="8"/>
        <v>-125.45312326057061</v>
      </c>
    </row>
    <row r="45" spans="1:11" x14ac:dyDescent="0.2">
      <c r="A45" s="59">
        <f t="shared" si="6"/>
        <v>38874</v>
      </c>
      <c r="B45">
        <v>108</v>
      </c>
      <c r="C45" s="58">
        <f t="shared" si="9"/>
        <v>46.298960942041603</v>
      </c>
      <c r="D45" s="33">
        <f t="shared" si="5"/>
        <v>1.1296946469858151</v>
      </c>
      <c r="E45" s="33"/>
      <c r="F45" s="33">
        <v>0.35</v>
      </c>
      <c r="G45" s="34"/>
      <c r="H45" s="34">
        <f>'facts premium'!$C$28*'facts premium'!$H$16/2</f>
        <v>10.245060733613425</v>
      </c>
      <c r="I45" s="7">
        <f t="shared" si="7"/>
        <v>37.533594855413995</v>
      </c>
      <c r="J45" s="63">
        <f t="shared" si="10"/>
        <v>-125.45312326057061</v>
      </c>
      <c r="K45" s="7">
        <f t="shared" si="8"/>
        <v>-134.21848934719822</v>
      </c>
    </row>
    <row r="46" spans="1:11" x14ac:dyDescent="0.2">
      <c r="A46" s="59">
        <f t="shared" si="6"/>
        <v>39057</v>
      </c>
      <c r="B46">
        <v>114</v>
      </c>
      <c r="C46" s="58">
        <f t="shared" si="9"/>
        <v>37.533594855413995</v>
      </c>
      <c r="D46" s="33">
        <f t="shared" si="5"/>
        <v>0.91581971447210153</v>
      </c>
      <c r="E46" s="33">
        <v>30.803229000000002</v>
      </c>
      <c r="F46" s="33">
        <v>0.35</v>
      </c>
      <c r="G46" s="34"/>
      <c r="H46" s="34">
        <f>'facts premium'!$C$28*'facts premium'!$H$16/2</f>
        <v>10.245060733613425</v>
      </c>
      <c r="I46" s="7">
        <f t="shared" si="7"/>
        <v>59.357582836272655</v>
      </c>
      <c r="J46" s="63">
        <f t="shared" si="10"/>
        <v>-134.21848934719822</v>
      </c>
      <c r="K46" s="7">
        <f t="shared" si="8"/>
        <v>-143.19773036633956</v>
      </c>
    </row>
    <row r="47" spans="1:11" x14ac:dyDescent="0.2">
      <c r="A47" s="59">
        <f t="shared" si="6"/>
        <v>39240</v>
      </c>
      <c r="B47">
        <v>120</v>
      </c>
      <c r="C47" s="58">
        <f t="shared" si="9"/>
        <v>59.357582836272655</v>
      </c>
      <c r="D47" s="33">
        <f t="shared" si="5"/>
        <v>1.4483250212050529</v>
      </c>
      <c r="E47" s="33"/>
      <c r="F47" s="33">
        <v>0.35</v>
      </c>
      <c r="G47" s="34"/>
      <c r="H47" s="34">
        <f>'facts premium'!$C$28*'facts premium'!$H$16/2</f>
        <v>10.245060733613425</v>
      </c>
      <c r="I47" s="7">
        <f t="shared" si="7"/>
        <v>50.910847123864286</v>
      </c>
      <c r="J47" s="63">
        <f t="shared" si="10"/>
        <v>-143.19773036633956</v>
      </c>
      <c r="K47" s="7">
        <f t="shared" si="8"/>
        <v>-151.64446607874794</v>
      </c>
    </row>
    <row r="48" spans="1:11" x14ac:dyDescent="0.2">
      <c r="A48" s="59">
        <f t="shared" si="6"/>
        <v>39423</v>
      </c>
      <c r="B48">
        <v>126</v>
      </c>
      <c r="C48" s="58">
        <f t="shared" si="9"/>
        <v>50.910847123864286</v>
      </c>
      <c r="D48" s="33">
        <f t="shared" si="5"/>
        <v>1.2422246698222887</v>
      </c>
      <c r="E48" s="33">
        <v>32.061720000000001</v>
      </c>
      <c r="F48" s="33">
        <v>0.35</v>
      </c>
      <c r="G48" s="34"/>
      <c r="H48" s="34">
        <f>'facts premium'!$C$28*'facts premium'!$H$16/2</f>
        <v>10.245060733613425</v>
      </c>
      <c r="I48" s="7">
        <f t="shared" si="7"/>
        <v>74.319731060073138</v>
      </c>
      <c r="J48" s="63">
        <f t="shared" si="10"/>
        <v>-151.64446607874794</v>
      </c>
      <c r="K48" s="7">
        <f t="shared" si="8"/>
        <v>-160.29730214253908</v>
      </c>
    </row>
    <row r="49" spans="1:11" x14ac:dyDescent="0.2">
      <c r="A49" s="59">
        <f t="shared" si="6"/>
        <v>39606</v>
      </c>
      <c r="B49">
        <v>132</v>
      </c>
      <c r="C49" s="58">
        <f t="shared" si="9"/>
        <v>74.319731060073138</v>
      </c>
      <c r="D49" s="33">
        <f t="shared" si="5"/>
        <v>1.8134014378657848</v>
      </c>
      <c r="E49" s="33"/>
      <c r="F49" s="33">
        <v>0.35</v>
      </c>
      <c r="G49" s="34"/>
      <c r="H49" s="34">
        <f>'facts premium'!$C$28*'facts premium'!$H$16/2</f>
        <v>10.245060733613425</v>
      </c>
      <c r="I49" s="7">
        <f t="shared" si="7"/>
        <v>66.238071764325483</v>
      </c>
      <c r="J49" s="63">
        <f t="shared" si="10"/>
        <v>-160.29730214253908</v>
      </c>
      <c r="K49" s="7">
        <f t="shared" si="8"/>
        <v>-168.37896143828672</v>
      </c>
    </row>
    <row r="50" spans="1:11" x14ac:dyDescent="0.2">
      <c r="A50" s="59">
        <f t="shared" si="6"/>
        <v>39789</v>
      </c>
      <c r="B50">
        <v>138</v>
      </c>
      <c r="C50" s="58">
        <f t="shared" si="9"/>
        <v>66.238071764325483</v>
      </c>
      <c r="D50" s="33">
        <f t="shared" si="5"/>
        <v>1.6162089510495419</v>
      </c>
      <c r="E50" s="33">
        <v>33.371633000000003</v>
      </c>
      <c r="F50" s="33">
        <v>0.35</v>
      </c>
      <c r="G50" s="34"/>
      <c r="H50" s="34">
        <f>'facts premium'!$C$28*'facts premium'!$H$16/2</f>
        <v>10.245060733613425</v>
      </c>
      <c r="I50" s="7">
        <f t="shared" si="7"/>
        <v>91.330852981761595</v>
      </c>
      <c r="J50" s="63">
        <f t="shared" si="10"/>
        <v>-168.37896143828672</v>
      </c>
      <c r="K50" s="7">
        <f t="shared" si="8"/>
        <v>-176.65781322085061</v>
      </c>
    </row>
    <row r="51" spans="1:11" x14ac:dyDescent="0.2">
      <c r="A51" s="59">
        <f t="shared" si="6"/>
        <v>39972</v>
      </c>
      <c r="B51">
        <v>144</v>
      </c>
      <c r="C51" s="58">
        <f t="shared" si="9"/>
        <v>91.330852981761595</v>
      </c>
      <c r="D51" s="33">
        <f t="shared" si="5"/>
        <v>2.2284728127549829</v>
      </c>
      <c r="E51" s="33"/>
      <c r="F51" s="33">
        <v>0.35</v>
      </c>
      <c r="G51" s="34"/>
      <c r="H51" s="34">
        <f>'facts premium'!$C$28*'facts premium'!$H$16/2</f>
        <v>10.245060733613425</v>
      </c>
      <c r="I51" s="7">
        <f t="shared" si="7"/>
        <v>83.664265060903148</v>
      </c>
      <c r="J51" s="63">
        <f t="shared" si="10"/>
        <v>-176.65781322085061</v>
      </c>
      <c r="K51" s="7">
        <f t="shared" si="8"/>
        <v>-184.32440114170907</v>
      </c>
    </row>
    <row r="52" spans="1:11" x14ac:dyDescent="0.2">
      <c r="A52" s="59">
        <f t="shared" si="6"/>
        <v>40155</v>
      </c>
      <c r="B52">
        <v>150</v>
      </c>
      <c r="C52" s="58">
        <f t="shared" si="9"/>
        <v>83.664265060903148</v>
      </c>
      <c r="D52" s="33">
        <f t="shared" si="5"/>
        <v>2.0414080674860369</v>
      </c>
      <c r="E52" s="33">
        <v>34.735066000000003</v>
      </c>
      <c r="F52" s="33">
        <v>0.35</v>
      </c>
      <c r="G52" s="34"/>
      <c r="H52" s="34">
        <f>'facts premium'!$C$28*'facts premium'!$H$16/2</f>
        <v>10.245060733613425</v>
      </c>
      <c r="I52" s="7">
        <f t="shared" si="7"/>
        <v>110.54567839477575</v>
      </c>
      <c r="J52" s="63">
        <f t="shared" si="10"/>
        <v>-184.32440114170907</v>
      </c>
      <c r="K52" s="7">
        <f t="shared" si="8"/>
        <v>-192.17805380783648</v>
      </c>
    </row>
    <row r="53" spans="1:11" x14ac:dyDescent="0.2">
      <c r="A53" s="59">
        <f t="shared" si="6"/>
        <v>40338</v>
      </c>
      <c r="B53">
        <v>156</v>
      </c>
      <c r="C53" s="58">
        <f t="shared" si="9"/>
        <v>110.54567839477575</v>
      </c>
      <c r="D53" s="33">
        <f t="shared" si="5"/>
        <v>2.6973145528325286</v>
      </c>
      <c r="E53" s="33"/>
      <c r="F53" s="33">
        <v>0.35</v>
      </c>
      <c r="G53" s="34"/>
      <c r="H53" s="34">
        <f>'facts premium'!$C$28*'facts premium'!$H$16/2</f>
        <v>10.245060733613425</v>
      </c>
      <c r="I53" s="7">
        <f t="shared" si="7"/>
        <v>103.34793221399484</v>
      </c>
      <c r="J53" s="63">
        <f t="shared" si="10"/>
        <v>-192.17805380783648</v>
      </c>
      <c r="K53" s="7">
        <f t="shared" si="8"/>
        <v>-199.37579998861739</v>
      </c>
    </row>
    <row r="54" spans="1:11" x14ac:dyDescent="0.2">
      <c r="A54" s="59">
        <f t="shared" si="6"/>
        <v>40521</v>
      </c>
      <c r="B54">
        <v>162</v>
      </c>
      <c r="C54" s="58">
        <f t="shared" si="9"/>
        <v>103.34793221399484</v>
      </c>
      <c r="D54" s="33">
        <f t="shared" si="5"/>
        <v>2.5216895460214741</v>
      </c>
      <c r="E54" s="33">
        <v>36.154209000000002</v>
      </c>
      <c r="F54" s="33">
        <v>0.35</v>
      </c>
      <c r="G54" s="34"/>
      <c r="H54" s="34">
        <f>'facts premium'!$C$28*'facts premium'!$H$16/2</f>
        <v>10.245060733613425</v>
      </c>
      <c r="I54" s="7">
        <f t="shared" si="7"/>
        <v>132.12877002640289</v>
      </c>
      <c r="J54" s="63">
        <f t="shared" si="10"/>
        <v>-199.37579998861739</v>
      </c>
      <c r="K54" s="7">
        <f t="shared" si="8"/>
        <v>-206.74917117620936</v>
      </c>
    </row>
    <row r="55" spans="1:11" x14ac:dyDescent="0.2">
      <c r="A55" s="59">
        <f t="shared" si="6"/>
        <v>40704</v>
      </c>
      <c r="B55">
        <v>168</v>
      </c>
      <c r="C55" s="58">
        <f t="shared" si="9"/>
        <v>132.12877002640289</v>
      </c>
      <c r="D55" s="33">
        <f t="shared" si="5"/>
        <v>3.2239419886442309</v>
      </c>
      <c r="E55" s="33"/>
      <c r="F55" s="33">
        <v>0.35</v>
      </c>
      <c r="G55" s="34"/>
      <c r="H55" s="34">
        <f>'facts premium'!$C$28*'facts premium'!$H$16/2</f>
        <v>10.245060733613425</v>
      </c>
      <c r="I55" s="7">
        <f t="shared" si="7"/>
        <v>125.4576512814337</v>
      </c>
      <c r="J55" s="63">
        <f t="shared" si="10"/>
        <v>-206.74917117620936</v>
      </c>
      <c r="K55" s="7">
        <f t="shared" si="8"/>
        <v>-213.42028992117855</v>
      </c>
    </row>
    <row r="56" spans="1:11" x14ac:dyDescent="0.2">
      <c r="A56" s="59">
        <f t="shared" si="6"/>
        <v>40887</v>
      </c>
      <c r="B56">
        <v>174</v>
      </c>
      <c r="C56" s="58">
        <f t="shared" si="9"/>
        <v>125.4576512814337</v>
      </c>
      <c r="D56" s="33">
        <f t="shared" si="5"/>
        <v>3.0611666912669824</v>
      </c>
      <c r="E56" s="33">
        <v>37.631335999999997</v>
      </c>
      <c r="F56" s="33">
        <v>0.35</v>
      </c>
      <c r="G56" s="34"/>
      <c r="H56" s="34">
        <f>'facts premium'!$C$28*'facts premium'!$H$16/2</f>
        <v>10.245060733613425</v>
      </c>
      <c r="I56" s="7">
        <f t="shared" si="7"/>
        <v>156.25509323908724</v>
      </c>
      <c r="J56" s="63">
        <f t="shared" si="10"/>
        <v>-213.42028992117855</v>
      </c>
      <c r="K56" s="7">
        <f t="shared" si="8"/>
        <v>-220.25418396352501</v>
      </c>
    </row>
    <row r="57" spans="1:11" x14ac:dyDescent="0.2">
      <c r="A57" s="59">
        <f t="shared" si="6"/>
        <v>41070</v>
      </c>
      <c r="B57">
        <v>180</v>
      </c>
      <c r="C57" s="58">
        <f t="shared" si="9"/>
        <v>156.25509323908724</v>
      </c>
      <c r="D57" s="33">
        <f t="shared" si="5"/>
        <v>3.8126242750337291</v>
      </c>
      <c r="E57" s="33"/>
      <c r="F57" s="33">
        <v>0.35</v>
      </c>
      <c r="G57" s="34"/>
      <c r="H57" s="34">
        <f>'facts premium'!$C$28*'facts premium'!$H$16/2</f>
        <v>10.245060733613425</v>
      </c>
      <c r="I57" s="7">
        <f t="shared" si="7"/>
        <v>150.17265678050754</v>
      </c>
      <c r="J57" s="63">
        <f t="shared" si="10"/>
        <v>-220.25418396352501</v>
      </c>
      <c r="K57" s="7">
        <f t="shared" si="8"/>
        <v>-226.33662042210472</v>
      </c>
    </row>
    <row r="58" spans="1:11" x14ac:dyDescent="0.2">
      <c r="A58" s="59">
        <f t="shared" si="6"/>
        <v>41253</v>
      </c>
      <c r="B58">
        <v>186</v>
      </c>
      <c r="C58" s="58">
        <f t="shared" si="9"/>
        <v>150.17265678050754</v>
      </c>
      <c r="D58" s="33">
        <f t="shared" si="5"/>
        <v>3.664212825444384</v>
      </c>
      <c r="E58" s="33">
        <v>39.168818000000002</v>
      </c>
      <c r="F58" s="33">
        <v>0.35</v>
      </c>
      <c r="G58" s="34"/>
      <c r="H58" s="34">
        <f>'facts premium'!$C$28*'facts premium'!$H$16/2</f>
        <v>10.245060733613425</v>
      </c>
      <c r="I58" s="7">
        <f t="shared" si="7"/>
        <v>183.11062687233851</v>
      </c>
      <c r="J58" s="63">
        <f t="shared" si="10"/>
        <v>-226.33662042210472</v>
      </c>
      <c r="K58" s="7">
        <f t="shared" si="8"/>
        <v>-232.56746833027375</v>
      </c>
    </row>
    <row r="59" spans="1:11" x14ac:dyDescent="0.2">
      <c r="A59" s="59">
        <f t="shared" si="6"/>
        <v>41436</v>
      </c>
      <c r="B59">
        <v>192</v>
      </c>
      <c r="C59" s="58">
        <f t="shared" si="9"/>
        <v>183.11062687233851</v>
      </c>
      <c r="D59" s="33">
        <f t="shared" si="5"/>
        <v>4.4678992956850596</v>
      </c>
      <c r="E59" s="33"/>
      <c r="F59" s="33">
        <v>0.35</v>
      </c>
      <c r="G59" s="34"/>
      <c r="H59" s="34">
        <f>'facts premium'!$C$28*'facts premium'!$H$16/2</f>
        <v>10.245060733613425</v>
      </c>
      <c r="I59" s="7">
        <f t="shared" si="7"/>
        <v>177.68346543441015</v>
      </c>
      <c r="J59" s="63">
        <f t="shared" si="10"/>
        <v>-232.56746833027375</v>
      </c>
      <c r="K59" s="7">
        <f t="shared" si="8"/>
        <v>-237.99462976820212</v>
      </c>
    </row>
    <row r="60" spans="1:11" x14ac:dyDescent="0.2">
      <c r="A60" s="59">
        <f t="shared" si="6"/>
        <v>41619</v>
      </c>
      <c r="B60">
        <v>198</v>
      </c>
      <c r="C60" s="58">
        <f t="shared" si="9"/>
        <v>177.68346543441015</v>
      </c>
      <c r="D60" s="33">
        <f t="shared" si="5"/>
        <v>4.3354765565996081</v>
      </c>
      <c r="E60" s="33">
        <v>40.769120999999998</v>
      </c>
      <c r="F60" s="33">
        <v>0.35</v>
      </c>
      <c r="G60" s="34"/>
      <c r="H60" s="34">
        <f>'facts premium'!$C$28*'facts premium'!$H$16/2</f>
        <v>10.245060733613425</v>
      </c>
      <c r="I60" s="7">
        <f t="shared" si="7"/>
        <v>212.89300225739635</v>
      </c>
      <c r="J60" s="63">
        <f t="shared" si="10"/>
        <v>-237.99462976820212</v>
      </c>
      <c r="K60" s="7">
        <f t="shared" si="8"/>
        <v>-243.55421394521593</v>
      </c>
    </row>
    <row r="61" spans="1:11" x14ac:dyDescent="0.2">
      <c r="A61" s="59">
        <f t="shared" si="6"/>
        <v>41802</v>
      </c>
      <c r="B61">
        <v>204</v>
      </c>
      <c r="C61" s="58">
        <f t="shared" si="9"/>
        <v>212.89300225739635</v>
      </c>
      <c r="D61" s="33">
        <f t="shared" si="5"/>
        <v>5.1945892550804711</v>
      </c>
      <c r="E61" s="33"/>
      <c r="F61" s="33">
        <v>0.35</v>
      </c>
      <c r="G61" s="34"/>
      <c r="H61" s="34">
        <f>'facts premium'!$C$28*'facts premium'!$H$16/2</f>
        <v>10.245060733613425</v>
      </c>
      <c r="I61" s="7">
        <f t="shared" si="7"/>
        <v>208.19253077886339</v>
      </c>
      <c r="J61" s="63">
        <f t="shared" si="10"/>
        <v>-243.55421394521593</v>
      </c>
      <c r="K61" s="7">
        <f t="shared" si="8"/>
        <v>-248.2546854237489</v>
      </c>
    </row>
    <row r="62" spans="1:11" x14ac:dyDescent="0.2">
      <c r="A62" s="59">
        <f t="shared" si="6"/>
        <v>41985</v>
      </c>
      <c r="B62">
        <v>210</v>
      </c>
      <c r="C62" s="58">
        <f t="shared" si="9"/>
        <v>208.19253077886339</v>
      </c>
      <c r="D62" s="33">
        <f t="shared" si="5"/>
        <v>5.0798977510042667</v>
      </c>
      <c r="E62" s="33">
        <v>42.434811000000003</v>
      </c>
      <c r="F62" s="33">
        <v>0.35</v>
      </c>
      <c r="G62" s="34"/>
      <c r="H62" s="34">
        <f>'facts premium'!$C$28*'facts premium'!$H$16/2</f>
        <v>10.245060733613425</v>
      </c>
      <c r="I62" s="7">
        <f t="shared" si="7"/>
        <v>245.81217879625424</v>
      </c>
      <c r="J62" s="63">
        <f t="shared" si="10"/>
        <v>-248.2546854237489</v>
      </c>
      <c r="K62" s="7">
        <f t="shared" si="8"/>
        <v>-253.06984840635806</v>
      </c>
    </row>
    <row r="63" spans="1:11" x14ac:dyDescent="0.2">
      <c r="A63" s="59">
        <f t="shared" si="6"/>
        <v>42168</v>
      </c>
      <c r="B63">
        <v>216</v>
      </c>
      <c r="C63" s="58">
        <f t="shared" si="9"/>
        <v>245.81217879625424</v>
      </c>
      <c r="D63" s="33">
        <f t="shared" si="5"/>
        <v>5.9978171626286043</v>
      </c>
      <c r="E63" s="33"/>
      <c r="F63" s="33">
        <v>0.35</v>
      </c>
      <c r="G63" s="34"/>
      <c r="H63" s="34">
        <f>'facts premium'!$C$28*'facts premium'!$H$16/2</f>
        <v>10.245060733613425</v>
      </c>
      <c r="I63" s="7">
        <f t="shared" si="7"/>
        <v>241.9149352252694</v>
      </c>
      <c r="J63" s="63">
        <f t="shared" si="10"/>
        <v>-253.06984840635806</v>
      </c>
      <c r="K63" s="7">
        <f t="shared" si="8"/>
        <v>-256.96709197734287</v>
      </c>
    </row>
    <row r="64" spans="1:11" x14ac:dyDescent="0.2">
      <c r="A64" s="59">
        <f t="shared" si="6"/>
        <v>42351</v>
      </c>
      <c r="B64">
        <v>222</v>
      </c>
      <c r="C64" s="58">
        <f t="shared" si="9"/>
        <v>241.9149352252694</v>
      </c>
      <c r="D64" s="33">
        <f t="shared" si="5"/>
        <v>5.9027244194965736</v>
      </c>
      <c r="E64" s="33">
        <v>44.168560999999997</v>
      </c>
      <c r="F64" s="33">
        <v>0.35</v>
      </c>
      <c r="G64" s="34"/>
      <c r="H64" s="34">
        <f>'facts premium'!$C$28*'facts premium'!$H$16/2</f>
        <v>10.245060733613425</v>
      </c>
      <c r="I64" s="7">
        <f t="shared" si="7"/>
        <v>282.0911599111526</v>
      </c>
      <c r="J64" s="63">
        <f t="shared" si="10"/>
        <v>-256.96709197734287</v>
      </c>
      <c r="K64" s="7">
        <f t="shared" si="8"/>
        <v>-260.95942829145974</v>
      </c>
    </row>
    <row r="65" spans="1:11" x14ac:dyDescent="0.2">
      <c r="A65" s="59">
        <f t="shared" si="6"/>
        <v>42534</v>
      </c>
      <c r="B65">
        <v>228</v>
      </c>
      <c r="C65" s="58">
        <f t="shared" si="9"/>
        <v>282.0911599111526</v>
      </c>
      <c r="D65" s="33">
        <f t="shared" si="5"/>
        <v>6.8830243018321235</v>
      </c>
      <c r="E65" s="33"/>
      <c r="F65" s="33">
        <v>0.35</v>
      </c>
      <c r="G65" s="34"/>
      <c r="H65" s="34">
        <f>'facts premium'!$C$28*'facts premium'!$H$16/2</f>
        <v>10.245060733613425</v>
      </c>
      <c r="I65" s="7">
        <f t="shared" si="7"/>
        <v>279.07912347937133</v>
      </c>
      <c r="J65" s="63">
        <f t="shared" si="10"/>
        <v>-260.95942829145974</v>
      </c>
      <c r="K65" s="7">
        <f t="shared" si="8"/>
        <v>-263.97146472324101</v>
      </c>
    </row>
    <row r="66" spans="1:11" x14ac:dyDescent="0.2">
      <c r="A66" s="59">
        <f t="shared" si="6"/>
        <v>42717</v>
      </c>
      <c r="B66">
        <v>234</v>
      </c>
      <c r="C66" s="58">
        <f t="shared" si="9"/>
        <v>279.07912347937133</v>
      </c>
      <c r="D66" s="33">
        <f t="shared" si="5"/>
        <v>6.8095306128966611</v>
      </c>
      <c r="E66" s="33"/>
      <c r="F66" s="33">
        <v>0.35</v>
      </c>
      <c r="G66" s="33"/>
      <c r="H66" s="34">
        <v>9.31</v>
      </c>
      <c r="I66" s="7">
        <f t="shared" si="7"/>
        <v>276.928654092268</v>
      </c>
      <c r="J66" s="63">
        <f t="shared" si="10"/>
        <v>-263.97146472324101</v>
      </c>
      <c r="K66" s="7">
        <f t="shared" si="8"/>
        <v>-266.12193411034434</v>
      </c>
    </row>
    <row r="67" spans="1:11" x14ac:dyDescent="0.2">
      <c r="A67" s="59">
        <f t="shared" si="6"/>
        <v>42900</v>
      </c>
      <c r="B67">
        <v>240</v>
      </c>
      <c r="C67" s="58">
        <f t="shared" si="9"/>
        <v>276.928654092268</v>
      </c>
      <c r="D67" s="33">
        <f t="shared" si="5"/>
        <v>6.7570591598513401</v>
      </c>
      <c r="E67" s="33"/>
      <c r="F67" s="33">
        <v>0.35</v>
      </c>
      <c r="G67" s="34"/>
      <c r="H67" s="34">
        <f>9.31+'facts premium'!C28</f>
        <v>326.98630181747052</v>
      </c>
      <c r="I67" s="7">
        <f>C67+D67+E67+F67-G67-H67</f>
        <v>-42.950588565351154</v>
      </c>
      <c r="J67" s="63">
        <f t="shared" si="10"/>
        <v>-266.12193411034434</v>
      </c>
      <c r="K67" s="7">
        <f>J67+D67+F67-G67-H67</f>
        <v>-586.00117676796344</v>
      </c>
    </row>
    <row r="68" spans="1:11" x14ac:dyDescent="0.2">
      <c r="A68" s="59">
        <f t="shared" si="6"/>
        <v>43083</v>
      </c>
      <c r="B68">
        <v>246</v>
      </c>
      <c r="C68" s="58">
        <f t="shared" si="9"/>
        <v>-42.950588565351154</v>
      </c>
      <c r="D68" s="33">
        <f t="shared" si="5"/>
        <v>-1.0479943609945683</v>
      </c>
      <c r="E68" s="33"/>
      <c r="F68" s="33">
        <v>0.35</v>
      </c>
      <c r="G68" s="34"/>
      <c r="H68" s="54"/>
      <c r="I68" s="7">
        <f>C68+D68+E68+F68-G68-H68</f>
        <v>-43.648582926345718</v>
      </c>
      <c r="J68" s="63">
        <f t="shared" si="10"/>
        <v>-586.00117676796344</v>
      </c>
      <c r="K68" s="7">
        <f>J68+D68+F68-G68-H68</f>
        <v>-586.69917112895803</v>
      </c>
    </row>
    <row r="69" spans="1:11" x14ac:dyDescent="0.2">
      <c r="A69" s="59">
        <f t="shared" si="6"/>
        <v>43266</v>
      </c>
      <c r="B69">
        <v>252</v>
      </c>
      <c r="C69" s="58">
        <f t="shared" si="9"/>
        <v>-43.648582926345718</v>
      </c>
      <c r="D69" s="33">
        <f t="shared" si="5"/>
        <v>-1.0650254234028356</v>
      </c>
      <c r="E69" s="33"/>
      <c r="F69" s="33">
        <v>0.35</v>
      </c>
      <c r="G69" s="34"/>
      <c r="H69" s="54"/>
      <c r="I69" s="7">
        <f>C69+D69+E69+F69-G69-H69</f>
        <v>-44.363608349748553</v>
      </c>
      <c r="J69" s="63">
        <f t="shared" si="10"/>
        <v>-586.69917112895803</v>
      </c>
      <c r="K69" s="7">
        <f>J69+D69+F69-G69-H69</f>
        <v>-587.41419655236086</v>
      </c>
    </row>
    <row r="70" spans="1:11" x14ac:dyDescent="0.2">
      <c r="A70" s="59">
        <f t="shared" si="6"/>
        <v>43449</v>
      </c>
      <c r="B70">
        <v>258</v>
      </c>
      <c r="C70" s="58">
        <f t="shared" si="9"/>
        <v>-44.363608349748553</v>
      </c>
      <c r="D70" s="33">
        <f t="shared" si="5"/>
        <v>-1.0824720437338649</v>
      </c>
      <c r="E70" s="33"/>
      <c r="F70" s="33">
        <v>0.35</v>
      </c>
      <c r="G70" s="34"/>
      <c r="H70" s="54"/>
      <c r="I70" s="7">
        <f>C70+D70+E70+F70-G70-H70</f>
        <v>-45.096080393482417</v>
      </c>
      <c r="J70" s="63">
        <f t="shared" si="10"/>
        <v>-587.41419655236086</v>
      </c>
      <c r="K70" s="7">
        <f>J70+D70+F70-G70-H70</f>
        <v>-588.14666859609474</v>
      </c>
    </row>
  </sheetData>
  <mergeCells count="1">
    <mergeCell ref="J1:K1"/>
  </mergeCells>
  <phoneticPr fontId="0" type="noConversion"/>
  <pageMargins left="0.75" right="0.75" top="0.53" bottom="0.19" header="0.5" footer="0.19"/>
  <pageSetup scale="83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B13" zoomScale="75" workbookViewId="0">
      <selection activeCell="F54" sqref="F54:F58"/>
    </sheetView>
  </sheetViews>
  <sheetFormatPr defaultRowHeight="12.75" x14ac:dyDescent="0.2"/>
  <cols>
    <col min="1" max="1" width="3" style="26" bestFit="1" customWidth="1"/>
    <col min="2" max="2" width="6.28515625" style="26" bestFit="1" customWidth="1"/>
    <col min="3" max="3" width="11.42578125" bestFit="1" customWidth="1"/>
    <col min="4" max="4" width="7.28515625" bestFit="1" customWidth="1"/>
    <col min="5" max="5" width="14.140625" bestFit="1" customWidth="1"/>
    <col min="6" max="6" width="14.85546875" bestFit="1" customWidth="1"/>
    <col min="7" max="7" width="12.42578125" bestFit="1" customWidth="1"/>
    <col min="8" max="8" width="14.85546875" bestFit="1" customWidth="1"/>
    <col min="9" max="9" width="14.140625" bestFit="1" customWidth="1"/>
    <col min="10" max="10" width="14.85546875" bestFit="1" customWidth="1"/>
    <col min="11" max="11" width="12.42578125" bestFit="1" customWidth="1"/>
    <col min="12" max="12" width="9.28515625" bestFit="1" customWidth="1"/>
    <col min="13" max="13" width="14.140625" bestFit="1" customWidth="1"/>
    <col min="14" max="14" width="14.85546875" bestFit="1" customWidth="1"/>
  </cols>
  <sheetData>
    <row r="1" spans="1:11" x14ac:dyDescent="0.2">
      <c r="A1" s="32" t="s">
        <v>57</v>
      </c>
    </row>
    <row r="2" spans="1:11" x14ac:dyDescent="0.2">
      <c r="A2" s="32"/>
      <c r="F2" s="60">
        <f>DiscRate</f>
        <v>4.8800000000000003E-2</v>
      </c>
      <c r="G2" s="60">
        <f>discrate2</f>
        <v>4.6300000000000001E-2</v>
      </c>
      <c r="H2" s="60">
        <f>DiscRate3</f>
        <v>4.3800000000000006E-2</v>
      </c>
      <c r="I2" s="60">
        <f>DiscRate4</f>
        <v>5.1300000000000005E-2</v>
      </c>
      <c r="J2" s="60">
        <f>DiscRate5</f>
        <v>5.3800000000000001E-2</v>
      </c>
      <c r="K2" s="60">
        <f>DiscRate6</f>
        <v>5.6300000000000003E-2</v>
      </c>
    </row>
    <row r="3" spans="1:11" s="19" customFormat="1" x14ac:dyDescent="0.2">
      <c r="A3" s="27"/>
      <c r="B3" s="27" t="s">
        <v>22</v>
      </c>
      <c r="C3" s="27" t="s">
        <v>21</v>
      </c>
      <c r="D3" s="27" t="s">
        <v>23</v>
      </c>
      <c r="E3" s="27" t="s">
        <v>39</v>
      </c>
      <c r="F3" s="27" t="s">
        <v>65</v>
      </c>
      <c r="G3" s="27" t="s">
        <v>65</v>
      </c>
      <c r="H3" s="27" t="s">
        <v>65</v>
      </c>
      <c r="I3" s="27" t="s">
        <v>65</v>
      </c>
      <c r="J3" s="27" t="s">
        <v>65</v>
      </c>
      <c r="K3" s="27" t="s">
        <v>65</v>
      </c>
    </row>
    <row r="4" spans="1:11" x14ac:dyDescent="0.2">
      <c r="A4" s="26">
        <v>1</v>
      </c>
      <c r="B4" s="26">
        <v>1999</v>
      </c>
      <c r="C4" s="12">
        <v>2703704</v>
      </c>
      <c r="D4">
        <v>15.64</v>
      </c>
      <c r="E4" s="12">
        <f>C4*D4</f>
        <v>42285930.560000002</v>
      </c>
      <c r="F4" s="16">
        <f>$E4/POWER(1+DiscRate,1+attendance!$A4)</f>
        <v>38442403.682738505</v>
      </c>
      <c r="G4" s="16">
        <f>$E4/POWER(1+discrate2,1+attendance!$A4)</f>
        <v>38626329.565781742</v>
      </c>
      <c r="H4" s="16">
        <f>$E4/POWER(1+DiscRate3,1+attendance!$A4)</f>
        <v>38811578.590629451</v>
      </c>
      <c r="I4" s="16">
        <f>$E4/POWER(1+DiscRate4,1+attendance!$A4)</f>
        <v>38259788.370708056</v>
      </c>
      <c r="J4" s="16">
        <f>$E4/POWER(1+DiscRate5,1+attendance!$A4)</f>
        <v>38078471.207834229</v>
      </c>
      <c r="K4" s="16">
        <f>$E4/POWER(1+DiscRate6,1+attendance!$A4)</f>
        <v>37898439.91908402</v>
      </c>
    </row>
    <row r="5" spans="1:11" x14ac:dyDescent="0.2">
      <c r="A5" s="26">
        <v>2</v>
      </c>
      <c r="B5" s="26">
        <v>2000</v>
      </c>
      <c r="C5" s="12">
        <v>2478395</v>
      </c>
      <c r="D5">
        <v>16.23</v>
      </c>
      <c r="E5" s="12">
        <f t="shared" ref="E5:E23" si="0">C5*D5</f>
        <v>40224350.850000001</v>
      </c>
      <c r="F5" s="16">
        <f>E5/POWER(1+DiscRate,1+attendance!A5)</f>
        <v>34866713.088510886</v>
      </c>
      <c r="G5" s="16">
        <f>$E5/POWER(1+discrate2,1+attendance!$A5)</f>
        <v>35117239.388268702</v>
      </c>
      <c r="H5" s="16">
        <f>$E5/POWER(1+DiscRate3,1+attendance!$A5)</f>
        <v>35370171.575879566</v>
      </c>
      <c r="I5" s="16">
        <f>$E5/POWER(1+DiscRate4,1+attendance!$A5)</f>
        <v>34618564.138526902</v>
      </c>
      <c r="J5" s="16">
        <f>$E5/POWER(1+DiscRate5,1+attendance!$A5)</f>
        <v>34372764.40549013</v>
      </c>
      <c r="K5" s="16">
        <f>$E5/POWER(1+DiscRate6,1+attendance!$A5)</f>
        <v>34129286.155128658</v>
      </c>
    </row>
    <row r="6" spans="1:11" x14ac:dyDescent="0.2">
      <c r="A6" s="26">
        <v>3</v>
      </c>
      <c r="B6" s="26">
        <v>2001</v>
      </c>
      <c r="C6" s="12">
        <v>2253086</v>
      </c>
      <c r="D6">
        <v>16.87</v>
      </c>
      <c r="E6" s="12">
        <f t="shared" si="0"/>
        <v>38009560.82</v>
      </c>
      <c r="F6" s="16">
        <f>E6/POWER(1+DiscRate,1+attendance!A6)</f>
        <v>31413920.249892883</v>
      </c>
      <c r="G6" s="16">
        <f>$E6/POWER(1+discrate2,1+attendance!$A6)</f>
        <v>31715236.211068679</v>
      </c>
      <c r="H6" s="16">
        <f>$E6/POWER(1+DiscRate3,1+attendance!$A6)</f>
        <v>32020173.553011324</v>
      </c>
      <c r="I6" s="16">
        <f>$E6/POWER(1+DiscRate4,1+attendance!$A6)</f>
        <v>31116174.183607478</v>
      </c>
      <c r="J6" s="16">
        <f>$E6/POWER(1+DiscRate5,1+attendance!$A6)</f>
        <v>30821947.378298294</v>
      </c>
      <c r="K6" s="16">
        <f>$E6/POWER(1+DiscRate6,1+attendance!$A6)</f>
        <v>30531190.035939626</v>
      </c>
    </row>
    <row r="7" spans="1:11" x14ac:dyDescent="0.2">
      <c r="A7" s="26">
        <v>4</v>
      </c>
      <c r="B7" s="26">
        <v>2002</v>
      </c>
      <c r="C7" s="12">
        <v>2253086</v>
      </c>
      <c r="D7">
        <v>17.54</v>
      </c>
      <c r="E7" s="12">
        <f t="shared" si="0"/>
        <v>39519128.439999998</v>
      </c>
      <c r="F7" s="16">
        <f>E7/POWER(1+DiscRate,1+attendance!A7)</f>
        <v>31141818.169765994</v>
      </c>
      <c r="G7" s="16">
        <f>$E7/POWER(1+discrate2,1+attendance!$A7)</f>
        <v>31515647.293338273</v>
      </c>
      <c r="H7" s="16">
        <f>$E7/POWER(1+DiscRate3,1+attendance!$A7)</f>
        <v>31894874.33914512</v>
      </c>
      <c r="I7" s="16">
        <f>$E7/POWER(1+DiscRate4,1+attendance!$A7)</f>
        <v>30773297.540977444</v>
      </c>
      <c r="J7" s="16">
        <f>$E7/POWER(1+DiscRate5,1+attendance!$A7)</f>
        <v>30409997.668716025</v>
      </c>
      <c r="K7" s="16">
        <f>$E7/POWER(1+DiscRate6,1+attendance!$A7)</f>
        <v>30051832.468108393</v>
      </c>
    </row>
    <row r="8" spans="1:11" x14ac:dyDescent="0.2">
      <c r="A8" s="26">
        <v>5</v>
      </c>
      <c r="B8" s="26">
        <v>2003</v>
      </c>
      <c r="C8" s="12">
        <v>2253086</v>
      </c>
      <c r="D8">
        <v>18.260000000000002</v>
      </c>
      <c r="E8" s="12">
        <f t="shared" si="0"/>
        <v>41141350.360000007</v>
      </c>
      <c r="F8" s="16">
        <f>E8/POWER(1+DiscRate,1+attendance!A8)</f>
        <v>30911670.120683461</v>
      </c>
      <c r="G8" s="16">
        <f>$E8/POWER(1+discrate2,1+attendance!$A8)</f>
        <v>31357482.623862758</v>
      </c>
      <c r="H8" s="16">
        <f>$E8/POWER(1+DiscRate3,1+attendance!$A8)</f>
        <v>31810814.349332199</v>
      </c>
      <c r="I8" s="16">
        <f>$E8/POWER(1+DiscRate4,1+attendance!$A8)</f>
        <v>30473234.642012335</v>
      </c>
      <c r="J8" s="16">
        <f>$E8/POWER(1+DiscRate5,1+attendance!$A8)</f>
        <v>30042037.008203506</v>
      </c>
      <c r="K8" s="16">
        <f>$E8/POWER(1+DiscRate6,1+attendance!$A8)</f>
        <v>29617940.986737411</v>
      </c>
    </row>
    <row r="9" spans="1:11" x14ac:dyDescent="0.2">
      <c r="A9" s="26">
        <v>6</v>
      </c>
      <c r="B9" s="26">
        <v>2004</v>
      </c>
      <c r="C9" s="12">
        <v>2253086</v>
      </c>
      <c r="D9">
        <v>19.010000000000002</v>
      </c>
      <c r="E9" s="12">
        <f t="shared" si="0"/>
        <v>42831164.860000007</v>
      </c>
      <c r="F9" s="16">
        <f>E9/POWER(1+DiscRate,1+attendance!A9)</f>
        <v>30683940.724108867</v>
      </c>
      <c r="G9" s="16">
        <f>$E9/POWER(1+discrate2,1+attendance!$A9)</f>
        <v>31200841.597017091</v>
      </c>
      <c r="H9" s="16">
        <f>$E9/POWER(1+DiscRate3,1+attendance!$A9)</f>
        <v>31727718.103727341</v>
      </c>
      <c r="I9" s="16">
        <f>$E9/POWER(1+DiscRate4,1+attendance!$A9)</f>
        <v>30176803.504046082</v>
      </c>
      <c r="J9" s="16">
        <f>$E9/POWER(1+DiscRate5,1+attendance!$A9)</f>
        <v>29679222.949144799</v>
      </c>
      <c r="K9" s="16">
        <f>$E9/POWER(1+DiscRate6,1+attendance!$A9)</f>
        <v>29190996.935918428</v>
      </c>
    </row>
    <row r="10" spans="1:11" x14ac:dyDescent="0.2">
      <c r="A10" s="26">
        <v>7</v>
      </c>
      <c r="B10" s="26">
        <v>2005</v>
      </c>
      <c r="C10" s="12">
        <v>2253086</v>
      </c>
      <c r="D10">
        <v>19.79</v>
      </c>
      <c r="E10" s="12">
        <f t="shared" si="0"/>
        <v>44588571.939999998</v>
      </c>
      <c r="F10" s="16">
        <f>E10/POWER(1+DiscRate,1+attendance!A10)</f>
        <v>30456650.085512146</v>
      </c>
      <c r="G10" s="16">
        <f>$E10/POWER(1+discrate2,1+attendance!$A10)</f>
        <v>31043720.215111759</v>
      </c>
      <c r="H10" s="16">
        <f>$E10/POWER(1+DiscRate3,1+attendance!$A10)</f>
        <v>31643551.692711618</v>
      </c>
      <c r="I10" s="16">
        <f>$E10/POWER(1+DiscRate4,1+attendance!$A10)</f>
        <v>29882040.353789162</v>
      </c>
      <c r="J10" s="16">
        <f>$E10/POWER(1+DiscRate5,1+attendance!$A10)</f>
        <v>29319597.858444292</v>
      </c>
      <c r="K10" s="16">
        <f>$E10/POWER(1+DiscRate6,1+attendance!$A10)</f>
        <v>28769037.00722573</v>
      </c>
    </row>
    <row r="11" spans="1:11" x14ac:dyDescent="0.2">
      <c r="A11" s="26">
        <v>8</v>
      </c>
      <c r="B11" s="26">
        <v>2006</v>
      </c>
      <c r="C11" s="12">
        <v>2253086</v>
      </c>
      <c r="D11" s="7">
        <v>20.6</v>
      </c>
      <c r="E11" s="12">
        <f t="shared" si="0"/>
        <v>46413571.600000001</v>
      </c>
      <c r="F11" s="16">
        <f>E11/POWER(1+DiscRate,1+attendance!A11)</f>
        <v>30228102.155082129</v>
      </c>
      <c r="G11" s="16">
        <f>$E11/POWER(1+discrate2,1+attendance!$A11)</f>
        <v>30884385.272702683</v>
      </c>
      <c r="H11" s="16">
        <f>$E11/POWER(1+DiscRate3,1+attendance!$A11)</f>
        <v>31556538.367839284</v>
      </c>
      <c r="I11" s="16">
        <f>$E11/POWER(1+DiscRate4,1+attendance!$A11)</f>
        <v>29587277.816678319</v>
      </c>
      <c r="J11" s="16">
        <f>$E11/POWER(1+DiscRate5,1+attendance!$A11)</f>
        <v>28961512.654745791</v>
      </c>
      <c r="K11" s="16">
        <f>$E11/POWER(1+DiscRate6,1+attendance!$A11)</f>
        <v>28350418.308687784</v>
      </c>
    </row>
    <row r="12" spans="1:11" x14ac:dyDescent="0.2">
      <c r="A12" s="26">
        <v>9</v>
      </c>
      <c r="B12" s="26">
        <v>2007</v>
      </c>
      <c r="C12" s="12">
        <v>2253086</v>
      </c>
      <c r="D12">
        <v>21.45</v>
      </c>
      <c r="E12" s="12">
        <f t="shared" si="0"/>
        <v>48328694.699999996</v>
      </c>
      <c r="F12" s="16">
        <f>E12/POWER(1+DiscRate,1+attendance!A12)</f>
        <v>30010848.793744478</v>
      </c>
      <c r="G12" s="16">
        <f>$E12/POWER(1+discrate2,1+attendance!$A12)</f>
        <v>30735679.036320888</v>
      </c>
      <c r="H12" s="16">
        <f>$E12/POWER(1+DiscRate3,1+attendance!$A12)</f>
        <v>31479812.744981114</v>
      </c>
      <c r="I12" s="16">
        <f>$E12/POWER(1+DiscRate4,1+attendance!$A12)</f>
        <v>29304777.033693369</v>
      </c>
      <c r="J12" s="16">
        <f>$E12/POWER(1+DiscRate5,1+attendance!$A12)</f>
        <v>28616935.40180508</v>
      </c>
      <c r="K12" s="16">
        <f>$E12/POWER(1+DiscRate6,1+attendance!$A12)</f>
        <v>27946811.627753258</v>
      </c>
    </row>
    <row r="13" spans="1:11" x14ac:dyDescent="0.2">
      <c r="A13" s="26">
        <v>10</v>
      </c>
      <c r="B13" s="26">
        <v>2008</v>
      </c>
      <c r="C13" s="12">
        <v>2253086</v>
      </c>
      <c r="D13">
        <v>22.32</v>
      </c>
      <c r="E13" s="12">
        <f t="shared" si="0"/>
        <v>50288879.520000003</v>
      </c>
      <c r="F13" s="16">
        <f>E13/POWER(1+DiscRate,1+attendance!A13)</f>
        <v>29775049.610538442</v>
      </c>
      <c r="G13" s="16">
        <f>$E13/POWER(1+discrate2,1+attendance!$A13)</f>
        <v>30567046.720107611</v>
      </c>
      <c r="H13" s="16">
        <f>$E13/POWER(1+DiscRate3,1+attendance!$A13)</f>
        <v>31382081.18301734</v>
      </c>
      <c r="I13" s="16">
        <f>$E13/POWER(1+DiscRate4,1+attendance!$A13)</f>
        <v>29005386.089507394</v>
      </c>
      <c r="J13" s="16">
        <f>$E13/POWER(1+DiscRate5,1+attendance!$A13)</f>
        <v>28257375.490821734</v>
      </c>
      <c r="K13" s="16">
        <f>$E13/POWER(1+DiscRate6,1+attendance!$A13)</f>
        <v>27530359.436518986</v>
      </c>
    </row>
    <row r="14" spans="1:11" x14ac:dyDescent="0.2">
      <c r="A14" s="26">
        <v>11</v>
      </c>
      <c r="B14" s="26">
        <v>2009</v>
      </c>
      <c r="C14" s="12">
        <v>2253086</v>
      </c>
      <c r="D14">
        <v>23.24</v>
      </c>
      <c r="E14" s="12">
        <f t="shared" si="0"/>
        <v>52361718.639999993</v>
      </c>
      <c r="F14" s="16">
        <f>E14/POWER(1+DiscRate,1+attendance!A14)</f>
        <v>29559817.507297698</v>
      </c>
      <c r="G14" s="16">
        <f>$E14/POWER(1+discrate2,1+attendance!$A14)</f>
        <v>30418597.680754744</v>
      </c>
      <c r="H14" s="16">
        <f>$E14/POWER(1+DiscRate3,1+attendance!$A14)</f>
        <v>31304471.955127202</v>
      </c>
      <c r="I14" s="16">
        <f>$E14/POWER(1+DiscRate4,1+attendance!$A14)</f>
        <v>28727241.128672216</v>
      </c>
      <c r="J14" s="16">
        <f>$E14/POWER(1+DiscRate5,1+attendance!$A14)</f>
        <v>27920009.510158874</v>
      </c>
      <c r="K14" s="16">
        <f>$E14/POWER(1+DiscRate6,1+attendance!$A14)</f>
        <v>27137293.719535541</v>
      </c>
    </row>
    <row r="15" spans="1:11" x14ac:dyDescent="0.2">
      <c r="A15" s="26">
        <v>12</v>
      </c>
      <c r="B15" s="26">
        <v>2010</v>
      </c>
      <c r="C15" s="12">
        <v>2253086</v>
      </c>
      <c r="D15">
        <v>24.19</v>
      </c>
      <c r="E15" s="12">
        <f t="shared" si="0"/>
        <v>54502150.340000004</v>
      </c>
      <c r="F15" s="16">
        <f>E15/POWER(1+DiscRate,1+attendance!A15)</f>
        <v>29336534.824387923</v>
      </c>
      <c r="G15" s="16">
        <f>$E15/POWER(1+discrate2,1+attendance!$A15)</f>
        <v>30260960.469071053</v>
      </c>
      <c r="H15" s="16">
        <f>$E15/POWER(1+DiscRate3,1+attendance!$A15)</f>
        <v>31216832.536721509</v>
      </c>
      <c r="I15" s="16">
        <f>$E15/POWER(1+DiscRate4,1+attendance!$A15)</f>
        <v>28442449.783203464</v>
      </c>
      <c r="J15" s="16">
        <f>$E15/POWER(1+DiscRate5,1+attendance!$A15)</f>
        <v>27577640.90758596</v>
      </c>
      <c r="K15" s="16">
        <f>$E15/POWER(1+DiscRate6,1+attendance!$A15)</f>
        <v>26741083.49964001</v>
      </c>
    </row>
    <row r="16" spans="1:11" x14ac:dyDescent="0.2">
      <c r="A16" s="26">
        <v>13</v>
      </c>
      <c r="B16" s="26">
        <v>2011</v>
      </c>
      <c r="C16" s="12">
        <v>2253086</v>
      </c>
      <c r="D16">
        <v>25.18</v>
      </c>
      <c r="E16" s="12">
        <f t="shared" si="0"/>
        <v>56732705.479999997</v>
      </c>
      <c r="F16" s="16">
        <f>E16/POWER(1+DiscRate,1+attendance!A16)</f>
        <v>29116287.11038911</v>
      </c>
      <c r="G16" s="16">
        <f>$E16/POWER(1+discrate2,1+attendance!$A16)</f>
        <v>30105534.370913163</v>
      </c>
      <c r="H16" s="16">
        <f>$E16/POWER(1+DiscRate3,1+attendance!$A16)</f>
        <v>31130880.151895445</v>
      </c>
      <c r="I16" s="16">
        <f>$E16/POWER(1+DiscRate4,1+attendance!$A16)</f>
        <v>28161785.935107462</v>
      </c>
      <c r="J16" s="16">
        <f>$E16/POWER(1+DiscRate5,1+attendance!$A16)</f>
        <v>27240732.119730882</v>
      </c>
      <c r="K16" s="16">
        <f>$E16/POWER(1+DiscRate6,1+attendance!$A16)</f>
        <v>26351878.395601522</v>
      </c>
    </row>
    <row r="17" spans="1:14" x14ac:dyDescent="0.2">
      <c r="A17" s="26">
        <v>14</v>
      </c>
      <c r="B17" s="26">
        <v>2012</v>
      </c>
      <c r="C17" s="12">
        <v>2253086</v>
      </c>
      <c r="D17">
        <v>26.22</v>
      </c>
      <c r="E17" s="12">
        <f t="shared" si="0"/>
        <v>59075914.919999994</v>
      </c>
      <c r="F17" s="16">
        <f>E17/POWER(1+DiscRate,1+attendance!A17)</f>
        <v>28908148.441609524</v>
      </c>
      <c r="G17" s="16">
        <f>$E17/POWER(1+discrate2,1+attendance!$A17)</f>
        <v>29961743.143350217</v>
      </c>
      <c r="H17" s="16">
        <f>$E17/POWER(1+DiscRate3,1+attendance!$A17)</f>
        <v>31056396.915296603</v>
      </c>
      <c r="I17" s="16">
        <f>$E17/POWER(1+DiscRate4,1+attendance!$A17)</f>
        <v>27893980.319480307</v>
      </c>
      <c r="J17" s="16">
        <f>$E17/POWER(1+DiscRate5,1+attendance!$A17)</f>
        <v>26917674.850747932</v>
      </c>
      <c r="K17" s="16">
        <f>$E17/POWER(1+DiscRate6,1+attendance!$A17)</f>
        <v>25977733.640994985</v>
      </c>
    </row>
    <row r="18" spans="1:14" x14ac:dyDescent="0.2">
      <c r="A18" s="26">
        <v>15</v>
      </c>
      <c r="B18" s="26">
        <v>2013</v>
      </c>
      <c r="C18" s="12">
        <v>2253086</v>
      </c>
      <c r="D18">
        <v>27.29</v>
      </c>
      <c r="E18" s="12">
        <f t="shared" si="0"/>
        <v>61486716.939999998</v>
      </c>
      <c r="F18" s="16">
        <f>E18/POWER(1+DiscRate,1+attendance!A18)</f>
        <v>28687879.350819737</v>
      </c>
      <c r="G18" s="16">
        <f>$E18/POWER(1+discrate2,1+attendance!$A18)</f>
        <v>29804490.32750937</v>
      </c>
      <c r="H18" s="16">
        <f>$E18/POWER(1+DiscRate3,1+attendance!$A18)</f>
        <v>30967391.480406269</v>
      </c>
      <c r="I18" s="16">
        <f>$E18/POWER(1+DiscRate4,1+attendance!$A18)</f>
        <v>27615612.115943246</v>
      </c>
      <c r="J18" s="16">
        <f>$E18/POWER(1+DiscRate5,1+attendance!$A18)</f>
        <v>26585828.378214352</v>
      </c>
      <c r="K18" s="16">
        <f>$E18/POWER(1+DiscRate6,1+attendance!$A18)</f>
        <v>25596750.074640349</v>
      </c>
    </row>
    <row r="19" spans="1:14" x14ac:dyDescent="0.2">
      <c r="A19" s="26">
        <v>16</v>
      </c>
      <c r="B19" s="26">
        <v>2014</v>
      </c>
      <c r="C19" s="12">
        <v>2253086</v>
      </c>
      <c r="D19">
        <v>28.42</v>
      </c>
      <c r="E19" s="12">
        <f t="shared" si="0"/>
        <v>64032704.120000005</v>
      </c>
      <c r="F19" s="16">
        <f>E19/POWER(1+DiscRate,1+attendance!A19)</f>
        <v>28485661.22543082</v>
      </c>
      <c r="G19" s="16">
        <f>$E19/POWER(1+discrate2,1+attendance!$A19)</f>
        <v>29665113.353871007</v>
      </c>
      <c r="H19" s="16">
        <f>$E19/POWER(1+DiscRate3,1+attendance!$A19)</f>
        <v>30896399.338618428</v>
      </c>
      <c r="I19" s="16">
        <f>$E19/POWER(1+DiscRate4,1+attendance!$A19)</f>
        <v>27355745.051141281</v>
      </c>
      <c r="J19" s="16">
        <f>$E19/POWER(1+DiscRate5,1+attendance!$A19)</f>
        <v>26273173.910832528</v>
      </c>
      <c r="K19" s="16">
        <f>$E19/POWER(1+DiscRate6,1+attendance!$A19)</f>
        <v>25235858.648776654</v>
      </c>
    </row>
    <row r="20" spans="1:14" x14ac:dyDescent="0.2">
      <c r="A20" s="26">
        <v>17</v>
      </c>
      <c r="B20" s="26">
        <v>2015</v>
      </c>
      <c r="C20" s="12">
        <v>2253086</v>
      </c>
      <c r="D20">
        <v>29.58</v>
      </c>
      <c r="E20" s="12">
        <f t="shared" si="0"/>
        <v>66646283.879999995</v>
      </c>
      <c r="F20" s="16">
        <f>E20/POWER(1+DiscRate,1+attendance!A20)</f>
        <v>28268822.726400077</v>
      </c>
      <c r="G20" s="16">
        <f>$E20/POWER(1+discrate2,1+attendance!$A20)</f>
        <v>29509638.064694855</v>
      </c>
      <c r="H20" s="16">
        <f>$E20/POWER(1+DiscRate3,1+attendance!$A20)</f>
        <v>30808082.834492873</v>
      </c>
      <c r="I20" s="16">
        <f>$E20/POWER(1+DiscRate4,1+attendance!$A20)</f>
        <v>27082950.702593781</v>
      </c>
      <c r="J20" s="16">
        <f>$E20/POWER(1+DiscRate5,1+attendance!$A20)</f>
        <v>25949467.02996074</v>
      </c>
      <c r="K20" s="16">
        <f>$E20/POWER(1+DiscRate6,1+attendance!$A20)</f>
        <v>24865941.20578007</v>
      </c>
    </row>
    <row r="21" spans="1:14" x14ac:dyDescent="0.2">
      <c r="A21" s="26">
        <v>18</v>
      </c>
      <c r="B21" s="26">
        <v>2016</v>
      </c>
      <c r="C21" s="12">
        <v>2253086</v>
      </c>
      <c r="D21">
        <v>29.58</v>
      </c>
      <c r="E21" s="12">
        <f t="shared" si="0"/>
        <v>66646283.879999995</v>
      </c>
      <c r="F21" s="16">
        <f>E21/POWER(1+DiscRate,1+attendance!A21)</f>
        <v>26953492.302059572</v>
      </c>
      <c r="G21" s="16">
        <f>$E21/POWER(1+discrate2,1+attendance!$A21)</f>
        <v>28203802.030674621</v>
      </c>
      <c r="H21" s="16">
        <f>$E21/POWER(1+DiscRate3,1+attendance!$A21)</f>
        <v>29515312.161805782</v>
      </c>
      <c r="I21" s="16">
        <f>$E21/POWER(1+DiscRate4,1+attendance!$A21)</f>
        <v>25761391.32749337</v>
      </c>
      <c r="J21" s="16">
        <f>$E21/POWER(1+DiscRate5,1+attendance!$A21)</f>
        <v>24624660.305523571</v>
      </c>
      <c r="K21" s="16">
        <f>$E21/POWER(1+DiscRate6,1+attendance!$A21)</f>
        <v>23540605.136590052</v>
      </c>
    </row>
    <row r="22" spans="1:14" x14ac:dyDescent="0.2">
      <c r="A22" s="26">
        <v>19</v>
      </c>
      <c r="B22" s="26">
        <v>2017</v>
      </c>
      <c r="C22" s="12">
        <v>2253086</v>
      </c>
      <c r="D22">
        <v>29.58</v>
      </c>
      <c r="E22" s="12">
        <f t="shared" si="0"/>
        <v>66646283.879999995</v>
      </c>
      <c r="F22" s="16">
        <f>E22/POWER(1+DiscRate,1+attendance!A22)</f>
        <v>25699363.369622022</v>
      </c>
      <c r="G22" s="16">
        <f>$E22/POWER(1+discrate2,1+attendance!$A22)</f>
        <v>26955750.770022571</v>
      </c>
      <c r="H22" s="16">
        <f>$E22/POWER(1+DiscRate3,1+attendance!$A22)</f>
        <v>28276788.811846882</v>
      </c>
      <c r="I22" s="16">
        <f>$E22/POWER(1+DiscRate4,1+attendance!$A22)</f>
        <v>24504319.72557155</v>
      </c>
      <c r="J22" s="16">
        <f>$E22/POWER(1+DiscRate5,1+attendance!$A22)</f>
        <v>23367489.377038881</v>
      </c>
      <c r="K22" s="16">
        <f>$E22/POWER(1+DiscRate6,1+attendance!$A22)</f>
        <v>22285908.488677509</v>
      </c>
    </row>
    <row r="23" spans="1:14" x14ac:dyDescent="0.2">
      <c r="A23" s="26">
        <v>20</v>
      </c>
      <c r="B23" s="26">
        <v>2018</v>
      </c>
      <c r="C23" s="12">
        <v>2253086</v>
      </c>
      <c r="D23">
        <v>29.58</v>
      </c>
      <c r="E23" s="25">
        <f t="shared" si="0"/>
        <v>66646283.879999995</v>
      </c>
      <c r="F23" s="29">
        <f>E23/POWER(1+DiscRate,1+attendance!A23)</f>
        <v>24503588.262416121</v>
      </c>
      <c r="G23" s="29">
        <f>$E23/POWER(1+discrate2,1+attendance!$A23)</f>
        <v>25762927.238863207</v>
      </c>
      <c r="H23" s="29">
        <f>$E23/POWER(1+DiscRate3,1+attendance!$A23)</f>
        <v>27090236.455112934</v>
      </c>
      <c r="I23" s="29">
        <f>$E23/POWER(1+DiscRate4,1+attendance!$A23)</f>
        <v>23308589.104510181</v>
      </c>
      <c r="J23" s="29">
        <f>$E23/POWER(1+DiscRate5,1+attendance!$A23)</f>
        <v>22174501.211841788</v>
      </c>
      <c r="K23" s="29">
        <f>$E23/POWER(1+DiscRate6,1+attendance!$A23)</f>
        <v>21098086.233719122</v>
      </c>
    </row>
    <row r="24" spans="1:14" x14ac:dyDescent="0.2">
      <c r="E24" s="16">
        <f t="shared" ref="E24:K24" si="1">SUM(E4:E23)</f>
        <v>1048408249.61</v>
      </c>
      <c r="F24" s="49">
        <f t="shared" si="1"/>
        <v>597450711.80101037</v>
      </c>
      <c r="G24" s="16">
        <f t="shared" si="1"/>
        <v>613412165.37330484</v>
      </c>
      <c r="H24" s="49">
        <f t="shared" si="1"/>
        <v>629960107.14159834</v>
      </c>
      <c r="I24" s="16">
        <f t="shared" si="1"/>
        <v>582051408.86726344</v>
      </c>
      <c r="J24" s="49">
        <f t="shared" si="1"/>
        <v>567191039.62513947</v>
      </c>
      <c r="K24" s="16">
        <f t="shared" si="1"/>
        <v>552847451.92505801</v>
      </c>
    </row>
    <row r="26" spans="1:14" x14ac:dyDescent="0.2">
      <c r="A26" s="32" t="s">
        <v>77</v>
      </c>
      <c r="I26" s="44"/>
    </row>
    <row r="27" spans="1:14" x14ac:dyDescent="0.2">
      <c r="A27" s="32"/>
      <c r="F27" s="60">
        <f>DiscRate</f>
        <v>4.8800000000000003E-2</v>
      </c>
      <c r="G27" s="70"/>
      <c r="H27" s="70"/>
      <c r="I27" s="70"/>
      <c r="J27" s="60">
        <f>DiscRate3</f>
        <v>4.3800000000000006E-2</v>
      </c>
      <c r="K27" s="70"/>
      <c r="L27" s="70"/>
      <c r="M27" s="67"/>
      <c r="N27" s="60">
        <f>DiscRate5</f>
        <v>5.3800000000000001E-2</v>
      </c>
    </row>
    <row r="28" spans="1:14" s="19" customFormat="1" x14ac:dyDescent="0.2">
      <c r="A28" s="27"/>
      <c r="B28" s="27" t="s">
        <v>22</v>
      </c>
      <c r="C28" s="27" t="s">
        <v>21</v>
      </c>
      <c r="D28" s="27" t="s">
        <v>23</v>
      </c>
      <c r="E28" s="27" t="s">
        <v>39</v>
      </c>
      <c r="F28" s="27" t="s">
        <v>65</v>
      </c>
      <c r="G28" s="27" t="s">
        <v>21</v>
      </c>
      <c r="H28" s="27" t="s">
        <v>23</v>
      </c>
      <c r="I28" s="27" t="s">
        <v>39</v>
      </c>
      <c r="J28" s="27" t="s">
        <v>65</v>
      </c>
      <c r="K28" s="27" t="s">
        <v>21</v>
      </c>
      <c r="L28" s="27" t="s">
        <v>23</v>
      </c>
      <c r="M28" s="27" t="s">
        <v>39</v>
      </c>
      <c r="N28" s="27" t="s">
        <v>65</v>
      </c>
    </row>
    <row r="29" spans="1:14" x14ac:dyDescent="0.2">
      <c r="A29" s="26">
        <v>1</v>
      </c>
      <c r="B29" s="26">
        <v>1999</v>
      </c>
      <c r="C29" s="12">
        <f>elasticity!E19</f>
        <v>1651157.7203293343</v>
      </c>
      <c r="D29" s="7">
        <f>elasticity!D19</f>
        <v>23.758158799458922</v>
      </c>
      <c r="E29" s="12">
        <f>C29*D29</f>
        <v>39228467.322536908</v>
      </c>
      <c r="F29" s="16">
        <f>$E29/POWER(1+DiscRate,1+attendance!$A29)</f>
        <v>35662844.749941342</v>
      </c>
      <c r="G29" s="12">
        <f>elasticity!E26</f>
        <v>1700428.3735604072</v>
      </c>
      <c r="H29" s="7">
        <f>elasticity!D26</f>
        <v>23.378140367197613</v>
      </c>
      <c r="I29" s="12">
        <f>G29*H29</f>
        <v>39752853.201460734</v>
      </c>
      <c r="J29" s="16">
        <f>$I29/POWER(1+DiscRate3,1+attendance!$A29)</f>
        <v>36486627.249246672</v>
      </c>
      <c r="K29" s="12">
        <f>elasticity!E33</f>
        <v>1600655.2663423077</v>
      </c>
      <c r="L29" s="7">
        <f>elasticity!D33</f>
        <v>24.147677958043886</v>
      </c>
      <c r="M29" s="12">
        <f>K29*L29</f>
        <v>38652107.893481009</v>
      </c>
      <c r="N29" s="16">
        <f>$M29/POWER(1+DiscRate5,1+attendance!$A29)</f>
        <v>34806214.69251211</v>
      </c>
    </row>
    <row r="30" spans="1:14" x14ac:dyDescent="0.2">
      <c r="A30" s="26">
        <v>2</v>
      </c>
      <c r="B30" s="26">
        <v>2000</v>
      </c>
      <c r="C30" s="12">
        <f>elasticity!E20</f>
        <v>1513561.0400678553</v>
      </c>
      <c r="D30" s="7">
        <f>elasticity!D20</f>
        <v>24.654406477955135</v>
      </c>
      <c r="E30" s="12">
        <f t="shared" ref="E30:E48" si="2">C30*D30</f>
        <v>37315949.111029439</v>
      </c>
      <c r="F30" s="16">
        <f>$E30/POWER(1+DiscRate,1+attendance!$A30)</f>
        <v>32345692.690768093</v>
      </c>
      <c r="G30" s="12">
        <f>elasticity!E27</f>
        <v>1558725.7994552087</v>
      </c>
      <c r="H30" s="7">
        <f>elasticity!D27</f>
        <v>24.260052311995988</v>
      </c>
      <c r="I30" s="12">
        <f t="shared" ref="I30:I48" si="3">G30*H30</f>
        <v>37814769.434841134</v>
      </c>
      <c r="J30" s="16">
        <f>$I30/POWER(1+DiscRate3,1+attendance!$A30)</f>
        <v>33251372.731914636</v>
      </c>
      <c r="K30" s="12">
        <f>elasticity!E34</f>
        <v>1467267.13013941</v>
      </c>
      <c r="L30" s="7">
        <f>elasticity!D34</f>
        <v>25.058619773596689</v>
      </c>
      <c r="M30" s="12">
        <f t="shared" ref="M30:M48" si="4">K30*L30</f>
        <v>36767689.120459884</v>
      </c>
      <c r="N30" s="16">
        <f>$M30/POWER(1+DiscRate5,1+attendance!$A30)</f>
        <v>31418956.158788335</v>
      </c>
    </row>
    <row r="31" spans="1:14" x14ac:dyDescent="0.2">
      <c r="A31" s="26">
        <v>3</v>
      </c>
      <c r="B31" s="26">
        <v>2001</v>
      </c>
      <c r="C31" s="12">
        <f>elasticity!$E$21</f>
        <v>1375964.3598063763</v>
      </c>
      <c r="D31" s="7">
        <f>D6*(1+elasticity!$D$18)</f>
        <v>25.626607349544248</v>
      </c>
      <c r="E31" s="12">
        <f t="shared" si="2"/>
        <v>35261298.375725031</v>
      </c>
      <c r="F31" s="16">
        <f>$E31/POWER(1+DiscRate,1+attendance!$A31)</f>
        <v>29142552.325936176</v>
      </c>
      <c r="G31" s="12">
        <f>elasticity!$E$28</f>
        <v>1417023.22535001</v>
      </c>
      <c r="H31" s="7">
        <f>D6*(1+elasticity!$D$25)</f>
        <v>25.216702557201003</v>
      </c>
      <c r="I31" s="12">
        <f t="shared" si="3"/>
        <v>35732653.190296806</v>
      </c>
      <c r="J31" s="16">
        <f>$I31/POWER(1+DiscRate3,1+attendance!$A31)</f>
        <v>30102051.483342223</v>
      </c>
      <c r="K31" s="12">
        <f>elasticity!$E$35</f>
        <v>1333878.9939365124</v>
      </c>
      <c r="L31" s="7">
        <f>D6*(1+elasticity!$D$32)</f>
        <v>26.046760048094651</v>
      </c>
      <c r="M31" s="12">
        <f t="shared" si="4"/>
        <v>34743226.088258237</v>
      </c>
      <c r="N31" s="16">
        <f>$M31/POWER(1+DiscRate5,1+attendance!$A31)</f>
        <v>28173277.016164582</v>
      </c>
    </row>
    <row r="32" spans="1:14" x14ac:dyDescent="0.2">
      <c r="A32" s="26">
        <v>4</v>
      </c>
      <c r="B32" s="26">
        <v>2002</v>
      </c>
      <c r="C32" s="12">
        <f>elasticity!$E$21</f>
        <v>1375964.3598063763</v>
      </c>
      <c r="D32" s="7">
        <f>D7*(1+elasticity!$D$18)</f>
        <v>26.644380136989096</v>
      </c>
      <c r="E32" s="12">
        <f t="shared" si="2"/>
        <v>36661717.457629927</v>
      </c>
      <c r="F32" s="16">
        <f>$E32/POWER(1+DiscRate,1+attendance!$A32)</f>
        <v>28890124.451764017</v>
      </c>
      <c r="G32" s="12">
        <f>elasticity!$E$28</f>
        <v>1417023.22535001</v>
      </c>
      <c r="H32" s="7">
        <f>D7*(1+elasticity!$D$25)</f>
        <v>26.218195782650003</v>
      </c>
      <c r="I32" s="12">
        <f t="shared" si="3"/>
        <v>37151792.350788735</v>
      </c>
      <c r="J32" s="16">
        <f>$I32/POWER(1+DiscRate3,1+attendance!$A32)</f>
        <v>29984258.137207534</v>
      </c>
      <c r="K32" s="12">
        <f>elasticity!$E$35</f>
        <v>1333878.9939365124</v>
      </c>
      <c r="L32" s="7">
        <f>D7*(1+elasticity!$D$32)</f>
        <v>27.0812193979597</v>
      </c>
      <c r="M32" s="12">
        <f t="shared" si="4"/>
        <v>36123069.685124449</v>
      </c>
      <c r="N32" s="16">
        <f>$M32/POWER(1+DiscRate5,1+attendance!$A32)</f>
        <v>27796728.021957893</v>
      </c>
    </row>
    <row r="33" spans="1:14" x14ac:dyDescent="0.2">
      <c r="A33" s="26">
        <v>5</v>
      </c>
      <c r="B33" s="26">
        <v>2003</v>
      </c>
      <c r="C33" s="12">
        <f>elasticity!$E$21</f>
        <v>1375964.3598063763</v>
      </c>
      <c r="D33" s="7">
        <f>D8*(1+elasticity!$D$18)</f>
        <v>27.738106117526851</v>
      </c>
      <c r="E33" s="12">
        <f t="shared" si="2"/>
        <v>38166645.426244162</v>
      </c>
      <c r="F33" s="16">
        <f>$E33/POWER(1+DiscRate,1+attendance!$A33)</f>
        <v>28676617.143228635</v>
      </c>
      <c r="G33" s="12">
        <f>elasticity!$E$28</f>
        <v>1417023.22535001</v>
      </c>
      <c r="H33" s="7">
        <f>D8*(1+elasticity!$D$25)</f>
        <v>27.294427308505654</v>
      </c>
      <c r="I33" s="12">
        <f t="shared" si="3"/>
        <v>38676837.418780074</v>
      </c>
      <c r="J33" s="16">
        <f>$I33/POWER(1+DiscRate3,1+attendance!$A33)</f>
        <v>29905233.639203221</v>
      </c>
      <c r="K33" s="12">
        <f>elasticity!$E$35</f>
        <v>1333878.9939365124</v>
      </c>
      <c r="L33" s="7">
        <f>D8*(1+elasticity!$D$32)</f>
        <v>28.192877206769907</v>
      </c>
      <c r="M33" s="12">
        <f t="shared" si="4"/>
        <v>37605886.684741877</v>
      </c>
      <c r="N33" s="16">
        <f>$M33/POWER(1+DiscRate5,1+attendance!$A33)</f>
        <v>27460387.897421528</v>
      </c>
    </row>
    <row r="34" spans="1:14" x14ac:dyDescent="0.2">
      <c r="A34" s="26">
        <v>6</v>
      </c>
      <c r="B34" s="26">
        <v>2004</v>
      </c>
      <c r="C34" s="12">
        <f>elasticity!$E$21</f>
        <v>1375964.3598063763</v>
      </c>
      <c r="D34" s="7">
        <f>D9*(1+elasticity!$D$18)</f>
        <v>28.877404013920341</v>
      </c>
      <c r="E34" s="12">
        <f t="shared" si="2"/>
        <v>39734278.726883985</v>
      </c>
      <c r="F34" s="16">
        <f>$E34/POWER(1+DiscRate,1+attendance!$A34)</f>
        <v>28465353.607731134</v>
      </c>
      <c r="G34" s="12">
        <f>elasticity!$E$28</f>
        <v>1417023.22535001</v>
      </c>
      <c r="H34" s="7">
        <f>D9*(1+elasticity!$D$25)</f>
        <v>28.415501814605282</v>
      </c>
      <c r="I34" s="12">
        <f t="shared" si="3"/>
        <v>40265426.03127104</v>
      </c>
      <c r="J34" s="16">
        <f>$I34/POWER(1+DiscRate3,1+attendance!$A34)</f>
        <v>29827115.153707545</v>
      </c>
      <c r="K34" s="12">
        <f>elasticity!$E$35</f>
        <v>1333878.9939365124</v>
      </c>
      <c r="L34" s="7">
        <f>D9*(1+elasticity!$D$32)</f>
        <v>29.350854090947205</v>
      </c>
      <c r="M34" s="12">
        <f t="shared" si="4"/>
        <v>39150487.726010025</v>
      </c>
      <c r="N34" s="16">
        <f>$M34/POWER(1+DiscRate5,1+attendance!$A34)</f>
        <v>27128752.103428278</v>
      </c>
    </row>
    <row r="35" spans="1:14" x14ac:dyDescent="0.2">
      <c r="A35" s="26">
        <v>7</v>
      </c>
      <c r="B35" s="26">
        <v>2005</v>
      </c>
      <c r="C35" s="12">
        <f>elasticity!$E$21</f>
        <v>1375964.3598063763</v>
      </c>
      <c r="D35" s="7">
        <f>D10*(1+elasticity!$D$18)</f>
        <v>30.062273826169566</v>
      </c>
      <c r="E35" s="12">
        <f t="shared" si="2"/>
        <v>41364617.359549388</v>
      </c>
      <c r="F35" s="16">
        <f>$E35/POWER(1+DiscRate,1+attendance!$A35)</f>
        <v>28254497.106033511</v>
      </c>
      <c r="G35" s="12">
        <f>elasticity!$E$28</f>
        <v>1417023.22535001</v>
      </c>
      <c r="H35" s="7">
        <f>D10*(1+elasticity!$D$25)</f>
        <v>29.581419300948895</v>
      </c>
      <c r="I35" s="12">
        <f t="shared" si="3"/>
        <v>41917558.188261643</v>
      </c>
      <c r="J35" s="16">
        <f>$I35/POWER(1+DiscRate3,1+attendance!$A35)</f>
        <v>29747990.60950828</v>
      </c>
      <c r="K35" s="12">
        <f>elasticity!$E$35</f>
        <v>1333878.9939365124</v>
      </c>
      <c r="L35" s="7">
        <f>D10*(1+elasticity!$D$32)</f>
        <v>30.555150050491587</v>
      </c>
      <c r="M35" s="12">
        <f t="shared" si="4"/>
        <v>40756872.808928892</v>
      </c>
      <c r="N35" s="16">
        <f>$M35/POWER(1+DiscRate5,1+attendance!$A35)</f>
        <v>26800031.235213362</v>
      </c>
    </row>
    <row r="36" spans="1:14" x14ac:dyDescent="0.2">
      <c r="A36" s="26">
        <v>8</v>
      </c>
      <c r="B36" s="26">
        <v>2006</v>
      </c>
      <c r="C36" s="12">
        <f>elasticity!$E$21</f>
        <v>1375964.3598063763</v>
      </c>
      <c r="D36" s="7">
        <f>D11*(1+elasticity!$D$18)</f>
        <v>31.29271555427454</v>
      </c>
      <c r="E36" s="12">
        <f t="shared" si="2"/>
        <v>43057661.324240401</v>
      </c>
      <c r="F36" s="16">
        <f>$E36/POWER(1+DiscRate,1+attendance!$A36)</f>
        <v>28042474.220365055</v>
      </c>
      <c r="G36" s="12">
        <f>elasticity!$E$28</f>
        <v>1417023.22535001</v>
      </c>
      <c r="H36" s="7">
        <f>D11*(1+elasticity!$D$25)</f>
        <v>30.792179767536496</v>
      </c>
      <c r="I36" s="12">
        <f t="shared" si="3"/>
        <v>43633233.889751889</v>
      </c>
      <c r="J36" s="16">
        <f>$I36/POWER(1+DiscRate3,1+attendance!$A36)</f>
        <v>29666189.691699158</v>
      </c>
      <c r="K36" s="12">
        <f>elasticity!$E$35</f>
        <v>1333878.9939365124</v>
      </c>
      <c r="L36" s="7">
        <f>D11*(1+elasticity!$D$32)</f>
        <v>31.80576508540307</v>
      </c>
      <c r="M36" s="12">
        <f t="shared" si="4"/>
        <v>42425041.933498502</v>
      </c>
      <c r="N36" s="16">
        <f>$M36/POWER(1+DiscRate5,1+attendance!$A36)</f>
        <v>26472717.924494691</v>
      </c>
    </row>
    <row r="37" spans="1:14" x14ac:dyDescent="0.2">
      <c r="A37" s="26">
        <v>9</v>
      </c>
      <c r="B37" s="26">
        <v>2007</v>
      </c>
      <c r="C37" s="12">
        <f>elasticity!$E$21</f>
        <v>1375964.3598063763</v>
      </c>
      <c r="D37" s="7">
        <f>D12*(1+elasticity!$D$18)</f>
        <v>32.583919836853823</v>
      </c>
      <c r="E37" s="12">
        <f t="shared" si="2"/>
        <v>44834312.398298852</v>
      </c>
      <c r="F37" s="16">
        <f>$E37/POWER(1+DiscRate,1+attendance!$A37)</f>
        <v>27840929.255572267</v>
      </c>
      <c r="G37" s="12">
        <f>elasticity!$E$28</f>
        <v>1417023.22535001</v>
      </c>
      <c r="H37" s="7">
        <f>D12*(1+elasticity!$D$25)</f>
        <v>32.062730874449407</v>
      </c>
      <c r="I37" s="12">
        <f t="shared" si="3"/>
        <v>45433634.317241646</v>
      </c>
      <c r="J37" s="16">
        <f>$I37/POWER(1+DiscRate3,1+attendance!$A37)</f>
        <v>29594060.20603149</v>
      </c>
      <c r="K37" s="12">
        <f>elasticity!$E$35</f>
        <v>1333878.9939365124</v>
      </c>
      <c r="L37" s="7">
        <f>D12*(1+elasticity!$D$32)</f>
        <v>33.118138887470671</v>
      </c>
      <c r="M37" s="12">
        <f t="shared" si="4"/>
        <v>44175589.780269064</v>
      </c>
      <c r="N37" s="16">
        <f>$M37/POWER(1+DiscRate5,1+attendance!$A37)</f>
        <v>26157751.764783345</v>
      </c>
    </row>
    <row r="38" spans="1:14" x14ac:dyDescent="0.2">
      <c r="A38" s="26">
        <v>10</v>
      </c>
      <c r="B38" s="26">
        <v>2008</v>
      </c>
      <c r="C38" s="12">
        <f>elasticity!$E$21</f>
        <v>1375964.3598063763</v>
      </c>
      <c r="D38" s="7">
        <f>D13*(1+elasticity!$D$18)</f>
        <v>33.905505396670279</v>
      </c>
      <c r="E38" s="12">
        <f t="shared" si="2"/>
        <v>46652767.027041055</v>
      </c>
      <c r="F38" s="16">
        <f>$E38/POWER(1+DiscRate,1+attendance!$A38)</f>
        <v>27622179.415363505</v>
      </c>
      <c r="G38" s="12">
        <f>elasticity!$E$28</f>
        <v>1417023.22535001</v>
      </c>
      <c r="H38" s="7">
        <f>D13*(1+elasticity!$D$25)</f>
        <v>33.363177301524978</v>
      </c>
      <c r="I38" s="12">
        <f t="shared" si="3"/>
        <v>47276397.107731164</v>
      </c>
      <c r="J38" s="16">
        <f>$I38/POWER(1+DiscRate3,1+attendance!$A38)</f>
        <v>29502183.111583184</v>
      </c>
      <c r="K38" s="12">
        <f>elasticity!$E$35</f>
        <v>1333878.9939365124</v>
      </c>
      <c r="L38" s="7">
        <f>D13*(1+elasticity!$D$32)</f>
        <v>34.461392073116336</v>
      </c>
      <c r="M38" s="12">
        <f t="shared" si="4"/>
        <v>45967326.988140121</v>
      </c>
      <c r="N38" s="16">
        <f>$M38/POWER(1+DiscRate5,1+attendance!$A38)</f>
        <v>25829090.475095537</v>
      </c>
    </row>
    <row r="39" spans="1:14" x14ac:dyDescent="0.2">
      <c r="A39" s="26">
        <v>11</v>
      </c>
      <c r="B39" s="26">
        <v>2009</v>
      </c>
      <c r="C39" s="12">
        <f>elasticity!$E$21</f>
        <v>1375964.3598063763</v>
      </c>
      <c r="D39" s="7">
        <f>D14*(1+elasticity!$D$18)</f>
        <v>35.30304414957962</v>
      </c>
      <c r="E39" s="12">
        <f t="shared" si="2"/>
        <v>48575730.542492561</v>
      </c>
      <c r="F39" s="16">
        <f>$E39/POWER(1+DiscRate,1+attendance!$A39)</f>
        <v>27422509.562603373</v>
      </c>
      <c r="G39" s="12">
        <f>elasticity!$E$28</f>
        <v>1417023.22535001</v>
      </c>
      <c r="H39" s="7">
        <f>D14*(1+elasticity!$D$25)</f>
        <v>34.738362029007192</v>
      </c>
      <c r="I39" s="12">
        <f t="shared" si="3"/>
        <v>49225065.805720091</v>
      </c>
      <c r="J39" s="16">
        <f>$I39/POWER(1+DiscRate3,1+attendance!$A39)</f>
        <v>29429222.951961834</v>
      </c>
      <c r="K39" s="12">
        <f>elasticity!$E$35</f>
        <v>1333878.9939365124</v>
      </c>
      <c r="L39" s="7">
        <f>D14*(1+elasticity!$D$32)</f>
        <v>35.881843717707149</v>
      </c>
      <c r="M39" s="12">
        <f t="shared" si="4"/>
        <v>47862037.598762378</v>
      </c>
      <c r="N39" s="16">
        <f>$M39/POWER(1+DiscRate5,1+attendance!$A39)</f>
        <v>25520715.89018086</v>
      </c>
    </row>
    <row r="40" spans="1:14" x14ac:dyDescent="0.2">
      <c r="A40" s="26">
        <v>12</v>
      </c>
      <c r="B40" s="26">
        <v>2010</v>
      </c>
      <c r="C40" s="12">
        <f>elasticity!$E$21</f>
        <v>1375964.3598063763</v>
      </c>
      <c r="D40" s="7">
        <f>D15*(1+elasticity!$D$18)</f>
        <v>36.746154818344714</v>
      </c>
      <c r="E40" s="12">
        <f t="shared" si="2"/>
        <v>50561399.389969669</v>
      </c>
      <c r="F40" s="16">
        <f>$E40/POWER(1+DiscRate,1+attendance!$A40)</f>
        <v>27215371.223344494</v>
      </c>
      <c r="G40" s="12">
        <f>elasticity!$E$28</f>
        <v>1417023.22535001</v>
      </c>
      <c r="H40" s="7">
        <f>D15*(1+elasticity!$D$25)</f>
        <v>36.15838973673339</v>
      </c>
      <c r="I40" s="12">
        <f t="shared" si="3"/>
        <v>51237278.048208646</v>
      </c>
      <c r="J40" s="16">
        <f>$I40/POWER(1+DiscRate3,1+attendance!$A40)</f>
        <v>29346833.445844665</v>
      </c>
      <c r="K40" s="12">
        <f>elasticity!$E$35</f>
        <v>1333878.9939365124</v>
      </c>
      <c r="L40" s="7">
        <f>D15*(1+elasticity!$D$32)</f>
        <v>37.348614437665063</v>
      </c>
      <c r="M40" s="12">
        <f t="shared" si="4"/>
        <v>49818532.251035377</v>
      </c>
      <c r="N40" s="16">
        <f>$M40/POWER(1+DiscRate5,1+attendance!$A40)</f>
        <v>25207768.581448663</v>
      </c>
    </row>
    <row r="41" spans="1:14" x14ac:dyDescent="0.2">
      <c r="A41" s="26">
        <v>13</v>
      </c>
      <c r="B41" s="26">
        <v>2011</v>
      </c>
      <c r="C41" s="12">
        <f>elasticity!$E$21</f>
        <v>1375964.3598063763</v>
      </c>
      <c r="D41" s="7">
        <f>D16*(1+elasticity!$D$18)</f>
        <v>38.250028041584116</v>
      </c>
      <c r="E41" s="12">
        <f t="shared" si="2"/>
        <v>52630675.34681423</v>
      </c>
      <c r="F41" s="16">
        <f>$E41/POWER(1+DiscRate,1+attendance!$A41)</f>
        <v>27011048.411074668</v>
      </c>
      <c r="G41" s="12">
        <f>elasticity!$E$28</f>
        <v>1417023.22535001</v>
      </c>
      <c r="H41" s="7">
        <f>D16*(1+elasticity!$D$25)</f>
        <v>37.6382080847849</v>
      </c>
      <c r="I41" s="12">
        <f t="shared" si="3"/>
        <v>53334215.016696721</v>
      </c>
      <c r="J41" s="16">
        <f>$I41/POWER(1+DiscRate3,1+attendance!$A41)</f>
        <v>29266029.914006632</v>
      </c>
      <c r="K41" s="12">
        <f>elasticity!$E$35</f>
        <v>1333878.9939365124</v>
      </c>
      <c r="L41" s="7">
        <f>D16*(1+elasticity!$D$32)</f>
        <v>38.877143924779091</v>
      </c>
      <c r="M41" s="12">
        <f t="shared" si="4"/>
        <v>51857405.625509329</v>
      </c>
      <c r="N41" s="16">
        <f>$M41/POWER(1+DiscRate5,1+attendance!$A41)</f>
        <v>24899811.900680836</v>
      </c>
    </row>
    <row r="42" spans="1:14" x14ac:dyDescent="0.2">
      <c r="A42" s="26">
        <v>14</v>
      </c>
      <c r="B42" s="26">
        <v>2012</v>
      </c>
      <c r="C42" s="12">
        <f>elasticity!$E$21</f>
        <v>1375964.3598063763</v>
      </c>
      <c r="D42" s="7">
        <f>D17*(1+elasticity!$D$18)</f>
        <v>39.829854457916426</v>
      </c>
      <c r="E42" s="12">
        <f t="shared" si="2"/>
        <v>54804460.190368116</v>
      </c>
      <c r="F42" s="16">
        <f>$E42/POWER(1+DiscRate,1+attendance!$A42)</f>
        <v>26817959.105514966</v>
      </c>
      <c r="G42" s="12">
        <f>elasticity!$E$28</f>
        <v>1417023.22535001</v>
      </c>
      <c r="H42" s="7">
        <f>D17*(1+elasticity!$D$25)</f>
        <v>39.192764733243052</v>
      </c>
      <c r="I42" s="12">
        <f t="shared" si="3"/>
        <v>55537057.892684191</v>
      </c>
      <c r="J42" s="16">
        <f>$I42/POWER(1+DiscRate3,1+attendance!$A42)</f>
        <v>29196008.487700734</v>
      </c>
      <c r="K42" s="12">
        <f>elasticity!$E$35</f>
        <v>1333878.9939365124</v>
      </c>
      <c r="L42" s="7">
        <f>D17*(1+elasticity!$D$32)</f>
        <v>40.482871870838274</v>
      </c>
      <c r="M42" s="12">
        <f t="shared" si="4"/>
        <v>53999252.402734496</v>
      </c>
      <c r="N42" s="16">
        <f>$M42/POWER(1+DiscRate5,1+attendance!$A42)</f>
        <v>24604516.414661333</v>
      </c>
    </row>
    <row r="43" spans="1:14" x14ac:dyDescent="0.2">
      <c r="A43" s="26">
        <v>15</v>
      </c>
      <c r="B43" s="26">
        <v>2013</v>
      </c>
      <c r="C43" s="12">
        <f>elasticity!$E$21</f>
        <v>1375964.3598063763</v>
      </c>
      <c r="D43" s="7">
        <f>D18*(1+elasticity!$D$18)</f>
        <v>41.455252790104474</v>
      </c>
      <c r="E43" s="12">
        <f t="shared" si="2"/>
        <v>57040950.365947597</v>
      </c>
      <c r="F43" s="16">
        <f>$E43/POWER(1+DiscRate,1+attendance!$A43)</f>
        <v>26613616.462092433</v>
      </c>
      <c r="G43" s="12">
        <f>elasticity!$E$28</f>
        <v>1417023.22535001</v>
      </c>
      <c r="H43" s="7">
        <f>D18*(1+elasticity!$D$25)</f>
        <v>40.79216436194519</v>
      </c>
      <c r="I43" s="12">
        <f t="shared" si="3"/>
        <v>57803444.313171305</v>
      </c>
      <c r="J43" s="16">
        <f>$I43/POWER(1+DiscRate3,1+attendance!$A43)</f>
        <v>29112334.794335812</v>
      </c>
      <c r="K43" s="12">
        <f>elasticity!$E$35</f>
        <v>1333878.9939365124</v>
      </c>
      <c r="L43" s="7">
        <f>D18*(1+elasticity!$D$32)</f>
        <v>42.134918892264551</v>
      </c>
      <c r="M43" s="12">
        <f t="shared" si="4"/>
        <v>56202883.22161039</v>
      </c>
      <c r="N43" s="16">
        <f>$M43/POWER(1+DiscRate5,1+attendance!$A43)</f>
        <v>24301187.021395661</v>
      </c>
    </row>
    <row r="44" spans="1:14" x14ac:dyDescent="0.2">
      <c r="A44" s="26">
        <v>16</v>
      </c>
      <c r="B44" s="26">
        <v>2014</v>
      </c>
      <c r="C44" s="12">
        <f>elasticity!$E$21</f>
        <v>1375964.3598063763</v>
      </c>
      <c r="D44" s="7">
        <f>D19*(1+elasticity!$D$18)</f>
        <v>43.171794954004</v>
      </c>
      <c r="E44" s="12">
        <f t="shared" si="2"/>
        <v>59402851.20557826</v>
      </c>
      <c r="F44" s="16">
        <f>$E44/POWER(1+DiscRate,1+attendance!$A44)</f>
        <v>26426019.617969822</v>
      </c>
      <c r="G44" s="12">
        <f>elasticity!$E$28</f>
        <v>1417023.22535001</v>
      </c>
      <c r="H44" s="7">
        <f>D19*(1+elasticity!$D$25)</f>
        <v>42.481249951135304</v>
      </c>
      <c r="I44" s="12">
        <f t="shared" si="3"/>
        <v>60196917.822657704</v>
      </c>
      <c r="J44" s="16">
        <f>$I44/POWER(1+DiscRate3,1+attendance!$A44)</f>
        <v>29045595.333868105</v>
      </c>
      <c r="K44" s="12">
        <f>elasticity!$E$35</f>
        <v>1333878.9939365124</v>
      </c>
      <c r="L44" s="7">
        <f>D19*(1+elasticity!$D$32)</f>
        <v>43.879604064425017</v>
      </c>
      <c r="M44" s="12">
        <f t="shared" si="4"/>
        <v>58530082.123787738</v>
      </c>
      <c r="N44" s="16">
        <f>$M44/POWER(1+DiscRate5,1+attendance!$A44)</f>
        <v>24015400.37684083</v>
      </c>
    </row>
    <row r="45" spans="1:14" x14ac:dyDescent="0.2">
      <c r="A45" s="26">
        <v>17</v>
      </c>
      <c r="B45" s="26">
        <v>2015</v>
      </c>
      <c r="C45" s="12">
        <f>elasticity!$E$21</f>
        <v>1375964.3598063763</v>
      </c>
      <c r="D45" s="7">
        <f>D20*(1+elasticity!$D$18)</f>
        <v>44.933909033759264</v>
      </c>
      <c r="E45" s="12">
        <f t="shared" si="2"/>
        <v>61827457.377234511</v>
      </c>
      <c r="F45" s="16">
        <f>$E45/POWER(1+DiscRate,1+attendance!$A45)</f>
        <v>26224859.519070596</v>
      </c>
      <c r="G45" s="12">
        <f>elasticity!$E$28</f>
        <v>1417023.22535001</v>
      </c>
      <c r="H45" s="7">
        <f>D20*(1+elasticity!$D$25)</f>
        <v>44.215178520569388</v>
      </c>
      <c r="I45" s="12">
        <f t="shared" si="3"/>
        <v>62653934.876643717</v>
      </c>
      <c r="J45" s="16">
        <f>$I45/POWER(1+DiscRate3,1+attendance!$A45)</f>
        <v>28962569.301869404</v>
      </c>
      <c r="K45" s="12">
        <f>elasticity!$E$35</f>
        <v>1333878.9939365124</v>
      </c>
      <c r="L45" s="7">
        <f>D20*(1+elasticity!$D$32)</f>
        <v>45.670608311952563</v>
      </c>
      <c r="M45" s="12">
        <f t="shared" si="4"/>
        <v>60919065.067615807</v>
      </c>
      <c r="N45" s="16">
        <f>$M45/POWER(1+DiscRate5,1+attendance!$A45)</f>
        <v>23719511.103041705</v>
      </c>
    </row>
    <row r="46" spans="1:14" x14ac:dyDescent="0.2">
      <c r="A46" s="26">
        <v>18</v>
      </c>
      <c r="B46" s="26">
        <v>2016</v>
      </c>
      <c r="C46" s="12">
        <f>elasticity!$E$21</f>
        <v>1375964.3598063763</v>
      </c>
      <c r="D46" s="7">
        <f>D21*(1+elasticity!$D$18)</f>
        <v>44.933909033759264</v>
      </c>
      <c r="E46" s="12">
        <f t="shared" si="2"/>
        <v>61827457.377234511</v>
      </c>
      <c r="F46" s="16">
        <f>$E46/POWER(1+DiscRate,1+attendance!$A46)</f>
        <v>25004633.408724826</v>
      </c>
      <c r="G46" s="12">
        <f>elasticity!$E$28</f>
        <v>1417023.22535001</v>
      </c>
      <c r="H46" s="7">
        <f>D21*(1+elasticity!$D$25)</f>
        <v>44.215178520569388</v>
      </c>
      <c r="I46" s="12">
        <f t="shared" si="3"/>
        <v>62653934.876643717</v>
      </c>
      <c r="J46" s="16">
        <f>$I46/POWER(1+DiscRate3,1+attendance!$A46)</f>
        <v>27747240.181902096</v>
      </c>
      <c r="K46" s="12">
        <f>elasticity!$E$35</f>
        <v>1333878.9939365124</v>
      </c>
      <c r="L46" s="7">
        <f>D21*(1+elasticity!$D$32)</f>
        <v>45.670608311952563</v>
      </c>
      <c r="M46" s="12">
        <f t="shared" si="4"/>
        <v>60919065.067615807</v>
      </c>
      <c r="N46" s="16">
        <f>$M46/POWER(1+DiscRate5,1+attendance!$A46)</f>
        <v>22508551.05621722</v>
      </c>
    </row>
    <row r="47" spans="1:14" x14ac:dyDescent="0.2">
      <c r="A47" s="26">
        <v>19</v>
      </c>
      <c r="B47" s="26">
        <v>2017</v>
      </c>
      <c r="C47" s="12">
        <f>elasticity!$E$21</f>
        <v>1375964.3598063763</v>
      </c>
      <c r="D47" s="7">
        <f>D22*(1+elasticity!$D$18)</f>
        <v>44.933909033759264</v>
      </c>
      <c r="E47" s="12">
        <f t="shared" si="2"/>
        <v>61827457.377234511</v>
      </c>
      <c r="F47" s="16">
        <f>$E47/POWER(1+DiscRate,1+attendance!$A47)</f>
        <v>23841183.646762807</v>
      </c>
      <c r="G47" s="12">
        <f>elasticity!$E$28</f>
        <v>1417023.22535001</v>
      </c>
      <c r="H47" s="7">
        <f>D22*(1+elasticity!$D$25)</f>
        <v>44.215178520569388</v>
      </c>
      <c r="I47" s="12">
        <f t="shared" si="3"/>
        <v>62653934.876643717</v>
      </c>
      <c r="J47" s="16">
        <f>$I47/POWER(1+DiscRate3,1+attendance!$A47)</f>
        <v>26582908.77744979</v>
      </c>
      <c r="K47" s="12">
        <f>elasticity!$E$35</f>
        <v>1333878.9939365124</v>
      </c>
      <c r="L47" s="7">
        <f>D22*(1+elasticity!$D$32)</f>
        <v>45.670608311952563</v>
      </c>
      <c r="M47" s="12">
        <f t="shared" si="4"/>
        <v>60919065.067615807</v>
      </c>
      <c r="N47" s="16">
        <f>$M47/POWER(1+DiscRate5,1+attendance!$A47)</f>
        <v>21359414.55325225</v>
      </c>
    </row>
    <row r="48" spans="1:14" x14ac:dyDescent="0.2">
      <c r="A48" s="26">
        <v>20</v>
      </c>
      <c r="B48" s="26">
        <v>2018</v>
      </c>
      <c r="C48" s="12">
        <f>elasticity!$E$21</f>
        <v>1375964.3598063763</v>
      </c>
      <c r="D48" s="7">
        <f>D23*(1+elasticity!$D$18)</f>
        <v>44.933909033759264</v>
      </c>
      <c r="E48" s="25">
        <f t="shared" si="2"/>
        <v>61827457.377234511</v>
      </c>
      <c r="F48" s="29">
        <f>$E48/POWER(1+DiscRate,1+attendance!$A48)</f>
        <v>22731868.465639595</v>
      </c>
      <c r="G48" s="12">
        <f>elasticity!$E$28</f>
        <v>1417023.22535001</v>
      </c>
      <c r="H48" s="7">
        <f>D23*(1+elasticity!$D$25)</f>
        <v>44.215178520569388</v>
      </c>
      <c r="I48" s="25">
        <f t="shared" si="3"/>
        <v>62653934.876643717</v>
      </c>
      <c r="J48" s="29">
        <f>$I48/POWER(1+DiscRate3,1+attendance!$A48)</f>
        <v>25467435.119227618</v>
      </c>
      <c r="K48" s="12">
        <f>elasticity!$E$35</f>
        <v>1333878.9939365124</v>
      </c>
      <c r="L48" s="7">
        <f>D23*(1+elasticity!$D$32)</f>
        <v>45.670608311952563</v>
      </c>
      <c r="M48" s="25">
        <f t="shared" si="4"/>
        <v>60919065.067615807</v>
      </c>
      <c r="N48" s="29">
        <f>$M48/POWER(1+DiscRate5,1+attendance!$A48)</f>
        <v>20268945.29631073</v>
      </c>
    </row>
    <row r="49" spans="5:14" x14ac:dyDescent="0.2">
      <c r="E49" s="16">
        <f>SUM(E29:E48)</f>
        <v>972603611.07928729</v>
      </c>
      <c r="F49" s="49">
        <f>SUM(F29:F48)</f>
        <v>554252334.38950121</v>
      </c>
      <c r="I49" s="16">
        <f>SUM(I29:I48)</f>
        <v>985604873.5361383</v>
      </c>
      <c r="J49" s="49">
        <f>SUM(J29:J48)</f>
        <v>592223260.32161069</v>
      </c>
      <c r="M49" s="16">
        <f>SUM(M29:M48)</f>
        <v>958313752.20281506</v>
      </c>
      <c r="N49" s="49">
        <f>SUM(N29:N48)</f>
        <v>518449729.48388976</v>
      </c>
    </row>
    <row r="51" spans="5:14" x14ac:dyDescent="0.2">
      <c r="G51" s="18"/>
    </row>
  </sheetData>
  <phoneticPr fontId="0" type="noConversion"/>
  <pageMargins left="0.75" right="0.75" top="1" bottom="1" header="0.5" footer="0.5"/>
  <pageSetup orientation="landscape" r:id="rId1"/>
  <headerFooter alignWithMargins="0">
    <oddFooter>&amp;C&amp;A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6" workbookViewId="0">
      <selection activeCell="J18" sqref="J18"/>
    </sheetView>
  </sheetViews>
  <sheetFormatPr defaultRowHeight="12.75" x14ac:dyDescent="0.2"/>
  <cols>
    <col min="2" max="2" width="10.42578125" style="6" customWidth="1"/>
    <col min="3" max="3" width="10" bestFit="1" customWidth="1"/>
    <col min="4" max="4" width="12" bestFit="1" customWidth="1"/>
    <col min="5" max="5" width="12.85546875" customWidth="1"/>
    <col min="6" max="7" width="10.5703125" bestFit="1" customWidth="1"/>
    <col min="8" max="12" width="10.7109375" customWidth="1"/>
  </cols>
  <sheetData>
    <row r="1" spans="1:11" x14ac:dyDescent="0.2">
      <c r="A1" t="s">
        <v>28</v>
      </c>
      <c r="B1" s="43">
        <v>0.03</v>
      </c>
    </row>
    <row r="2" spans="1:11" s="19" customFormat="1" x14ac:dyDescent="0.2">
      <c r="B2" s="45"/>
      <c r="E2" s="19" t="s">
        <v>53</v>
      </c>
      <c r="F2" s="19" t="s">
        <v>55</v>
      </c>
      <c r="J2" s="19" t="s">
        <v>31</v>
      </c>
    </row>
    <row r="3" spans="1:11" s="19" customFormat="1" x14ac:dyDescent="0.2">
      <c r="B3" s="19" t="s">
        <v>22</v>
      </c>
      <c r="C3" s="19" t="s">
        <v>42</v>
      </c>
      <c r="D3" s="19" t="s">
        <v>25</v>
      </c>
      <c r="E3" s="19" t="s">
        <v>54</v>
      </c>
      <c r="F3" s="19" t="s">
        <v>54</v>
      </c>
      <c r="G3" s="19" t="s">
        <v>43</v>
      </c>
      <c r="H3" s="19" t="s">
        <v>29</v>
      </c>
      <c r="I3" s="19" t="s">
        <v>30</v>
      </c>
      <c r="J3" s="19" t="s">
        <v>32</v>
      </c>
      <c r="K3" s="19" t="s">
        <v>26</v>
      </c>
    </row>
    <row r="4" spans="1:11" x14ac:dyDescent="0.2">
      <c r="A4">
        <f>$B$11-B4</f>
        <v>7</v>
      </c>
      <c r="B4" s="19">
        <v>1989</v>
      </c>
      <c r="C4" s="31">
        <v>0.45100000000000001</v>
      </c>
      <c r="D4" s="15">
        <v>6.8</v>
      </c>
      <c r="E4" s="12">
        <v>1298430</v>
      </c>
      <c r="F4" s="12">
        <f>E4</f>
        <v>1298430</v>
      </c>
      <c r="G4" s="15">
        <f t="shared" ref="G4:G11" si="0">D4*POWER(1+inflation,A4)</f>
        <v>8.3631422848891148</v>
      </c>
      <c r="H4" s="15"/>
      <c r="I4" s="15"/>
      <c r="J4" s="15"/>
    </row>
    <row r="5" spans="1:11" x14ac:dyDescent="0.2">
      <c r="A5">
        <f t="shared" ref="A5:A11" si="1">$B$11-B5</f>
        <v>6</v>
      </c>
      <c r="B5" s="19">
        <v>1990</v>
      </c>
      <c r="C5" s="31">
        <v>0.47499999999999998</v>
      </c>
      <c r="D5" s="15">
        <v>7.12</v>
      </c>
      <c r="E5" s="12">
        <v>1509759</v>
      </c>
      <c r="F5" s="12">
        <f t="shared" ref="F5:F11" si="2">E5</f>
        <v>1509759</v>
      </c>
      <c r="G5" s="15">
        <f t="shared" si="0"/>
        <v>8.501652351286479</v>
      </c>
      <c r="H5" s="17">
        <f>F5/F4-1</f>
        <v>0.16275733000623838</v>
      </c>
      <c r="I5" s="17">
        <f>G5/G4-1</f>
        <v>1.6561964591661926E-2</v>
      </c>
      <c r="J5" s="4">
        <f>-H5/I5</f>
        <v>-9.8271753393421744</v>
      </c>
    </row>
    <row r="6" spans="1:11" x14ac:dyDescent="0.2">
      <c r="A6">
        <f t="shared" si="1"/>
        <v>5</v>
      </c>
      <c r="B6" s="19">
        <v>1991</v>
      </c>
      <c r="C6" s="31">
        <v>0.51200000000000001</v>
      </c>
      <c r="D6" s="15">
        <v>6.37</v>
      </c>
      <c r="E6" s="12">
        <v>2147877</v>
      </c>
      <c r="F6" s="12">
        <f>E6-200000/D6</f>
        <v>2116479.8257456827</v>
      </c>
      <c r="G6" s="15">
        <f t="shared" si="0"/>
        <v>7.3845758532909995</v>
      </c>
      <c r="H6" s="17">
        <f t="shared" ref="H6:H11" si="3">F6/F5-1</f>
        <v>0.40186601023453594</v>
      </c>
      <c r="I6" s="17">
        <f t="shared" ref="I6:I11" si="4">G6/G5-1</f>
        <v>-0.13139522199192755</v>
      </c>
      <c r="J6" s="4">
        <f t="shared" ref="J6:J11" si="5">-H6/I6</f>
        <v>3.0584522339725959</v>
      </c>
      <c r="K6" t="s">
        <v>27</v>
      </c>
    </row>
    <row r="7" spans="1:11" x14ac:dyDescent="0.2">
      <c r="A7">
        <f t="shared" si="1"/>
        <v>4</v>
      </c>
      <c r="B7" s="19">
        <v>1992</v>
      </c>
      <c r="C7" s="31">
        <v>0.39500000000000002</v>
      </c>
      <c r="D7" s="15">
        <v>8.8800000000000008</v>
      </c>
      <c r="E7" s="12">
        <v>1651428</v>
      </c>
      <c r="F7" s="12">
        <v>1651398</v>
      </c>
      <c r="G7" s="15">
        <f t="shared" si="0"/>
        <v>9.9945182328000008</v>
      </c>
      <c r="H7" s="17">
        <f t="shared" si="3"/>
        <v>-0.21974309421155203</v>
      </c>
      <c r="I7" s="17">
        <f t="shared" si="4"/>
        <v>0.35343158921522333</v>
      </c>
      <c r="J7" s="4">
        <f t="shared" si="5"/>
        <v>0.6217415220282948</v>
      </c>
    </row>
    <row r="8" spans="1:11" x14ac:dyDescent="0.2">
      <c r="A8">
        <f t="shared" si="1"/>
        <v>3</v>
      </c>
      <c r="B8" s="19">
        <v>1993</v>
      </c>
      <c r="C8" s="31">
        <v>0.50600000000000001</v>
      </c>
      <c r="D8" s="15">
        <v>8.91</v>
      </c>
      <c r="E8" s="12">
        <v>2051853</v>
      </c>
      <c r="F8" s="12">
        <f t="shared" si="2"/>
        <v>2051853</v>
      </c>
      <c r="G8" s="15">
        <f t="shared" si="0"/>
        <v>9.7361975699999999</v>
      </c>
      <c r="H8" s="17">
        <f t="shared" si="3"/>
        <v>0.24249454098890766</v>
      </c>
      <c r="I8" s="17">
        <f t="shared" si="4"/>
        <v>-2.5846234584098737E-2</v>
      </c>
      <c r="J8" s="4">
        <f t="shared" si="5"/>
        <v>9.3821999564337499</v>
      </c>
    </row>
    <row r="9" spans="1:11" x14ac:dyDescent="0.2">
      <c r="A9">
        <f t="shared" si="1"/>
        <v>2</v>
      </c>
      <c r="B9" s="19">
        <v>1994</v>
      </c>
      <c r="C9" s="31">
        <v>0.438</v>
      </c>
      <c r="D9" s="15">
        <v>11.86</v>
      </c>
      <c r="E9" s="12">
        <v>1104206</v>
      </c>
      <c r="F9" s="12">
        <v>2032743</v>
      </c>
      <c r="G9" s="15">
        <f t="shared" si="0"/>
        <v>12.582273999999998</v>
      </c>
      <c r="H9" s="17">
        <f t="shared" si="3"/>
        <v>-9.3135326945936736E-3</v>
      </c>
      <c r="I9" s="17">
        <f t="shared" si="4"/>
        <v>0.29231909167184233</v>
      </c>
      <c r="J9" s="4">
        <f t="shared" si="5"/>
        <v>3.1860843030564197E-2</v>
      </c>
      <c r="K9" t="s">
        <v>40</v>
      </c>
    </row>
    <row r="10" spans="1:11" x14ac:dyDescent="0.2">
      <c r="A10">
        <f t="shared" si="1"/>
        <v>1</v>
      </c>
      <c r="B10" s="19">
        <v>1995</v>
      </c>
      <c r="C10" s="31">
        <v>0.54500000000000004</v>
      </c>
      <c r="D10" s="15">
        <v>10.88</v>
      </c>
      <c r="E10" s="12">
        <v>1643203</v>
      </c>
      <c r="F10" s="12">
        <v>1823280</v>
      </c>
      <c r="G10" s="15">
        <f t="shared" si="0"/>
        <v>11.2064</v>
      </c>
      <c r="H10" s="17">
        <f t="shared" si="3"/>
        <v>-0.10304450685600686</v>
      </c>
      <c r="I10" s="17">
        <f t="shared" si="4"/>
        <v>-0.10935018582491507</v>
      </c>
      <c r="J10" s="4">
        <f t="shared" si="5"/>
        <v>-0.94233499539722332</v>
      </c>
      <c r="K10" t="s">
        <v>40</v>
      </c>
    </row>
    <row r="11" spans="1:11" x14ac:dyDescent="0.2">
      <c r="A11">
        <f t="shared" si="1"/>
        <v>0</v>
      </c>
      <c r="B11" s="19">
        <v>1996</v>
      </c>
      <c r="C11" s="31">
        <v>0.52800000000000002</v>
      </c>
      <c r="D11" s="15">
        <v>12.34</v>
      </c>
      <c r="E11" s="12">
        <v>2723850</v>
      </c>
      <c r="F11" s="12">
        <f t="shared" si="2"/>
        <v>2723850</v>
      </c>
      <c r="G11" s="15">
        <f t="shared" si="0"/>
        <v>12.34</v>
      </c>
      <c r="H11" s="17">
        <f t="shared" si="3"/>
        <v>0.49392852441753332</v>
      </c>
      <c r="I11" s="17">
        <f t="shared" si="4"/>
        <v>0.10115648201027971</v>
      </c>
      <c r="J11" s="4">
        <f t="shared" si="5"/>
        <v>-4.8828163514755225</v>
      </c>
    </row>
    <row r="12" spans="1:11" x14ac:dyDescent="0.2">
      <c r="B12" s="15"/>
      <c r="I12" s="4"/>
      <c r="J12" s="4"/>
    </row>
    <row r="13" spans="1:11" x14ac:dyDescent="0.2">
      <c r="B13" s="15" t="s">
        <v>29</v>
      </c>
      <c r="F13" s="12"/>
      <c r="I13" s="4"/>
    </row>
    <row r="14" spans="1:11" x14ac:dyDescent="0.2">
      <c r="B14" s="15" t="s">
        <v>30</v>
      </c>
      <c r="I14" s="6"/>
    </row>
    <row r="15" spans="1:11" x14ac:dyDescent="0.2">
      <c r="B15" s="15"/>
    </row>
    <row r="16" spans="1:11" s="27" customFormat="1" x14ac:dyDescent="0.2">
      <c r="A16" s="27" t="s">
        <v>34</v>
      </c>
      <c r="B16" s="30"/>
      <c r="D16" s="48">
        <f>DiscRate</f>
        <v>4.8800000000000003E-2</v>
      </c>
    </row>
    <row r="17" spans="1:10" s="27" customFormat="1" x14ac:dyDescent="0.2">
      <c r="B17" s="30"/>
      <c r="C17" s="27" t="s">
        <v>58</v>
      </c>
      <c r="D17" s="27" t="s">
        <v>35</v>
      </c>
      <c r="E17" s="74" t="s">
        <v>34</v>
      </c>
      <c r="F17" s="74"/>
      <c r="G17" s="74"/>
      <c r="H17" s="74"/>
      <c r="I17" s="74"/>
      <c r="J17" s="74"/>
    </row>
    <row r="18" spans="1:10" s="27" customFormat="1" x14ac:dyDescent="0.2">
      <c r="A18" s="27" t="s">
        <v>22</v>
      </c>
      <c r="B18" s="27" t="s">
        <v>21</v>
      </c>
      <c r="C18" s="27" t="s">
        <v>59</v>
      </c>
      <c r="D18" s="71">
        <f>facts!C33</f>
        <v>0.51906386185798725</v>
      </c>
      <c r="E18" s="27">
        <v>0.75</v>
      </c>
      <c r="F18" s="27">
        <v>0.8</v>
      </c>
      <c r="G18" s="27">
        <v>0.85</v>
      </c>
      <c r="H18" s="27">
        <v>0.7</v>
      </c>
      <c r="I18" s="27">
        <v>0.65</v>
      </c>
      <c r="J18" s="27">
        <v>0.6</v>
      </c>
    </row>
    <row r="19" spans="1:10" x14ac:dyDescent="0.2">
      <c r="A19">
        <v>1999</v>
      </c>
      <c r="B19" s="12">
        <v>2703704</v>
      </c>
      <c r="C19">
        <v>15.64</v>
      </c>
      <c r="D19" s="7">
        <f>C19*(1+$D$18)</f>
        <v>23.758158799458922</v>
      </c>
      <c r="E19" s="12">
        <f t="shared" ref="E19:J21" si="6">(1-E$18*$D$18)*$B19</f>
        <v>1651157.7203293343</v>
      </c>
      <c r="F19" s="12">
        <f t="shared" si="6"/>
        <v>1580987.9683512896</v>
      </c>
      <c r="G19" s="12">
        <f t="shared" si="6"/>
        <v>1510818.2163732455</v>
      </c>
      <c r="H19" s="12">
        <f t="shared" si="6"/>
        <v>1721327.4723073789</v>
      </c>
      <c r="I19" s="12">
        <f t="shared" si="6"/>
        <v>1791497.2242854233</v>
      </c>
      <c r="J19" s="12">
        <f t="shared" si="6"/>
        <v>1861666.9762634677</v>
      </c>
    </row>
    <row r="20" spans="1:10" x14ac:dyDescent="0.2">
      <c r="A20">
        <v>2000</v>
      </c>
      <c r="B20" s="12">
        <v>2478395</v>
      </c>
      <c r="C20">
        <v>16.23</v>
      </c>
      <c r="D20" s="7">
        <f>C20*(1+$D$18)</f>
        <v>24.654406477955135</v>
      </c>
      <c r="E20" s="12">
        <f t="shared" si="6"/>
        <v>1513561.0400678553</v>
      </c>
      <c r="F20" s="12">
        <f t="shared" si="6"/>
        <v>1449238.7760723787</v>
      </c>
      <c r="G20" s="12">
        <f t="shared" si="6"/>
        <v>1384916.5120769024</v>
      </c>
      <c r="H20" s="12">
        <f t="shared" si="6"/>
        <v>1577883.3040633318</v>
      </c>
      <c r="I20" s="12">
        <f t="shared" si="6"/>
        <v>1642205.5680588081</v>
      </c>
      <c r="J20" s="12">
        <f t="shared" si="6"/>
        <v>1706527.8320542844</v>
      </c>
    </row>
    <row r="21" spans="1:10" x14ac:dyDescent="0.2">
      <c r="A21" s="3" t="s">
        <v>60</v>
      </c>
      <c r="B21" s="12">
        <v>2253086</v>
      </c>
      <c r="C21">
        <v>16.87</v>
      </c>
      <c r="D21" s="7">
        <f>C21*(1+$D$18)</f>
        <v>25.626607349544248</v>
      </c>
      <c r="E21" s="12">
        <f t="shared" si="6"/>
        <v>1375964.3598063763</v>
      </c>
      <c r="F21" s="12">
        <f t="shared" si="6"/>
        <v>1317489.5837934678</v>
      </c>
      <c r="G21" s="12">
        <f t="shared" si="6"/>
        <v>1259014.8077805596</v>
      </c>
      <c r="H21" s="12">
        <f t="shared" si="6"/>
        <v>1434439.1358192847</v>
      </c>
      <c r="I21" s="12">
        <f t="shared" si="6"/>
        <v>1492913.9118321929</v>
      </c>
      <c r="J21" s="12">
        <f t="shared" si="6"/>
        <v>1551388.6878451011</v>
      </c>
    </row>
    <row r="22" spans="1:10" x14ac:dyDescent="0.2">
      <c r="B22" s="12"/>
      <c r="D22" s="7"/>
      <c r="E22" s="12"/>
      <c r="F22" s="12"/>
      <c r="G22" s="12"/>
      <c r="H22" s="12"/>
      <c r="I22" s="12"/>
      <c r="J22" s="12"/>
    </row>
    <row r="23" spans="1:10" s="27" customFormat="1" x14ac:dyDescent="0.2">
      <c r="A23" s="27" t="s">
        <v>34</v>
      </c>
      <c r="B23" s="30"/>
      <c r="D23" s="48">
        <f>DiscRate3</f>
        <v>4.3800000000000006E-2</v>
      </c>
    </row>
    <row r="24" spans="1:10" s="27" customFormat="1" x14ac:dyDescent="0.2">
      <c r="B24" s="30"/>
      <c r="C24" s="27" t="s">
        <v>58</v>
      </c>
      <c r="D24" s="27" t="s">
        <v>35</v>
      </c>
      <c r="E24" s="74" t="s">
        <v>34</v>
      </c>
      <c r="F24" s="74"/>
      <c r="G24" s="74"/>
      <c r="H24" s="74"/>
      <c r="I24" s="74"/>
      <c r="J24" s="74"/>
    </row>
    <row r="25" spans="1:10" s="27" customFormat="1" x14ac:dyDescent="0.2">
      <c r="A25" s="27" t="s">
        <v>22</v>
      </c>
      <c r="B25" s="27" t="s">
        <v>21</v>
      </c>
      <c r="C25" s="27" t="s">
        <v>59</v>
      </c>
      <c r="D25" s="72">
        <f>facts!E33</f>
        <v>0.49476600813283944</v>
      </c>
      <c r="E25" s="27">
        <v>0.75</v>
      </c>
      <c r="F25" s="27">
        <v>0.8</v>
      </c>
      <c r="G25" s="27">
        <v>0.85</v>
      </c>
      <c r="H25" s="27">
        <v>0.7</v>
      </c>
      <c r="I25" s="27">
        <v>0.65</v>
      </c>
      <c r="J25" s="27">
        <v>0.6</v>
      </c>
    </row>
    <row r="26" spans="1:10" x14ac:dyDescent="0.2">
      <c r="A26">
        <v>1999</v>
      </c>
      <c r="B26" s="12">
        <v>2703704</v>
      </c>
      <c r="C26">
        <v>15.64</v>
      </c>
      <c r="D26" s="7">
        <f>C26*(1+$D$25)</f>
        <v>23.378140367197613</v>
      </c>
      <c r="E26" s="12">
        <f t="shared" ref="E26:J28" si="7">(1-E$18*$D$25)*$B26</f>
        <v>1700428.3735604072</v>
      </c>
      <c r="F26" s="12">
        <f t="shared" si="7"/>
        <v>1633543.3317977674</v>
      </c>
      <c r="G26" s="12">
        <f t="shared" si="7"/>
        <v>1566658.2900351281</v>
      </c>
      <c r="H26" s="12">
        <f t="shared" si="7"/>
        <v>1767313.415323047</v>
      </c>
      <c r="I26" s="12">
        <f t="shared" si="7"/>
        <v>1834198.4570856863</v>
      </c>
      <c r="J26" s="12">
        <f t="shared" si="7"/>
        <v>1901083.4988483258</v>
      </c>
    </row>
    <row r="27" spans="1:10" x14ac:dyDescent="0.2">
      <c r="A27">
        <v>2000</v>
      </c>
      <c r="B27" s="12">
        <v>2478395</v>
      </c>
      <c r="C27">
        <v>16.23</v>
      </c>
      <c r="D27" s="7">
        <f>C27*(1+$D$25)</f>
        <v>24.260052311995988</v>
      </c>
      <c r="E27" s="12">
        <f t="shared" si="7"/>
        <v>1558725.7994552087</v>
      </c>
      <c r="F27" s="12">
        <f t="shared" si="7"/>
        <v>1497414.519418889</v>
      </c>
      <c r="G27" s="12">
        <f t="shared" si="7"/>
        <v>1436103.2393825697</v>
      </c>
      <c r="H27" s="12">
        <f t="shared" si="7"/>
        <v>1620037.0794915282</v>
      </c>
      <c r="I27" s="12">
        <f t="shared" si="7"/>
        <v>1681348.3595278475</v>
      </c>
      <c r="J27" s="12">
        <f t="shared" si="7"/>
        <v>1742659.6395641668</v>
      </c>
    </row>
    <row r="28" spans="1:10" x14ac:dyDescent="0.2">
      <c r="A28" s="3" t="s">
        <v>60</v>
      </c>
      <c r="B28" s="12">
        <v>2253086</v>
      </c>
      <c r="C28">
        <v>16.87</v>
      </c>
      <c r="D28" s="7">
        <f>C28*(1+$D$25)</f>
        <v>25.216702557201003</v>
      </c>
      <c r="E28" s="12">
        <f t="shared" si="7"/>
        <v>1417023.22535001</v>
      </c>
      <c r="F28" s="12">
        <f t="shared" si="7"/>
        <v>1361285.7070400105</v>
      </c>
      <c r="G28" s="12">
        <f t="shared" si="7"/>
        <v>1305548.1887300112</v>
      </c>
      <c r="H28" s="12">
        <f t="shared" si="7"/>
        <v>1472760.7436600095</v>
      </c>
      <c r="I28" s="12">
        <f t="shared" si="7"/>
        <v>1528498.2619700087</v>
      </c>
      <c r="J28" s="12">
        <f t="shared" si="7"/>
        <v>1584235.780280008</v>
      </c>
    </row>
    <row r="29" spans="1:10" x14ac:dyDescent="0.2">
      <c r="B29" s="12"/>
      <c r="D29" s="7"/>
      <c r="E29" s="12"/>
      <c r="F29" s="12"/>
      <c r="G29" s="12"/>
      <c r="H29" s="12"/>
      <c r="I29" s="12"/>
      <c r="J29" s="12"/>
    </row>
    <row r="30" spans="1:10" s="27" customFormat="1" x14ac:dyDescent="0.2">
      <c r="A30" s="27" t="s">
        <v>34</v>
      </c>
      <c r="B30" s="30"/>
      <c r="D30" s="48">
        <f>DiscRate5</f>
        <v>5.3800000000000001E-2</v>
      </c>
    </row>
    <row r="31" spans="1:10" s="27" customFormat="1" x14ac:dyDescent="0.2">
      <c r="B31" s="30"/>
      <c r="C31" s="27" t="s">
        <v>58</v>
      </c>
      <c r="D31" s="27" t="s">
        <v>35</v>
      </c>
      <c r="E31" s="74" t="s">
        <v>34</v>
      </c>
      <c r="F31" s="74"/>
      <c r="G31" s="74"/>
      <c r="H31" s="74"/>
      <c r="I31" s="74"/>
      <c r="J31" s="74"/>
    </row>
    <row r="32" spans="1:10" s="27" customFormat="1" x14ac:dyDescent="0.2">
      <c r="A32" s="27" t="s">
        <v>22</v>
      </c>
      <c r="B32" s="27" t="s">
        <v>21</v>
      </c>
      <c r="C32" s="27" t="s">
        <v>59</v>
      </c>
      <c r="D32" s="72">
        <f>facts!G33</f>
        <v>0.54396917890306162</v>
      </c>
      <c r="E32" s="27">
        <v>0.75</v>
      </c>
      <c r="F32" s="27">
        <v>0.8</v>
      </c>
      <c r="G32" s="27">
        <v>0.85</v>
      </c>
      <c r="H32" s="27">
        <v>0.7</v>
      </c>
      <c r="I32" s="27">
        <v>0.65</v>
      </c>
      <c r="J32" s="27">
        <v>0.6</v>
      </c>
    </row>
    <row r="33" spans="1:11" x14ac:dyDescent="0.2">
      <c r="A33">
        <v>1999</v>
      </c>
      <c r="B33" s="12">
        <v>2703704</v>
      </c>
      <c r="C33">
        <v>15.64</v>
      </c>
      <c r="D33" s="7">
        <f>C33*($D$32+1)</f>
        <v>24.147677958043886</v>
      </c>
      <c r="E33" s="12">
        <f t="shared" ref="E33:J35" si="8">(1-E$18*$D$32)*$B33</f>
        <v>1600655.2663423077</v>
      </c>
      <c r="F33" s="12">
        <f t="shared" si="8"/>
        <v>1527118.6840984612</v>
      </c>
      <c r="G33" s="12">
        <f t="shared" si="8"/>
        <v>1453582.1018546151</v>
      </c>
      <c r="H33" s="12">
        <f t="shared" si="8"/>
        <v>1674191.8485861537</v>
      </c>
      <c r="I33" s="12">
        <f t="shared" si="8"/>
        <v>1747728.4308299997</v>
      </c>
      <c r="J33" s="12">
        <f t="shared" si="8"/>
        <v>1821265.013073846</v>
      </c>
    </row>
    <row r="34" spans="1:11" x14ac:dyDescent="0.2">
      <c r="A34">
        <v>2000</v>
      </c>
      <c r="B34" s="12">
        <v>2478395</v>
      </c>
      <c r="C34">
        <v>16.23</v>
      </c>
      <c r="D34" s="7">
        <f>C34*($D$32+1)</f>
        <v>25.058619773596689</v>
      </c>
      <c r="E34" s="12">
        <f t="shared" si="8"/>
        <v>1467267.13013941</v>
      </c>
      <c r="F34" s="12">
        <f t="shared" si="8"/>
        <v>1399858.6054820372</v>
      </c>
      <c r="G34" s="12">
        <f t="shared" si="8"/>
        <v>1332450.0808246646</v>
      </c>
      <c r="H34" s="12">
        <f t="shared" si="8"/>
        <v>1534675.6547967826</v>
      </c>
      <c r="I34" s="12">
        <f t="shared" si="8"/>
        <v>1602084.1794541553</v>
      </c>
      <c r="J34" s="12">
        <f t="shared" si="8"/>
        <v>1669492.7041115279</v>
      </c>
    </row>
    <row r="35" spans="1:11" x14ac:dyDescent="0.2">
      <c r="A35" s="3" t="s">
        <v>60</v>
      </c>
      <c r="B35" s="12">
        <v>2253086</v>
      </c>
      <c r="C35">
        <v>16.87</v>
      </c>
      <c r="D35" s="7">
        <f>C35*($D$32+1)</f>
        <v>26.046760048094651</v>
      </c>
      <c r="E35" s="12">
        <f t="shared" si="8"/>
        <v>1333878.9939365124</v>
      </c>
      <c r="F35" s="12">
        <f t="shared" si="8"/>
        <v>1272598.5268656132</v>
      </c>
      <c r="G35" s="12">
        <f t="shared" si="8"/>
        <v>1211318.059794714</v>
      </c>
      <c r="H35" s="12">
        <f t="shared" si="8"/>
        <v>1395159.4610074116</v>
      </c>
      <c r="I35" s="12">
        <f t="shared" si="8"/>
        <v>1456439.9280783108</v>
      </c>
      <c r="J35" s="12">
        <f t="shared" si="8"/>
        <v>1517720.3951492098</v>
      </c>
    </row>
    <row r="36" spans="1:11" x14ac:dyDescent="0.2">
      <c r="B36" s="12"/>
      <c r="D36" s="7"/>
      <c r="E36" s="7"/>
      <c r="F36" s="12"/>
      <c r="G36" s="12"/>
      <c r="H36" s="12"/>
      <c r="I36" s="12"/>
      <c r="J36" s="12"/>
      <c r="K36" s="12"/>
    </row>
    <row r="37" spans="1:11" x14ac:dyDescent="0.2">
      <c r="B37" s="12"/>
      <c r="D37" s="7"/>
      <c r="E37" s="7"/>
      <c r="F37" s="12"/>
      <c r="G37" s="12"/>
      <c r="H37" s="12"/>
      <c r="I37" s="12"/>
      <c r="J37" s="12"/>
      <c r="K37" s="12"/>
    </row>
    <row r="38" spans="1:11" x14ac:dyDescent="0.2">
      <c r="B38" s="12"/>
      <c r="D38" s="7"/>
      <c r="E38" s="7"/>
      <c r="F38" s="12"/>
      <c r="G38" s="12"/>
      <c r="H38" s="12"/>
      <c r="I38" s="12"/>
      <c r="J38" s="12"/>
      <c r="K38" s="12"/>
    </row>
    <row r="39" spans="1:11" x14ac:dyDescent="0.2">
      <c r="E39" s="7"/>
    </row>
    <row r="40" spans="1:11" x14ac:dyDescent="0.2">
      <c r="E40" s="7"/>
    </row>
  </sheetData>
  <mergeCells count="3">
    <mergeCell ref="E17:J17"/>
    <mergeCell ref="E24:J24"/>
    <mergeCell ref="E31:J31"/>
  </mergeCells>
  <phoneticPr fontId="0" type="noConversion"/>
  <pageMargins left="0.18" right="0.17" top="1" bottom="0.87" header="0.5" footer="0.5"/>
  <pageSetup orientation="landscape" r:id="rId1"/>
  <headerFooter alignWithMargins="0">
    <oddFooter>&amp;C&amp;A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workbookViewId="0">
      <selection activeCell="I10" sqref="I10"/>
    </sheetView>
  </sheetViews>
  <sheetFormatPr defaultRowHeight="12.75" x14ac:dyDescent="0.2"/>
  <cols>
    <col min="2" max="2" width="5" bestFit="1" customWidth="1"/>
    <col min="3" max="3" width="12" bestFit="1" customWidth="1"/>
    <col min="4" max="4" width="10" bestFit="1" customWidth="1"/>
    <col min="5" max="5" width="10.140625" bestFit="1" customWidth="1"/>
    <col min="6" max="6" width="10.28515625" bestFit="1" customWidth="1"/>
  </cols>
  <sheetData>
    <row r="1" spans="2:10" ht="16.5" customHeight="1" x14ac:dyDescent="0.2"/>
    <row r="3" spans="2:10" x14ac:dyDescent="0.2">
      <c r="B3" t="str">
        <f>elasticity!B3</f>
        <v>Year</v>
      </c>
      <c r="C3" s="19" t="s">
        <v>56</v>
      </c>
      <c r="D3" t="str">
        <f>elasticity!I3</f>
        <v>%changeP</v>
      </c>
      <c r="E3" t="str">
        <f>elasticity!H3</f>
        <v>%changeQ</v>
      </c>
    </row>
    <row r="4" spans="2:10" x14ac:dyDescent="0.2">
      <c r="B4">
        <f>elasticity!B4</f>
        <v>1989</v>
      </c>
      <c r="C4" s="44"/>
      <c r="D4" s="44"/>
      <c r="E4" s="44"/>
    </row>
    <row r="5" spans="2:10" x14ac:dyDescent="0.2">
      <c r="B5">
        <f>elasticity!B5</f>
        <v>1990</v>
      </c>
      <c r="C5" s="46">
        <f>elasticity!C5</f>
        <v>0.47499999999999998</v>
      </c>
      <c r="D5" s="46">
        <f>elasticity!I5</f>
        <v>1.6561964591661926E-2</v>
      </c>
      <c r="E5" s="46">
        <f>elasticity!H5</f>
        <v>0.16275733000623838</v>
      </c>
    </row>
    <row r="6" spans="2:10" x14ac:dyDescent="0.2">
      <c r="B6">
        <f>elasticity!B6</f>
        <v>1991</v>
      </c>
      <c r="C6" s="46">
        <f>elasticity!C6</f>
        <v>0.51200000000000001</v>
      </c>
      <c r="D6" s="46">
        <f>elasticity!I6</f>
        <v>-0.13139522199192755</v>
      </c>
      <c r="E6" s="46">
        <f>elasticity!H6</f>
        <v>0.40186601023453594</v>
      </c>
    </row>
    <row r="7" spans="2:10" x14ac:dyDescent="0.2">
      <c r="B7">
        <f>elasticity!B7</f>
        <v>1992</v>
      </c>
      <c r="C7" s="46">
        <f>elasticity!C7</f>
        <v>0.39500000000000002</v>
      </c>
      <c r="D7" s="46">
        <f>elasticity!I7</f>
        <v>0.35343158921522333</v>
      </c>
      <c r="E7" s="46">
        <f>elasticity!H7</f>
        <v>-0.21974309421155203</v>
      </c>
    </row>
    <row r="8" spans="2:10" x14ac:dyDescent="0.2">
      <c r="B8">
        <f>elasticity!B8</f>
        <v>1993</v>
      </c>
      <c r="C8" s="46">
        <f>elasticity!C8</f>
        <v>0.50600000000000001</v>
      </c>
      <c r="D8" s="46">
        <f>elasticity!I8</f>
        <v>-2.5846234584098737E-2</v>
      </c>
      <c r="E8" s="46">
        <f>elasticity!H8</f>
        <v>0.24249454098890766</v>
      </c>
    </row>
    <row r="9" spans="2:10" x14ac:dyDescent="0.2">
      <c r="B9">
        <f>elasticity!B9</f>
        <v>1994</v>
      </c>
      <c r="C9" s="46">
        <f>elasticity!C9</f>
        <v>0.438</v>
      </c>
      <c r="D9" s="46">
        <f>elasticity!I9</f>
        <v>0.29231909167184233</v>
      </c>
      <c r="E9" s="46">
        <f>elasticity!H9</f>
        <v>-9.3135326945936736E-3</v>
      </c>
      <c r="F9" s="18"/>
    </row>
    <row r="10" spans="2:10" x14ac:dyDescent="0.2">
      <c r="B10">
        <f>elasticity!B10</f>
        <v>1995</v>
      </c>
      <c r="C10" s="46">
        <f>elasticity!C10</f>
        <v>0.54500000000000004</v>
      </c>
      <c r="D10" s="46">
        <f>elasticity!I10</f>
        <v>-0.10935018582491507</v>
      </c>
      <c r="E10" s="46">
        <f>elasticity!H10</f>
        <v>-0.10304450685600686</v>
      </c>
      <c r="F10" s="18"/>
    </row>
    <row r="11" spans="2:10" x14ac:dyDescent="0.2">
      <c r="B11">
        <f>elasticity!B11</f>
        <v>1996</v>
      </c>
      <c r="C11" s="46">
        <f>elasticity!C11</f>
        <v>0.52800000000000002</v>
      </c>
      <c r="D11" s="46">
        <f>elasticity!I11</f>
        <v>0.10115648201027971</v>
      </c>
      <c r="E11" s="46">
        <f>elasticity!H11</f>
        <v>0.49392852441753332</v>
      </c>
      <c r="F11" s="18"/>
    </row>
    <row r="12" spans="2:10" x14ac:dyDescent="0.2">
      <c r="C12" s="46"/>
      <c r="D12" s="46"/>
      <c r="E12" s="46"/>
    </row>
    <row r="13" spans="2:10" s="19" customFormat="1" x14ac:dyDescent="0.2">
      <c r="B13" s="45"/>
    </row>
    <row r="14" spans="2:10" s="19" customFormat="1" x14ac:dyDescent="0.2"/>
    <row r="15" spans="2:10" x14ac:dyDescent="0.2">
      <c r="B15" s="19"/>
      <c r="C15" s="31"/>
      <c r="D15" s="15"/>
      <c r="E15" s="12"/>
      <c r="F15" s="12"/>
      <c r="G15" s="15"/>
      <c r="H15" s="15"/>
      <c r="I15" s="15"/>
      <c r="J15" s="15"/>
    </row>
    <row r="16" spans="2:10" x14ac:dyDescent="0.2">
      <c r="B16" s="19"/>
      <c r="C16" s="31"/>
      <c r="D16" s="15"/>
      <c r="E16" s="12"/>
      <c r="F16" s="12"/>
      <c r="G16" s="15"/>
      <c r="H16" s="17"/>
      <c r="I16" s="17"/>
      <c r="J16" s="4"/>
    </row>
    <row r="17" spans="2:10" x14ac:dyDescent="0.2">
      <c r="B17" s="19"/>
      <c r="C17" s="31"/>
      <c r="D17" s="15"/>
      <c r="E17" s="12"/>
      <c r="F17" s="47"/>
      <c r="G17" s="15"/>
      <c r="H17" s="17"/>
      <c r="I17" s="17"/>
      <c r="J17" s="4"/>
    </row>
    <row r="18" spans="2:10" x14ac:dyDescent="0.2">
      <c r="B18" s="19"/>
      <c r="C18" s="31"/>
      <c r="D18" s="15"/>
      <c r="E18" s="12"/>
      <c r="F18" s="12"/>
      <c r="G18" s="15"/>
      <c r="H18" s="17"/>
      <c r="I18" s="17"/>
      <c r="J18" s="4"/>
    </row>
    <row r="19" spans="2:10" x14ac:dyDescent="0.2">
      <c r="B19" s="19"/>
      <c r="C19" s="31"/>
      <c r="D19" s="15"/>
      <c r="E19" s="12"/>
      <c r="F19" s="12"/>
      <c r="G19" s="15"/>
      <c r="H19" s="17"/>
      <c r="I19" s="17"/>
      <c r="J19" s="4"/>
    </row>
    <row r="20" spans="2:10" x14ac:dyDescent="0.2">
      <c r="B20" s="19"/>
      <c r="C20" s="31"/>
      <c r="D20" s="15"/>
      <c r="E20" s="12"/>
      <c r="F20" s="47"/>
      <c r="G20" s="15"/>
      <c r="H20" s="17"/>
      <c r="I20" s="17"/>
      <c r="J20" s="4"/>
    </row>
    <row r="21" spans="2:10" x14ac:dyDescent="0.2">
      <c r="B21" s="19"/>
      <c r="C21" s="31"/>
      <c r="D21" s="15"/>
      <c r="E21" s="12"/>
      <c r="F21" s="47"/>
      <c r="G21" s="15"/>
      <c r="H21" s="17"/>
      <c r="I21" s="17"/>
      <c r="J21" s="4"/>
    </row>
    <row r="22" spans="2:10" x14ac:dyDescent="0.2">
      <c r="B22" s="19"/>
      <c r="C22" s="31"/>
      <c r="D22" s="15"/>
      <c r="E22" s="12"/>
      <c r="F22" s="12"/>
      <c r="G22" s="15"/>
      <c r="H22" s="17"/>
      <c r="I22" s="17"/>
      <c r="J22" s="4"/>
    </row>
    <row r="24" spans="2:10" x14ac:dyDescent="0.2">
      <c r="C24" s="16"/>
      <c r="D24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22</vt:i4>
      </vt:variant>
    </vt:vector>
  </HeadingPairs>
  <TitlesOfParts>
    <vt:vector size="31" baseType="lpstr">
      <vt:lpstr>facts</vt:lpstr>
      <vt:lpstr>facts premium</vt:lpstr>
      <vt:lpstr>tax rev</vt:lpstr>
      <vt:lpstr>cashflow 4.88</vt:lpstr>
      <vt:lpstr>cashflow 5.63</vt:lpstr>
      <vt:lpstr>attendance</vt:lpstr>
      <vt:lpstr>elasticity</vt:lpstr>
      <vt:lpstr>chart data</vt:lpstr>
      <vt:lpstr>Chart3</vt:lpstr>
      <vt:lpstr>'facts premium'!DiscRate</vt:lpstr>
      <vt:lpstr>DiscRate</vt:lpstr>
      <vt:lpstr>'facts premium'!discrate2</vt:lpstr>
      <vt:lpstr>discrate2</vt:lpstr>
      <vt:lpstr>'facts premium'!DiscRate3</vt:lpstr>
      <vt:lpstr>DiscRate3</vt:lpstr>
      <vt:lpstr>'facts premium'!DiscRate4</vt:lpstr>
      <vt:lpstr>DiscRate4</vt:lpstr>
      <vt:lpstr>'facts premium'!DiscRate5</vt:lpstr>
      <vt:lpstr>DiscRate5</vt:lpstr>
      <vt:lpstr>'facts premium'!DiscRate6</vt:lpstr>
      <vt:lpstr>DiscRate6</vt:lpstr>
      <vt:lpstr>inflation</vt:lpstr>
      <vt:lpstr>attendance!Print_Area</vt:lpstr>
      <vt:lpstr>'cashflow 4.88'!Print_Area</vt:lpstr>
      <vt:lpstr>'cashflow 5.63'!Print_Area</vt:lpstr>
      <vt:lpstr>tixdr0</vt:lpstr>
      <vt:lpstr>tixdr2</vt:lpstr>
      <vt:lpstr>tixdr3</vt:lpstr>
      <vt:lpstr>tixdr4</vt:lpstr>
      <vt:lpstr>tixdr5</vt:lpstr>
      <vt:lpstr>tixdr6</vt:lpstr>
    </vt:vector>
  </TitlesOfParts>
  <Company>Fair, Isaac and Company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Fair, Isaac and Company Inc.</dc:creator>
  <cp:lastModifiedBy>Felienne</cp:lastModifiedBy>
  <cp:lastPrinted>2000-12-03T23:22:17Z</cp:lastPrinted>
  <dcterms:created xsi:type="dcterms:W3CDTF">2000-11-08T00:18:13Z</dcterms:created>
  <dcterms:modified xsi:type="dcterms:W3CDTF">2014-09-04T16:26:33Z</dcterms:modified>
</cp:coreProperties>
</file>