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9420" windowHeight="5055" activeTab="4"/>
  </bookViews>
  <sheets>
    <sheet name="Inputs" sheetId="1" r:id="rId1"/>
    <sheet name="Safeway" sheetId="2" r:id="rId2"/>
    <sheet name="Vons" sheetId="3" r:id="rId3"/>
    <sheet name="Cmn-Sized" sheetId="4" r:id="rId4"/>
    <sheet name="Additional Calculations" sheetId="5" r:id="rId5"/>
    <sheet name="DCF" sheetId="6" r:id="rId6"/>
    <sheet name="Trading Comps" sheetId="7" r:id="rId7"/>
    <sheet name="Deal Comps" sheetId="8" r:id="rId8"/>
    <sheet name="Purchase" sheetId="9" r:id="rId9"/>
    <sheet name="EPS Accretion" sheetId="10" r:id="rId10"/>
  </sheets>
  <definedNames>
    <definedName name="_xlnm.Print_Area" localSheetId="3">'Cmn-Sized'!$B$1:$R$60</definedName>
    <definedName name="_xlnm.Print_Area" localSheetId="5">DCF!$A$1:$N$91</definedName>
    <definedName name="_xlnm.Print_Area" localSheetId="7">'Deal Comps'!$B$1:$L$29</definedName>
    <definedName name="_xlnm.Print_Area" localSheetId="9">'EPS Accretion'!$B$1:$K$60</definedName>
    <definedName name="_xlnm.Print_Area" localSheetId="0">Inputs!$A$1:$L$57</definedName>
    <definedName name="_xlnm.Print_Area" localSheetId="8">Purchase!$B$1:$N$63</definedName>
    <definedName name="_xlnm.Print_Area" localSheetId="1">Safeway!$A$1:$H$75</definedName>
    <definedName name="_xlnm.Print_Area" localSheetId="6">'Trading Comps'!$B$1:$R$34</definedName>
    <definedName name="_xlnm.Print_Area" localSheetId="2">Vons!$A$1:$I$79</definedName>
  </definedNames>
  <calcPr calcId="152511"/>
</workbook>
</file>

<file path=xl/calcChain.xml><?xml version="1.0" encoding="utf-8"?>
<calcChain xmlns="http://schemas.openxmlformats.org/spreadsheetml/2006/main">
  <c r="C32" i="6" l="1"/>
  <c r="C35" i="6"/>
  <c r="F4" i="5"/>
  <c r="G4" i="5" s="1"/>
  <c r="H4" i="5" s="1"/>
  <c r="I4" i="5" s="1"/>
  <c r="J4" i="5" s="1"/>
  <c r="K4" i="5" s="1"/>
  <c r="L4" i="5" s="1"/>
  <c r="H7" i="5"/>
  <c r="I7" i="5" s="1"/>
  <c r="J7" i="5" s="1"/>
  <c r="K7" i="5" s="1"/>
  <c r="L7" i="5" s="1"/>
  <c r="D8" i="5"/>
  <c r="E8" i="5"/>
  <c r="F8" i="5" s="1"/>
  <c r="G8" i="5" s="1"/>
  <c r="H8" i="5" s="1"/>
  <c r="D9" i="5"/>
  <c r="C10" i="5"/>
  <c r="B15" i="5"/>
  <c r="C15" i="5"/>
  <c r="D15" i="5"/>
  <c r="B19" i="5"/>
  <c r="C19" i="5"/>
  <c r="B25" i="5"/>
  <c r="C25" i="5"/>
  <c r="D25" i="5"/>
  <c r="E25" i="5"/>
  <c r="N98" i="5"/>
  <c r="O98" i="5" s="1"/>
  <c r="N101" i="5"/>
  <c r="N111" i="5"/>
  <c r="N112" i="5"/>
  <c r="O112" i="5" s="1"/>
  <c r="N113" i="5"/>
  <c r="O113" i="5" s="1"/>
  <c r="N114" i="5"/>
  <c r="O114" i="5" s="1"/>
  <c r="O115" i="5"/>
  <c r="B2" i="4"/>
  <c r="H30" i="4"/>
  <c r="I30" i="4" s="1"/>
  <c r="J30" i="4" s="1"/>
  <c r="K30" i="4" s="1"/>
  <c r="L30" i="4" s="1"/>
  <c r="M30" i="4" s="1"/>
  <c r="N30" i="4" s="1"/>
  <c r="O30" i="4" s="1"/>
  <c r="P30" i="4" s="1"/>
  <c r="Q30" i="4" s="1"/>
  <c r="R30" i="4" s="1"/>
  <c r="G36" i="4"/>
  <c r="H36" i="4"/>
  <c r="I36" i="4"/>
  <c r="J36" i="4"/>
  <c r="K36" i="4"/>
  <c r="L36" i="4"/>
  <c r="M36" i="4"/>
  <c r="N36" i="4"/>
  <c r="O36" i="4"/>
  <c r="P36" i="4"/>
  <c r="Q36" i="4"/>
  <c r="R36" i="4"/>
  <c r="J41" i="4"/>
  <c r="H45" i="4"/>
  <c r="A2" i="6"/>
  <c r="B6" i="6"/>
  <c r="C6" i="6" s="1"/>
  <c r="E6" i="6" s="1"/>
  <c r="B7" i="6"/>
  <c r="C7" i="6"/>
  <c r="B9" i="6"/>
  <c r="C9" i="6"/>
  <c r="B12" i="6"/>
  <c r="C12" i="6"/>
  <c r="F12" i="6"/>
  <c r="B14" i="6"/>
  <c r="C14" i="6"/>
  <c r="B16" i="6"/>
  <c r="C16" i="6"/>
  <c r="B21" i="6"/>
  <c r="C21" i="6"/>
  <c r="B26" i="6"/>
  <c r="C26" i="6"/>
  <c r="B28" i="6"/>
  <c r="C28" i="6"/>
  <c r="E39" i="6"/>
  <c r="A43" i="6"/>
  <c r="B46" i="6"/>
  <c r="C46" i="6"/>
  <c r="E46" i="6"/>
  <c r="F46" i="6"/>
  <c r="G46" i="6"/>
  <c r="H46" i="6"/>
  <c r="I46" i="6"/>
  <c r="J46" i="6"/>
  <c r="K46" i="6"/>
  <c r="L46" i="6"/>
  <c r="M46" i="6"/>
  <c r="N46" i="6"/>
  <c r="B47" i="6"/>
  <c r="C47" i="6"/>
  <c r="B48" i="6"/>
  <c r="B53" i="6" s="1"/>
  <c r="C48" i="6"/>
  <c r="B49" i="6"/>
  <c r="C49" i="6"/>
  <c r="B50" i="6"/>
  <c r="C50" i="6"/>
  <c r="B51" i="6"/>
  <c r="C51" i="6"/>
  <c r="B52" i="6"/>
  <c r="C52" i="6"/>
  <c r="B54" i="6"/>
  <c r="C54" i="6"/>
  <c r="B55" i="6"/>
  <c r="C55" i="6"/>
  <c r="E55" i="6" s="1"/>
  <c r="B56" i="6"/>
  <c r="C56" i="6"/>
  <c r="B59" i="6"/>
  <c r="B61" i="6" s="1"/>
  <c r="C59" i="6"/>
  <c r="B60" i="6"/>
  <c r="C60" i="6"/>
  <c r="C61" i="6" s="1"/>
  <c r="B62" i="6"/>
  <c r="C62" i="6"/>
  <c r="B63" i="6"/>
  <c r="C63" i="6"/>
  <c r="B64" i="6"/>
  <c r="C64" i="6"/>
  <c r="B65" i="6"/>
  <c r="C65" i="6"/>
  <c r="E65" i="6" s="1"/>
  <c r="F65" i="6" s="1"/>
  <c r="G65" i="6" s="1"/>
  <c r="H65" i="6"/>
  <c r="I65" i="6"/>
  <c r="J65" i="6" s="1"/>
  <c r="K65" i="6" s="1"/>
  <c r="L65" i="6" s="1"/>
  <c r="M65" i="6" s="1"/>
  <c r="N65" i="6" s="1"/>
  <c r="B68" i="6"/>
  <c r="C68" i="6"/>
  <c r="C78" i="6"/>
  <c r="A93" i="6"/>
  <c r="B2" i="8"/>
  <c r="B2" i="10"/>
  <c r="B4" i="10"/>
  <c r="G7" i="10"/>
  <c r="H7" i="10"/>
  <c r="I7" i="10" s="1"/>
  <c r="J7" i="10" s="1"/>
  <c r="K7" i="10" s="1"/>
  <c r="B10" i="10"/>
  <c r="B35" i="10" s="1"/>
  <c r="G10" i="10"/>
  <c r="G11" i="10"/>
  <c r="H11" i="10" s="1"/>
  <c r="G12" i="10"/>
  <c r="H12" i="10"/>
  <c r="H10" i="10" s="1"/>
  <c r="I12" i="10"/>
  <c r="J12" i="10" s="1"/>
  <c r="B14" i="10"/>
  <c r="B39" i="10" s="1"/>
  <c r="G18" i="10"/>
  <c r="G43" i="10" s="1"/>
  <c r="G55" i="10" s="1"/>
  <c r="B23" i="10"/>
  <c r="G28" i="10"/>
  <c r="H28" i="10"/>
  <c r="H29" i="10" s="1"/>
  <c r="H26" i="1" s="1"/>
  <c r="G29" i="10"/>
  <c r="G26" i="1" s="1"/>
  <c r="G32" i="10"/>
  <c r="H32" i="10" s="1"/>
  <c r="I32" i="10" s="1"/>
  <c r="J32" i="10" s="1"/>
  <c r="K32" i="10" s="1"/>
  <c r="G35" i="10"/>
  <c r="G36" i="10"/>
  <c r="H36" i="10" s="1"/>
  <c r="G37" i="10"/>
  <c r="G59" i="10" s="1"/>
  <c r="G60" i="10" s="1"/>
  <c r="H43" i="10"/>
  <c r="I43" i="10" s="1"/>
  <c r="J43" i="10" s="1"/>
  <c r="K43" i="10" s="1"/>
  <c r="G50" i="10"/>
  <c r="H50" i="10" s="1"/>
  <c r="I50" i="10"/>
  <c r="J50" i="10" s="1"/>
  <c r="K50" i="10" s="1"/>
  <c r="B54" i="10"/>
  <c r="G18" i="1"/>
  <c r="H18" i="1" s="1"/>
  <c r="I18" i="1" s="1"/>
  <c r="J18" i="1" s="1"/>
  <c r="K18" i="1" s="1"/>
  <c r="E20" i="1"/>
  <c r="K32" i="1"/>
  <c r="K36" i="1" s="1"/>
  <c r="K41" i="1" s="1"/>
  <c r="K37" i="1"/>
  <c r="K39" i="1"/>
  <c r="K40" i="1"/>
  <c r="K42" i="1" s="1"/>
  <c r="K50" i="1" s="1"/>
  <c r="I17" i="9" s="1"/>
  <c r="K45" i="1"/>
  <c r="I12" i="9" s="1"/>
  <c r="I15" i="9" s="1"/>
  <c r="I20" i="9" s="1"/>
  <c r="K46" i="1"/>
  <c r="K47" i="1"/>
  <c r="I29" i="9" s="1"/>
  <c r="I34" i="9" s="1"/>
  <c r="K48" i="1"/>
  <c r="F51" i="1"/>
  <c r="F55" i="1"/>
  <c r="B2" i="9"/>
  <c r="B4" i="9"/>
  <c r="D7" i="9"/>
  <c r="F7" i="9"/>
  <c r="D10" i="9"/>
  <c r="F10" i="9"/>
  <c r="L10" i="9"/>
  <c r="N10" i="9" s="1"/>
  <c r="D11" i="9"/>
  <c r="L11" i="9" s="1"/>
  <c r="F11" i="9"/>
  <c r="D12" i="9"/>
  <c r="F12" i="9"/>
  <c r="D13" i="9"/>
  <c r="F13" i="9"/>
  <c r="F15" i="9" s="1"/>
  <c r="F20" i="9" s="1"/>
  <c r="D14" i="9"/>
  <c r="F14" i="9"/>
  <c r="L14" i="9"/>
  <c r="N14" i="9" s="1"/>
  <c r="D16" i="9"/>
  <c r="F16" i="9"/>
  <c r="L16" i="9"/>
  <c r="N16" i="9" s="1"/>
  <c r="D17" i="9"/>
  <c r="L17" i="9" s="1"/>
  <c r="N17" i="9" s="1"/>
  <c r="F17" i="9"/>
  <c r="D18" i="9"/>
  <c r="L18" i="9" s="1"/>
  <c r="N18" i="9" s="1"/>
  <c r="H18" i="9"/>
  <c r="H20" i="9" s="1"/>
  <c r="F19" i="9"/>
  <c r="I19" i="9"/>
  <c r="J20" i="9"/>
  <c r="D24" i="9"/>
  <c r="F24" i="9"/>
  <c r="L24" i="9"/>
  <c r="L27" i="9" s="1"/>
  <c r="N24" i="9"/>
  <c r="F25" i="9"/>
  <c r="D26" i="9"/>
  <c r="L26" i="9" s="1"/>
  <c r="N26" i="9" s="1"/>
  <c r="F26" i="9"/>
  <c r="F27" i="9"/>
  <c r="D28" i="9"/>
  <c r="L28" i="9" s="1"/>
  <c r="N28" i="9" s="1"/>
  <c r="F28" i="9"/>
  <c r="D29" i="9"/>
  <c r="L29" i="9" s="1"/>
  <c r="N29" i="9" s="1"/>
  <c r="F29" i="9"/>
  <c r="D30" i="9"/>
  <c r="L30" i="9" s="1"/>
  <c r="N30" i="9" s="1"/>
  <c r="F30" i="9"/>
  <c r="I30" i="9"/>
  <c r="D31" i="9"/>
  <c r="F31" i="9"/>
  <c r="L31" i="9"/>
  <c r="N31" i="9"/>
  <c r="D32" i="9"/>
  <c r="M32" i="9"/>
  <c r="M34" i="9" s="1"/>
  <c r="D33" i="9"/>
  <c r="F33" i="9"/>
  <c r="L33" i="9" s="1"/>
  <c r="I33" i="9"/>
  <c r="I36" i="9" s="1"/>
  <c r="J33" i="9"/>
  <c r="M33" i="9"/>
  <c r="H34" i="9"/>
  <c r="J34" i="9"/>
  <c r="D36" i="9"/>
  <c r="L36" i="9" s="1"/>
  <c r="N36" i="9" s="1"/>
  <c r="F36" i="9"/>
  <c r="J36" i="9"/>
  <c r="M36" i="9"/>
  <c r="D37" i="9"/>
  <c r="D40" i="9"/>
  <c r="F40" i="9"/>
  <c r="H40" i="9"/>
  <c r="I40" i="9"/>
  <c r="J40" i="9"/>
  <c r="L40" i="9"/>
  <c r="M40" i="9"/>
  <c r="N40" i="9"/>
  <c r="D42" i="9"/>
  <c r="F42" i="9"/>
  <c r="L42" i="9"/>
  <c r="D45" i="9"/>
  <c r="F45" i="9"/>
  <c r="L45" i="9"/>
  <c r="D46" i="9"/>
  <c r="D47" i="9"/>
  <c r="F47" i="9"/>
  <c r="L47" i="9"/>
  <c r="N47" i="9" s="1"/>
  <c r="D48" i="9"/>
  <c r="L48" i="9" s="1"/>
  <c r="N48" i="9" s="1"/>
  <c r="F48" i="9"/>
  <c r="I48" i="9"/>
  <c r="I50" i="9" s="1"/>
  <c r="I52" i="9" s="1"/>
  <c r="D49" i="9"/>
  <c r="D50" i="9" s="1"/>
  <c r="D52" i="9" s="1"/>
  <c r="F49" i="9"/>
  <c r="D55" i="9"/>
  <c r="F55" i="9"/>
  <c r="L55" i="9"/>
  <c r="D56" i="9"/>
  <c r="L56" i="9" s="1"/>
  <c r="N56" i="9" s="1"/>
  <c r="H56" i="9"/>
  <c r="D57" i="9"/>
  <c r="L57" i="9"/>
  <c r="N57" i="9" s="1"/>
  <c r="H59" i="9"/>
  <c r="H60" i="9" s="1"/>
  <c r="D60" i="9"/>
  <c r="L60" i="9" s="1"/>
  <c r="F60" i="9"/>
  <c r="I60" i="9"/>
  <c r="A1" i="2"/>
  <c r="B5" i="2"/>
  <c r="D5" i="2" s="1"/>
  <c r="C8" i="2"/>
  <c r="E8" i="2"/>
  <c r="G8" i="2"/>
  <c r="C9" i="2"/>
  <c r="E9" i="2"/>
  <c r="G9" i="2"/>
  <c r="C10" i="2"/>
  <c r="E10" i="2"/>
  <c r="G10" i="2"/>
  <c r="C11" i="2"/>
  <c r="E11" i="2"/>
  <c r="G11" i="2"/>
  <c r="C12" i="2"/>
  <c r="E12" i="2"/>
  <c r="G12" i="2"/>
  <c r="B13" i="2"/>
  <c r="C13" i="2"/>
  <c r="D13" i="2"/>
  <c r="D18" i="2" s="1"/>
  <c r="E18" i="2" s="1"/>
  <c r="F13" i="2"/>
  <c r="F18" i="2" s="1"/>
  <c r="G18" i="2" s="1"/>
  <c r="G13" i="2"/>
  <c r="C14" i="2"/>
  <c r="E14" i="2"/>
  <c r="G14" i="2"/>
  <c r="C15" i="2"/>
  <c r="E15" i="2"/>
  <c r="G15" i="2"/>
  <c r="C16" i="2"/>
  <c r="E16" i="2"/>
  <c r="G16" i="2"/>
  <c r="B17" i="2"/>
  <c r="D19" i="9" s="1"/>
  <c r="L19" i="9" s="1"/>
  <c r="N19" i="9" s="1"/>
  <c r="C17" i="2"/>
  <c r="D17" i="2"/>
  <c r="E17" i="2"/>
  <c r="G17" i="2"/>
  <c r="B18" i="2"/>
  <c r="C18" i="2"/>
  <c r="C22" i="2"/>
  <c r="E22" i="2"/>
  <c r="G22" i="2"/>
  <c r="B23" i="2"/>
  <c r="D25" i="9" s="1"/>
  <c r="L25" i="9" s="1"/>
  <c r="N25" i="9" s="1"/>
  <c r="C23" i="2"/>
  <c r="D23" i="2"/>
  <c r="E23" i="2"/>
  <c r="F23" i="2"/>
  <c r="F25" i="2" s="1"/>
  <c r="G23" i="2"/>
  <c r="B24" i="2"/>
  <c r="C24" i="2"/>
  <c r="D24" i="2"/>
  <c r="E24" i="2"/>
  <c r="G24" i="2"/>
  <c r="D25" i="2"/>
  <c r="E25" i="2" s="1"/>
  <c r="C26" i="2"/>
  <c r="E26" i="2"/>
  <c r="G26" i="2"/>
  <c r="C27" i="2"/>
  <c r="E27" i="2"/>
  <c r="G27" i="2"/>
  <c r="C28" i="2"/>
  <c r="E28" i="2"/>
  <c r="G28" i="2"/>
  <c r="C29" i="2"/>
  <c r="E29" i="2"/>
  <c r="F29" i="2"/>
  <c r="G29" i="2"/>
  <c r="C30" i="2"/>
  <c r="E30" i="2"/>
  <c r="F30" i="2"/>
  <c r="G30" i="2"/>
  <c r="C31" i="2"/>
  <c r="E31" i="2"/>
  <c r="G31" i="2"/>
  <c r="C38" i="2"/>
  <c r="E38" i="2"/>
  <c r="G38" i="2"/>
  <c r="C41" i="2"/>
  <c r="E41" i="2"/>
  <c r="G41" i="2"/>
  <c r="C42" i="2"/>
  <c r="E42" i="2"/>
  <c r="G42" i="2"/>
  <c r="C43" i="2"/>
  <c r="E43" i="2"/>
  <c r="G43" i="2"/>
  <c r="C44" i="2"/>
  <c r="E44" i="2"/>
  <c r="G44" i="2"/>
  <c r="C45" i="2"/>
  <c r="E45" i="2"/>
  <c r="G45" i="2"/>
  <c r="B46" i="2"/>
  <c r="B48" i="2" s="1"/>
  <c r="C46" i="2"/>
  <c r="D46" i="2"/>
  <c r="E46" i="2"/>
  <c r="F46" i="2"/>
  <c r="F48" i="2" s="1"/>
  <c r="G46" i="2"/>
  <c r="D48" i="2"/>
  <c r="E48" i="2" s="1"/>
  <c r="D49" i="2"/>
  <c r="C51" i="2"/>
  <c r="E51" i="2"/>
  <c r="G51" i="2"/>
  <c r="C52" i="2"/>
  <c r="E52" i="2"/>
  <c r="G52" i="2"/>
  <c r="C53" i="2"/>
  <c r="E53" i="2"/>
  <c r="G53" i="2"/>
  <c r="C56" i="2"/>
  <c r="E56" i="2"/>
  <c r="G56" i="2"/>
  <c r="A60" i="2"/>
  <c r="B71" i="2"/>
  <c r="D71" i="2"/>
  <c r="F71" i="2"/>
  <c r="B2" i="7"/>
  <c r="B4" i="7"/>
  <c r="A1" i="3"/>
  <c r="H1" i="3"/>
  <c r="B5" i="3"/>
  <c r="D5" i="3"/>
  <c r="G6" i="4" s="1"/>
  <c r="F5" i="3"/>
  <c r="H5" i="3" s="1"/>
  <c r="H35" i="3" s="1"/>
  <c r="H59" i="3" s="1"/>
  <c r="C8" i="3"/>
  <c r="H10" i="4" s="1"/>
  <c r="I10" i="4" s="1"/>
  <c r="E8" i="3"/>
  <c r="G10" i="4" s="1"/>
  <c r="G8" i="3"/>
  <c r="I8" i="3"/>
  <c r="C9" i="3"/>
  <c r="H11" i="4" s="1"/>
  <c r="I11" i="4" s="1"/>
  <c r="E9" i="3"/>
  <c r="G11" i="4" s="1"/>
  <c r="G9" i="3"/>
  <c r="I9" i="3"/>
  <c r="C10" i="3"/>
  <c r="H12" i="4" s="1"/>
  <c r="I12" i="4" s="1"/>
  <c r="E10" i="3"/>
  <c r="G12" i="4" s="1"/>
  <c r="G10" i="3"/>
  <c r="I10" i="3"/>
  <c r="C11" i="3"/>
  <c r="H13" i="4" s="1"/>
  <c r="I13" i="4" s="1"/>
  <c r="E11" i="3"/>
  <c r="G13" i="4" s="1"/>
  <c r="G11" i="3"/>
  <c r="I11" i="3"/>
  <c r="C12" i="3"/>
  <c r="H14" i="4" s="1"/>
  <c r="E12" i="3"/>
  <c r="G14" i="4" s="1"/>
  <c r="I14" i="4" s="1"/>
  <c r="G12" i="3"/>
  <c r="I12" i="3"/>
  <c r="B13" i="3"/>
  <c r="C13" i="3"/>
  <c r="H15" i="4" s="1"/>
  <c r="D13" i="3"/>
  <c r="E13" i="3" s="1"/>
  <c r="G15" i="4" s="1"/>
  <c r="F13" i="3"/>
  <c r="F17" i="3" s="1"/>
  <c r="G13" i="3"/>
  <c r="H13" i="3"/>
  <c r="H17" i="3" s="1"/>
  <c r="C14" i="3"/>
  <c r="H16" i="4" s="1"/>
  <c r="I16" i="4" s="1"/>
  <c r="E14" i="3"/>
  <c r="G16" i="4" s="1"/>
  <c r="G14" i="3"/>
  <c r="I14" i="3"/>
  <c r="C15" i="3"/>
  <c r="H17" i="4" s="1"/>
  <c r="E15" i="3"/>
  <c r="G17" i="4" s="1"/>
  <c r="G15" i="3"/>
  <c r="I15" i="3"/>
  <c r="C16" i="3"/>
  <c r="H18" i="4" s="1"/>
  <c r="I18" i="4" s="1"/>
  <c r="E16" i="3"/>
  <c r="G18" i="4" s="1"/>
  <c r="G16" i="3"/>
  <c r="I16" i="3"/>
  <c r="B17" i="3"/>
  <c r="E24" i="5" s="1"/>
  <c r="C17" i="3"/>
  <c r="H19" i="4" s="1"/>
  <c r="D17" i="3"/>
  <c r="D24" i="5" s="1"/>
  <c r="C21" i="3"/>
  <c r="H23" i="4" s="1"/>
  <c r="I23" i="4" s="1"/>
  <c r="E21" i="3"/>
  <c r="G23" i="4" s="1"/>
  <c r="G21" i="3"/>
  <c r="I21" i="3"/>
  <c r="C22" i="3"/>
  <c r="H24" i="4" s="1"/>
  <c r="I24" i="4" s="1"/>
  <c r="J24" i="4" s="1"/>
  <c r="E22" i="3"/>
  <c r="G24" i="4" s="1"/>
  <c r="G22" i="3"/>
  <c r="I22" i="3"/>
  <c r="C23" i="3"/>
  <c r="H25" i="4" s="1"/>
  <c r="E23" i="3"/>
  <c r="G25" i="4" s="1"/>
  <c r="G23" i="3"/>
  <c r="I23" i="3"/>
  <c r="B24" i="3"/>
  <c r="C24" i="3"/>
  <c r="H26" i="4" s="1"/>
  <c r="D24" i="3"/>
  <c r="E24" i="3" s="1"/>
  <c r="G26" i="4" s="1"/>
  <c r="F24" i="3"/>
  <c r="F31" i="3" s="1"/>
  <c r="G24" i="3"/>
  <c r="H24" i="3"/>
  <c r="I24" i="3" s="1"/>
  <c r="C25" i="3"/>
  <c r="H27" i="4" s="1"/>
  <c r="I27" i="4" s="1"/>
  <c r="E25" i="3"/>
  <c r="G27" i="4" s="1"/>
  <c r="G25" i="3"/>
  <c r="I25" i="3"/>
  <c r="C26" i="3"/>
  <c r="H28" i="4" s="1"/>
  <c r="I28" i="4" s="1"/>
  <c r="E26" i="3"/>
  <c r="G28" i="4" s="1"/>
  <c r="G26" i="3"/>
  <c r="I26" i="3"/>
  <c r="C27" i="3"/>
  <c r="H29" i="4" s="1"/>
  <c r="I29" i="4" s="1"/>
  <c r="E27" i="3"/>
  <c r="G29" i="4" s="1"/>
  <c r="G27" i="3"/>
  <c r="I27" i="3"/>
  <c r="C28" i="3"/>
  <c r="E28" i="3"/>
  <c r="G30" i="4" s="1"/>
  <c r="G28" i="3"/>
  <c r="I28" i="3"/>
  <c r="B29" i="3"/>
  <c r="C29" i="3"/>
  <c r="H31" i="4" s="1"/>
  <c r="D29" i="3"/>
  <c r="E29" i="3" s="1"/>
  <c r="G31" i="4" s="1"/>
  <c r="F29" i="3"/>
  <c r="C26" i="5" s="1"/>
  <c r="C27" i="5" s="1"/>
  <c r="G29" i="3"/>
  <c r="H29" i="3"/>
  <c r="B26" i="5" s="1"/>
  <c r="B27" i="5" s="1"/>
  <c r="C30" i="3"/>
  <c r="H32" i="4" s="1"/>
  <c r="E30" i="3"/>
  <c r="G32" i="4" s="1"/>
  <c r="G30" i="3"/>
  <c r="I30" i="3"/>
  <c r="B31" i="3"/>
  <c r="C31" i="3"/>
  <c r="H33" i="4" s="1"/>
  <c r="D31" i="3"/>
  <c r="E31" i="3" s="1"/>
  <c r="G33" i="4" s="1"/>
  <c r="B35" i="3"/>
  <c r="D35" i="3"/>
  <c r="D59" i="3" s="1"/>
  <c r="F35" i="3"/>
  <c r="F59" i="3" s="1"/>
  <c r="C37" i="3"/>
  <c r="H38" i="4" s="1"/>
  <c r="E37" i="3"/>
  <c r="G38" i="4" s="1"/>
  <c r="G37" i="3"/>
  <c r="I37" i="3"/>
  <c r="C40" i="3"/>
  <c r="H41" i="4" s="1"/>
  <c r="E40" i="3"/>
  <c r="G41" i="4" s="1"/>
  <c r="G40" i="3"/>
  <c r="I40" i="3"/>
  <c r="B41" i="3"/>
  <c r="C10" i="6" s="1"/>
  <c r="C41" i="3"/>
  <c r="H42" i="4" s="1"/>
  <c r="I42" i="4" s="1"/>
  <c r="D41" i="3"/>
  <c r="B10" i="6" s="1"/>
  <c r="F41" i="3"/>
  <c r="G41" i="3"/>
  <c r="H41" i="3"/>
  <c r="I41" i="3" s="1"/>
  <c r="B42" i="3"/>
  <c r="C42" i="3"/>
  <c r="H43" i="4" s="1"/>
  <c r="D42" i="3"/>
  <c r="B11" i="6" s="1"/>
  <c r="B20" i="6" s="1"/>
  <c r="F42" i="3"/>
  <c r="G42" i="3"/>
  <c r="H42" i="3"/>
  <c r="I42" i="3" s="1"/>
  <c r="C43" i="3"/>
  <c r="H44" i="4" s="1"/>
  <c r="E43" i="3"/>
  <c r="G44" i="4" s="1"/>
  <c r="G43" i="3"/>
  <c r="I43" i="3"/>
  <c r="C44" i="3"/>
  <c r="E44" i="3"/>
  <c r="G44" i="3"/>
  <c r="I44" i="3"/>
  <c r="B45" i="3"/>
  <c r="C45" i="3"/>
  <c r="D45" i="3"/>
  <c r="E45" i="3" s="1"/>
  <c r="G45" i="4" s="1"/>
  <c r="F45" i="3"/>
  <c r="G45" i="3"/>
  <c r="H45" i="3"/>
  <c r="I45" i="3" s="1"/>
  <c r="B47" i="3"/>
  <c r="B48" i="3" s="1"/>
  <c r="B69" i="3" s="1"/>
  <c r="C47" i="3"/>
  <c r="H47" i="4" s="1"/>
  <c r="D47" i="3"/>
  <c r="D48" i="3" s="1"/>
  <c r="D69" i="3" s="1"/>
  <c r="F47" i="3"/>
  <c r="G47" i="3"/>
  <c r="F48" i="3"/>
  <c r="C50" i="3"/>
  <c r="H49" i="4" s="1"/>
  <c r="I49" i="4" s="1"/>
  <c r="J49" i="4" s="1"/>
  <c r="K49" i="4" s="1"/>
  <c r="L49" i="4" s="1"/>
  <c r="M49" i="4" s="1"/>
  <c r="N49" i="4" s="1"/>
  <c r="O49" i="4" s="1"/>
  <c r="P49" i="4" s="1"/>
  <c r="Q49" i="4" s="1"/>
  <c r="R49" i="4" s="1"/>
  <c r="E50" i="3"/>
  <c r="G49" i="4" s="1"/>
  <c r="G50" i="3"/>
  <c r="I50" i="3"/>
  <c r="D52" i="3"/>
  <c r="C14" i="5" s="1"/>
  <c r="F52" i="3"/>
  <c r="D14" i="5" s="1"/>
  <c r="D16" i="5" s="1"/>
  <c r="G52" i="3"/>
  <c r="C53" i="3"/>
  <c r="H52" i="4" s="1"/>
  <c r="E53" i="3"/>
  <c r="G52" i="4" s="1"/>
  <c r="G53" i="3"/>
  <c r="H53" i="3"/>
  <c r="E15" i="5" s="1"/>
  <c r="I53" i="3"/>
  <c r="F54" i="3"/>
  <c r="F61" i="3" s="1"/>
  <c r="G54" i="3"/>
  <c r="A57" i="3"/>
  <c r="B59" i="3"/>
  <c r="B62" i="3"/>
  <c r="B64" i="3"/>
  <c r="B68" i="3"/>
  <c r="D68" i="3"/>
  <c r="F68" i="3"/>
  <c r="H75" i="3"/>
  <c r="F72" i="3" s="1"/>
  <c r="F75" i="3" s="1"/>
  <c r="D72" i="3" s="1"/>
  <c r="D75" i="3" s="1"/>
  <c r="B72" i="3" s="1"/>
  <c r="B75" i="3" s="1"/>
  <c r="B78" i="3"/>
  <c r="B79" i="3" s="1"/>
  <c r="B24" i="5" l="1"/>
  <c r="I17" i="3"/>
  <c r="C48" i="2"/>
  <c r="B55" i="2"/>
  <c r="B49" i="2"/>
  <c r="B72" i="2" s="1"/>
  <c r="D53" i="9"/>
  <c r="D59" i="9"/>
  <c r="D61" i="9" s="1"/>
  <c r="F62" i="3"/>
  <c r="G31" i="3"/>
  <c r="J12" i="4"/>
  <c r="G20" i="10"/>
  <c r="I53" i="9"/>
  <c r="I59" i="9"/>
  <c r="I61" i="9" s="1"/>
  <c r="F50" i="9"/>
  <c r="N11" i="9"/>
  <c r="L55" i="1"/>
  <c r="G25" i="1"/>
  <c r="F63" i="3"/>
  <c r="C24" i="5"/>
  <c r="G17" i="3"/>
  <c r="F5" i="2"/>
  <c r="D36" i="2"/>
  <c r="I36" i="10"/>
  <c r="H55" i="10"/>
  <c r="L52" i="9"/>
  <c r="N27" i="9"/>
  <c r="N34" i="9" s="1"/>
  <c r="K12" i="10"/>
  <c r="J28" i="10"/>
  <c r="J29" i="10" s="1"/>
  <c r="J26" i="1" s="1"/>
  <c r="G48" i="2"/>
  <c r="F49" i="2"/>
  <c r="F72" i="2" s="1"/>
  <c r="F55" i="2"/>
  <c r="L34" i="9"/>
  <c r="G25" i="2"/>
  <c r="F32" i="2"/>
  <c r="F52" i="9"/>
  <c r="H35" i="10"/>
  <c r="L50" i="9"/>
  <c r="N33" i="9"/>
  <c r="N37" i="9" s="1"/>
  <c r="N38" i="9" s="1"/>
  <c r="L54" i="1" s="1"/>
  <c r="L37" i="9"/>
  <c r="L38" i="9" s="1"/>
  <c r="H47" i="3"/>
  <c r="B28" i="5"/>
  <c r="H31" i="3"/>
  <c r="J42" i="4"/>
  <c r="B52" i="3"/>
  <c r="C20" i="5"/>
  <c r="C21" i="5" s="1"/>
  <c r="D21" i="5" s="1"/>
  <c r="C11" i="6"/>
  <c r="C20" i="6" s="1"/>
  <c r="E26" i="5"/>
  <c r="E27" i="5" s="1"/>
  <c r="E28" i="5" s="1"/>
  <c r="C66" i="6"/>
  <c r="J29" i="4"/>
  <c r="K24" i="4"/>
  <c r="J16" i="4"/>
  <c r="J13" i="4"/>
  <c r="D32" i="2"/>
  <c r="D64" i="3"/>
  <c r="D62" i="3"/>
  <c r="D54" i="3"/>
  <c r="I29" i="3"/>
  <c r="E17" i="3"/>
  <c r="G19" i="4" s="1"/>
  <c r="I13" i="3"/>
  <c r="E13" i="2"/>
  <c r="L49" i="9"/>
  <c r="N49" i="9" s="1"/>
  <c r="N45" i="9"/>
  <c r="N50" i="9" s="1"/>
  <c r="D27" i="9"/>
  <c r="D34" i="9" s="1"/>
  <c r="G24" i="10"/>
  <c r="H18" i="10"/>
  <c r="I18" i="10" s="1"/>
  <c r="J18" i="10" s="1"/>
  <c r="K18" i="10" s="1"/>
  <c r="L13" i="9"/>
  <c r="N13" i="9" s="1"/>
  <c r="C28" i="5"/>
  <c r="J23" i="4"/>
  <c r="I26" i="4"/>
  <c r="B36" i="2"/>
  <c r="B62" i="2" s="1"/>
  <c r="B25" i="2"/>
  <c r="H61" i="9"/>
  <c r="G21" i="10" s="1"/>
  <c r="D15" i="9"/>
  <c r="D20" i="9" s="1"/>
  <c r="I28" i="10"/>
  <c r="I29" i="10" s="1"/>
  <c r="I26" i="1" s="1"/>
  <c r="C67" i="6"/>
  <c r="C69" i="6" s="1"/>
  <c r="J28" i="4"/>
  <c r="I15" i="4"/>
  <c r="J10" i="4"/>
  <c r="E52" i="3"/>
  <c r="G51" i="4" s="1"/>
  <c r="E47" i="3"/>
  <c r="G47" i="4" s="1"/>
  <c r="E42" i="3"/>
  <c r="G43" i="4" s="1"/>
  <c r="E41" i="3"/>
  <c r="G42" i="4" s="1"/>
  <c r="D55" i="2"/>
  <c r="M55" i="9"/>
  <c r="M59" i="9" s="1"/>
  <c r="N42" i="9"/>
  <c r="N52" i="9" s="1"/>
  <c r="F37" i="9"/>
  <c r="I11" i="10"/>
  <c r="B20" i="5"/>
  <c r="B21" i="5" s="1"/>
  <c r="B8" i="6"/>
  <c r="B13" i="6" s="1"/>
  <c r="B15" i="6" s="1"/>
  <c r="D26" i="5"/>
  <c r="D27" i="5" s="1"/>
  <c r="D28" i="5" s="1"/>
  <c r="B66" i="6"/>
  <c r="B67" i="6" s="1"/>
  <c r="B69" i="6" s="1"/>
  <c r="F50" i="1"/>
  <c r="F52" i="1" s="1"/>
  <c r="F54" i="1"/>
  <c r="F56" i="1" s="1"/>
  <c r="H6" i="4"/>
  <c r="G35" i="4"/>
  <c r="F46" i="9"/>
  <c r="L46" i="9" s="1"/>
  <c r="N46" i="9" s="1"/>
  <c r="L12" i="9"/>
  <c r="N12" i="9" s="1"/>
  <c r="N15" i="9" s="1"/>
  <c r="N20" i="9" s="1"/>
  <c r="C53" i="6"/>
  <c r="C57" i="6" s="1"/>
  <c r="J14" i="4"/>
  <c r="J27" i="4"/>
  <c r="J18" i="4"/>
  <c r="J11" i="4"/>
  <c r="F32" i="9"/>
  <c r="L32" i="9" s="1"/>
  <c r="N32" i="9" s="1"/>
  <c r="I10" i="10"/>
  <c r="N107" i="5"/>
  <c r="N100" i="5"/>
  <c r="N108" i="5"/>
  <c r="O101" i="5"/>
  <c r="O111" i="5" s="1"/>
  <c r="N109" i="5"/>
  <c r="O109" i="5" s="1"/>
  <c r="N110" i="5"/>
  <c r="N105" i="5"/>
  <c r="B57" i="6"/>
  <c r="F6" i="6"/>
  <c r="E47" i="6"/>
  <c r="C16" i="5"/>
  <c r="F55" i="6"/>
  <c r="B18" i="6"/>
  <c r="K41" i="4"/>
  <c r="G12" i="6"/>
  <c r="B5" i="5"/>
  <c r="E9" i="5"/>
  <c r="D10" i="5"/>
  <c r="I8" i="5"/>
  <c r="J8" i="5" s="1"/>
  <c r="K8" i="5" s="1"/>
  <c r="L8" i="5" s="1"/>
  <c r="K13" i="4" l="1"/>
  <c r="N59" i="9"/>
  <c r="N53" i="9"/>
  <c r="O107" i="5"/>
  <c r="L41" i="4"/>
  <c r="K27" i="4"/>
  <c r="K28" i="4"/>
  <c r="H24" i="10"/>
  <c r="D62" i="2"/>
  <c r="F36" i="2"/>
  <c r="F62" i="2" s="1"/>
  <c r="F9" i="5"/>
  <c r="E10" i="5"/>
  <c r="O105" i="5"/>
  <c r="N117" i="5"/>
  <c r="I35" i="10"/>
  <c r="C8" i="6"/>
  <c r="C13" i="6" s="1"/>
  <c r="C15" i="6" s="1"/>
  <c r="D65" i="2"/>
  <c r="E32" i="2"/>
  <c r="D67" i="2"/>
  <c r="K29" i="4"/>
  <c r="K42" i="4"/>
  <c r="F65" i="2"/>
  <c r="G32" i="2"/>
  <c r="F67" i="2"/>
  <c r="K28" i="10"/>
  <c r="K29" i="10" s="1"/>
  <c r="K26" i="1" s="1"/>
  <c r="G55" i="6"/>
  <c r="O110" i="5"/>
  <c r="I24" i="10"/>
  <c r="J11" i="10"/>
  <c r="J26" i="4"/>
  <c r="K23" i="4"/>
  <c r="C74" i="6"/>
  <c r="H62" i="3"/>
  <c r="I31" i="3"/>
  <c r="H64" i="3"/>
  <c r="F34" i="9"/>
  <c r="F64" i="3"/>
  <c r="F65" i="3" s="1"/>
  <c r="K11" i="4"/>
  <c r="J15" i="4"/>
  <c r="K10" i="4"/>
  <c r="H52" i="3"/>
  <c r="H48" i="3"/>
  <c r="F69" i="3" s="1"/>
  <c r="I47" i="3"/>
  <c r="L53" i="9"/>
  <c r="L59" i="9"/>
  <c r="L61" i="9" s="1"/>
  <c r="G45" i="10"/>
  <c r="H45" i="10" s="1"/>
  <c r="I45" i="10" s="1"/>
  <c r="J45" i="10" s="1"/>
  <c r="K45" i="10" s="1"/>
  <c r="H20" i="10"/>
  <c r="I20" i="10" s="1"/>
  <c r="J20" i="10" s="1"/>
  <c r="K20" i="10" s="1"/>
  <c r="F57" i="2"/>
  <c r="G55" i="2"/>
  <c r="O108" i="5"/>
  <c r="M60" i="9"/>
  <c r="N60" i="9" s="1"/>
  <c r="H21" i="10"/>
  <c r="I21" i="10" s="1"/>
  <c r="J21" i="10" s="1"/>
  <c r="K21" i="10" s="1"/>
  <c r="G46" i="10"/>
  <c r="H46" i="10" s="1"/>
  <c r="I46" i="10" s="1"/>
  <c r="J46" i="10" s="1"/>
  <c r="K46" i="10" s="1"/>
  <c r="E21" i="5"/>
  <c r="N55" i="9"/>
  <c r="H37" i="10"/>
  <c r="H59" i="10" s="1"/>
  <c r="H60" i="10" s="1"/>
  <c r="H25" i="1" s="1"/>
  <c r="D72" i="2"/>
  <c r="H12" i="6"/>
  <c r="O100" i="5"/>
  <c r="N119" i="5"/>
  <c r="K18" i="4"/>
  <c r="B17" i="6"/>
  <c r="B19" i="6" s="1"/>
  <c r="B70" i="6"/>
  <c r="E55" i="2"/>
  <c r="D57" i="2"/>
  <c r="B32" i="2"/>
  <c r="C25" i="2"/>
  <c r="E54" i="3"/>
  <c r="G53" i="4" s="1"/>
  <c r="D70" i="3"/>
  <c r="D61" i="3"/>
  <c r="D63" i="3" s="1"/>
  <c r="D65" i="3" s="1"/>
  <c r="B14" i="5"/>
  <c r="B16" i="5" s="1"/>
  <c r="L10" i="1" s="1"/>
  <c r="D16" i="6" s="1"/>
  <c r="C52" i="3"/>
  <c r="H51" i="4" s="1"/>
  <c r="B54" i="3"/>
  <c r="I55" i="10"/>
  <c r="J36" i="10"/>
  <c r="C55" i="2"/>
  <c r="B57" i="2"/>
  <c r="K14" i="4"/>
  <c r="K16" i="4"/>
  <c r="G6" i="6"/>
  <c r="F47" i="6"/>
  <c r="F59" i="9"/>
  <c r="F61" i="9" s="1"/>
  <c r="F53" i="9"/>
  <c r="L15" i="9"/>
  <c r="L20" i="9" s="1"/>
  <c r="K12" i="4"/>
  <c r="B11" i="5"/>
  <c r="C5" i="5"/>
  <c r="I6" i="4"/>
  <c r="H35" i="4"/>
  <c r="L24" i="4"/>
  <c r="B24" i="6" l="1"/>
  <c r="B29" i="6" s="1"/>
  <c r="B31" i="6" s="1"/>
  <c r="B82" i="6"/>
  <c r="B81" i="6" s="1"/>
  <c r="L23" i="4"/>
  <c r="K26" i="4"/>
  <c r="L29" i="4"/>
  <c r="O117" i="5"/>
  <c r="K36" i="10"/>
  <c r="K55" i="10" s="1"/>
  <c r="J55" i="10"/>
  <c r="L18" i="4"/>
  <c r="J24" i="10"/>
  <c r="K11" i="10"/>
  <c r="J10" i="10"/>
  <c r="G9" i="5"/>
  <c r="F10" i="5"/>
  <c r="L13" i="4"/>
  <c r="D5" i="5"/>
  <c r="C11" i="5"/>
  <c r="E7" i="6" s="1"/>
  <c r="H6" i="6"/>
  <c r="G47" i="6"/>
  <c r="C32" i="2"/>
  <c r="B65" i="2"/>
  <c r="B67" i="2"/>
  <c r="E14" i="5"/>
  <c r="E16" i="5" s="1"/>
  <c r="H54" i="3"/>
  <c r="I52" i="3"/>
  <c r="L16" i="4"/>
  <c r="O119" i="5"/>
  <c r="F73" i="2"/>
  <c r="G57" i="2"/>
  <c r="F64" i="2"/>
  <c r="F66" i="2" s="1"/>
  <c r="F68" i="2" s="1"/>
  <c r="L10" i="4"/>
  <c r="K15" i="4"/>
  <c r="H55" i="6"/>
  <c r="B61" i="3"/>
  <c r="B63" i="3" s="1"/>
  <c r="B65" i="3" s="1"/>
  <c r="C54" i="3"/>
  <c r="H53" i="4" s="1"/>
  <c r="B70" i="3"/>
  <c r="F21" i="5"/>
  <c r="C17" i="6"/>
  <c r="C70" i="6"/>
  <c r="C18" i="6"/>
  <c r="C73" i="6" s="1"/>
  <c r="M41" i="4"/>
  <c r="M24" i="4"/>
  <c r="D64" i="2"/>
  <c r="D66" i="2" s="1"/>
  <c r="D68" i="2" s="1"/>
  <c r="D73" i="2"/>
  <c r="E57" i="2"/>
  <c r="L42" i="4"/>
  <c r="L12" i="4"/>
  <c r="I12" i="6"/>
  <c r="I37" i="10"/>
  <c r="I59" i="10" s="1"/>
  <c r="I60" i="10" s="1"/>
  <c r="I25" i="1" s="1"/>
  <c r="L14" i="4"/>
  <c r="M61" i="9"/>
  <c r="G52" i="10" s="1"/>
  <c r="H52" i="10" s="1"/>
  <c r="I52" i="10" s="1"/>
  <c r="J52" i="10" s="1"/>
  <c r="K52" i="10" s="1"/>
  <c r="B73" i="2"/>
  <c r="C57" i="2"/>
  <c r="B64" i="2"/>
  <c r="L28" i="4"/>
  <c r="L11" i="4"/>
  <c r="N61" i="9"/>
  <c r="J6" i="4"/>
  <c r="I35" i="4"/>
  <c r="L27" i="4"/>
  <c r="M28" i="4" l="1"/>
  <c r="M27" i="4"/>
  <c r="B66" i="2"/>
  <c r="B68" i="2" s="1"/>
  <c r="J12" i="6"/>
  <c r="I55" i="6"/>
  <c r="H9" i="5"/>
  <c r="G10" i="5"/>
  <c r="C19" i="6"/>
  <c r="J35" i="10"/>
  <c r="M13" i="4"/>
  <c r="K6" i="4"/>
  <c r="J35" i="4"/>
  <c r="G21" i="5"/>
  <c r="M16" i="4"/>
  <c r="I6" i="6"/>
  <c r="H47" i="6"/>
  <c r="K24" i="10"/>
  <c r="K10" i="10"/>
  <c r="M12" i="4"/>
  <c r="N24" i="4"/>
  <c r="E9" i="6"/>
  <c r="E60" i="6"/>
  <c r="E28" i="6" s="1"/>
  <c r="E63" i="6"/>
  <c r="E62" i="6"/>
  <c r="I17" i="4"/>
  <c r="I19" i="4" s="1"/>
  <c r="I32" i="4" s="1"/>
  <c r="I33" i="4" s="1"/>
  <c r="E50" i="6"/>
  <c r="D19" i="5"/>
  <c r="E48" i="6"/>
  <c r="E56" i="6"/>
  <c r="E49" i="6"/>
  <c r="E51" i="6"/>
  <c r="E52" i="6"/>
  <c r="E59" i="6"/>
  <c r="E10" i="6"/>
  <c r="G15" i="10" s="1"/>
  <c r="G40" i="10" s="1"/>
  <c r="E64" i="6"/>
  <c r="M29" i="4"/>
  <c r="M10" i="4"/>
  <c r="L15" i="4"/>
  <c r="H61" i="3"/>
  <c r="H63" i="3" s="1"/>
  <c r="H65" i="3" s="1"/>
  <c r="F70" i="3"/>
  <c r="I54" i="3"/>
  <c r="E5" i="5"/>
  <c r="D11" i="5"/>
  <c r="F7" i="6" s="1"/>
  <c r="M11" i="4"/>
  <c r="M14" i="4"/>
  <c r="M42" i="4"/>
  <c r="N41" i="4"/>
  <c r="M18" i="4"/>
  <c r="M23" i="4"/>
  <c r="L26" i="4"/>
  <c r="N11" i="4" l="1"/>
  <c r="N10" i="4"/>
  <c r="M15" i="4"/>
  <c r="N12" i="4"/>
  <c r="N27" i="4"/>
  <c r="F9" i="6"/>
  <c r="F60" i="6"/>
  <c r="F28" i="6" s="1"/>
  <c r="F56" i="6"/>
  <c r="F63" i="6"/>
  <c r="F64" i="6"/>
  <c r="F59" i="6"/>
  <c r="F49" i="6"/>
  <c r="F10" i="6"/>
  <c r="H15" i="10" s="1"/>
  <c r="H40" i="10" s="1"/>
  <c r="J17" i="4"/>
  <c r="J19" i="4" s="1"/>
  <c r="J32" i="4" s="1"/>
  <c r="J33" i="4" s="1"/>
  <c r="E19" i="5"/>
  <c r="F50" i="6"/>
  <c r="F48" i="6"/>
  <c r="F52" i="6"/>
  <c r="F51" i="6"/>
  <c r="F62" i="6"/>
  <c r="F21" i="6"/>
  <c r="E21" i="6"/>
  <c r="K35" i="10"/>
  <c r="I9" i="5"/>
  <c r="H10" i="5"/>
  <c r="O41" i="4"/>
  <c r="F5" i="5"/>
  <c r="E11" i="5"/>
  <c r="G7" i="6" s="1"/>
  <c r="N29" i="4"/>
  <c r="E53" i="6"/>
  <c r="E57" i="6" s="1"/>
  <c r="E78" i="6"/>
  <c r="L6" i="4"/>
  <c r="K35" i="4"/>
  <c r="J55" i="6"/>
  <c r="N28" i="4"/>
  <c r="N42" i="4"/>
  <c r="E22" i="6"/>
  <c r="E54" i="6"/>
  <c r="D20" i="5"/>
  <c r="I44" i="4"/>
  <c r="N13" i="4"/>
  <c r="N23" i="4"/>
  <c r="M26" i="4"/>
  <c r="J6" i="6"/>
  <c r="I47" i="6"/>
  <c r="E27" i="6"/>
  <c r="E61" i="6"/>
  <c r="J37" i="10"/>
  <c r="J59" i="10" s="1"/>
  <c r="J60" i="10" s="1"/>
  <c r="J25" i="1" s="1"/>
  <c r="K12" i="6"/>
  <c r="N14" i="4"/>
  <c r="E26" i="6"/>
  <c r="O24" i="4"/>
  <c r="N16" i="4"/>
  <c r="N18" i="4"/>
  <c r="E23" i="6"/>
  <c r="H21" i="5"/>
  <c r="C24" i="6"/>
  <c r="C29" i="6" s="1"/>
  <c r="C31" i="6" s="1"/>
  <c r="C72" i="6" s="1"/>
  <c r="C75" i="6" s="1"/>
  <c r="C82" i="6"/>
  <c r="C81" i="6" s="1"/>
  <c r="C76" i="6" s="1"/>
  <c r="E25" i="6"/>
  <c r="F25" i="6"/>
  <c r="I21" i="5" l="1"/>
  <c r="P41" i="4"/>
  <c r="O10" i="4"/>
  <c r="N15" i="4"/>
  <c r="O23" i="4"/>
  <c r="N26" i="4"/>
  <c r="O42" i="4"/>
  <c r="L35" i="4"/>
  <c r="M6" i="4"/>
  <c r="P24" i="4"/>
  <c r="O13" i="4"/>
  <c r="F27" i="6"/>
  <c r="F61" i="6"/>
  <c r="O11" i="4"/>
  <c r="F23" i="6"/>
  <c r="E69" i="6"/>
  <c r="E85" i="6"/>
  <c r="E66" i="6"/>
  <c r="E74" i="6" s="1"/>
  <c r="F22" i="6"/>
  <c r="O27" i="4"/>
  <c r="I10" i="5"/>
  <c r="J9" i="5"/>
  <c r="F53" i="6"/>
  <c r="F57" i="6" s="1"/>
  <c r="F78" i="6"/>
  <c r="O14" i="4"/>
  <c r="J47" i="6"/>
  <c r="K6" i="6"/>
  <c r="O28" i="4"/>
  <c r="O29" i="4"/>
  <c r="O12" i="4"/>
  <c r="O18" i="4"/>
  <c r="L12" i="6"/>
  <c r="F26" i="6"/>
  <c r="E11" i="6"/>
  <c r="I43" i="4"/>
  <c r="I45" i="4" s="1"/>
  <c r="I47" i="4" s="1"/>
  <c r="I51" i="4" s="1"/>
  <c r="G60" i="6"/>
  <c r="G28" i="6" s="1"/>
  <c r="G9" i="6"/>
  <c r="G63" i="6"/>
  <c r="G51" i="6"/>
  <c r="G59" i="6"/>
  <c r="G56" i="6"/>
  <c r="G21" i="6" s="1"/>
  <c r="G52" i="6"/>
  <c r="G49" i="6"/>
  <c r="G25" i="6" s="1"/>
  <c r="G64" i="6"/>
  <c r="G48" i="6"/>
  <c r="G50" i="6"/>
  <c r="G62" i="6"/>
  <c r="F19" i="5"/>
  <c r="K17" i="4"/>
  <c r="K19" i="4" s="1"/>
  <c r="K32" i="4" s="1"/>
  <c r="K33" i="4" s="1"/>
  <c r="G10" i="6"/>
  <c r="I15" i="10" s="1"/>
  <c r="I40" i="10" s="1"/>
  <c r="K37" i="10"/>
  <c r="K59" i="10" s="1"/>
  <c r="K60" i="10" s="1"/>
  <c r="K25" i="1" s="1"/>
  <c r="F54" i="6"/>
  <c r="E20" i="5"/>
  <c r="C77" i="6"/>
  <c r="C79" i="6" s="1"/>
  <c r="K55" i="6"/>
  <c r="G5" i="5"/>
  <c r="F11" i="5"/>
  <c r="H7" i="6" s="1"/>
  <c r="J44" i="4"/>
  <c r="O16" i="4"/>
  <c r="L55" i="6" l="1"/>
  <c r="P18" i="4"/>
  <c r="K47" i="6"/>
  <c r="L6" i="6"/>
  <c r="P11" i="4"/>
  <c r="Q24" i="4"/>
  <c r="P23" i="4"/>
  <c r="O26" i="4"/>
  <c r="P12" i="4"/>
  <c r="P27" i="4"/>
  <c r="F67" i="6"/>
  <c r="J21" i="5"/>
  <c r="G54" i="6"/>
  <c r="F20" i="5"/>
  <c r="G27" i="6"/>
  <c r="G61" i="6"/>
  <c r="E20" i="6"/>
  <c r="E30" i="6" s="1"/>
  <c r="E8" i="6"/>
  <c r="E13" i="6" s="1"/>
  <c r="E15" i="6" s="1"/>
  <c r="P14" i="4"/>
  <c r="M35" i="4"/>
  <c r="N6" i="4"/>
  <c r="P10" i="4"/>
  <c r="O15" i="4"/>
  <c r="G23" i="6"/>
  <c r="H9" i="6"/>
  <c r="H60" i="6"/>
  <c r="H28" i="6" s="1"/>
  <c r="H62" i="6"/>
  <c r="H50" i="6"/>
  <c r="H49" i="6"/>
  <c r="H48" i="6"/>
  <c r="H56" i="6"/>
  <c r="G19" i="5"/>
  <c r="H52" i="6"/>
  <c r="H10" i="6"/>
  <c r="J15" i="10" s="1"/>
  <c r="J40" i="10" s="1"/>
  <c r="L17" i="4"/>
  <c r="L19" i="4" s="1"/>
  <c r="L32" i="4" s="1"/>
  <c r="L33" i="4" s="1"/>
  <c r="H51" i="6"/>
  <c r="H59" i="6"/>
  <c r="H63" i="6"/>
  <c r="H23" i="6" s="1"/>
  <c r="H64" i="6"/>
  <c r="F11" i="6"/>
  <c r="J43" i="4"/>
  <c r="J45" i="4" s="1"/>
  <c r="J47" i="4" s="1"/>
  <c r="J51" i="4" s="1"/>
  <c r="H26" i="6"/>
  <c r="M12" i="6"/>
  <c r="P29" i="4"/>
  <c r="F85" i="6"/>
  <c r="F69" i="6"/>
  <c r="F66" i="6"/>
  <c r="F74" i="6" s="1"/>
  <c r="Q41" i="4"/>
  <c r="H5" i="5"/>
  <c r="G11" i="5"/>
  <c r="I7" i="6" s="1"/>
  <c r="G53" i="6"/>
  <c r="G78" i="6"/>
  <c r="K44" i="4"/>
  <c r="G26" i="6"/>
  <c r="E68" i="6"/>
  <c r="P13" i="4"/>
  <c r="P42" i="4"/>
  <c r="G22" i="6"/>
  <c r="P28" i="4"/>
  <c r="K9" i="5"/>
  <c r="J10" i="5"/>
  <c r="E67" i="6"/>
  <c r="P16" i="4"/>
  <c r="Q16" i="4" l="1"/>
  <c r="Q18" i="4"/>
  <c r="M55" i="6"/>
  <c r="L44" i="4"/>
  <c r="P15" i="4"/>
  <c r="Q10" i="4"/>
  <c r="Q27" i="4"/>
  <c r="R24" i="4"/>
  <c r="Q42" i="4"/>
  <c r="G57" i="6"/>
  <c r="F68" i="6"/>
  <c r="F20" i="6"/>
  <c r="F30" i="6" s="1"/>
  <c r="F8" i="6"/>
  <c r="F13" i="6" s="1"/>
  <c r="F15" i="6" s="1"/>
  <c r="H54" i="6"/>
  <c r="G20" i="5"/>
  <c r="N35" i="4"/>
  <c r="O6" i="4"/>
  <c r="K43" i="4"/>
  <c r="K45" i="4" s="1"/>
  <c r="K47" i="4" s="1"/>
  <c r="K51" i="4" s="1"/>
  <c r="G11" i="6"/>
  <c r="H22" i="6"/>
  <c r="Q12" i="4"/>
  <c r="Q11" i="4"/>
  <c r="K10" i="5"/>
  <c r="L9" i="5"/>
  <c r="L10" i="5" s="1"/>
  <c r="Q13" i="4"/>
  <c r="I60" i="6"/>
  <c r="I28" i="6" s="1"/>
  <c r="I9" i="6"/>
  <c r="I48" i="6"/>
  <c r="I59" i="6"/>
  <c r="H19" i="5"/>
  <c r="M17" i="4"/>
  <c r="M19" i="4" s="1"/>
  <c r="M32" i="4" s="1"/>
  <c r="M33" i="4" s="1"/>
  <c r="I56" i="6"/>
  <c r="I50" i="6"/>
  <c r="I64" i="6"/>
  <c r="I63" i="6"/>
  <c r="I52" i="6"/>
  <c r="I26" i="6" s="1"/>
  <c r="I51" i="6"/>
  <c r="I62" i="6"/>
  <c r="I10" i="6"/>
  <c r="K15" i="10" s="1"/>
  <c r="K40" i="10" s="1"/>
  <c r="I49" i="6"/>
  <c r="I25" i="6" s="1"/>
  <c r="H78" i="6"/>
  <c r="H53" i="6"/>
  <c r="M6" i="6"/>
  <c r="L47" i="6"/>
  <c r="H11" i="5"/>
  <c r="J7" i="6" s="1"/>
  <c r="I5" i="5"/>
  <c r="Q29" i="4"/>
  <c r="H27" i="6"/>
  <c r="H61" i="6"/>
  <c r="Q14" i="4"/>
  <c r="K21" i="5"/>
  <c r="H21" i="6"/>
  <c r="Q28" i="4"/>
  <c r="N12" i="6"/>
  <c r="H25" i="6"/>
  <c r="E17" i="6"/>
  <c r="E16" i="6"/>
  <c r="I52" i="4" s="1"/>
  <c r="I53" i="4" s="1"/>
  <c r="E73" i="6"/>
  <c r="P26" i="4"/>
  <c r="Q23" i="4"/>
  <c r="R41" i="4"/>
  <c r="J60" i="6" l="1"/>
  <c r="J28" i="6" s="1"/>
  <c r="J9" i="6"/>
  <c r="J62" i="6"/>
  <c r="J59" i="6"/>
  <c r="J56" i="6"/>
  <c r="N17" i="4"/>
  <c r="N19" i="4" s="1"/>
  <c r="N32" i="4" s="1"/>
  <c r="N33" i="4" s="1"/>
  <c r="J63" i="6"/>
  <c r="J10" i="6"/>
  <c r="J51" i="6"/>
  <c r="J64" i="6"/>
  <c r="J48" i="6"/>
  <c r="J52" i="6"/>
  <c r="I19" i="5"/>
  <c r="J50" i="6"/>
  <c r="J49" i="6"/>
  <c r="J21" i="6"/>
  <c r="R12" i="4"/>
  <c r="R42" i="4"/>
  <c r="R14" i="4"/>
  <c r="L43" i="4"/>
  <c r="L45" i="4" s="1"/>
  <c r="L47" i="4" s="1"/>
  <c r="L51" i="4" s="1"/>
  <c r="H11" i="6"/>
  <c r="R16" i="4"/>
  <c r="I54" i="6"/>
  <c r="H20" i="5"/>
  <c r="R13" i="4"/>
  <c r="I21" i="6"/>
  <c r="R28" i="4"/>
  <c r="I27" i="6"/>
  <c r="I61" i="6"/>
  <c r="F16" i="6"/>
  <c r="J52" i="4" s="1"/>
  <c r="J53" i="4" s="1"/>
  <c r="F17" i="6"/>
  <c r="F73" i="6"/>
  <c r="N55" i="6"/>
  <c r="J25" i="6"/>
  <c r="E19" i="6"/>
  <c r="G14" i="10"/>
  <c r="I53" i="6"/>
  <c r="I78" i="6"/>
  <c r="R27" i="4"/>
  <c r="N6" i="6"/>
  <c r="N47" i="6" s="1"/>
  <c r="M47" i="6"/>
  <c r="M44" i="4"/>
  <c r="G20" i="6"/>
  <c r="G30" i="6" s="1"/>
  <c r="G8" i="6"/>
  <c r="G13" i="6" s="1"/>
  <c r="G15" i="6" s="1"/>
  <c r="R29" i="4"/>
  <c r="H57" i="6"/>
  <c r="I22" i="6"/>
  <c r="R11" i="4"/>
  <c r="G85" i="6"/>
  <c r="G69" i="6"/>
  <c r="G66" i="6"/>
  <c r="Q15" i="4"/>
  <c r="R10" i="4"/>
  <c r="Q26" i="4"/>
  <c r="R23" i="4"/>
  <c r="I23" i="6"/>
  <c r="L21" i="5"/>
  <c r="I11" i="5"/>
  <c r="K7" i="6" s="1"/>
  <c r="J5" i="5"/>
  <c r="J26" i="6"/>
  <c r="P6" i="4"/>
  <c r="O35" i="4"/>
  <c r="R18" i="4"/>
  <c r="K23" i="6" l="1"/>
  <c r="J23" i="6"/>
  <c r="J11" i="5"/>
  <c r="L7" i="6" s="1"/>
  <c r="K5" i="5"/>
  <c r="G16" i="6"/>
  <c r="K52" i="4" s="1"/>
  <c r="K53" i="4" s="1"/>
  <c r="M43" i="4"/>
  <c r="M45" i="4" s="1"/>
  <c r="M47" i="4" s="1"/>
  <c r="M51" i="4" s="1"/>
  <c r="I11" i="6"/>
  <c r="K9" i="6"/>
  <c r="K60" i="6"/>
  <c r="K28" i="6" s="1"/>
  <c r="K48" i="6"/>
  <c r="K56" i="6"/>
  <c r="K59" i="6"/>
  <c r="K63" i="6"/>
  <c r="K52" i="6"/>
  <c r="K64" i="6"/>
  <c r="K51" i="6"/>
  <c r="K49" i="6"/>
  <c r="K50" i="6"/>
  <c r="K26" i="6" s="1"/>
  <c r="O17" i="4"/>
  <c r="O19" i="4" s="1"/>
  <c r="O32" i="4" s="1"/>
  <c r="O33" i="4" s="1"/>
  <c r="K10" i="6"/>
  <c r="K62" i="6"/>
  <c r="J19" i="5"/>
  <c r="K21" i="6"/>
  <c r="I57" i="6"/>
  <c r="M21" i="5"/>
  <c r="G16" i="10"/>
  <c r="G23" i="10" s="1"/>
  <c r="G25" i="10" s="1"/>
  <c r="G27" i="10" s="1"/>
  <c r="G39" i="10"/>
  <c r="G41" i="10" s="1"/>
  <c r="G54" i="10" s="1"/>
  <c r="G56" i="10" s="1"/>
  <c r="G58" i="10" s="1"/>
  <c r="F19" i="6"/>
  <c r="H14" i="10"/>
  <c r="J78" i="6"/>
  <c r="J53" i="6"/>
  <c r="J57" i="6" s="1"/>
  <c r="R15" i="4"/>
  <c r="J54" i="6"/>
  <c r="I20" i="5"/>
  <c r="H69" i="6"/>
  <c r="H85" i="6"/>
  <c r="H66" i="6"/>
  <c r="J27" i="6"/>
  <c r="J61" i="6"/>
  <c r="G74" i="6"/>
  <c r="G67" i="6"/>
  <c r="G68" i="6"/>
  <c r="E24" i="6"/>
  <c r="E29" i="6" s="1"/>
  <c r="E31" i="6" s="1"/>
  <c r="E82" i="6"/>
  <c r="H20" i="6"/>
  <c r="H30" i="6" s="1"/>
  <c r="H8" i="6"/>
  <c r="H13" i="6" s="1"/>
  <c r="H15" i="6" s="1"/>
  <c r="J22" i="6"/>
  <c r="N44" i="4"/>
  <c r="R26" i="4"/>
  <c r="Q6" i="4"/>
  <c r="P35" i="4"/>
  <c r="K54" i="6" l="1"/>
  <c r="J20" i="5"/>
  <c r="G17" i="6"/>
  <c r="E33" i="6"/>
  <c r="E72" i="6"/>
  <c r="E75" i="6" s="1"/>
  <c r="H74" i="6"/>
  <c r="H67" i="6"/>
  <c r="H68" i="6" s="1"/>
  <c r="K27" i="6"/>
  <c r="K61" i="6"/>
  <c r="L21" i="6"/>
  <c r="I20" i="6"/>
  <c r="I30" i="6" s="1"/>
  <c r="I8" i="6"/>
  <c r="I13" i="6" s="1"/>
  <c r="I15" i="6" s="1"/>
  <c r="L5" i="5"/>
  <c r="L11" i="5" s="1"/>
  <c r="N7" i="6" s="1"/>
  <c r="K11" i="5"/>
  <c r="M7" i="6" s="1"/>
  <c r="H16" i="10"/>
  <c r="H23" i="10" s="1"/>
  <c r="H25" i="10" s="1"/>
  <c r="H27" i="10" s="1"/>
  <c r="H39" i="10"/>
  <c r="H41" i="10" s="1"/>
  <c r="H54" i="10" s="1"/>
  <c r="H56" i="10" s="1"/>
  <c r="H58" i="10" s="1"/>
  <c r="L25" i="6"/>
  <c r="H16" i="6"/>
  <c r="L52" i="4" s="1"/>
  <c r="L53" i="4" s="1"/>
  <c r="H17" i="6"/>
  <c r="J11" i="6"/>
  <c r="N43" i="4"/>
  <c r="N45" i="4" s="1"/>
  <c r="N47" i="4" s="1"/>
  <c r="N51" i="4" s="1"/>
  <c r="F24" i="6"/>
  <c r="F29" i="6" s="1"/>
  <c r="F31" i="6" s="1"/>
  <c r="F82" i="6"/>
  <c r="O44" i="4"/>
  <c r="E81" i="6"/>
  <c r="E88" i="6"/>
  <c r="E84" i="6"/>
  <c r="I69" i="6"/>
  <c r="I85" i="6"/>
  <c r="I66" i="6"/>
  <c r="K53" i="6"/>
  <c r="K78" i="6"/>
  <c r="L9" i="6"/>
  <c r="L60" i="6"/>
  <c r="L28" i="6" s="1"/>
  <c r="L59" i="6"/>
  <c r="L56" i="6"/>
  <c r="L10" i="6"/>
  <c r="L50" i="6"/>
  <c r="L48" i="6"/>
  <c r="L49" i="6"/>
  <c r="L64" i="6"/>
  <c r="L22" i="6" s="1"/>
  <c r="P17" i="4"/>
  <c r="P19" i="4" s="1"/>
  <c r="P32" i="4" s="1"/>
  <c r="P33" i="4" s="1"/>
  <c r="L52" i="6"/>
  <c r="L62" i="6"/>
  <c r="K19" i="5"/>
  <c r="L63" i="6"/>
  <c r="L51" i="6"/>
  <c r="L23" i="6" s="1"/>
  <c r="K25" i="6"/>
  <c r="R6" i="4"/>
  <c r="R35" i="4" s="1"/>
  <c r="Q35" i="4"/>
  <c r="J67" i="6"/>
  <c r="K22" i="6"/>
  <c r="G73" i="6"/>
  <c r="J85" i="6"/>
  <c r="J69" i="6"/>
  <c r="J66" i="6"/>
  <c r="K11" i="6" l="1"/>
  <c r="O43" i="4"/>
  <c r="O45" i="4" s="1"/>
  <c r="O47" i="4" s="1"/>
  <c r="O51" i="4" s="1"/>
  <c r="N60" i="6"/>
  <c r="N28" i="6" s="1"/>
  <c r="N9" i="6"/>
  <c r="N59" i="6"/>
  <c r="N48" i="6"/>
  <c r="N56" i="6"/>
  <c r="N51" i="6"/>
  <c r="N62" i="6"/>
  <c r="R17" i="4"/>
  <c r="R19" i="4" s="1"/>
  <c r="R32" i="4" s="1"/>
  <c r="R33" i="4" s="1"/>
  <c r="N10" i="6"/>
  <c r="N52" i="6"/>
  <c r="M19" i="5"/>
  <c r="N50" i="6"/>
  <c r="N63" i="6"/>
  <c r="N64" i="6"/>
  <c r="N49" i="6"/>
  <c r="F81" i="6"/>
  <c r="F84" i="6"/>
  <c r="F88" i="6"/>
  <c r="I16" i="6"/>
  <c r="M52" i="4" s="1"/>
  <c r="M53" i="4" s="1"/>
  <c r="I73" i="6"/>
  <c r="I74" i="6"/>
  <c r="I67" i="6"/>
  <c r="I68" i="6" s="1"/>
  <c r="L78" i="6"/>
  <c r="L53" i="6"/>
  <c r="F33" i="6"/>
  <c r="F72" i="6"/>
  <c r="F75" i="6" s="1"/>
  <c r="L54" i="6"/>
  <c r="K20" i="5"/>
  <c r="E83" i="6"/>
  <c r="E76" i="6"/>
  <c r="E70" i="6" s="1"/>
  <c r="J20" i="6"/>
  <c r="J30" i="6" s="1"/>
  <c r="J8" i="6"/>
  <c r="J13" i="6" s="1"/>
  <c r="J15" i="6" s="1"/>
  <c r="L27" i="6"/>
  <c r="L61" i="6"/>
  <c r="J74" i="6"/>
  <c r="M9" i="6"/>
  <c r="M60" i="6"/>
  <c r="M28" i="6" s="1"/>
  <c r="M50" i="6"/>
  <c r="M56" i="6"/>
  <c r="N21" i="6" s="1"/>
  <c r="M10" i="6"/>
  <c r="M63" i="6"/>
  <c r="M23" i="6" s="1"/>
  <c r="M52" i="6"/>
  <c r="M59" i="6"/>
  <c r="L19" i="5"/>
  <c r="M64" i="6"/>
  <c r="Q17" i="4"/>
  <c r="Q19" i="4" s="1"/>
  <c r="Q32" i="4" s="1"/>
  <c r="Q33" i="4" s="1"/>
  <c r="M48" i="6"/>
  <c r="M62" i="6"/>
  <c r="M49" i="6"/>
  <c r="N25" i="6" s="1"/>
  <c r="M51" i="6"/>
  <c r="E87" i="6"/>
  <c r="E77" i="6"/>
  <c r="E79" i="6" s="1"/>
  <c r="K57" i="6"/>
  <c r="M21" i="6"/>
  <c r="L26" i="6"/>
  <c r="E86" i="6"/>
  <c r="H73" i="6"/>
  <c r="G19" i="6"/>
  <c r="I14" i="10"/>
  <c r="H19" i="6"/>
  <c r="J14" i="10"/>
  <c r="J68" i="6"/>
  <c r="P44" i="4"/>
  <c r="N27" i="6" l="1"/>
  <c r="N61" i="6"/>
  <c r="H24" i="6"/>
  <c r="H29" i="6" s="1"/>
  <c r="H31" i="6" s="1"/>
  <c r="H82" i="6"/>
  <c r="R44" i="4"/>
  <c r="N26" i="6"/>
  <c r="J16" i="6"/>
  <c r="N52" i="4" s="1"/>
  <c r="N53" i="4" s="1"/>
  <c r="J17" i="6"/>
  <c r="J19" i="6" s="1"/>
  <c r="J73" i="6"/>
  <c r="M26" i="6"/>
  <c r="I17" i="6"/>
  <c r="N54" i="6"/>
  <c r="M20" i="5"/>
  <c r="I16" i="10"/>
  <c r="I23" i="10" s="1"/>
  <c r="I25" i="10" s="1"/>
  <c r="I27" i="10" s="1"/>
  <c r="I39" i="10"/>
  <c r="I41" i="10" s="1"/>
  <c r="I54" i="10" s="1"/>
  <c r="I56" i="10" s="1"/>
  <c r="I58" i="10" s="1"/>
  <c r="M53" i="6"/>
  <c r="M57" i="6" s="1"/>
  <c r="M78" i="6"/>
  <c r="M22" i="6"/>
  <c r="F77" i="6"/>
  <c r="F79" i="6" s="1"/>
  <c r="N22" i="6"/>
  <c r="F87" i="6"/>
  <c r="J39" i="10"/>
  <c r="J41" i="10" s="1"/>
  <c r="J54" i="10" s="1"/>
  <c r="J56" i="10" s="1"/>
  <c r="J58" i="10" s="1"/>
  <c r="J16" i="10"/>
  <c r="J23" i="10" s="1"/>
  <c r="J25" i="10" s="1"/>
  <c r="J27" i="10" s="1"/>
  <c r="F83" i="6"/>
  <c r="F76" i="6"/>
  <c r="F70" i="6" s="1"/>
  <c r="G24" i="6"/>
  <c r="G29" i="6" s="1"/>
  <c r="G31" i="6" s="1"/>
  <c r="G82" i="6"/>
  <c r="M54" i="6"/>
  <c r="L20" i="5"/>
  <c r="Q44" i="4"/>
  <c r="M27" i="6"/>
  <c r="M61" i="6"/>
  <c r="L57" i="6"/>
  <c r="N23" i="6"/>
  <c r="F86" i="6"/>
  <c r="N53" i="6"/>
  <c r="N78" i="6"/>
  <c r="K20" i="6"/>
  <c r="K30" i="6" s="1"/>
  <c r="K8" i="6"/>
  <c r="K13" i="6" s="1"/>
  <c r="K15" i="6" s="1"/>
  <c r="L11" i="6"/>
  <c r="P43" i="4"/>
  <c r="P45" i="4" s="1"/>
  <c r="P47" i="4" s="1"/>
  <c r="P51" i="4" s="1"/>
  <c r="M25" i="6"/>
  <c r="K85" i="6"/>
  <c r="K69" i="6"/>
  <c r="K66" i="6"/>
  <c r="K74" i="6" l="1"/>
  <c r="K67" i="6"/>
  <c r="M11" i="6"/>
  <c r="Q43" i="4"/>
  <c r="Q45" i="4" s="1"/>
  <c r="Q47" i="4" s="1"/>
  <c r="Q51" i="4" s="1"/>
  <c r="I19" i="6"/>
  <c r="K14" i="10"/>
  <c r="K68" i="6"/>
  <c r="G86" i="6"/>
  <c r="G81" i="6"/>
  <c r="G84" i="6"/>
  <c r="G88" i="6"/>
  <c r="M69" i="6"/>
  <c r="M68" i="6" s="1"/>
  <c r="M85" i="6"/>
  <c r="M66" i="6"/>
  <c r="H81" i="6"/>
  <c r="H84" i="6"/>
  <c r="H88" i="6"/>
  <c r="G33" i="6"/>
  <c r="G72" i="6"/>
  <c r="G75" i="6" s="1"/>
  <c r="M67" i="6"/>
  <c r="J24" i="6"/>
  <c r="J29" i="6" s="1"/>
  <c r="J31" i="6" s="1"/>
  <c r="J82" i="6"/>
  <c r="N11" i="6"/>
  <c r="R43" i="4"/>
  <c r="R45" i="4" s="1"/>
  <c r="R47" i="4" s="1"/>
  <c r="R51" i="4" s="1"/>
  <c r="N57" i="6"/>
  <c r="L69" i="6"/>
  <c r="L85" i="6"/>
  <c r="L66" i="6"/>
  <c r="H33" i="6"/>
  <c r="H72" i="6"/>
  <c r="H75" i="6" s="1"/>
  <c r="L20" i="6"/>
  <c r="L30" i="6" s="1"/>
  <c r="L8" i="6"/>
  <c r="L13" i="6" s="1"/>
  <c r="L15" i="6" s="1"/>
  <c r="K16" i="6"/>
  <c r="O52" i="4" s="1"/>
  <c r="O53" i="4" s="1"/>
  <c r="H83" i="6" l="1"/>
  <c r="H70" i="6"/>
  <c r="H76" i="6"/>
  <c r="M20" i="6"/>
  <c r="M30" i="6" s="1"/>
  <c r="M8" i="6"/>
  <c r="M13" i="6" s="1"/>
  <c r="M15" i="6" s="1"/>
  <c r="J81" i="6"/>
  <c r="J86" i="6"/>
  <c r="J84" i="6"/>
  <c r="J87" i="6" s="1"/>
  <c r="J88" i="6"/>
  <c r="K17" i="6"/>
  <c r="K19" i="6" s="1"/>
  <c r="K16" i="10"/>
  <c r="K23" i="10" s="1"/>
  <c r="K25" i="10" s="1"/>
  <c r="K27" i="10" s="1"/>
  <c r="K39" i="10"/>
  <c r="K41" i="10" s="1"/>
  <c r="K54" i="10" s="1"/>
  <c r="K56" i="10" s="1"/>
  <c r="K58" i="10" s="1"/>
  <c r="G77" i="6"/>
  <c r="G79" i="6" s="1"/>
  <c r="L16" i="6"/>
  <c r="P52" i="4" s="1"/>
  <c r="P53" i="4" s="1"/>
  <c r="L73" i="6"/>
  <c r="N85" i="6"/>
  <c r="N69" i="6"/>
  <c r="N66" i="6"/>
  <c r="G87" i="6"/>
  <c r="I24" i="6"/>
  <c r="I29" i="6" s="1"/>
  <c r="I31" i="6" s="1"/>
  <c r="I82" i="6"/>
  <c r="H77" i="6"/>
  <c r="H79" i="6" s="1"/>
  <c r="N20" i="6"/>
  <c r="N30" i="6" s="1"/>
  <c r="N8" i="6"/>
  <c r="N13" i="6" s="1"/>
  <c r="H87" i="6"/>
  <c r="G83" i="6"/>
  <c r="G76" i="6"/>
  <c r="G70" i="6" s="1"/>
  <c r="L74" i="6"/>
  <c r="L67" i="6"/>
  <c r="L68" i="6" s="1"/>
  <c r="H86" i="6"/>
  <c r="K73" i="6"/>
  <c r="J33" i="6"/>
  <c r="J72" i="6"/>
  <c r="J75" i="6" s="1"/>
  <c r="M74" i="6"/>
  <c r="N74" i="6" l="1"/>
  <c r="N67" i="6"/>
  <c r="M16" i="6"/>
  <c r="Q52" i="4" s="1"/>
  <c r="Q53" i="4" s="1"/>
  <c r="K24" i="6"/>
  <c r="K29" i="6" s="1"/>
  <c r="K31" i="6" s="1"/>
  <c r="K82" i="6"/>
  <c r="N15" i="6"/>
  <c r="N32" i="6"/>
  <c r="L17" i="6"/>
  <c r="L19" i="6" s="1"/>
  <c r="J76" i="6"/>
  <c r="J70" i="6" s="1"/>
  <c r="J83" i="6"/>
  <c r="I81" i="6"/>
  <c r="I86" i="6"/>
  <c r="I84" i="6"/>
  <c r="I87" i="6" s="1"/>
  <c r="I88" i="6"/>
  <c r="N68" i="6"/>
  <c r="I33" i="6"/>
  <c r="I72" i="6"/>
  <c r="I75" i="6" s="1"/>
  <c r="N16" i="6" l="1"/>
  <c r="R52" i="4" s="1"/>
  <c r="R53" i="4" s="1"/>
  <c r="N73" i="6"/>
  <c r="J77" i="6"/>
  <c r="J79" i="6" s="1"/>
  <c r="L24" i="6"/>
  <c r="L29" i="6" s="1"/>
  <c r="L31" i="6" s="1"/>
  <c r="L82" i="6"/>
  <c r="I83" i="6"/>
  <c r="I76" i="6"/>
  <c r="I70" i="6" s="1"/>
  <c r="K81" i="6"/>
  <c r="K84" i="6"/>
  <c r="K88" i="6"/>
  <c r="M17" i="6"/>
  <c r="M19" i="6" s="1"/>
  <c r="K33" i="6"/>
  <c r="K72" i="6"/>
  <c r="K75" i="6" s="1"/>
  <c r="I77" i="6"/>
  <c r="I79" i="6" s="1"/>
  <c r="M73" i="6"/>
  <c r="K83" i="6" l="1"/>
  <c r="K76" i="6"/>
  <c r="K77" i="6" s="1"/>
  <c r="K79" i="6" s="1"/>
  <c r="K70" i="6"/>
  <c r="N17" i="6"/>
  <c r="N19" i="6" s="1"/>
  <c r="M24" i="6"/>
  <c r="M29" i="6" s="1"/>
  <c r="M31" i="6" s="1"/>
  <c r="M82" i="6"/>
  <c r="L33" i="6"/>
  <c r="L72" i="6"/>
  <c r="L75" i="6" s="1"/>
  <c r="K86" i="6"/>
  <c r="K87" i="6" s="1"/>
  <c r="L81" i="6"/>
  <c r="L84" i="6"/>
  <c r="L88" i="6"/>
  <c r="L83" i="6" l="1"/>
  <c r="L76" i="6"/>
  <c r="L77" i="6" s="1"/>
  <c r="L79" i="6" s="1"/>
  <c r="N24" i="6"/>
  <c r="N29" i="6" s="1"/>
  <c r="N31" i="6" s="1"/>
  <c r="N82" i="6"/>
  <c r="M81" i="6"/>
  <c r="M84" i="6"/>
  <c r="M88" i="6"/>
  <c r="M33" i="6"/>
  <c r="M72" i="6"/>
  <c r="M75" i="6" s="1"/>
  <c r="L86" i="6"/>
  <c r="L87" i="6" s="1"/>
  <c r="M83" i="6" l="1"/>
  <c r="M76" i="6"/>
  <c r="M70" i="6" s="1"/>
  <c r="L70" i="6"/>
  <c r="N81" i="6"/>
  <c r="N84" i="6"/>
  <c r="N88" i="6"/>
  <c r="M86" i="6"/>
  <c r="M87" i="6" s="1"/>
  <c r="N33" i="6"/>
  <c r="E35" i="6" s="1"/>
  <c r="N72" i="6"/>
  <c r="N75" i="6" s="1"/>
  <c r="M77" i="6" l="1"/>
  <c r="M79" i="6" s="1"/>
  <c r="N83" i="6"/>
  <c r="N76" i="6"/>
  <c r="N70" i="6" s="1"/>
  <c r="N86" i="6"/>
  <c r="N87" i="6"/>
  <c r="E36" i="6"/>
  <c r="E38" i="6"/>
  <c r="E14" i="1"/>
  <c r="E40" i="6" l="1"/>
  <c r="F48" i="1"/>
  <c r="N77" i="6"/>
  <c r="N79" i="6" s="1"/>
  <c r="D98" i="6" l="1"/>
  <c r="F47" i="1"/>
  <c r="E15" i="1"/>
</calcChain>
</file>

<file path=xl/sharedStrings.xml><?xml version="1.0" encoding="utf-8"?>
<sst xmlns="http://schemas.openxmlformats.org/spreadsheetml/2006/main" count="574" uniqueCount="339">
  <si>
    <t>INPUT SCREENS</t>
  </si>
  <si>
    <t>Acquirer:</t>
  </si>
  <si>
    <t>Safeway, Inc.</t>
  </si>
  <si>
    <t>Most recent year end:</t>
  </si>
  <si>
    <t>Target:</t>
  </si>
  <si>
    <t>Vons Companies, Inc.</t>
  </si>
  <si>
    <t>Currency:</t>
  </si>
  <si>
    <t>Dollars in millions</t>
  </si>
  <si>
    <t>DISCOUNTED CASH FLOW INPUTS</t>
  </si>
  <si>
    <t>Discount rate:</t>
  </si>
  <si>
    <t>Vons stand alone effective tx rate</t>
  </si>
  <si>
    <t>Terminal value multiple (x EBITDA):</t>
  </si>
  <si>
    <t>Resultant valuation:</t>
  </si>
  <si>
    <t xml:space="preserve">     Total enterprise value ($M)</t>
  </si>
  <si>
    <t xml:space="preserve">     Value per common share</t>
  </si>
  <si>
    <t>MERGER MODEL INPUTS</t>
  </si>
  <si>
    <t>Acquirer stand alone earnings estimates:</t>
  </si>
  <si>
    <t>LTG</t>
  </si>
  <si>
    <t>Anticipated synergies / cost savings:</t>
  </si>
  <si>
    <t>% of SGA</t>
  </si>
  <si>
    <t>(enter one OR the other)</t>
  </si>
  <si>
    <t>total $ (in millions)</t>
  </si>
  <si>
    <t>Accretion</t>
  </si>
  <si>
    <t>w/ repurch</t>
  </si>
  <si>
    <t>w/o repurch</t>
  </si>
  <si>
    <t>Other inputs</t>
  </si>
  <si>
    <t>Purchase Accounting</t>
  </si>
  <si>
    <t>Allocation of purchase price / mark to market adjustments</t>
  </si>
  <si>
    <t>Primary shares, seller</t>
  </si>
  <si>
    <t>Seller shares not already owned by buyer</t>
  </si>
  <si>
    <t>million</t>
  </si>
  <si>
    <t>Primary shares, buyer</t>
  </si>
  <si>
    <t>Exchange ratio</t>
  </si>
  <si>
    <t>New shares issued</t>
  </si>
  <si>
    <t>Goodwill deductible ??</t>
  </si>
  <si>
    <t>no</t>
  </si>
  <si>
    <t>Amortization period of goodwill (yrs)</t>
  </si>
  <si>
    <t>Safeway stock price per share</t>
  </si>
  <si>
    <t>Marginal income tax rate</t>
  </si>
  <si>
    <t>Deal value for part of Vons notalready owned</t>
  </si>
  <si>
    <t>Equity in undistributed income of seller ($M)</t>
  </si>
  <si>
    <t>Current investment in Vons</t>
  </si>
  <si>
    <t>Share repurchase assumptions:</t>
  </si>
  <si>
    <t>Value of options assumed by Safeway</t>
  </si>
  <si>
    <t xml:space="preserve">     and transaction costs for the deal</t>
  </si>
  <si>
    <t>Shares repurchased (choose ONE):</t>
  </si>
  <si>
    <t>Total deal value</t>
  </si>
  <si>
    <t xml:space="preserve">     % of post transaction total</t>
  </si>
  <si>
    <t>Book value of Vons</t>
  </si>
  <si>
    <t xml:space="preserve">     number of shares to buy back (M)</t>
  </si>
  <si>
    <t>Premium to book value</t>
  </si>
  <si>
    <t>Cost of funds to repurchase shares</t>
  </si>
  <si>
    <t>Allocation of premium</t>
  </si>
  <si>
    <t>Deal summary:</t>
  </si>
  <si>
    <t>Vons share price, pre transaction</t>
  </si>
  <si>
    <t xml:space="preserve">     Inventory</t>
  </si>
  <si>
    <t xml:space="preserve">     Other assets</t>
  </si>
  <si>
    <t>DCF valuation :</t>
  </si>
  <si>
    <t>Vons per share</t>
  </si>
  <si>
    <t xml:space="preserve">     Deferred tax liability</t>
  </si>
  <si>
    <t>Total enterprise value ($M)</t>
  </si>
  <si>
    <t xml:space="preserve">     Other liabilities</t>
  </si>
  <si>
    <t>Deal value:</t>
  </si>
  <si>
    <t>Total deal value ($M)</t>
  </si>
  <si>
    <t>Goodwill</t>
  </si>
  <si>
    <t>Total Vons shares</t>
  </si>
  <si>
    <t>Deal value for previously unowned shares</t>
  </si>
  <si>
    <t>Accretion:</t>
  </si>
  <si>
    <t>Book value</t>
  </si>
  <si>
    <t>Previously unowned shares</t>
  </si>
  <si>
    <t>Earnings per share (year 1)</t>
  </si>
  <si>
    <t>Consolidated Balance Sheet</t>
  </si>
  <si>
    <t>ASSETS</t>
  </si>
  <si>
    <t>Current assets:</t>
  </si>
  <si>
    <t xml:space="preserve">     Cash and cash equivalents</t>
  </si>
  <si>
    <t xml:space="preserve">     Accounts receivable</t>
  </si>
  <si>
    <t xml:space="preserve">     Inventories</t>
  </si>
  <si>
    <t xml:space="preserve">     Deferred income taxes</t>
  </si>
  <si>
    <t xml:space="preserve">     Other</t>
  </si>
  <si>
    <t xml:space="preserve">          Total current assets</t>
  </si>
  <si>
    <t>Net property plant and equipment</t>
  </si>
  <si>
    <t>Investment in unconsolidated affiliates</t>
  </si>
  <si>
    <t>Other assets</t>
  </si>
  <si>
    <t>TOTAL ASSETS</t>
  </si>
  <si>
    <t>LIABILITIES AND EQUITY</t>
  </si>
  <si>
    <t>Current liabilities:</t>
  </si>
  <si>
    <t xml:space="preserve">     Accounts payable</t>
  </si>
  <si>
    <t xml:space="preserve">     Accrued liabilities</t>
  </si>
  <si>
    <t xml:space="preserve">     Current maturities,  long term debt</t>
  </si>
  <si>
    <t xml:space="preserve">          Total current liabilities</t>
  </si>
  <si>
    <t>Accrued self-insurance</t>
  </si>
  <si>
    <t>Deferred income taxes</t>
  </si>
  <si>
    <t>Other noncurrent liabilities</t>
  </si>
  <si>
    <t>Capital lease obligations</t>
  </si>
  <si>
    <t>Long term debt</t>
  </si>
  <si>
    <t>Stockholders' equity</t>
  </si>
  <si>
    <t>TOTAL LIABILITIES AND EQUITY</t>
  </si>
  <si>
    <t>Consolidated Statement of Income</t>
  </si>
  <si>
    <t>Sales</t>
  </si>
  <si>
    <t>Expenses:</t>
  </si>
  <si>
    <t xml:space="preserve">   Cost of sales, buying, occupancy</t>
  </si>
  <si>
    <t xml:space="preserve">   Selling and administrative</t>
  </si>
  <si>
    <t xml:space="preserve">   Depreciation and amortization</t>
  </si>
  <si>
    <t xml:space="preserve">   Goodwill amortization</t>
  </si>
  <si>
    <t xml:space="preserve">   Restructuring charges</t>
  </si>
  <si>
    <t xml:space="preserve">          Total operating expenses</t>
  </si>
  <si>
    <t>Operating income (EB IT)</t>
  </si>
  <si>
    <t>Memo: EBIT without restructuring</t>
  </si>
  <si>
    <t>Interest expense</t>
  </si>
  <si>
    <t>Equity earnings of unconsolidated affiliate</t>
  </si>
  <si>
    <t>Other income, net</t>
  </si>
  <si>
    <t>Income before income taxes</t>
  </si>
  <si>
    <t>Provision for income taxes</t>
  </si>
  <si>
    <t>Net income, before extr. items</t>
  </si>
  <si>
    <t>Net profit margin (x)</t>
  </si>
  <si>
    <t>Asset turnover (=)</t>
  </si>
  <si>
    <t>Return on assets (x)</t>
  </si>
  <si>
    <t>Financial leverage (=)</t>
  </si>
  <si>
    <t>Return on equity</t>
  </si>
  <si>
    <t>Growth:</t>
  </si>
  <si>
    <t xml:space="preserve">     Sales</t>
  </si>
  <si>
    <t xml:space="preserve">     EBIT (w/o restructuring)</t>
  </si>
  <si>
    <t xml:space="preserve">     Net income</t>
  </si>
  <si>
    <t>Long-term debt</t>
  </si>
  <si>
    <t>Beginning stores</t>
  </si>
  <si>
    <t>New stores</t>
  </si>
  <si>
    <t>Closed stores</t>
  </si>
  <si>
    <t>Ending stores</t>
  </si>
  <si>
    <t>Stores remodeled</t>
  </si>
  <si>
    <t xml:space="preserve">     New &amp; remodeled, last 5 years</t>
  </si>
  <si>
    <t xml:space="preserve">     % of total stores</t>
  </si>
  <si>
    <t>Appendix 5</t>
  </si>
  <si>
    <t>Common sized financial statements - actual plus forecast</t>
  </si>
  <si>
    <t>(all amounts as a percentage of sales)</t>
  </si>
  <si>
    <t>Balance Sheet</t>
  </si>
  <si>
    <t>ACTUAL</t>
  </si>
  <si>
    <t>FCST</t>
  </si>
  <si>
    <t>Other calculations:</t>
  </si>
  <si>
    <t>Forecast</t>
  </si>
  <si>
    <t>Appendix 6</t>
  </si>
  <si>
    <t>Discounted Cash Flow Analysis</t>
  </si>
  <si>
    <t>Actual</t>
  </si>
  <si>
    <t>Assumptions</t>
  </si>
  <si>
    <t>FISCAL YEAR ENDING</t>
  </si>
  <si>
    <t>Operating expenses:</t>
  </si>
  <si>
    <t>calc as % of beginning PPE</t>
  </si>
  <si>
    <t>flat</t>
  </si>
  <si>
    <t>Operating income</t>
  </si>
  <si>
    <t>Income before tax</t>
  </si>
  <si>
    <t>Net income</t>
  </si>
  <si>
    <t>Add: Int Exp (1-t)</t>
  </si>
  <si>
    <t>EBI (NOPLAT)</t>
  </si>
  <si>
    <t>Add: Depreciation</t>
  </si>
  <si>
    <t xml:space="preserve">      (Inc) Dec in other assets</t>
  </si>
  <si>
    <t>from B/S</t>
  </si>
  <si>
    <t xml:space="preserve">      Inc. (Dec.) in other liabilities</t>
  </si>
  <si>
    <t xml:space="preserve">      Inc. in deferred taxes</t>
  </si>
  <si>
    <t>WCFO (excl. int.)</t>
  </si>
  <si>
    <t>(Inc.) Dec. in A/R</t>
  </si>
  <si>
    <t>(Inc.) Dec. in Other C. Assets</t>
  </si>
  <si>
    <t>Inc. (Dec.) in A/P</t>
  </si>
  <si>
    <t>Inc. (Dec.) in Other Accruals</t>
  </si>
  <si>
    <t>CFO (excl. int.)</t>
  </si>
  <si>
    <t>Less: Capital Expenditures, net</t>
  </si>
  <si>
    <t>FCF (free cash flow)</t>
  </si>
  <si>
    <t>Terminal value (mult of EBITDA)</t>
  </si>
  <si>
    <t>Total free cash flow</t>
  </si>
  <si>
    <t>PV of total free cash flows</t>
  </si>
  <si>
    <t>Less: PV (debt)</t>
  </si>
  <si>
    <t>Plus: idle assets (liabs)</t>
  </si>
  <si>
    <t>PV of shareholders' equity (in millions)</t>
  </si>
  <si>
    <t>Shares outstanding</t>
  </si>
  <si>
    <t>Price per share</t>
  </si>
  <si>
    <t>Notes</t>
  </si>
  <si>
    <t>Cash and cash equivalents</t>
  </si>
  <si>
    <t>Receivables</t>
  </si>
  <si>
    <t>Inventories</t>
  </si>
  <si>
    <t>Deferred taxes</t>
  </si>
  <si>
    <t>Other current assets</t>
  </si>
  <si>
    <t>Total current assets</t>
  </si>
  <si>
    <t>Net PPE</t>
  </si>
  <si>
    <t>reduce by amort.</t>
  </si>
  <si>
    <t>Accounts payable</t>
  </si>
  <si>
    <t>Accrued liabilities</t>
  </si>
  <si>
    <t>Total Cur Liab (excl L/T Debt)</t>
  </si>
  <si>
    <t>reduce bal by amort of 3 per pd.</t>
  </si>
  <si>
    <t>Debt (including S/T debt)</t>
  </si>
  <si>
    <t>% of total assets</t>
  </si>
  <si>
    <t>Total liabilities</t>
  </si>
  <si>
    <t>Shareholders' equity</t>
  </si>
  <si>
    <t>PLUG</t>
  </si>
  <si>
    <t>TOT LIAB &amp; NET WORTH</t>
  </si>
  <si>
    <t>Tax Rate</t>
  </si>
  <si>
    <t>Unreconciled Difference</t>
  </si>
  <si>
    <t>Free Cash Flow</t>
  </si>
  <si>
    <t>Deduct: Int. expense (net of tax)</t>
  </si>
  <si>
    <t>Debt*cost of debt*(1-t)</t>
  </si>
  <si>
    <t>Add: Increase in L/T debt</t>
  </si>
  <si>
    <t>Subtotal (net cash to Shrholdrs)</t>
  </si>
  <si>
    <t>(Dividend) or New Equity</t>
  </si>
  <si>
    <t>¯Cash per SCF</t>
  </si>
  <si>
    <t>¯Cash per B/S</t>
  </si>
  <si>
    <t>Net Income</t>
  </si>
  <si>
    <t>(EBI- Int. after tax)</t>
  </si>
  <si>
    <t>EBI</t>
  </si>
  <si>
    <t>Return on Beg. Equity</t>
  </si>
  <si>
    <t>(NI / Beg Sh. Eq)</t>
  </si>
  <si>
    <t>Profit Margin</t>
  </si>
  <si>
    <t>(EBI / Sales)</t>
  </si>
  <si>
    <t>Asset Turnover</t>
  </si>
  <si>
    <t>(Sales / Avg. TA)</t>
  </si>
  <si>
    <t>Leverage</t>
  </si>
  <si>
    <t>(Avg. TA / Avg. SE) x (NI / EBI)</t>
  </si>
  <si>
    <t>Return on Average Equity</t>
  </si>
  <si>
    <t>Return on Assets</t>
  </si>
  <si>
    <t>(EBI / Avg TA)</t>
  </si>
  <si>
    <t>(note: white this out in the handout copy)</t>
  </si>
  <si>
    <t>DCF Sensitivity Analysis</t>
  </si>
  <si>
    <t>Terminal Value Multiple (x EBITDA)</t>
  </si>
  <si>
    <t>Discount</t>
  </si>
  <si>
    <t>Rate</t>
  </si>
  <si>
    <t>Appendix 7</t>
  </si>
  <si>
    <t>Comparable Company Analysis</t>
  </si>
  <si>
    <t>Free</t>
  </si>
  <si>
    <t>Cash flow</t>
  </si>
  <si>
    <t>Price to . . .</t>
  </si>
  <si>
    <t>Price</t>
  </si>
  <si>
    <t>Shares o/s</t>
  </si>
  <si>
    <t>per share</t>
  </si>
  <si>
    <t xml:space="preserve">Book </t>
  </si>
  <si>
    <t>Free Cash</t>
  </si>
  <si>
    <t>12/15/96</t>
  </si>
  <si>
    <t>(millions)</t>
  </si>
  <si>
    <t>EBITDA</t>
  </si>
  <si>
    <t>12/31/96</t>
  </si>
  <si>
    <t>Earnings</t>
  </si>
  <si>
    <t>Value</t>
  </si>
  <si>
    <t>Flow</t>
  </si>
  <si>
    <t>Delchamps, Inc.</t>
  </si>
  <si>
    <t>regional</t>
  </si>
  <si>
    <t>Food Lion, Inc.</t>
  </si>
  <si>
    <t>Giant Food Inc.</t>
  </si>
  <si>
    <t>Hannaford Bros. Co.</t>
  </si>
  <si>
    <t>Quality Food Centers, Inc.</t>
  </si>
  <si>
    <t>Weis Markets, Inc.</t>
  </si>
  <si>
    <t>Winn Dixie Stores, Inc.</t>
  </si>
  <si>
    <t>American Stores Company</t>
  </si>
  <si>
    <t>multi-regional</t>
  </si>
  <si>
    <t>The Great Atl. &amp; Pacific Tea Co.</t>
  </si>
  <si>
    <t>The Kroger Co.</t>
  </si>
  <si>
    <t>highly leveraged</t>
  </si>
  <si>
    <t>Smith's Food &amp; Drug Centers</t>
  </si>
  <si>
    <t>Appendix 8</t>
  </si>
  <si>
    <t>Acquisition Multiples</t>
  </si>
  <si>
    <t>Buyer</t>
  </si>
  <si>
    <t>Seller</t>
  </si>
  <si>
    <t>Calculation of Acquisition Value of Vons</t>
  </si>
  <si>
    <t>Kash N' Carry Food Stores</t>
  </si>
  <si>
    <t>Koninklijke Ahold nv</t>
  </si>
  <si>
    <t>Stop &amp; Shop Companies, Inc.</t>
  </si>
  <si>
    <t>Smith's Food &amp; Drug Centers, Inc.</t>
  </si>
  <si>
    <t>Smitty's Supermarkets, Inc.</t>
  </si>
  <si>
    <t>Bruckman, Rosser, Sherrill</t>
  </si>
  <si>
    <t>Jitney Jungle Stores of  America, Inc.</t>
  </si>
  <si>
    <t>KKR</t>
  </si>
  <si>
    <t>Brunos, Inc.</t>
  </si>
  <si>
    <t>Mayfair Supermarkets, Inc.</t>
  </si>
  <si>
    <t>Food 4 Less Holdings, Inc.</t>
  </si>
  <si>
    <t>Ralph's Grocery Company</t>
  </si>
  <si>
    <t>Purity Supreme, Inc.</t>
  </si>
  <si>
    <t>Yucaipa Cos.</t>
  </si>
  <si>
    <t>Dominick's</t>
  </si>
  <si>
    <t>Thriftway Stores, Inc.</t>
  </si>
  <si>
    <t>Olson's Food Stores</t>
  </si>
  <si>
    <t>J. Sainsbury Plc.</t>
  </si>
  <si>
    <t>Investcorp SA</t>
  </si>
  <si>
    <t>Star Markets Co. Inc.</t>
  </si>
  <si>
    <t>Boney Wiker &amp; Sons</t>
  </si>
  <si>
    <t>Smitty's Super Valu, Inc.</t>
  </si>
  <si>
    <t>Cisneros Group</t>
  </si>
  <si>
    <t>Pueblo International, Inc.</t>
  </si>
  <si>
    <t>Randall's Management Corp. Inc.</t>
  </si>
  <si>
    <t>Cullum Companies, Inc.</t>
  </si>
  <si>
    <t>Freeman Spogli &amp; Co., Inc.</t>
  </si>
  <si>
    <t>Alpha Beta Company, Inc.</t>
  </si>
  <si>
    <t>Buttrey Foods and Drug Stores Co. Inc.</t>
  </si>
  <si>
    <t>Safeway</t>
  </si>
  <si>
    <t>Appendix 9</t>
  </si>
  <si>
    <t>Consolidating Financial Statements</t>
  </si>
  <si>
    <t>Consolidating Balance Sheet</t>
  </si>
  <si>
    <t>Adjust out current ownership</t>
  </si>
  <si>
    <t>Allocate purchase price</t>
  </si>
  <si>
    <t>Issue Safeway stock to Vons</t>
  </si>
  <si>
    <t>Total</t>
  </si>
  <si>
    <t>Stock Repurchase</t>
  </si>
  <si>
    <t>Safeway Post Acquisition</t>
  </si>
  <si>
    <t>Book value per share</t>
  </si>
  <si>
    <t>Book value accretion (dilution)</t>
  </si>
  <si>
    <t>Consolidating Statement of Income</t>
  </si>
  <si>
    <t>Note:  for simplification purposes, it is assumed that the amortization of the purchase accounting mark-to-market adjustments are immaterial, and they are therefore not included.</t>
  </si>
  <si>
    <t>Appendix 10</t>
  </si>
  <si>
    <t>Earnings Per Share Accretion Analysis</t>
  </si>
  <si>
    <t>WITHOUT STOCK REPURCHASE</t>
  </si>
  <si>
    <t>-net income</t>
  </si>
  <si>
    <t>-shares</t>
  </si>
  <si>
    <t>-earnings per share</t>
  </si>
  <si>
    <t>-cost savings &amp; synergies, after tax</t>
  </si>
  <si>
    <t>-total contribution of Vons</t>
  </si>
  <si>
    <t>-new shares issued</t>
  </si>
  <si>
    <t>Goodwill amortization</t>
  </si>
  <si>
    <t>Equity in undist inc. of seller</t>
  </si>
  <si>
    <t>-EPS, post-transaction</t>
  </si>
  <si>
    <t>-EPS, pre-transaction</t>
  </si>
  <si>
    <t>-EPS accretion (dilution)</t>
  </si>
  <si>
    <t>WITH STOCK REPURCHASE</t>
  </si>
  <si>
    <t>Impact of buyback:</t>
  </si>
  <si>
    <t xml:space="preserve">     number of shares repurchased</t>
  </si>
  <si>
    <t>-shares repurchased</t>
  </si>
  <si>
    <t xml:space="preserve">     cost of funds for repurchase</t>
  </si>
  <si>
    <t>Calculations</t>
  </si>
  <si>
    <t>Same store sales growth</t>
  </si>
  <si>
    <t>Current store sales</t>
  </si>
  <si>
    <t>Additional stores</t>
  </si>
  <si>
    <t>Revenue per week</t>
  </si>
  <si>
    <t>Growth in revenue</t>
  </si>
  <si>
    <t>Weeks per year</t>
  </si>
  <si>
    <t>Total new revenue</t>
  </si>
  <si>
    <t>Total sales</t>
  </si>
  <si>
    <t>Pre tax income</t>
  </si>
  <si>
    <t>Taxes</t>
  </si>
  <si>
    <t>Effective rate</t>
  </si>
  <si>
    <t>Beginning PPE</t>
  </si>
  <si>
    <t>Depreciation</t>
  </si>
  <si>
    <t>Percentage</t>
  </si>
  <si>
    <t>Total assets</t>
  </si>
  <si>
    <t>LT debt</t>
  </si>
  <si>
    <t>Percent of total assets</t>
  </si>
  <si>
    <t>Total debt</t>
  </si>
  <si>
    <t>ST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</si>
</sst>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7" formatCode="&quot;$&quot;#,##0.00_);\(&quot;$&quot;#,##0.00\)"/>
    <numFmt numFmtId="43" formatCode="_(* #,##0.00_);_(* \(#,##0.00\);_(* &quot;-&quot;??_);_(@_)"/>
    <numFmt numFmtId="164" formatCode="0.000"/>
    <numFmt numFmtId="165" formatCode="0.0000"/>
    <numFmt numFmtId="166" formatCode="#,##0.0_);\(#,##0.0\)"/>
    <numFmt numFmtId="167" formatCode="0_);\(0\)"/>
    <numFmt numFmtId="168" formatCode="#,##0.000_);\(#,##0.000\)"/>
    <numFmt numFmtId="169" formatCode="0.0%"/>
    <numFmt numFmtId="171" formatCode="#,##0.0000_);\(#,##0.0000\)"/>
    <numFmt numFmtId="174" formatCode="0.0_);\(0.0\)"/>
    <numFmt numFmtId="176" formatCode="_(* #,##0.0_);_(* \(#,##0.0\);_(* &quot;-&quot;??_);_(@_)"/>
    <numFmt numFmtId="177" formatCode="_(* #,##0_);_(* \(#,##0\);_(* &quot;-&quot;??_);_(@_)"/>
    <numFmt numFmtId="178" formatCode="_(* #,##0.000_);_(* \(#,##0.000\);_(* &quot;-&quot;??_);_(@_)"/>
  </numFmts>
  <fonts count="3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u/>
      <sz val="10"/>
      <name val="Times New Roman"/>
      <family val="1"/>
    </font>
    <font>
      <b/>
      <sz val="10"/>
      <name val="Times New Roman"/>
    </font>
    <font>
      <i/>
      <sz val="10"/>
      <name val="Times New Roman"/>
    </font>
    <font>
      <b/>
      <u/>
      <sz val="10"/>
      <name val="Times New Roman"/>
      <family val="1"/>
    </font>
    <font>
      <b/>
      <u/>
      <sz val="10"/>
      <name val="Times New Roman"/>
    </font>
    <font>
      <b/>
      <sz val="10"/>
      <name val="Times New Roman"/>
      <family val="1"/>
    </font>
    <font>
      <sz val="8"/>
      <name val="Times New Roman"/>
      <family val="1"/>
    </font>
    <font>
      <b/>
      <u/>
      <sz val="8"/>
      <name val="Times New Roman"/>
      <family val="1"/>
    </font>
    <font>
      <b/>
      <sz val="8"/>
      <name val="Times New Roman"/>
      <family val="1"/>
    </font>
    <font>
      <b/>
      <sz val="8"/>
      <name val="Times New Roman"/>
    </font>
    <font>
      <i/>
      <sz val="8"/>
      <name val="Times New Roman"/>
    </font>
    <font>
      <sz val="8"/>
      <name val="Times New Roman"/>
    </font>
    <font>
      <b/>
      <u/>
      <sz val="8"/>
      <name val="Times New Roman"/>
    </font>
    <font>
      <sz val="10"/>
      <color indexed="9"/>
      <name val="Times New Roman"/>
      <family val="1"/>
    </font>
    <font>
      <sz val="10"/>
      <color indexed="8"/>
      <name val="Times New Roman"/>
      <family val="1"/>
    </font>
    <font>
      <i/>
      <sz val="8"/>
      <name val="Times New Roman"/>
      <family val="1"/>
    </font>
    <font>
      <u/>
      <sz val="8"/>
      <name val="Times New Roman"/>
      <family val="1"/>
    </font>
    <font>
      <sz val="10"/>
      <color indexed="12"/>
      <name val="Times New Roman"/>
      <family val="1"/>
    </font>
    <font>
      <u/>
      <sz val="10"/>
      <color indexed="12"/>
      <name val="Times New Roman"/>
      <family val="1"/>
    </font>
    <font>
      <sz val="10"/>
      <name val="Times New Roman"/>
    </font>
    <font>
      <sz val="8"/>
      <color indexed="12"/>
      <name val="Times New Roman"/>
      <family val="1"/>
    </font>
    <font>
      <i/>
      <sz val="10"/>
      <name val="Times New Roman"/>
      <family val="1"/>
    </font>
    <font>
      <b/>
      <sz val="10"/>
      <color indexed="9"/>
      <name val="Times New Roman"/>
    </font>
    <font>
      <b/>
      <sz val="8"/>
      <color indexed="9"/>
      <name val="Times New Roman"/>
      <family val="1"/>
    </font>
    <font>
      <sz val="8"/>
      <color indexed="9"/>
      <name val="Times New Roman"/>
      <family val="1"/>
    </font>
    <font>
      <sz val="10"/>
      <color indexed="9"/>
      <name val="Arial"/>
    </font>
    <font>
      <i/>
      <sz val="10"/>
      <color indexed="9"/>
      <name val="Times New Roman"/>
    </font>
    <font>
      <sz val="10"/>
      <color indexed="9"/>
      <name val="Times New Roman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sz val="6"/>
      <color indexed="8"/>
      <name val="Times New Roman"/>
      <family val="1"/>
    </font>
    <font>
      <b/>
      <sz val="10"/>
      <color indexed="8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8" fillId="0" borderId="0" xfId="0" applyFont="1"/>
    <xf numFmtId="169" fontId="2" fillId="0" borderId="0" xfId="2" applyNumberFormat="1" applyFont="1"/>
    <xf numFmtId="0" fontId="6" fillId="0" borderId="0" xfId="0" applyFont="1"/>
    <xf numFmtId="0" fontId="4" fillId="2" borderId="1" xfId="0" applyFont="1" applyFill="1" applyBorder="1"/>
    <xf numFmtId="0" fontId="4" fillId="2" borderId="2" xfId="0" applyFont="1" applyFill="1" applyBorder="1"/>
    <xf numFmtId="0" fontId="9" fillId="0" borderId="0" xfId="0" applyFont="1"/>
    <xf numFmtId="2" fontId="11" fillId="0" borderId="0" xfId="0" applyNumberFormat="1" applyFont="1"/>
    <xf numFmtId="0" fontId="11" fillId="0" borderId="0" xfId="0" applyFont="1"/>
    <xf numFmtId="169" fontId="9" fillId="0" borderId="0" xfId="2" applyNumberFormat="1" applyFont="1"/>
    <xf numFmtId="0" fontId="9" fillId="0" borderId="0" xfId="0" applyFont="1" applyAlignment="1">
      <alignment horizontal="center"/>
    </xf>
    <xf numFmtId="0" fontId="2" fillId="0" borderId="0" xfId="0" applyFont="1" applyBorder="1" applyAlignment="1">
      <alignment horizontal="centerContinuous"/>
    </xf>
    <xf numFmtId="0" fontId="2" fillId="0" borderId="3" xfId="0" applyFont="1" applyBorder="1"/>
    <xf numFmtId="0" fontId="2" fillId="0" borderId="0" xfId="0" applyFont="1" applyBorder="1"/>
    <xf numFmtId="0" fontId="2" fillId="0" borderId="4" xfId="0" applyFont="1" applyBorder="1"/>
    <xf numFmtId="0" fontId="8" fillId="0" borderId="0" xfId="0" applyFont="1" applyBorder="1"/>
    <xf numFmtId="0" fontId="9" fillId="0" borderId="0" xfId="0" applyFont="1" applyBorder="1"/>
    <xf numFmtId="0" fontId="11" fillId="2" borderId="2" xfId="0" applyFont="1" applyFill="1" applyBorder="1"/>
    <xf numFmtId="0" fontId="8" fillId="3" borderId="0" xfId="0" applyFont="1" applyFill="1" applyBorder="1"/>
    <xf numFmtId="0" fontId="2" fillId="3" borderId="0" xfId="0" applyFont="1" applyFill="1" applyBorder="1"/>
    <xf numFmtId="3" fontId="2" fillId="3" borderId="0" xfId="0" applyNumberFormat="1" applyFont="1" applyFill="1" applyBorder="1"/>
    <xf numFmtId="165" fontId="2" fillId="3" borderId="0" xfId="0" applyNumberFormat="1" applyFont="1" applyFill="1" applyBorder="1"/>
    <xf numFmtId="2" fontId="8" fillId="3" borderId="0" xfId="0" applyNumberFormat="1" applyFont="1" applyFill="1" applyBorder="1"/>
    <xf numFmtId="0" fontId="11" fillId="0" borderId="0" xfId="0" applyFont="1" applyAlignment="1">
      <alignment horizontal="center"/>
    </xf>
    <xf numFmtId="37" fontId="9" fillId="0" borderId="0" xfId="0" applyNumberFormat="1" applyFont="1"/>
    <xf numFmtId="0" fontId="9" fillId="0" borderId="1" xfId="0" applyFont="1" applyBorder="1"/>
    <xf numFmtId="37" fontId="9" fillId="0" borderId="2" xfId="0" applyNumberFormat="1" applyFont="1" applyBorder="1"/>
    <xf numFmtId="0" fontId="9" fillId="0" borderId="2" xfId="0" applyFont="1" applyBorder="1"/>
    <xf numFmtId="37" fontId="9" fillId="0" borderId="5" xfId="0" applyNumberFormat="1" applyFont="1" applyBorder="1"/>
    <xf numFmtId="37" fontId="9" fillId="0" borderId="0" xfId="0" applyNumberFormat="1" applyFont="1" applyBorder="1"/>
    <xf numFmtId="0" fontId="9" fillId="0" borderId="6" xfId="0" applyFont="1" applyBorder="1"/>
    <xf numFmtId="37" fontId="9" fillId="0" borderId="6" xfId="0" applyNumberFormat="1" applyFont="1" applyBorder="1"/>
    <xf numFmtId="3" fontId="9" fillId="0" borderId="0" xfId="0" applyNumberFormat="1" applyFont="1"/>
    <xf numFmtId="37" fontId="11" fillId="0" borderId="0" xfId="0" applyNumberFormat="1" applyFont="1"/>
    <xf numFmtId="166" fontId="9" fillId="0" borderId="0" xfId="0" applyNumberFormat="1" applyFont="1"/>
    <xf numFmtId="166" fontId="9" fillId="0" borderId="0" xfId="0" applyNumberFormat="1" applyFont="1" applyBorder="1"/>
    <xf numFmtId="164" fontId="9" fillId="0" borderId="0" xfId="0" applyNumberFormat="1" applyFont="1"/>
    <xf numFmtId="37" fontId="9" fillId="0" borderId="0" xfId="0" applyNumberFormat="1" applyFont="1" applyAlignment="1">
      <alignment horizontal="center"/>
    </xf>
    <xf numFmtId="37" fontId="9" fillId="0" borderId="6" xfId="0" applyNumberFormat="1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171" fontId="9" fillId="0" borderId="0" xfId="0" applyNumberFormat="1" applyFont="1"/>
    <xf numFmtId="0" fontId="9" fillId="0" borderId="2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1" fillId="2" borderId="1" xfId="0" applyFont="1" applyFill="1" applyBorder="1"/>
    <xf numFmtId="167" fontId="11" fillId="2" borderId="2" xfId="0" applyNumberFormat="1" applyFont="1" applyFill="1" applyBorder="1"/>
    <xf numFmtId="167" fontId="11" fillId="2" borderId="5" xfId="0" applyNumberFormat="1" applyFont="1" applyFill="1" applyBorder="1"/>
    <xf numFmtId="1" fontId="11" fillId="2" borderId="2" xfId="0" applyNumberFormat="1" applyFont="1" applyFill="1" applyBorder="1"/>
    <xf numFmtId="1" fontId="11" fillId="2" borderId="5" xfId="0" applyNumberFormat="1" applyFont="1" applyFill="1" applyBorder="1"/>
    <xf numFmtId="0" fontId="4" fillId="0" borderId="3" xfId="0" applyFont="1" applyBorder="1"/>
    <xf numFmtId="0" fontId="4" fillId="0" borderId="3" xfId="0" applyFont="1" applyBorder="1" applyAlignment="1">
      <alignment horizontal="centerContinuous"/>
    </xf>
    <xf numFmtId="0" fontId="2" fillId="3" borderId="0" xfId="0" applyFont="1" applyFill="1" applyBorder="1" applyAlignment="1">
      <alignment horizontal="centerContinuous"/>
    </xf>
    <xf numFmtId="0" fontId="2" fillId="2" borderId="5" xfId="0" applyFont="1" applyFill="1" applyBorder="1"/>
    <xf numFmtId="0" fontId="2" fillId="0" borderId="0" xfId="0" applyFont="1" applyBorder="1" applyAlignment="1"/>
    <xf numFmtId="0" fontId="13" fillId="3" borderId="3" xfId="0" applyFont="1" applyFill="1" applyBorder="1" applyAlignment="1">
      <alignment horizontal="centerContinuous"/>
    </xf>
    <xf numFmtId="14" fontId="6" fillId="0" borderId="0" xfId="0" applyNumberFormat="1" applyFont="1" applyBorder="1" applyAlignment="1">
      <alignment horizontal="right"/>
    </xf>
    <xf numFmtId="0" fontId="2" fillId="0" borderId="3" xfId="0" quotePrefix="1" applyFont="1" applyBorder="1"/>
    <xf numFmtId="37" fontId="2" fillId="0" borderId="0" xfId="0" applyNumberFormat="1" applyFont="1" applyBorder="1"/>
    <xf numFmtId="169" fontId="9" fillId="0" borderId="0" xfId="2" applyNumberFormat="1" applyFont="1" applyBorder="1" applyAlignment="1"/>
    <xf numFmtId="169" fontId="9" fillId="0" borderId="4" xfId="2" applyNumberFormat="1" applyFont="1" applyBorder="1" applyAlignment="1"/>
    <xf numFmtId="0" fontId="0" fillId="0" borderId="3" xfId="0" applyBorder="1"/>
    <xf numFmtId="0" fontId="0" fillId="0" borderId="0" xfId="0" applyBorder="1"/>
    <xf numFmtId="37" fontId="7" fillId="0" borderId="0" xfId="0" applyNumberFormat="1" applyFont="1" applyBorder="1" applyAlignment="1">
      <alignment horizontal="right"/>
    </xf>
    <xf numFmtId="0" fontId="0" fillId="0" borderId="4" xfId="0" applyBorder="1"/>
    <xf numFmtId="0" fontId="0" fillId="3" borderId="0" xfId="0" applyFill="1" applyBorder="1"/>
    <xf numFmtId="37" fontId="2" fillId="3" borderId="0" xfId="0" applyNumberFormat="1" applyFont="1" applyFill="1" applyBorder="1" applyAlignment="1">
      <alignment horizontal="center"/>
    </xf>
    <xf numFmtId="37" fontId="2" fillId="3" borderId="0" xfId="0" applyNumberFormat="1" applyFont="1" applyFill="1" applyBorder="1"/>
    <xf numFmtId="37" fontId="2" fillId="3" borderId="0" xfId="0" applyNumberFormat="1" applyFont="1" applyFill="1" applyBorder="1" applyAlignment="1"/>
    <xf numFmtId="37" fontId="3" fillId="3" borderId="0" xfId="0" applyNumberFormat="1" applyFont="1" applyFill="1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10" fontId="2" fillId="3" borderId="0" xfId="2" applyNumberFormat="1" applyFont="1" applyFill="1" applyBorder="1" applyAlignment="1"/>
    <xf numFmtId="39" fontId="2" fillId="3" borderId="0" xfId="0" applyNumberFormat="1" applyFont="1" applyFill="1" applyBorder="1"/>
    <xf numFmtId="169" fontId="2" fillId="3" borderId="0" xfId="2" applyNumberFormat="1" applyFont="1" applyFill="1" applyBorder="1"/>
    <xf numFmtId="10" fontId="2" fillId="3" borderId="0" xfId="2" applyNumberFormat="1" applyFont="1" applyFill="1" applyBorder="1"/>
    <xf numFmtId="0" fontId="2" fillId="3" borderId="3" xfId="0" applyFont="1" applyFill="1" applyBorder="1"/>
    <xf numFmtId="0" fontId="0" fillId="3" borderId="4" xfId="0" applyFill="1" applyBorder="1"/>
    <xf numFmtId="0" fontId="2" fillId="3" borderId="7" xfId="0" applyFont="1" applyFill="1" applyBorder="1"/>
    <xf numFmtId="37" fontId="2" fillId="3" borderId="6" xfId="0" applyNumberFormat="1" applyFont="1" applyFill="1" applyBorder="1"/>
    <xf numFmtId="37" fontId="2" fillId="3" borderId="8" xfId="0" applyNumberFormat="1" applyFont="1" applyFill="1" applyBorder="1"/>
    <xf numFmtId="37" fontId="2" fillId="3" borderId="4" xfId="0" applyNumberFormat="1" applyFont="1" applyFill="1" applyBorder="1"/>
    <xf numFmtId="7" fontId="3" fillId="3" borderId="0" xfId="0" applyNumberFormat="1" applyFont="1" applyFill="1" applyBorder="1"/>
    <xf numFmtId="171" fontId="2" fillId="3" borderId="6" xfId="0" applyNumberFormat="1" applyFont="1" applyFill="1" applyBorder="1"/>
    <xf numFmtId="0" fontId="14" fillId="2" borderId="2" xfId="0" applyFont="1" applyFill="1" applyBorder="1"/>
    <xf numFmtId="0" fontId="5" fillId="2" borderId="2" xfId="0" applyFont="1" applyFill="1" applyBorder="1"/>
    <xf numFmtId="0" fontId="4" fillId="3" borderId="1" xfId="0" applyFont="1" applyFill="1" applyBorder="1" applyAlignment="1">
      <alignment horizontal="centerContinuous"/>
    </xf>
    <xf numFmtId="0" fontId="2" fillId="3" borderId="2" xfId="0" applyFont="1" applyFill="1" applyBorder="1" applyAlignment="1">
      <alignment horizontal="centerContinuous"/>
    </xf>
    <xf numFmtId="0" fontId="2" fillId="3" borderId="5" xfId="0" applyFont="1" applyFill="1" applyBorder="1" applyAlignment="1">
      <alignment horizontal="centerContinuous"/>
    </xf>
    <xf numFmtId="37" fontId="2" fillId="3" borderId="2" xfId="0" applyNumberFormat="1" applyFont="1" applyFill="1" applyBorder="1" applyAlignment="1">
      <alignment horizontal="centerContinuous"/>
    </xf>
    <xf numFmtId="0" fontId="0" fillId="2" borderId="2" xfId="0" applyFill="1" applyBorder="1"/>
    <xf numFmtId="0" fontId="0" fillId="2" borderId="5" xfId="0" applyFill="1" applyBorder="1"/>
    <xf numFmtId="168" fontId="9" fillId="0" borderId="0" xfId="0" applyNumberFormat="1" applyFont="1" applyAlignment="1">
      <alignment horizontal="center"/>
    </xf>
    <xf numFmtId="0" fontId="8" fillId="2" borderId="1" xfId="0" applyFont="1" applyFill="1" applyBorder="1"/>
    <xf numFmtId="17" fontId="6" fillId="0" borderId="0" xfId="0" applyNumberFormat="1" applyFont="1" applyBorder="1" applyAlignment="1">
      <alignment horizontal="right"/>
    </xf>
    <xf numFmtId="166" fontId="2" fillId="0" borderId="0" xfId="0" applyNumberFormat="1" applyFont="1" applyBorder="1"/>
    <xf numFmtId="166" fontId="3" fillId="0" borderId="0" xfId="0" applyNumberFormat="1" applyFont="1" applyBorder="1"/>
    <xf numFmtId="166" fontId="6" fillId="0" borderId="0" xfId="0" applyNumberFormat="1" applyFont="1" applyBorder="1"/>
    <xf numFmtId="166" fontId="0" fillId="0" borderId="0" xfId="0" applyNumberFormat="1" applyBorder="1"/>
    <xf numFmtId="17" fontId="7" fillId="0" borderId="0" xfId="0" applyNumberFormat="1" applyFont="1" applyBorder="1" applyAlignment="1">
      <alignment horizontal="right"/>
    </xf>
    <xf numFmtId="0" fontId="2" fillId="0" borderId="1" xfId="0" applyFont="1" applyBorder="1"/>
    <xf numFmtId="166" fontId="2" fillId="0" borderId="2" xfId="0" applyNumberFormat="1" applyFont="1" applyBorder="1"/>
    <xf numFmtId="169" fontId="9" fillId="0" borderId="2" xfId="2" applyNumberFormat="1" applyFont="1" applyBorder="1" applyAlignment="1"/>
    <xf numFmtId="37" fontId="2" fillId="0" borderId="4" xfId="0" applyNumberFormat="1" applyFont="1" applyBorder="1"/>
    <xf numFmtId="0" fontId="2" fillId="0" borderId="8" xfId="0" applyFont="1" applyBorder="1"/>
    <xf numFmtId="169" fontId="9" fillId="0" borderId="5" xfId="2" applyNumberFormat="1" applyFont="1" applyBorder="1" applyAlignment="1"/>
    <xf numFmtId="37" fontId="2" fillId="3" borderId="0" xfId="2" applyNumberFormat="1" applyFont="1" applyFill="1" applyBorder="1"/>
    <xf numFmtId="169" fontId="2" fillId="3" borderId="6" xfId="2" applyNumberFormat="1" applyFont="1" applyFill="1" applyBorder="1"/>
    <xf numFmtId="37" fontId="11" fillId="0" borderId="0" xfId="0" applyNumberFormat="1" applyFont="1" applyAlignment="1">
      <alignment horizontal="center"/>
    </xf>
    <xf numFmtId="37" fontId="9" fillId="0" borderId="0" xfId="0" applyNumberFormat="1" applyFont="1" applyAlignment="1">
      <alignment horizontal="centerContinuous"/>
    </xf>
    <xf numFmtId="0" fontId="9" fillId="0" borderId="0" xfId="0" applyFont="1" applyAlignment="1">
      <alignment horizontal="centerContinuous"/>
    </xf>
    <xf numFmtId="0" fontId="16" fillId="0" borderId="0" xfId="0" applyFont="1"/>
    <xf numFmtId="0" fontId="17" fillId="0" borderId="0" xfId="0" applyFont="1"/>
    <xf numFmtId="7" fontId="16" fillId="0" borderId="0" xfId="0" applyNumberFormat="1" applyFont="1" applyBorder="1"/>
    <xf numFmtId="0" fontId="2" fillId="0" borderId="0" xfId="0" quotePrefix="1" applyFont="1" applyBorder="1"/>
    <xf numFmtId="17" fontId="11" fillId="0" borderId="6" xfId="0" applyNumberFormat="1" applyFont="1" applyBorder="1" applyAlignment="1">
      <alignment horizontal="center" wrapText="1"/>
    </xf>
    <xf numFmtId="0" fontId="0" fillId="0" borderId="9" xfId="0" applyBorder="1"/>
    <xf numFmtId="37" fontId="9" fillId="2" borderId="6" xfId="0" applyNumberFormat="1" applyFont="1" applyFill="1" applyBorder="1"/>
    <xf numFmtId="0" fontId="8" fillId="2" borderId="2" xfId="0" applyFont="1" applyFill="1" applyBorder="1"/>
    <xf numFmtId="0" fontId="9" fillId="2" borderId="2" xfId="0" applyFont="1" applyFill="1" applyBorder="1"/>
    <xf numFmtId="0" fontId="8" fillId="0" borderId="3" xfId="0" applyFont="1" applyBorder="1" applyAlignment="1">
      <alignment horizontal="centerContinuous"/>
    </xf>
    <xf numFmtId="0" fontId="8" fillId="3" borderId="1" xfId="0" applyFont="1" applyFill="1" applyBorder="1" applyAlignment="1">
      <alignment horizontal="centerContinuous"/>
    </xf>
    <xf numFmtId="0" fontId="18" fillId="3" borderId="3" xfId="0" applyFont="1" applyFill="1" applyBorder="1" applyAlignment="1">
      <alignment horizontal="centerContinuous"/>
    </xf>
    <xf numFmtId="0" fontId="8" fillId="0" borderId="3" xfId="0" applyFont="1" applyBorder="1"/>
    <xf numFmtId="0" fontId="2" fillId="0" borderId="7" xfId="0" applyFont="1" applyBorder="1"/>
    <xf numFmtId="0" fontId="2" fillId="0" borderId="6" xfId="0" applyFont="1" applyBorder="1"/>
    <xf numFmtId="37" fontId="6" fillId="0" borderId="0" xfId="0" applyNumberFormat="1" applyFont="1" applyBorder="1" applyAlignment="1">
      <alignment horizontal="right"/>
    </xf>
    <xf numFmtId="0" fontId="2" fillId="2" borderId="2" xfId="0" applyFont="1" applyFill="1" applyBorder="1"/>
    <xf numFmtId="0" fontId="2" fillId="3" borderId="4" xfId="0" applyFont="1" applyFill="1" applyBorder="1"/>
    <xf numFmtId="0" fontId="19" fillId="0" borderId="0" xfId="0" quotePrefix="1" applyFont="1" applyAlignment="1">
      <alignment horizontal="center"/>
    </xf>
    <xf numFmtId="0" fontId="19" fillId="0" borderId="0" xfId="0" applyFont="1" applyAlignment="1">
      <alignment horizontal="center"/>
    </xf>
    <xf numFmtId="0" fontId="9" fillId="0" borderId="6" xfId="0" applyFont="1" applyBorder="1" applyAlignment="1">
      <alignment horizontal="centerContinuous"/>
    </xf>
    <xf numFmtId="0" fontId="9" fillId="0" borderId="0" xfId="0" applyFont="1" applyAlignment="1"/>
    <xf numFmtId="0" fontId="3" fillId="0" borderId="0" xfId="0" quotePrefix="1" applyFont="1" applyAlignment="1">
      <alignment horizontal="center"/>
    </xf>
    <xf numFmtId="17" fontId="2" fillId="0" borderId="0" xfId="0" applyNumberFormat="1" applyFont="1"/>
    <xf numFmtId="169" fontId="3" fillId="0" borderId="0" xfId="2" applyNumberFormat="1" applyFont="1"/>
    <xf numFmtId="17" fontId="7" fillId="0" borderId="0" xfId="0" applyNumberFormat="1" applyFont="1"/>
    <xf numFmtId="0" fontId="2" fillId="4" borderId="0" xfId="0" applyFont="1" applyFill="1" applyAlignment="1">
      <alignment horizontal="right"/>
    </xf>
    <xf numFmtId="169" fontId="2" fillId="0" borderId="0" xfId="0" applyNumberFormat="1" applyFont="1"/>
    <xf numFmtId="169" fontId="3" fillId="0" borderId="0" xfId="0" applyNumberFormat="1" applyFont="1"/>
    <xf numFmtId="0" fontId="6" fillId="3" borderId="0" xfId="0" applyFont="1" applyFill="1" applyBorder="1" applyAlignment="1">
      <alignment horizontal="left"/>
    </xf>
    <xf numFmtId="17" fontId="6" fillId="0" borderId="0" xfId="0" applyNumberFormat="1" applyFont="1"/>
    <xf numFmtId="0" fontId="2" fillId="4" borderId="0" xfId="0" applyFont="1" applyFill="1" applyAlignment="1">
      <alignment horizontal="center"/>
    </xf>
    <xf numFmtId="0" fontId="2" fillId="3" borderId="0" xfId="0" applyFont="1" applyFill="1"/>
    <xf numFmtId="0" fontId="22" fillId="0" borderId="0" xfId="0" applyFont="1" applyBorder="1"/>
    <xf numFmtId="169" fontId="20" fillId="5" borderId="0" xfId="2" applyNumberFormat="1" applyFont="1" applyFill="1" applyProtection="1">
      <protection locked="0"/>
    </xf>
    <xf numFmtId="169" fontId="21" fillId="5" borderId="0" xfId="2" applyNumberFormat="1" applyFont="1" applyFill="1" applyProtection="1">
      <protection locked="0"/>
    </xf>
    <xf numFmtId="0" fontId="11" fillId="4" borderId="0" xfId="0" applyFont="1" applyFill="1" applyAlignment="1">
      <alignment horizontal="right"/>
    </xf>
    <xf numFmtId="37" fontId="12" fillId="4" borderId="0" xfId="0" applyNumberFormat="1" applyFont="1" applyFill="1" applyAlignment="1">
      <alignment horizontal="right"/>
    </xf>
    <xf numFmtId="37" fontId="23" fillId="5" borderId="0" xfId="0" applyNumberFormat="1" applyFont="1" applyFill="1" applyBorder="1" applyProtection="1">
      <protection locked="0"/>
    </xf>
    <xf numFmtId="37" fontId="19" fillId="0" borderId="0" xfId="0" applyNumberFormat="1" applyFont="1"/>
    <xf numFmtId="0" fontId="11" fillId="2" borderId="2" xfId="0" applyFont="1" applyFill="1" applyBorder="1" applyAlignment="1">
      <alignment horizontal="center"/>
    </xf>
    <xf numFmtId="169" fontId="11" fillId="0" borderId="0" xfId="2" applyNumberFormat="1" applyFont="1"/>
    <xf numFmtId="169" fontId="12" fillId="0" borderId="0" xfId="2" applyNumberFormat="1" applyFont="1"/>
    <xf numFmtId="37" fontId="12" fillId="0" borderId="0" xfId="0" applyNumberFormat="1" applyFont="1" applyAlignment="1">
      <alignment horizontal="center"/>
    </xf>
    <xf numFmtId="0" fontId="12" fillId="0" borderId="0" xfId="0" applyFont="1"/>
    <xf numFmtId="168" fontId="9" fillId="0" borderId="0" xfId="0" applyNumberFormat="1" applyFont="1"/>
    <xf numFmtId="37" fontId="9" fillId="6" borderId="1" xfId="2" applyNumberFormat="1" applyFont="1" applyFill="1" applyBorder="1"/>
    <xf numFmtId="37" fontId="9" fillId="6" borderId="2" xfId="2" applyNumberFormat="1" applyFont="1" applyFill="1" applyBorder="1"/>
    <xf numFmtId="37" fontId="9" fillId="6" borderId="5" xfId="2" applyNumberFormat="1" applyFont="1" applyFill="1" applyBorder="1"/>
    <xf numFmtId="37" fontId="9" fillId="6" borderId="1" xfId="0" applyNumberFormat="1" applyFont="1" applyFill="1" applyBorder="1"/>
    <xf numFmtId="37" fontId="9" fillId="6" borderId="2" xfId="0" applyNumberFormat="1" applyFont="1" applyFill="1" applyBorder="1"/>
    <xf numFmtId="37" fontId="9" fillId="6" borderId="5" xfId="0" applyNumberFormat="1" applyFont="1" applyFill="1" applyBorder="1"/>
    <xf numFmtId="0" fontId="6" fillId="3" borderId="0" xfId="0" applyFont="1" applyFill="1" applyBorder="1"/>
    <xf numFmtId="0" fontId="20" fillId="5" borderId="0" xfId="0" applyFont="1" applyFill="1" applyProtection="1">
      <protection locked="0"/>
    </xf>
    <xf numFmtId="0" fontId="20" fillId="5" borderId="0" xfId="0" applyFont="1" applyFill="1" applyBorder="1" applyProtection="1">
      <protection locked="0"/>
    </xf>
    <xf numFmtId="37" fontId="23" fillId="5" borderId="0" xfId="0" applyNumberFormat="1" applyFont="1" applyFill="1" applyProtection="1">
      <protection locked="0"/>
    </xf>
    <xf numFmtId="9" fontId="9" fillId="0" borderId="6" xfId="2" quotePrefix="1" applyFont="1" applyBorder="1" applyAlignment="1">
      <alignment horizontal="center"/>
    </xf>
    <xf numFmtId="166" fontId="12" fillId="2" borderId="10" xfId="2" applyNumberFormat="1" applyFont="1" applyFill="1" applyBorder="1" applyAlignment="1">
      <alignment horizontal="right"/>
    </xf>
    <xf numFmtId="37" fontId="12" fillId="0" borderId="0" xfId="0" applyNumberFormat="1" applyFont="1"/>
    <xf numFmtId="166" fontId="12" fillId="3" borderId="0" xfId="2" applyNumberFormat="1" applyFont="1" applyFill="1" applyBorder="1" applyAlignment="1">
      <alignment horizontal="right"/>
    </xf>
    <xf numFmtId="37" fontId="10" fillId="0" borderId="0" xfId="0" applyNumberFormat="1" applyFont="1"/>
    <xf numFmtId="169" fontId="12" fillId="2" borderId="10" xfId="2" applyNumberFormat="1" applyFont="1" applyFill="1" applyBorder="1" applyAlignment="1">
      <alignment horizontal="center"/>
    </xf>
    <xf numFmtId="39" fontId="11" fillId="3" borderId="0" xfId="0" applyNumberFormat="1" applyFont="1" applyFill="1" applyBorder="1"/>
    <xf numFmtId="171" fontId="9" fillId="3" borderId="0" xfId="0" applyNumberFormat="1" applyFont="1" applyFill="1"/>
    <xf numFmtId="37" fontId="12" fillId="7" borderId="11" xfId="0" applyNumberFormat="1" applyFont="1" applyFill="1" applyBorder="1"/>
    <xf numFmtId="37" fontId="12" fillId="7" borderId="12" xfId="0" applyNumberFormat="1" applyFont="1" applyFill="1" applyBorder="1"/>
    <xf numFmtId="37" fontId="15" fillId="7" borderId="12" xfId="0" applyNumberFormat="1" applyFont="1" applyFill="1" applyBorder="1"/>
    <xf numFmtId="7" fontId="12" fillId="2" borderId="10" xfId="0" applyNumberFormat="1" applyFont="1" applyFill="1" applyBorder="1"/>
    <xf numFmtId="0" fontId="12" fillId="3" borderId="0" xfId="0" applyFont="1" applyFill="1" applyBorder="1"/>
    <xf numFmtId="37" fontId="23" fillId="5" borderId="6" xfId="0" applyNumberFormat="1" applyFont="1" applyFill="1" applyBorder="1" applyProtection="1">
      <protection locked="0"/>
    </xf>
    <xf numFmtId="169" fontId="17" fillId="3" borderId="0" xfId="2" applyNumberFormat="1" applyFont="1" applyFill="1" applyProtection="1"/>
    <xf numFmtId="0" fontId="6" fillId="3" borderId="0" xfId="0" applyFont="1" applyFill="1" applyBorder="1" applyAlignment="1">
      <alignment horizontal="centerContinuous"/>
    </xf>
    <xf numFmtId="0" fontId="6" fillId="0" borderId="0" xfId="0" applyFont="1" applyBorder="1"/>
    <xf numFmtId="0" fontId="8" fillId="0" borderId="0" xfId="0" applyFont="1" applyAlignment="1">
      <alignment horizontal="centerContinuous"/>
    </xf>
    <xf numFmtId="0" fontId="24" fillId="0" borderId="0" xfId="0" applyFont="1" applyAlignment="1">
      <alignment horizontal="centerContinuous"/>
    </xf>
    <xf numFmtId="0" fontId="11" fillId="0" borderId="6" xfId="0" applyFont="1" applyBorder="1" applyAlignment="1">
      <alignment horizontal="center" wrapText="1"/>
    </xf>
    <xf numFmtId="166" fontId="2" fillId="0" borderId="0" xfId="0" applyNumberFormat="1" applyFont="1"/>
    <xf numFmtId="166" fontId="3" fillId="0" borderId="0" xfId="0" applyNumberFormat="1" applyFont="1"/>
    <xf numFmtId="0" fontId="2" fillId="0" borderId="6" xfId="0" applyFont="1" applyBorder="1" applyAlignment="1">
      <alignment wrapText="1"/>
    </xf>
    <xf numFmtId="0" fontId="12" fillId="0" borderId="6" xfId="0" applyFont="1" applyBorder="1" applyAlignment="1">
      <alignment horizontal="center"/>
    </xf>
    <xf numFmtId="0" fontId="8" fillId="2" borderId="1" xfId="0" applyFont="1" applyFill="1" applyBorder="1" applyAlignment="1">
      <alignment horizontal="centerContinuous"/>
    </xf>
    <xf numFmtId="0" fontId="8" fillId="2" borderId="2" xfId="0" applyFont="1" applyFill="1" applyBorder="1" applyAlignment="1">
      <alignment horizontal="centerContinuous"/>
    </xf>
    <xf numFmtId="0" fontId="8" fillId="2" borderId="5" xfId="0" applyFont="1" applyFill="1" applyBorder="1" applyAlignment="1">
      <alignment horizontal="centerContinuous"/>
    </xf>
    <xf numFmtId="0" fontId="2" fillId="0" borderId="13" xfId="0" applyFont="1" applyBorder="1"/>
    <xf numFmtId="0" fontId="2" fillId="0" borderId="9" xfId="0" applyFont="1" applyBorder="1"/>
    <xf numFmtId="0" fontId="2" fillId="0" borderId="14" xfId="0" applyFont="1" applyBorder="1"/>
    <xf numFmtId="17" fontId="2" fillId="0" borderId="0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Continuous"/>
    </xf>
    <xf numFmtId="169" fontId="20" fillId="8" borderId="0" xfId="2" applyNumberFormat="1" applyFont="1" applyFill="1" applyBorder="1" applyProtection="1">
      <protection locked="0"/>
    </xf>
    <xf numFmtId="9" fontId="20" fillId="8" borderId="4" xfId="2" applyNumberFormat="1" applyFont="1" applyFill="1" applyBorder="1" applyAlignment="1" applyProtection="1">
      <alignment horizontal="center"/>
      <protection locked="0"/>
    </xf>
    <xf numFmtId="166" fontId="20" fillId="8" borderId="0" xfId="0" applyNumberFormat="1" applyFont="1" applyFill="1" applyBorder="1" applyProtection="1">
      <protection locked="0"/>
    </xf>
    <xf numFmtId="0" fontId="3" fillId="0" borderId="3" xfId="0" applyFont="1" applyBorder="1"/>
    <xf numFmtId="17" fontId="3" fillId="0" borderId="0" xfId="0" applyNumberFormat="1" applyFont="1" applyBorder="1"/>
    <xf numFmtId="0" fontId="3" fillId="0" borderId="4" xfId="0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7" fontId="20" fillId="8" borderId="0" xfId="0" applyNumberFormat="1" applyFont="1" applyFill="1" applyBorder="1" applyProtection="1">
      <protection locked="0"/>
    </xf>
    <xf numFmtId="0" fontId="2" fillId="2" borderId="0" xfId="0" applyFont="1" applyFill="1" applyBorder="1"/>
    <xf numFmtId="169" fontId="20" fillId="8" borderId="4" xfId="2" applyNumberFormat="1" applyFont="1" applyFill="1" applyBorder="1" applyAlignment="1" applyProtection="1">
      <alignment horizontal="center"/>
      <protection locked="0"/>
    </xf>
    <xf numFmtId="0" fontId="20" fillId="8" borderId="0" xfId="0" applyFont="1" applyFill="1" applyBorder="1" applyAlignment="1" applyProtection="1">
      <alignment horizontal="right"/>
      <protection locked="0"/>
    </xf>
    <xf numFmtId="0" fontId="20" fillId="8" borderId="0" xfId="0" applyFont="1" applyFill="1" applyBorder="1" applyProtection="1">
      <protection locked="0"/>
    </xf>
    <xf numFmtId="0" fontId="3" fillId="0" borderId="13" xfId="0" applyFont="1" applyBorder="1"/>
    <xf numFmtId="166" fontId="2" fillId="0" borderId="9" xfId="0" applyNumberFormat="1" applyFont="1" applyBorder="1"/>
    <xf numFmtId="168" fontId="21" fillId="8" borderId="0" xfId="0" applyNumberFormat="1" applyFont="1" applyFill="1" applyBorder="1" applyProtection="1">
      <protection locked="0"/>
    </xf>
    <xf numFmtId="0" fontId="2" fillId="9" borderId="3" xfId="0" applyFont="1" applyFill="1" applyBorder="1"/>
    <xf numFmtId="0" fontId="2" fillId="9" borderId="0" xfId="0" applyFont="1" applyFill="1" applyBorder="1"/>
    <xf numFmtId="0" fontId="2" fillId="9" borderId="7" xfId="0" applyFont="1" applyFill="1" applyBorder="1"/>
    <xf numFmtId="0" fontId="2" fillId="9" borderId="6" xfId="0" applyFont="1" applyFill="1" applyBorder="1"/>
    <xf numFmtId="0" fontId="3" fillId="9" borderId="3" xfId="0" applyFont="1" applyFill="1" applyBorder="1"/>
    <xf numFmtId="169" fontId="20" fillId="8" borderId="6" xfId="2" applyNumberFormat="1" applyFont="1" applyFill="1" applyBorder="1" applyProtection="1">
      <protection locked="0"/>
    </xf>
    <xf numFmtId="0" fontId="18" fillId="0" borderId="0" xfId="0" applyFont="1" applyBorder="1"/>
    <xf numFmtId="166" fontId="20" fillId="3" borderId="0" xfId="0" applyNumberFormat="1" applyFont="1" applyFill="1" applyBorder="1" applyProtection="1">
      <protection locked="0"/>
    </xf>
    <xf numFmtId="0" fontId="2" fillId="4" borderId="0" xfId="0" applyFont="1" applyFill="1"/>
    <xf numFmtId="167" fontId="6" fillId="0" borderId="0" xfId="0" applyNumberFormat="1" applyFont="1"/>
    <xf numFmtId="0" fontId="2" fillId="0" borderId="0" xfId="0" quotePrefix="1" applyFont="1"/>
    <xf numFmtId="174" fontId="2" fillId="0" borderId="0" xfId="0" applyNumberFormat="1" applyFont="1"/>
    <xf numFmtId="7" fontId="2" fillId="0" borderId="0" xfId="0" applyNumberFormat="1" applyFont="1"/>
    <xf numFmtId="0" fontId="2" fillId="0" borderId="13" xfId="0" quotePrefix="1" applyFont="1" applyBorder="1"/>
    <xf numFmtId="7" fontId="2" fillId="0" borderId="9" xfId="0" applyNumberFormat="1" applyFont="1" applyBorder="1"/>
    <xf numFmtId="7" fontId="2" fillId="0" borderId="14" xfId="0" applyNumberFormat="1" applyFont="1" applyBorder="1"/>
    <xf numFmtId="7" fontId="2" fillId="0" borderId="0" xfId="0" applyNumberFormat="1" applyFont="1" applyBorder="1"/>
    <xf numFmtId="7" fontId="2" fillId="0" borderId="4" xfId="0" applyNumberFormat="1" applyFont="1" applyBorder="1"/>
    <xf numFmtId="0" fontId="2" fillId="0" borderId="7" xfId="0" quotePrefix="1" applyFont="1" applyBorder="1"/>
    <xf numFmtId="169" fontId="2" fillId="0" borderId="6" xfId="2" applyNumberFormat="1" applyFont="1" applyBorder="1"/>
    <xf numFmtId="169" fontId="2" fillId="0" borderId="8" xfId="2" applyNumberFormat="1" applyFont="1" applyBorder="1"/>
    <xf numFmtId="0" fontId="3" fillId="2" borderId="13" xfId="0" applyFont="1" applyFill="1" applyBorder="1"/>
    <xf numFmtId="0" fontId="2" fillId="2" borderId="9" xfId="0" applyFont="1" applyFill="1" applyBorder="1"/>
    <xf numFmtId="0" fontId="2" fillId="2" borderId="14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0" xfId="0" quotePrefix="1" applyFont="1" applyFill="1" applyBorder="1"/>
    <xf numFmtId="166" fontId="2" fillId="2" borderId="0" xfId="0" applyNumberFormat="1" applyFont="1" applyFill="1" applyBorder="1"/>
    <xf numFmtId="166" fontId="2" fillId="2" borderId="4" xfId="0" applyNumberFormat="1" applyFont="1" applyFill="1" applyBorder="1"/>
    <xf numFmtId="0" fontId="2" fillId="2" borderId="7" xfId="0" applyFont="1" applyFill="1" applyBorder="1"/>
    <xf numFmtId="0" fontId="2" fillId="2" borderId="6" xfId="0" applyFont="1" applyFill="1" applyBorder="1"/>
    <xf numFmtId="0" fontId="2" fillId="2" borderId="6" xfId="0" quotePrefix="1" applyFont="1" applyFill="1" applyBorder="1"/>
    <xf numFmtId="166" fontId="2" fillId="2" borderId="6" xfId="0" applyNumberFormat="1" applyFont="1" applyFill="1" applyBorder="1"/>
    <xf numFmtId="166" fontId="2" fillId="2" borderId="8" xfId="0" applyNumberFormat="1" applyFont="1" applyFill="1" applyBorder="1"/>
    <xf numFmtId="0" fontId="9" fillId="9" borderId="0" xfId="0" applyFont="1" applyFill="1" applyBorder="1"/>
    <xf numFmtId="166" fontId="2" fillId="9" borderId="0" xfId="0" applyNumberFormat="1" applyFont="1" applyFill="1" applyBorder="1"/>
    <xf numFmtId="7" fontId="2" fillId="2" borderId="10" xfId="0" applyNumberFormat="1" applyFont="1" applyFill="1" applyBorder="1" applyAlignment="1">
      <alignment horizontal="center"/>
    </xf>
    <xf numFmtId="166" fontId="2" fillId="9" borderId="0" xfId="0" applyNumberFormat="1" applyFont="1" applyFill="1" applyBorder="1" applyAlignment="1">
      <alignment horizontal="right"/>
    </xf>
    <xf numFmtId="0" fontId="2" fillId="9" borderId="9" xfId="0" applyFont="1" applyFill="1" applyBorder="1" applyProtection="1">
      <protection locked="0"/>
    </xf>
    <xf numFmtId="0" fontId="2" fillId="9" borderId="14" xfId="0" applyFont="1" applyFill="1" applyBorder="1" applyProtection="1">
      <protection locked="0"/>
    </xf>
    <xf numFmtId="0" fontId="2" fillId="9" borderId="3" xfId="0" applyFont="1" applyFill="1" applyBorder="1" applyProtection="1">
      <protection locked="0"/>
    </xf>
    <xf numFmtId="0" fontId="2" fillId="9" borderId="0" xfId="0" applyFont="1" applyFill="1" applyBorder="1" applyProtection="1">
      <protection locked="0"/>
    </xf>
    <xf numFmtId="0" fontId="2" fillId="9" borderId="4" xfId="0" applyFont="1" applyFill="1" applyBorder="1" applyProtection="1">
      <protection locked="0"/>
    </xf>
    <xf numFmtId="0" fontId="2" fillId="9" borderId="7" xfId="0" applyFont="1" applyFill="1" applyBorder="1" applyProtection="1">
      <protection locked="0"/>
    </xf>
    <xf numFmtId="0" fontId="2" fillId="9" borderId="6" xfId="0" applyFont="1" applyFill="1" applyBorder="1" applyProtection="1">
      <protection locked="0"/>
    </xf>
    <xf numFmtId="0" fontId="2" fillId="9" borderId="8" xfId="0" applyFont="1" applyFill="1" applyBorder="1" applyProtection="1">
      <protection locked="0"/>
    </xf>
    <xf numFmtId="0" fontId="3" fillId="9" borderId="3" xfId="0" applyFont="1" applyFill="1" applyBorder="1" applyAlignment="1">
      <alignment horizontal="center"/>
    </xf>
    <xf numFmtId="166" fontId="2" fillId="0" borderId="14" xfId="0" applyNumberFormat="1" applyFont="1" applyBorder="1"/>
    <xf numFmtId="37" fontId="2" fillId="3" borderId="6" xfId="0" applyNumberFormat="1" applyFont="1" applyFill="1" applyBorder="1" applyAlignment="1">
      <alignment horizontal="centerContinuous"/>
    </xf>
    <xf numFmtId="166" fontId="2" fillId="0" borderId="6" xfId="0" applyNumberFormat="1" applyFont="1" applyBorder="1"/>
    <xf numFmtId="0" fontId="0" fillId="9" borderId="0" xfId="0" applyFill="1"/>
    <xf numFmtId="0" fontId="0" fillId="9" borderId="3" xfId="0" applyFill="1" applyBorder="1"/>
    <xf numFmtId="0" fontId="0" fillId="9" borderId="4" xfId="0" applyFill="1" applyBorder="1"/>
    <xf numFmtId="0" fontId="16" fillId="0" borderId="0" xfId="0" applyFont="1" applyAlignment="1">
      <alignment horizontal="centerContinuous"/>
    </xf>
    <xf numFmtId="0" fontId="26" fillId="0" borderId="0" xfId="0" applyFont="1" applyAlignment="1">
      <alignment horizontal="right"/>
    </xf>
    <xf numFmtId="1" fontId="26" fillId="3" borderId="0" xfId="0" applyNumberFormat="1" applyFont="1" applyFill="1" applyBorder="1"/>
    <xf numFmtId="0" fontId="16" fillId="3" borderId="0" xfId="0" applyFont="1" applyFill="1" applyBorder="1"/>
    <xf numFmtId="0" fontId="27" fillId="3" borderId="0" xfId="0" applyFont="1" applyFill="1" applyBorder="1"/>
    <xf numFmtId="37" fontId="16" fillId="3" borderId="0" xfId="0" applyNumberFormat="1" applyFont="1" applyFill="1" applyBorder="1"/>
    <xf numFmtId="169" fontId="27" fillId="3" borderId="0" xfId="2" applyNumberFormat="1" applyFont="1" applyFill="1" applyBorder="1"/>
    <xf numFmtId="169" fontId="16" fillId="3" borderId="0" xfId="2" applyNumberFormat="1" applyFont="1" applyFill="1" applyBorder="1" applyAlignment="1">
      <alignment horizontal="center"/>
    </xf>
    <xf numFmtId="0" fontId="16" fillId="0" borderId="0" xfId="0" applyFont="1" applyAlignment="1" applyProtection="1">
      <alignment horizontal="centerContinuous"/>
      <protection locked="0"/>
    </xf>
    <xf numFmtId="0" fontId="20" fillId="8" borderId="0" xfId="0" applyFont="1" applyFill="1" applyProtection="1">
      <protection locked="0"/>
    </xf>
    <xf numFmtId="168" fontId="20" fillId="8" borderId="0" xfId="0" applyNumberFormat="1" applyFont="1" applyFill="1" applyProtection="1">
      <protection locked="0"/>
    </xf>
    <xf numFmtId="166" fontId="20" fillId="8" borderId="0" xfId="0" applyNumberFormat="1" applyFont="1" applyFill="1" applyProtection="1">
      <protection locked="0"/>
    </xf>
    <xf numFmtId="7" fontId="20" fillId="8" borderId="0" xfId="0" applyNumberFormat="1" applyFont="1" applyFill="1" applyProtection="1">
      <protection locked="0"/>
    </xf>
    <xf numFmtId="0" fontId="2" fillId="8" borderId="13" xfId="0" applyFont="1" applyFill="1" applyBorder="1" applyProtection="1">
      <protection locked="0"/>
    </xf>
    <xf numFmtId="0" fontId="2" fillId="8" borderId="9" xfId="0" applyFont="1" applyFill="1" applyBorder="1" applyProtection="1">
      <protection locked="0"/>
    </xf>
    <xf numFmtId="0" fontId="2" fillId="8" borderId="14" xfId="0" applyFont="1" applyFill="1" applyBorder="1" applyProtection="1">
      <protection locked="0"/>
    </xf>
    <xf numFmtId="0" fontId="2" fillId="8" borderId="3" xfId="0" applyFont="1" applyFill="1" applyBorder="1" applyProtection="1">
      <protection locked="0"/>
    </xf>
    <xf numFmtId="0" fontId="2" fillId="8" borderId="0" xfId="0" applyFont="1" applyFill="1" applyBorder="1" applyProtection="1">
      <protection locked="0"/>
    </xf>
    <xf numFmtId="0" fontId="2" fillId="8" borderId="4" xfId="0" applyFont="1" applyFill="1" applyBorder="1" applyProtection="1">
      <protection locked="0"/>
    </xf>
    <xf numFmtId="0" fontId="2" fillId="8" borderId="8" xfId="0" applyFont="1" applyFill="1" applyBorder="1" applyProtection="1">
      <protection locked="0"/>
    </xf>
    <xf numFmtId="0" fontId="20" fillId="8" borderId="3" xfId="0" applyFont="1" applyFill="1" applyBorder="1" applyProtection="1">
      <protection locked="0"/>
    </xf>
    <xf numFmtId="0" fontId="20" fillId="8" borderId="7" xfId="0" applyFont="1" applyFill="1" applyBorder="1" applyProtection="1">
      <protection locked="0"/>
    </xf>
    <xf numFmtId="0" fontId="20" fillId="8" borderId="6" xfId="0" applyFont="1" applyFill="1" applyBorder="1" applyProtection="1">
      <protection locked="0"/>
    </xf>
    <xf numFmtId="39" fontId="20" fillId="8" borderId="0" xfId="0" applyNumberFormat="1" applyFont="1" applyFill="1" applyBorder="1" applyProtection="1">
      <protection locked="0"/>
    </xf>
    <xf numFmtId="166" fontId="21" fillId="8" borderId="0" xfId="0" applyNumberFormat="1" applyFont="1" applyFill="1" applyBorder="1" applyProtection="1">
      <protection locked="0"/>
    </xf>
    <xf numFmtId="0" fontId="21" fillId="8" borderId="0" xfId="0" applyFont="1" applyFill="1" applyBorder="1" applyAlignment="1" applyProtection="1">
      <alignment horizontal="center"/>
      <protection locked="0"/>
    </xf>
    <xf numFmtId="37" fontId="20" fillId="8" borderId="0" xfId="0" applyNumberFormat="1" applyFont="1" applyFill="1" applyBorder="1" applyProtection="1">
      <protection locked="0"/>
    </xf>
    <xf numFmtId="0" fontId="3" fillId="8" borderId="0" xfId="0" applyFont="1" applyFill="1" applyBorder="1" applyAlignment="1" applyProtection="1">
      <alignment horizontal="centerContinuous"/>
      <protection locked="0"/>
    </xf>
    <xf numFmtId="0" fontId="2" fillId="8" borderId="0" xfId="0" applyFont="1" applyFill="1" applyBorder="1" applyAlignment="1" applyProtection="1">
      <alignment horizontal="centerContinuous"/>
      <protection locked="0"/>
    </xf>
    <xf numFmtId="169" fontId="17" fillId="9" borderId="1" xfId="2" applyNumberFormat="1" applyFont="1" applyFill="1" applyBorder="1" applyProtection="1"/>
    <xf numFmtId="169" fontId="17" fillId="9" borderId="2" xfId="2" applyNumberFormat="1" applyFont="1" applyFill="1" applyBorder="1" applyProtection="1"/>
    <xf numFmtId="169" fontId="17" fillId="9" borderId="5" xfId="2" applyNumberFormat="1" applyFont="1" applyFill="1" applyBorder="1" applyProtection="1"/>
    <xf numFmtId="169" fontId="2" fillId="2" borderId="10" xfId="2" applyNumberFormat="1" applyFont="1" applyFill="1" applyBorder="1" applyProtection="1">
      <protection locked="0"/>
    </xf>
    <xf numFmtId="7" fontId="30" fillId="0" borderId="0" xfId="0" applyNumberFormat="1" applyFont="1" applyBorder="1"/>
    <xf numFmtId="0" fontId="29" fillId="0" borderId="0" xfId="0" applyFont="1" applyBorder="1" applyAlignment="1">
      <alignment horizontal="centerContinuous"/>
    </xf>
    <xf numFmtId="0" fontId="16" fillId="0" borderId="0" xfId="0" applyFont="1" applyBorder="1" applyAlignment="1">
      <alignment horizontal="centerContinuous"/>
    </xf>
    <xf numFmtId="0" fontId="25" fillId="0" borderId="0" xfId="0" applyFont="1" applyBorder="1" applyAlignment="1">
      <alignment horizontal="centerContinuous"/>
    </xf>
    <xf numFmtId="0" fontId="16" fillId="0" borderId="0" xfId="0" applyFont="1" applyBorder="1"/>
    <xf numFmtId="39" fontId="16" fillId="0" borderId="0" xfId="0" applyNumberFormat="1" applyFont="1" applyBorder="1"/>
    <xf numFmtId="39" fontId="16" fillId="0" borderId="0" xfId="0" applyNumberFormat="1" applyFont="1" applyBorder="1" applyAlignment="1">
      <alignment horizontal="center"/>
    </xf>
    <xf numFmtId="166" fontId="16" fillId="0" borderId="0" xfId="0" applyNumberFormat="1" applyFont="1" applyBorder="1"/>
    <xf numFmtId="0" fontId="28" fillId="0" borderId="0" xfId="0" applyFont="1" applyBorder="1"/>
    <xf numFmtId="169" fontId="16" fillId="0" borderId="0" xfId="2" applyNumberFormat="1" applyFont="1" applyBorder="1"/>
    <xf numFmtId="7" fontId="16" fillId="3" borderId="0" xfId="0" applyNumberFormat="1" applyFont="1" applyFill="1" applyBorder="1"/>
    <xf numFmtId="169" fontId="16" fillId="0" borderId="0" xfId="2" applyNumberFormat="1" applyFont="1" applyBorder="1" applyAlignment="1">
      <alignment horizontal="center"/>
    </xf>
    <xf numFmtId="168" fontId="20" fillId="8" borderId="3" xfId="0" applyNumberFormat="1" applyFont="1" applyFill="1" applyBorder="1" applyProtection="1">
      <protection locked="0"/>
    </xf>
    <xf numFmtId="168" fontId="20" fillId="8" borderId="4" xfId="0" applyNumberFormat="1" applyFont="1" applyFill="1" applyBorder="1" applyProtection="1">
      <protection locked="0"/>
    </xf>
    <xf numFmtId="0" fontId="20" fillId="8" borderId="4" xfId="0" applyFont="1" applyFill="1" applyBorder="1" applyProtection="1">
      <protection locked="0"/>
    </xf>
    <xf numFmtId="166" fontId="20" fillId="8" borderId="4" xfId="0" applyNumberFormat="1" applyFont="1" applyFill="1" applyBorder="1" applyProtection="1">
      <protection locked="0"/>
    </xf>
    <xf numFmtId="7" fontId="20" fillId="8" borderId="4" xfId="0" applyNumberFormat="1" applyFont="1" applyFill="1" applyBorder="1" applyProtection="1">
      <protection locked="0"/>
    </xf>
    <xf numFmtId="0" fontId="20" fillId="8" borderId="8" xfId="0" applyFont="1" applyFill="1" applyBorder="1" applyProtection="1">
      <protection locked="0"/>
    </xf>
    <xf numFmtId="0" fontId="17" fillId="0" borderId="0" xfId="0" applyFont="1" applyAlignment="1" applyProtection="1">
      <alignment horizontal="centerContinuous"/>
      <protection locked="0"/>
    </xf>
    <xf numFmtId="0" fontId="17" fillId="0" borderId="0" xfId="0" applyFont="1" applyAlignment="1">
      <alignment horizontal="centerContinuous"/>
    </xf>
    <xf numFmtId="0" fontId="31" fillId="0" borderId="0" xfId="0" applyFont="1"/>
    <xf numFmtId="0" fontId="31" fillId="0" borderId="0" xfId="0" applyFont="1" applyAlignment="1">
      <alignment horizontal="right"/>
    </xf>
    <xf numFmtId="0" fontId="31" fillId="0" borderId="0" xfId="0" applyFont="1" applyAlignment="1">
      <alignment horizontal="center"/>
    </xf>
    <xf numFmtId="0" fontId="31" fillId="3" borderId="0" xfId="0" applyFont="1" applyFill="1" applyBorder="1"/>
    <xf numFmtId="1" fontId="31" fillId="3" borderId="0" xfId="0" applyNumberFormat="1" applyFont="1" applyFill="1" applyBorder="1"/>
    <xf numFmtId="0" fontId="17" fillId="3" borderId="0" xfId="0" applyFont="1" applyFill="1" applyBorder="1"/>
    <xf numFmtId="0" fontId="32" fillId="3" borderId="0" xfId="0" applyFont="1" applyFill="1" applyBorder="1"/>
    <xf numFmtId="169" fontId="17" fillId="3" borderId="0" xfId="2" applyNumberFormat="1" applyFont="1" applyFill="1" applyBorder="1"/>
    <xf numFmtId="37" fontId="17" fillId="3" borderId="0" xfId="0" applyNumberFormat="1" applyFont="1" applyFill="1" applyBorder="1"/>
    <xf numFmtId="0" fontId="32" fillId="3" borderId="0" xfId="0" applyFont="1" applyFill="1" applyBorder="1" applyAlignment="1">
      <alignment horizontal="center"/>
    </xf>
    <xf numFmtId="169" fontId="32" fillId="3" borderId="0" xfId="2" applyNumberFormat="1" applyFont="1" applyFill="1" applyBorder="1"/>
    <xf numFmtId="0" fontId="32" fillId="3" borderId="0" xfId="0" applyFont="1" applyFill="1" applyBorder="1" applyAlignment="1">
      <alignment horizontal="left"/>
    </xf>
    <xf numFmtId="37" fontId="33" fillId="3" borderId="0" xfId="0" applyNumberFormat="1" applyFont="1" applyFill="1" applyBorder="1" applyAlignment="1">
      <alignment horizontal="center"/>
    </xf>
    <xf numFmtId="37" fontId="17" fillId="3" borderId="0" xfId="0" applyNumberFormat="1" applyFont="1" applyFill="1" applyBorder="1" applyAlignment="1">
      <alignment horizontal="center"/>
    </xf>
    <xf numFmtId="169" fontId="17" fillId="3" borderId="0" xfId="2" applyNumberFormat="1" applyFont="1" applyFill="1" applyBorder="1" applyAlignment="1">
      <alignment horizontal="center"/>
    </xf>
    <xf numFmtId="0" fontId="2" fillId="0" borderId="0" xfId="0" applyFont="1" applyProtection="1">
      <protection locked="0"/>
    </xf>
    <xf numFmtId="0" fontId="17" fillId="0" borderId="0" xfId="0" applyFont="1" applyProtection="1">
      <protection locked="0"/>
    </xf>
    <xf numFmtId="0" fontId="34" fillId="0" borderId="0" xfId="0" applyFont="1" applyAlignment="1" applyProtection="1">
      <alignment horizontal="centerContinuous"/>
      <protection locked="0"/>
    </xf>
    <xf numFmtId="0" fontId="34" fillId="0" borderId="0" xfId="0" applyFont="1" applyAlignment="1">
      <alignment horizontal="centerContinuous"/>
    </xf>
    <xf numFmtId="0" fontId="2" fillId="9" borderId="13" xfId="0" applyFont="1" applyFill="1" applyBorder="1"/>
    <xf numFmtId="0" fontId="2" fillId="9" borderId="9" xfId="0" applyFont="1" applyFill="1" applyBorder="1"/>
    <xf numFmtId="0" fontId="2" fillId="9" borderId="14" xfId="0" applyFont="1" applyFill="1" applyBorder="1"/>
    <xf numFmtId="37" fontId="2" fillId="9" borderId="4" xfId="0" applyNumberFormat="1" applyFont="1" applyFill="1" applyBorder="1"/>
    <xf numFmtId="7" fontId="2" fillId="9" borderId="8" xfId="0" applyNumberFormat="1" applyFont="1" applyFill="1" applyBorder="1"/>
    <xf numFmtId="166" fontId="2" fillId="0" borderId="10" xfId="0" applyNumberFormat="1" applyFont="1" applyBorder="1"/>
    <xf numFmtId="37" fontId="2" fillId="0" borderId="0" xfId="0" applyNumberFormat="1" applyFont="1" applyProtection="1">
      <protection locked="0"/>
    </xf>
    <xf numFmtId="169" fontId="2" fillId="0" borderId="0" xfId="2" applyNumberFormat="1" applyFont="1" applyProtection="1">
      <protection locked="0"/>
    </xf>
    <xf numFmtId="169" fontId="2" fillId="0" borderId="0" xfId="0" applyNumberFormat="1" applyFont="1" applyProtection="1">
      <protection locked="0"/>
    </xf>
    <xf numFmtId="0" fontId="8" fillId="0" borderId="0" xfId="0" applyFont="1" applyProtection="1">
      <protection locked="0"/>
    </xf>
    <xf numFmtId="177" fontId="2" fillId="0" borderId="0" xfId="1" applyNumberFormat="1" applyFont="1" applyProtection="1">
      <protection locked="0"/>
    </xf>
    <xf numFmtId="178" fontId="2" fillId="0" borderId="0" xfId="1" applyNumberFormat="1" applyFont="1" applyProtection="1">
      <protection locked="0"/>
    </xf>
    <xf numFmtId="177" fontId="2" fillId="0" borderId="0" xfId="0" applyNumberFormat="1" applyFont="1" applyProtection="1">
      <protection locked="0"/>
    </xf>
    <xf numFmtId="176" fontId="2" fillId="0" borderId="0" xfId="0" applyNumberFormat="1" applyFont="1" applyProtection="1">
      <protection locked="0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26</xdr:row>
      <xdr:rowOff>0</xdr:rowOff>
    </xdr:from>
    <xdr:to>
      <xdr:col>11</xdr:col>
      <xdr:colOff>0</xdr:colOff>
      <xdr:row>29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600325" y="4210050"/>
          <a:ext cx="5048250" cy="4857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57</xdr:row>
      <xdr:rowOff>0</xdr:rowOff>
    </xdr:from>
    <xdr:to>
      <xdr:col>11</xdr:col>
      <xdr:colOff>0</xdr:colOff>
      <xdr:row>60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600325" y="9020175"/>
          <a:ext cx="5048250" cy="4857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zoomScale="75" workbookViewId="0">
      <selection activeCell="E12" sqref="E12"/>
    </sheetView>
  </sheetViews>
  <sheetFormatPr defaultRowHeight="12.75" x14ac:dyDescent="0.2"/>
  <cols>
    <col min="1" max="4" width="9.140625" style="1"/>
    <col min="5" max="5" width="12.42578125" style="1" customWidth="1"/>
    <col min="6" max="16384" width="9.140625" style="1"/>
  </cols>
  <sheetData>
    <row r="1" spans="1:12" x14ac:dyDescent="0.2">
      <c r="A1" s="193" t="s">
        <v>0</v>
      </c>
      <c r="B1" s="194"/>
      <c r="C1" s="194"/>
      <c r="D1" s="194"/>
      <c r="E1" s="194"/>
      <c r="F1" s="194"/>
      <c r="G1" s="194"/>
      <c r="H1" s="194"/>
      <c r="I1" s="194"/>
      <c r="J1" s="194"/>
      <c r="K1" s="194"/>
      <c r="L1" s="195"/>
    </row>
    <row r="2" spans="1:12" x14ac:dyDescent="0.2">
      <c r="A2" s="196"/>
      <c r="B2" s="197"/>
      <c r="C2" s="197"/>
      <c r="D2" s="197"/>
      <c r="E2" s="197"/>
      <c r="F2" s="197"/>
      <c r="G2" s="197"/>
      <c r="H2" s="197"/>
      <c r="I2" s="197"/>
      <c r="J2" s="197"/>
      <c r="K2" s="197"/>
      <c r="L2" s="198"/>
    </row>
    <row r="3" spans="1:12" x14ac:dyDescent="0.2">
      <c r="A3" s="15" t="s">
        <v>1</v>
      </c>
      <c r="B3" s="16"/>
      <c r="C3" s="16"/>
      <c r="D3" s="16"/>
      <c r="E3" s="16" t="s">
        <v>2</v>
      </c>
      <c r="F3" s="16"/>
      <c r="G3" s="16"/>
      <c r="H3" s="16" t="s">
        <v>3</v>
      </c>
      <c r="I3" s="16"/>
      <c r="J3" s="16"/>
      <c r="K3" s="199">
        <v>35400</v>
      </c>
      <c r="L3" s="200">
        <v>1996</v>
      </c>
    </row>
    <row r="4" spans="1:12" x14ac:dyDescent="0.2">
      <c r="A4" s="15" t="s">
        <v>4</v>
      </c>
      <c r="B4" s="16"/>
      <c r="C4" s="16"/>
      <c r="D4" s="16"/>
      <c r="E4" s="16" t="s">
        <v>5</v>
      </c>
      <c r="F4" s="16"/>
      <c r="G4" s="16"/>
      <c r="H4" s="16" t="s">
        <v>6</v>
      </c>
      <c r="I4" s="16"/>
      <c r="J4" s="16"/>
      <c r="K4" s="14" t="s">
        <v>7</v>
      </c>
      <c r="L4" s="201"/>
    </row>
    <row r="5" spans="1:12" x14ac:dyDescent="0.2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7"/>
    </row>
    <row r="6" spans="1:12" x14ac:dyDescent="0.2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7"/>
    </row>
    <row r="7" spans="1:12" x14ac:dyDescent="0.2">
      <c r="A7" s="126"/>
      <c r="B7" s="127"/>
      <c r="C7" s="127"/>
      <c r="D7" s="127"/>
      <c r="E7" s="127"/>
      <c r="F7" s="127"/>
      <c r="G7" s="127"/>
      <c r="H7" s="127"/>
      <c r="I7" s="127"/>
      <c r="J7" s="127"/>
      <c r="K7" s="127"/>
      <c r="L7" s="106"/>
    </row>
    <row r="8" spans="1:12" x14ac:dyDescent="0.2">
      <c r="A8" s="193" t="s">
        <v>8</v>
      </c>
      <c r="B8" s="194"/>
      <c r="C8" s="194"/>
      <c r="D8" s="194"/>
      <c r="E8" s="194"/>
      <c r="F8" s="194"/>
      <c r="G8" s="194"/>
      <c r="H8" s="194"/>
      <c r="I8" s="194"/>
      <c r="J8" s="194"/>
      <c r="K8" s="194"/>
      <c r="L8" s="195"/>
    </row>
    <row r="9" spans="1:12" x14ac:dyDescent="0.2">
      <c r="A9" s="196"/>
      <c r="B9" s="197"/>
      <c r="C9" s="197"/>
      <c r="D9" s="197"/>
      <c r="E9" s="197"/>
      <c r="F9" s="197"/>
      <c r="G9" s="197"/>
      <c r="H9" s="197"/>
      <c r="I9" s="197"/>
      <c r="J9" s="197"/>
      <c r="K9" s="197"/>
      <c r="L9" s="198"/>
    </row>
    <row r="10" spans="1:12" x14ac:dyDescent="0.2">
      <c r="A10" s="15" t="s">
        <v>9</v>
      </c>
      <c r="B10" s="16"/>
      <c r="C10" s="16"/>
      <c r="D10" s="16"/>
      <c r="E10" s="202">
        <v>0.12</v>
      </c>
      <c r="F10" s="16"/>
      <c r="G10" s="16"/>
      <c r="H10" s="16" t="s">
        <v>10</v>
      </c>
      <c r="I10" s="16"/>
      <c r="J10" s="16"/>
      <c r="K10" s="16"/>
      <c r="L10" s="203">
        <f>'Additional Calculations'!B16</f>
        <v>0.43557951482479912</v>
      </c>
    </row>
    <row r="11" spans="1:12" x14ac:dyDescent="0.2">
      <c r="A11" s="15" t="s">
        <v>11</v>
      </c>
      <c r="B11" s="16"/>
      <c r="C11" s="16"/>
      <c r="D11" s="16"/>
      <c r="E11" s="204">
        <v>7</v>
      </c>
      <c r="F11" s="16"/>
      <c r="G11" s="16"/>
      <c r="H11" s="16"/>
      <c r="I11" s="16"/>
      <c r="J11" s="16"/>
      <c r="K11" s="16"/>
      <c r="L11" s="17"/>
    </row>
    <row r="12" spans="1:12" x14ac:dyDescent="0.2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7"/>
    </row>
    <row r="13" spans="1:12" x14ac:dyDescent="0.2">
      <c r="A13" s="342" t="s">
        <v>12</v>
      </c>
      <c r="B13" s="343"/>
      <c r="C13" s="343"/>
      <c r="D13" s="343"/>
      <c r="E13" s="344"/>
      <c r="F13" s="16"/>
      <c r="G13" s="16"/>
      <c r="H13" s="16"/>
      <c r="I13" s="16"/>
      <c r="J13" s="16"/>
      <c r="K13" s="16"/>
      <c r="L13" s="17"/>
    </row>
    <row r="14" spans="1:12" x14ac:dyDescent="0.2">
      <c r="A14" s="217" t="s">
        <v>13</v>
      </c>
      <c r="B14" s="218"/>
      <c r="C14" s="218"/>
      <c r="D14" s="218"/>
      <c r="E14" s="345">
        <f>+DCF!E35</f>
        <v>2270.7997104395326</v>
      </c>
      <c r="F14" s="16"/>
      <c r="G14" s="16"/>
      <c r="H14" s="16"/>
      <c r="I14" s="16"/>
      <c r="J14" s="16"/>
      <c r="K14" s="16"/>
      <c r="L14" s="17"/>
    </row>
    <row r="15" spans="1:12" x14ac:dyDescent="0.2">
      <c r="A15" s="219" t="s">
        <v>14</v>
      </c>
      <c r="B15" s="220"/>
      <c r="C15" s="220"/>
      <c r="D15" s="220"/>
      <c r="E15" s="346">
        <f>+DCF!E40</f>
        <v>41.118938550777507</v>
      </c>
      <c r="F15" s="127"/>
      <c r="G15" s="127"/>
      <c r="H15" s="127"/>
      <c r="I15" s="127"/>
      <c r="J15" s="127"/>
      <c r="K15" s="127"/>
      <c r="L15" s="106"/>
    </row>
    <row r="16" spans="1:12" x14ac:dyDescent="0.2">
      <c r="A16" s="193" t="s">
        <v>15</v>
      </c>
      <c r="B16" s="194"/>
      <c r="C16" s="194"/>
      <c r="D16" s="194"/>
      <c r="E16" s="194"/>
      <c r="F16" s="194"/>
      <c r="G16" s="194"/>
      <c r="H16" s="194"/>
      <c r="I16" s="194"/>
      <c r="J16" s="194"/>
      <c r="K16" s="194"/>
      <c r="L16" s="195"/>
    </row>
    <row r="17" spans="1:12" x14ac:dyDescent="0.2">
      <c r="A17" s="196"/>
      <c r="B17" s="197"/>
      <c r="C17" s="197"/>
      <c r="D17" s="197"/>
      <c r="E17" s="197"/>
      <c r="F17" s="197"/>
      <c r="G17" s="197"/>
      <c r="H17" s="197"/>
      <c r="I17" s="197"/>
      <c r="J17" s="197"/>
      <c r="K17" s="197"/>
      <c r="L17" s="198"/>
    </row>
    <row r="18" spans="1:12" x14ac:dyDescent="0.2">
      <c r="A18" s="205" t="s">
        <v>16</v>
      </c>
      <c r="B18" s="16"/>
      <c r="C18" s="16"/>
      <c r="D18" s="16"/>
      <c r="E18" s="16"/>
      <c r="F18" s="16"/>
      <c r="G18" s="206">
        <f>+K3+365</f>
        <v>35765</v>
      </c>
      <c r="H18" s="206">
        <f>+G18+365</f>
        <v>36130</v>
      </c>
      <c r="I18" s="206">
        <f>+H18+365</f>
        <v>36495</v>
      </c>
      <c r="J18" s="206">
        <f>+I18+370</f>
        <v>36865</v>
      </c>
      <c r="K18" s="206">
        <f>+J18+365</f>
        <v>37230</v>
      </c>
      <c r="L18" s="207" t="s">
        <v>17</v>
      </c>
    </row>
    <row r="19" spans="1:12" x14ac:dyDescent="0.2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208"/>
    </row>
    <row r="20" spans="1:12" x14ac:dyDescent="0.2">
      <c r="A20" s="15"/>
      <c r="B20" s="16"/>
      <c r="C20" s="16"/>
      <c r="D20" s="16"/>
      <c r="E20" s="16" t="str">
        <f>+E3</f>
        <v>Safeway, Inc.</v>
      </c>
      <c r="F20" s="16"/>
      <c r="G20" s="209">
        <v>0</v>
      </c>
      <c r="H20" s="209">
        <v>0</v>
      </c>
      <c r="I20" s="210"/>
      <c r="J20" s="210"/>
      <c r="K20" s="210"/>
      <c r="L20" s="211">
        <v>0</v>
      </c>
    </row>
    <row r="21" spans="1:12" x14ac:dyDescent="0.2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7"/>
    </row>
    <row r="22" spans="1:12" x14ac:dyDescent="0.2">
      <c r="A22" s="205" t="s">
        <v>18</v>
      </c>
      <c r="B22" s="16"/>
      <c r="C22" s="16"/>
      <c r="D22" s="16"/>
      <c r="E22" s="16" t="s">
        <v>19</v>
      </c>
      <c r="F22" s="16"/>
      <c r="G22" s="202">
        <v>0</v>
      </c>
      <c r="H22" s="202">
        <v>0</v>
      </c>
      <c r="I22" s="202">
        <v>0</v>
      </c>
      <c r="J22" s="202">
        <v>0</v>
      </c>
      <c r="K22" s="202">
        <v>0</v>
      </c>
      <c r="L22" s="17"/>
    </row>
    <row r="23" spans="1:12" x14ac:dyDescent="0.2">
      <c r="A23" s="125" t="s">
        <v>20</v>
      </c>
      <c r="B23" s="16"/>
      <c r="C23" s="16"/>
      <c r="D23" s="16"/>
      <c r="E23" s="16" t="s">
        <v>21</v>
      </c>
      <c r="F23" s="16"/>
      <c r="G23" s="204">
        <v>0</v>
      </c>
      <c r="H23" s="204">
        <v>0</v>
      </c>
      <c r="I23" s="204">
        <v>0</v>
      </c>
      <c r="J23" s="204">
        <v>0</v>
      </c>
      <c r="K23" s="204">
        <v>0</v>
      </c>
      <c r="L23" s="17"/>
    </row>
    <row r="24" spans="1:12" x14ac:dyDescent="0.2">
      <c r="A24" s="125"/>
      <c r="B24" s="16"/>
      <c r="C24" s="16"/>
      <c r="D24" s="16"/>
      <c r="E24" s="16"/>
      <c r="F24" s="16"/>
      <c r="G24" s="224"/>
      <c r="H24" s="224"/>
      <c r="I24" s="224"/>
      <c r="J24" s="224"/>
      <c r="K24" s="224"/>
      <c r="L24" s="17"/>
    </row>
    <row r="25" spans="1:12" x14ac:dyDescent="0.2">
      <c r="A25" s="125"/>
      <c r="B25" s="16"/>
      <c r="C25" s="16"/>
      <c r="D25" s="16"/>
      <c r="E25" s="16" t="s">
        <v>22</v>
      </c>
      <c r="F25" s="19" t="s">
        <v>23</v>
      </c>
      <c r="G25" s="299">
        <f>+'EPS Accretion'!G60</f>
        <v>0</v>
      </c>
      <c r="H25" s="300">
        <f>+'EPS Accretion'!H60</f>
        <v>0</v>
      </c>
      <c r="I25" s="300">
        <f>+'EPS Accretion'!I60</f>
        <v>0</v>
      </c>
      <c r="J25" s="300">
        <f>+'EPS Accretion'!J60</f>
        <v>0</v>
      </c>
      <c r="K25" s="301">
        <f>+'EPS Accretion'!K60</f>
        <v>0</v>
      </c>
      <c r="L25" s="17"/>
    </row>
    <row r="26" spans="1:12" x14ac:dyDescent="0.2">
      <c r="A26" s="15"/>
      <c r="B26" s="16"/>
      <c r="C26" s="16"/>
      <c r="D26" s="16"/>
      <c r="E26" s="16"/>
      <c r="F26" s="19" t="s">
        <v>24</v>
      </c>
      <c r="G26" s="299">
        <f>+'EPS Accretion'!G29</f>
        <v>0</v>
      </c>
      <c r="H26" s="300">
        <f>+'EPS Accretion'!H29</f>
        <v>0</v>
      </c>
      <c r="I26" s="300">
        <f>+'EPS Accretion'!I29</f>
        <v>0</v>
      </c>
      <c r="J26" s="300">
        <f>+'EPS Accretion'!J29</f>
        <v>0</v>
      </c>
      <c r="K26" s="301">
        <f>+'EPS Accretion'!K29</f>
        <v>0</v>
      </c>
      <c r="L26" s="17"/>
    </row>
    <row r="27" spans="1:12" x14ac:dyDescent="0.2">
      <c r="A27" s="205" t="s">
        <v>25</v>
      </c>
      <c r="B27" s="16"/>
      <c r="C27" s="16"/>
      <c r="D27" s="16"/>
      <c r="E27" s="16"/>
      <c r="F27" s="16"/>
      <c r="G27" s="196" t="s">
        <v>26</v>
      </c>
      <c r="H27" s="197"/>
      <c r="I27" s="197"/>
      <c r="J27" s="197"/>
      <c r="K27" s="215"/>
      <c r="L27" s="198"/>
    </row>
    <row r="28" spans="1:12" x14ac:dyDescent="0.2">
      <c r="A28" s="15"/>
      <c r="B28" s="16"/>
      <c r="C28" s="16"/>
      <c r="D28" s="16"/>
      <c r="E28" s="16"/>
      <c r="F28" s="16"/>
      <c r="G28" s="205" t="s">
        <v>27</v>
      </c>
      <c r="H28" s="16"/>
      <c r="I28" s="16"/>
      <c r="J28" s="16"/>
      <c r="K28" s="16"/>
      <c r="L28" s="17"/>
    </row>
    <row r="29" spans="1:12" x14ac:dyDescent="0.2">
      <c r="A29" s="15"/>
      <c r="B29" s="16"/>
      <c r="C29" s="16"/>
      <c r="D29" s="16"/>
      <c r="E29" s="16"/>
      <c r="F29" s="16"/>
      <c r="G29" s="15"/>
      <c r="H29" s="16"/>
      <c r="I29" s="16"/>
      <c r="J29" s="16"/>
      <c r="K29" s="16"/>
      <c r="L29" s="17"/>
    </row>
    <row r="30" spans="1:12" x14ac:dyDescent="0.2">
      <c r="A30" s="15" t="s">
        <v>28</v>
      </c>
      <c r="B30" s="16"/>
      <c r="C30" s="16"/>
      <c r="D30" s="16"/>
      <c r="E30" s="59">
        <v>44174285</v>
      </c>
      <c r="F30" s="16"/>
      <c r="G30" s="15" t="s">
        <v>29</v>
      </c>
      <c r="H30" s="16"/>
      <c r="I30" s="16"/>
      <c r="J30" s="16"/>
      <c r="K30" s="97">
        <v>28.8</v>
      </c>
      <c r="L30" s="17" t="s">
        <v>30</v>
      </c>
    </row>
    <row r="31" spans="1:12" x14ac:dyDescent="0.2">
      <c r="A31" s="15" t="s">
        <v>31</v>
      </c>
      <c r="B31" s="16"/>
      <c r="C31" s="16"/>
      <c r="D31" s="16"/>
      <c r="E31" s="59">
        <v>232200000</v>
      </c>
      <c r="F31" s="16"/>
      <c r="G31" s="15" t="s">
        <v>32</v>
      </c>
      <c r="H31" s="16"/>
      <c r="I31" s="16"/>
      <c r="J31" s="16"/>
      <c r="K31" s="216">
        <v>0</v>
      </c>
      <c r="L31" s="17"/>
    </row>
    <row r="32" spans="1:12" x14ac:dyDescent="0.2">
      <c r="A32" s="15"/>
      <c r="B32" s="16"/>
      <c r="C32" s="16"/>
      <c r="D32" s="16"/>
      <c r="E32" s="16"/>
      <c r="F32" s="16"/>
      <c r="G32" s="15" t="s">
        <v>33</v>
      </c>
      <c r="H32" s="16"/>
      <c r="I32" s="16"/>
      <c r="J32" s="16"/>
      <c r="K32" s="97">
        <f>+K30*K31</f>
        <v>0</v>
      </c>
      <c r="L32" s="17" t="s">
        <v>30</v>
      </c>
    </row>
    <row r="33" spans="1:12" x14ac:dyDescent="0.2">
      <c r="A33" s="15" t="s">
        <v>34</v>
      </c>
      <c r="B33" s="16"/>
      <c r="C33" s="16"/>
      <c r="D33" s="16"/>
      <c r="E33" s="212" t="s">
        <v>35</v>
      </c>
      <c r="F33" s="16"/>
      <c r="G33" s="15"/>
      <c r="H33" s="16"/>
      <c r="I33" s="16"/>
      <c r="J33" s="16"/>
      <c r="K33" s="16"/>
      <c r="L33" s="17"/>
    </row>
    <row r="34" spans="1:12" x14ac:dyDescent="0.2">
      <c r="A34" s="15" t="s">
        <v>36</v>
      </c>
      <c r="B34" s="16"/>
      <c r="C34" s="16"/>
      <c r="D34" s="16"/>
      <c r="E34" s="213">
        <v>0</v>
      </c>
      <c r="F34" s="16"/>
      <c r="G34" s="15" t="s">
        <v>37</v>
      </c>
      <c r="H34" s="16"/>
      <c r="I34" s="16"/>
      <c r="J34" s="16"/>
      <c r="K34" s="209">
        <v>0</v>
      </c>
      <c r="L34" s="17"/>
    </row>
    <row r="35" spans="1:12" x14ac:dyDescent="0.2">
      <c r="A35" s="15"/>
      <c r="B35" s="16"/>
      <c r="C35" s="16"/>
      <c r="D35" s="16"/>
      <c r="E35" s="16"/>
      <c r="F35" s="16"/>
      <c r="G35" s="15"/>
      <c r="H35" s="16"/>
      <c r="I35" s="16"/>
      <c r="J35" s="16"/>
      <c r="K35" s="16"/>
      <c r="L35" s="17"/>
    </row>
    <row r="36" spans="1:12" x14ac:dyDescent="0.2">
      <c r="A36" s="15" t="s">
        <v>38</v>
      </c>
      <c r="B36" s="16"/>
      <c r="C36" s="16"/>
      <c r="D36" s="16"/>
      <c r="E36" s="202">
        <v>0</v>
      </c>
      <c r="F36" s="16"/>
      <c r="G36" s="15" t="s">
        <v>39</v>
      </c>
      <c r="H36" s="16"/>
      <c r="I36" s="16"/>
      <c r="J36" s="16"/>
      <c r="K36" s="347">
        <f>+K32*K34</f>
        <v>0</v>
      </c>
      <c r="L36" s="17"/>
    </row>
    <row r="37" spans="1:12" x14ac:dyDescent="0.2">
      <c r="A37" s="15" t="s">
        <v>40</v>
      </c>
      <c r="B37" s="16"/>
      <c r="C37" s="16"/>
      <c r="D37" s="16"/>
      <c r="E37" s="97">
        <v>34</v>
      </c>
      <c r="F37" s="16"/>
      <c r="G37" s="15" t="s">
        <v>41</v>
      </c>
      <c r="H37" s="16"/>
      <c r="I37" s="16"/>
      <c r="J37" s="16"/>
      <c r="K37" s="97">
        <f>IF(K36=0,0,286.4)</f>
        <v>0</v>
      </c>
      <c r="L37" s="17"/>
    </row>
    <row r="38" spans="1:12" x14ac:dyDescent="0.2">
      <c r="A38" s="214" t="s">
        <v>42</v>
      </c>
      <c r="B38" s="197"/>
      <c r="C38" s="197"/>
      <c r="D38" s="118"/>
      <c r="E38" s="197"/>
      <c r="F38" s="198"/>
      <c r="G38" s="15" t="s">
        <v>43</v>
      </c>
      <c r="H38" s="16"/>
      <c r="I38" s="16"/>
      <c r="J38" s="16"/>
      <c r="K38" s="16"/>
      <c r="L38" s="17"/>
    </row>
    <row r="39" spans="1:12" x14ac:dyDescent="0.2">
      <c r="A39" s="15" t="s">
        <v>37</v>
      </c>
      <c r="B39" s="16"/>
      <c r="C39" s="16"/>
      <c r="D39" s="63"/>
      <c r="E39" s="209">
        <v>0</v>
      </c>
      <c r="F39" s="17"/>
      <c r="G39" s="15" t="s">
        <v>44</v>
      </c>
      <c r="H39" s="16"/>
      <c r="I39" s="16"/>
      <c r="J39" s="16"/>
      <c r="K39" s="98">
        <f>IF(K36=0,0,102.9)</f>
        <v>0</v>
      </c>
      <c r="L39" s="17"/>
    </row>
    <row r="40" spans="1:12" x14ac:dyDescent="0.2">
      <c r="A40" s="15" t="s">
        <v>45</v>
      </c>
      <c r="B40" s="16"/>
      <c r="C40" s="16"/>
      <c r="D40" s="63"/>
      <c r="E40" s="16"/>
      <c r="F40" s="17"/>
      <c r="G40" s="15" t="s">
        <v>46</v>
      </c>
      <c r="H40" s="16"/>
      <c r="I40" s="16"/>
      <c r="J40" s="16"/>
      <c r="K40" s="97">
        <f>SUM(K36:K39)</f>
        <v>0</v>
      </c>
      <c r="L40" s="17"/>
    </row>
    <row r="41" spans="1:12" x14ac:dyDescent="0.2">
      <c r="A41" s="15" t="s">
        <v>47</v>
      </c>
      <c r="B41" s="16"/>
      <c r="C41" s="16"/>
      <c r="D41" s="63"/>
      <c r="E41" s="202">
        <v>0</v>
      </c>
      <c r="F41" s="17"/>
      <c r="G41" s="15" t="s">
        <v>48</v>
      </c>
      <c r="H41" s="16"/>
      <c r="I41" s="16"/>
      <c r="J41" s="16"/>
      <c r="K41" s="98">
        <f>IF(K36=0,0,+Vons!B30)</f>
        <v>0</v>
      </c>
      <c r="L41" s="17"/>
    </row>
    <row r="42" spans="1:12" x14ac:dyDescent="0.2">
      <c r="A42" s="15" t="s">
        <v>49</v>
      </c>
      <c r="B42" s="16"/>
      <c r="C42" s="16"/>
      <c r="D42" s="63"/>
      <c r="E42" s="204">
        <v>0</v>
      </c>
      <c r="F42" s="17"/>
      <c r="G42" s="15" t="s">
        <v>50</v>
      </c>
      <c r="H42" s="16"/>
      <c r="I42" s="16"/>
      <c r="J42" s="16"/>
      <c r="K42" s="97">
        <f>+K40-K41</f>
        <v>0</v>
      </c>
      <c r="L42" s="17"/>
    </row>
    <row r="43" spans="1:12" x14ac:dyDescent="0.2">
      <c r="A43" s="15"/>
      <c r="B43" s="16"/>
      <c r="C43" s="16"/>
      <c r="D43" s="63"/>
      <c r="E43" s="16"/>
      <c r="F43" s="17"/>
      <c r="G43" s="15"/>
      <c r="H43" s="16"/>
      <c r="I43" s="16"/>
      <c r="J43" s="16"/>
      <c r="K43" s="16"/>
      <c r="L43" s="17"/>
    </row>
    <row r="44" spans="1:12" x14ac:dyDescent="0.2">
      <c r="A44" s="126" t="s">
        <v>51</v>
      </c>
      <c r="B44" s="127"/>
      <c r="C44" s="127"/>
      <c r="D44" s="72"/>
      <c r="E44" s="222">
        <v>0</v>
      </c>
      <c r="F44" s="106"/>
      <c r="G44" s="15" t="s">
        <v>52</v>
      </c>
      <c r="H44" s="16"/>
      <c r="I44" s="16"/>
      <c r="J44" s="16"/>
      <c r="K44" s="16"/>
      <c r="L44" s="17"/>
    </row>
    <row r="45" spans="1:12" x14ac:dyDescent="0.2">
      <c r="A45" s="221" t="s">
        <v>53</v>
      </c>
      <c r="B45" s="218"/>
      <c r="C45" s="251" t="s">
        <v>54</v>
      </c>
      <c r="D45" s="218"/>
      <c r="E45" s="218"/>
      <c r="F45" s="253">
        <v>43</v>
      </c>
      <c r="G45" s="15" t="s">
        <v>55</v>
      </c>
      <c r="H45" s="16"/>
      <c r="I45" s="16"/>
      <c r="J45" s="16"/>
      <c r="K45" s="97">
        <f>IF(K36=0,0,24.3)</f>
        <v>0</v>
      </c>
      <c r="L45" s="17"/>
    </row>
    <row r="46" spans="1:12" x14ac:dyDescent="0.2">
      <c r="A46" s="217"/>
      <c r="B46" s="218"/>
      <c r="C46" s="251"/>
      <c r="D46" s="218"/>
      <c r="E46" s="218"/>
      <c r="F46" s="218"/>
      <c r="G46" s="15" t="s">
        <v>56</v>
      </c>
      <c r="H46" s="16"/>
      <c r="I46" s="16"/>
      <c r="J46" s="16"/>
      <c r="K46" s="97">
        <f>IF(K36=0,0,-9.8)</f>
        <v>0</v>
      </c>
      <c r="L46" s="17"/>
    </row>
    <row r="47" spans="1:12" x14ac:dyDescent="0.2">
      <c r="A47" s="221" t="s">
        <v>57</v>
      </c>
      <c r="B47" s="218"/>
      <c r="C47" s="251" t="s">
        <v>58</v>
      </c>
      <c r="D47" s="218"/>
      <c r="E47" s="218"/>
      <c r="F47" s="253">
        <f>+DCF!E40</f>
        <v>41.118938550777507</v>
      </c>
      <c r="G47" s="15" t="s">
        <v>59</v>
      </c>
      <c r="H47" s="16"/>
      <c r="I47" s="16"/>
      <c r="J47" s="16"/>
      <c r="K47" s="97">
        <f>IF(K36=0,0,18.6)</f>
        <v>0</v>
      </c>
      <c r="L47" s="17"/>
    </row>
    <row r="48" spans="1:12" x14ac:dyDescent="0.2">
      <c r="A48" s="217"/>
      <c r="B48" s="218"/>
      <c r="C48" s="251" t="s">
        <v>60</v>
      </c>
      <c r="D48" s="218"/>
      <c r="E48" s="218"/>
      <c r="F48" s="254">
        <f>+DCF!E38</f>
        <v>1816.3997104395326</v>
      </c>
      <c r="G48" s="15" t="s">
        <v>61</v>
      </c>
      <c r="H48" s="16"/>
      <c r="I48" s="16"/>
      <c r="J48" s="16"/>
      <c r="K48" s="98">
        <f>IF(K36=0,0,20.1)</f>
        <v>0</v>
      </c>
      <c r="L48" s="17"/>
    </row>
    <row r="49" spans="1:12" x14ac:dyDescent="0.2">
      <c r="A49" s="217"/>
      <c r="B49" s="218"/>
      <c r="C49" s="218"/>
      <c r="D49" s="218"/>
      <c r="E49" s="218"/>
      <c r="F49" s="218"/>
      <c r="G49" s="15"/>
      <c r="H49" s="16"/>
      <c r="I49" s="16"/>
      <c r="J49" s="16"/>
      <c r="K49" s="16"/>
      <c r="L49" s="17"/>
    </row>
    <row r="50" spans="1:12" x14ac:dyDescent="0.2">
      <c r="A50" s="221" t="s">
        <v>62</v>
      </c>
      <c r="B50" s="218"/>
      <c r="C50" s="251" t="s">
        <v>63</v>
      </c>
      <c r="D50" s="218"/>
      <c r="E50" s="218"/>
      <c r="F50" s="254">
        <f>+K40</f>
        <v>0</v>
      </c>
      <c r="G50" s="15" t="s">
        <v>64</v>
      </c>
      <c r="H50" s="16"/>
      <c r="I50" s="16"/>
      <c r="J50" s="16"/>
      <c r="K50" s="97">
        <f>+K42-SUM(K45:K48)</f>
        <v>0</v>
      </c>
      <c r="L50" s="17"/>
    </row>
    <row r="51" spans="1:12" x14ac:dyDescent="0.2">
      <c r="A51" s="217"/>
      <c r="B51" s="218"/>
      <c r="C51" s="251" t="s">
        <v>65</v>
      </c>
      <c r="D51" s="218"/>
      <c r="E51" s="218"/>
      <c r="F51" s="252">
        <f>+E30/1000000</f>
        <v>44.174284999999998</v>
      </c>
      <c r="G51" s="126"/>
      <c r="H51" s="16"/>
      <c r="I51" s="16"/>
      <c r="J51" s="16"/>
      <c r="K51" s="16"/>
      <c r="L51" s="17"/>
    </row>
    <row r="52" spans="1:12" x14ac:dyDescent="0.2">
      <c r="A52" s="217"/>
      <c r="B52" s="218"/>
      <c r="C52" s="218"/>
      <c r="D52" s="218"/>
      <c r="E52" s="218"/>
      <c r="F52" s="253">
        <f>+F50/F51</f>
        <v>0</v>
      </c>
      <c r="G52" s="257"/>
      <c r="H52" s="255"/>
      <c r="I52" s="255"/>
      <c r="J52" s="255"/>
      <c r="K52" s="255"/>
      <c r="L52" s="256"/>
    </row>
    <row r="53" spans="1:12" ht="5.0999999999999996" customHeight="1" x14ac:dyDescent="0.2">
      <c r="A53" s="217"/>
      <c r="B53" s="218"/>
      <c r="C53" s="218"/>
      <c r="D53" s="218"/>
      <c r="E53" s="218"/>
      <c r="F53" s="218"/>
      <c r="G53" s="268"/>
      <c r="H53" s="218"/>
      <c r="I53" s="267"/>
      <c r="J53" s="267"/>
      <c r="K53" s="267"/>
      <c r="L53" s="269"/>
    </row>
    <row r="54" spans="1:12" x14ac:dyDescent="0.2">
      <c r="A54" s="217"/>
      <c r="B54" s="251" t="s">
        <v>66</v>
      </c>
      <c r="C54" s="218"/>
      <c r="D54" s="218"/>
      <c r="E54" s="218"/>
      <c r="F54" s="252">
        <f>+K40-K37</f>
        <v>0</v>
      </c>
      <c r="G54" s="263" t="s">
        <v>67</v>
      </c>
      <c r="H54" s="218"/>
      <c r="I54" s="251" t="s">
        <v>68</v>
      </c>
      <c r="J54" s="218"/>
      <c r="K54" s="258"/>
      <c r="L54" s="302">
        <f>+Purchase!N38</f>
        <v>0.3628965705597077</v>
      </c>
    </row>
    <row r="55" spans="1:12" x14ac:dyDescent="0.2">
      <c r="A55" s="221"/>
      <c r="B55" s="251" t="s">
        <v>69</v>
      </c>
      <c r="C55" s="251"/>
      <c r="D55" s="218"/>
      <c r="E55" s="218"/>
      <c r="F55" s="252">
        <f>+K30</f>
        <v>28.8</v>
      </c>
      <c r="G55" s="257"/>
      <c r="H55" s="258"/>
      <c r="I55" s="251" t="s">
        <v>70</v>
      </c>
      <c r="J55" s="218"/>
      <c r="K55" s="258"/>
      <c r="L55" s="302">
        <f>+'EPS Accretion'!G60</f>
        <v>0</v>
      </c>
    </row>
    <row r="56" spans="1:12" x14ac:dyDescent="0.2">
      <c r="A56" s="217"/>
      <c r="B56" s="218"/>
      <c r="C56" s="251"/>
      <c r="D56" s="218"/>
      <c r="E56" s="218"/>
      <c r="F56" s="253">
        <f>+F54/F55</f>
        <v>0</v>
      </c>
      <c r="G56" s="257"/>
      <c r="H56" s="258"/>
      <c r="I56" s="258"/>
      <c r="J56" s="258"/>
      <c r="K56" s="258"/>
      <c r="L56" s="259"/>
    </row>
    <row r="57" spans="1:12" x14ac:dyDescent="0.2">
      <c r="A57" s="219"/>
      <c r="B57" s="220"/>
      <c r="C57" s="220"/>
      <c r="D57" s="220"/>
      <c r="E57" s="220"/>
      <c r="F57" s="220"/>
      <c r="G57" s="260"/>
      <c r="H57" s="261"/>
      <c r="I57" s="261"/>
      <c r="J57" s="261"/>
      <c r="K57" s="261"/>
      <c r="L57" s="262"/>
    </row>
    <row r="58" spans="1:12" x14ac:dyDescent="0.2">
      <c r="E58" s="189"/>
    </row>
    <row r="59" spans="1:12" x14ac:dyDescent="0.2">
      <c r="E59" s="189"/>
    </row>
    <row r="60" spans="1:12" x14ac:dyDescent="0.2">
      <c r="E60" s="189"/>
    </row>
    <row r="61" spans="1:12" x14ac:dyDescent="0.2">
      <c r="E61" s="189"/>
    </row>
  </sheetData>
  <sheetProtection password="CFB3" sheet="1" objects="1" scenarios="1"/>
  <phoneticPr fontId="0" type="noConversion"/>
  <printOptions horizontalCentered="1" verticalCentered="1"/>
  <pageMargins left="0.5" right="0.5" top="0.5" bottom="0.5" header="0.5" footer="0.5"/>
  <pageSetup scale="8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0"/>
  <sheetViews>
    <sheetView showGridLines="0" zoomScale="75" workbookViewId="0"/>
  </sheetViews>
  <sheetFormatPr defaultRowHeight="12.75" x14ac:dyDescent="0.2"/>
  <cols>
    <col min="1" max="1" width="37" style="1" customWidth="1"/>
    <col min="2" max="2" width="12.7109375" style="1" customWidth="1"/>
    <col min="3" max="3" width="9.28515625" style="1" customWidth="1"/>
    <col min="4" max="4" width="12.7109375" style="1" customWidth="1"/>
    <col min="5" max="5" width="9.28515625" style="1" customWidth="1"/>
    <col min="6" max="6" width="12.7109375" style="1" customWidth="1"/>
    <col min="7" max="8" width="9.28515625" style="1" customWidth="1"/>
    <col min="9" max="16384" width="9.140625" style="1"/>
  </cols>
  <sheetData>
    <row r="1" spans="1:8" ht="12.75" customHeight="1" x14ac:dyDescent="0.2">
      <c r="A1" s="95" t="str">
        <f>"Appendix 1:  "&amp;Inputs!E3&amp;"  Common Sized Financial Statements (% of total operating revenue)"</f>
        <v>Appendix 1:  Safeway, Inc.  Common Sized Financial Statements (% of total operating revenue)</v>
      </c>
      <c r="B1" s="120"/>
      <c r="C1" s="120"/>
      <c r="D1" s="121"/>
      <c r="E1" s="121"/>
      <c r="F1" s="120"/>
      <c r="G1" s="120"/>
      <c r="H1" s="54"/>
    </row>
    <row r="2" spans="1:8" ht="12.75" customHeight="1" x14ac:dyDescent="0.2">
      <c r="A2" s="122"/>
      <c r="B2" s="14"/>
      <c r="C2" s="14"/>
      <c r="D2" s="14"/>
      <c r="E2" s="14"/>
      <c r="F2" s="14"/>
      <c r="G2" s="14"/>
      <c r="H2" s="17"/>
    </row>
    <row r="3" spans="1:8" ht="12.75" customHeight="1" x14ac:dyDescent="0.2">
      <c r="A3" s="123" t="s">
        <v>71</v>
      </c>
      <c r="B3" s="89"/>
      <c r="C3" s="89"/>
      <c r="D3" s="89"/>
      <c r="E3" s="89"/>
      <c r="F3" s="90"/>
      <c r="G3" s="89"/>
      <c r="H3" s="90"/>
    </row>
    <row r="4" spans="1:8" ht="12.75" customHeight="1" x14ac:dyDescent="0.2">
      <c r="A4" s="124"/>
      <c r="B4" s="53"/>
      <c r="C4" s="53"/>
      <c r="D4" s="53"/>
      <c r="E4" s="53"/>
      <c r="F4" s="53"/>
      <c r="G4" s="53"/>
      <c r="H4" s="17"/>
    </row>
    <row r="5" spans="1:8" ht="12.75" customHeight="1" x14ac:dyDescent="0.2">
      <c r="A5" s="15"/>
      <c r="B5" s="96">
        <f>+Inputs!K3</f>
        <v>35400</v>
      </c>
      <c r="C5" s="57"/>
      <c r="D5" s="96">
        <f>+B5-365</f>
        <v>35035</v>
      </c>
      <c r="E5" s="57"/>
      <c r="F5" s="96">
        <f>+D5-365</f>
        <v>34670</v>
      </c>
      <c r="G5" s="57"/>
      <c r="H5" s="17"/>
    </row>
    <row r="6" spans="1:8" ht="12.75" customHeight="1" x14ac:dyDescent="0.2">
      <c r="A6" s="125" t="s">
        <v>72</v>
      </c>
      <c r="B6" s="16"/>
      <c r="C6" s="16"/>
      <c r="D6" s="16"/>
      <c r="E6" s="16"/>
      <c r="F6" s="16"/>
      <c r="G6" s="16"/>
      <c r="H6" s="17"/>
    </row>
    <row r="7" spans="1:8" ht="12.75" customHeight="1" x14ac:dyDescent="0.2">
      <c r="A7" s="15" t="s">
        <v>73</v>
      </c>
      <c r="B7" s="16"/>
      <c r="C7" s="16"/>
      <c r="D7" s="16"/>
      <c r="E7" s="19"/>
      <c r="F7" s="16"/>
      <c r="G7" s="19"/>
      <c r="H7" s="17"/>
    </row>
    <row r="8" spans="1:8" ht="12.75" customHeight="1" x14ac:dyDescent="0.2">
      <c r="A8" s="58" t="s">
        <v>74</v>
      </c>
      <c r="B8" s="97">
        <v>79.7</v>
      </c>
      <c r="C8" s="60">
        <f>+B8/B$38</f>
        <v>4.6152064392842671E-3</v>
      </c>
      <c r="D8" s="97">
        <v>74.8</v>
      </c>
      <c r="E8" s="60">
        <f>+D8/D$38</f>
        <v>4.5616709864308583E-3</v>
      </c>
      <c r="F8" s="97">
        <v>60.7</v>
      </c>
      <c r="G8" s="60">
        <f>+F8/F$38</f>
        <v>3.8844022372109097E-3</v>
      </c>
      <c r="H8" s="61"/>
    </row>
    <row r="9" spans="1:8" ht="12.75" customHeight="1" x14ac:dyDescent="0.2">
      <c r="A9" s="58" t="s">
        <v>75</v>
      </c>
      <c r="B9" s="97">
        <v>160.9</v>
      </c>
      <c r="C9" s="60">
        <f t="shared" ref="C9:G18" si="0">+B9/B$38</f>
        <v>9.3172737274885634E-3</v>
      </c>
      <c r="D9" s="97">
        <v>152.69999999999999</v>
      </c>
      <c r="E9" s="60">
        <f t="shared" si="0"/>
        <v>9.3123951821924063E-3</v>
      </c>
      <c r="F9" s="97">
        <v>147.9</v>
      </c>
      <c r="G9" s="60">
        <f t="shared" si="0"/>
        <v>9.4646308218038471E-3</v>
      </c>
      <c r="H9" s="61"/>
    </row>
    <row r="10" spans="1:8" ht="12.75" customHeight="1" x14ac:dyDescent="0.2">
      <c r="A10" s="58" t="s">
        <v>76</v>
      </c>
      <c r="B10" s="97">
        <v>1283.3</v>
      </c>
      <c r="C10" s="60">
        <f t="shared" si="0"/>
        <v>7.4312351612716432E-2</v>
      </c>
      <c r="D10" s="97">
        <v>1191.8</v>
      </c>
      <c r="E10" s="60">
        <f t="shared" si="0"/>
        <v>7.2681811251715203E-2</v>
      </c>
      <c r="F10" s="97">
        <v>1136</v>
      </c>
      <c r="G10" s="60">
        <f t="shared" si="0"/>
        <v>7.2696555872678634E-2</v>
      </c>
      <c r="H10" s="61"/>
    </row>
    <row r="11" spans="1:8" ht="12.75" customHeight="1" x14ac:dyDescent="0.2">
      <c r="A11" s="58" t="s">
        <v>77</v>
      </c>
      <c r="B11" s="97">
        <v>0</v>
      </c>
      <c r="C11" s="60">
        <f t="shared" si="0"/>
        <v>0</v>
      </c>
      <c r="D11" s="97">
        <v>0</v>
      </c>
      <c r="E11" s="60">
        <f t="shared" si="0"/>
        <v>0</v>
      </c>
      <c r="F11" s="97">
        <v>0</v>
      </c>
      <c r="G11" s="60">
        <f t="shared" si="0"/>
        <v>0</v>
      </c>
      <c r="H11" s="61"/>
    </row>
    <row r="12" spans="1:8" ht="12.75" customHeight="1" x14ac:dyDescent="0.2">
      <c r="A12" s="58" t="s">
        <v>78</v>
      </c>
      <c r="B12" s="98">
        <v>130.5</v>
      </c>
      <c r="C12" s="60">
        <f t="shared" si="0"/>
        <v>7.5568938560426199E-3</v>
      </c>
      <c r="D12" s="98">
        <v>95.5</v>
      </c>
      <c r="E12" s="60">
        <f t="shared" si="0"/>
        <v>5.8240585455099862E-3</v>
      </c>
      <c r="F12" s="98">
        <v>93</v>
      </c>
      <c r="G12" s="60">
        <f t="shared" si="0"/>
        <v>5.9513905776048528E-3</v>
      </c>
      <c r="H12" s="61"/>
    </row>
    <row r="13" spans="1:8" ht="12.75" customHeight="1" x14ac:dyDescent="0.2">
      <c r="A13" s="58" t="s">
        <v>79</v>
      </c>
      <c r="B13" s="97">
        <f>SUM(B8:B12)</f>
        <v>1654.4</v>
      </c>
      <c r="C13" s="60">
        <f t="shared" si="0"/>
        <v>9.5801725635531881E-2</v>
      </c>
      <c r="D13" s="97">
        <f>SUM(D8:D12)</f>
        <v>1514.8</v>
      </c>
      <c r="E13" s="60">
        <f t="shared" si="0"/>
        <v>9.2379935965848453E-2</v>
      </c>
      <c r="F13" s="97">
        <f>SUM(F8:F12)</f>
        <v>1437.6</v>
      </c>
      <c r="G13" s="60">
        <f t="shared" si="0"/>
        <v>9.1996979509298235E-2</v>
      </c>
      <c r="H13" s="61"/>
    </row>
    <row r="14" spans="1:8" ht="12.75" customHeight="1" x14ac:dyDescent="0.2">
      <c r="A14" s="15" t="s">
        <v>80</v>
      </c>
      <c r="B14" s="97">
        <v>2756.4</v>
      </c>
      <c r="C14" s="60">
        <f t="shared" si="0"/>
        <v>0.15961549597544733</v>
      </c>
      <c r="D14" s="97">
        <v>2592.9</v>
      </c>
      <c r="E14" s="60">
        <f t="shared" si="0"/>
        <v>0.15812776337856382</v>
      </c>
      <c r="F14" s="97">
        <v>2506.4</v>
      </c>
      <c r="G14" s="60">
        <f t="shared" si="0"/>
        <v>0.16039317573880435</v>
      </c>
      <c r="H14" s="61"/>
    </row>
    <row r="15" spans="1:8" ht="12.75" customHeight="1" x14ac:dyDescent="0.2">
      <c r="A15" s="15" t="s">
        <v>64</v>
      </c>
      <c r="B15" s="97">
        <v>312.5</v>
      </c>
      <c r="C15" s="60">
        <f t="shared" si="0"/>
        <v>1.8096010191672941E-2</v>
      </c>
      <c r="D15" s="97">
        <v>323.8</v>
      </c>
      <c r="E15" s="60">
        <f t="shared" si="0"/>
        <v>1.9746912639121816E-2</v>
      </c>
      <c r="F15" s="97">
        <v>331.1</v>
      </c>
      <c r="G15" s="60">
        <f t="shared" si="0"/>
        <v>2.1188230325214698E-2</v>
      </c>
      <c r="H15" s="61"/>
    </row>
    <row r="16" spans="1:8" ht="12.75" customHeight="1" x14ac:dyDescent="0.2">
      <c r="A16" s="15" t="s">
        <v>81</v>
      </c>
      <c r="B16" s="97">
        <v>362.4</v>
      </c>
      <c r="C16" s="60">
        <f t="shared" si="0"/>
        <v>2.0985581099079272E-2</v>
      </c>
      <c r="D16" s="97">
        <v>336</v>
      </c>
      <c r="E16" s="60">
        <f t="shared" si="0"/>
        <v>2.0490928495197437E-2</v>
      </c>
      <c r="F16" s="97">
        <v>329.3</v>
      </c>
      <c r="G16" s="60">
        <f t="shared" si="0"/>
        <v>2.1073042120486864E-2</v>
      </c>
      <c r="H16" s="61"/>
    </row>
    <row r="17" spans="1:8" ht="12.75" customHeight="1" x14ac:dyDescent="0.2">
      <c r="A17" s="15" t="s">
        <v>82</v>
      </c>
      <c r="B17" s="98">
        <f>328.7+130.8</f>
        <v>459.5</v>
      </c>
      <c r="C17" s="60">
        <f t="shared" si="0"/>
        <v>2.6608373385835892E-2</v>
      </c>
      <c r="D17" s="98">
        <f>322.4+104.4</f>
        <v>426.79999999999995</v>
      </c>
      <c r="E17" s="60">
        <f t="shared" si="0"/>
        <v>2.6028357981399602E-2</v>
      </c>
      <c r="F17" s="98">
        <v>417.7</v>
      </c>
      <c r="G17" s="60">
        <f t="shared" si="0"/>
        <v>2.6730062841565021E-2</v>
      </c>
      <c r="H17" s="61"/>
    </row>
    <row r="18" spans="1:8" ht="12.75" customHeight="1" x14ac:dyDescent="0.2">
      <c r="A18" s="125" t="s">
        <v>83</v>
      </c>
      <c r="B18" s="99">
        <f>SUM(B13:B17)</f>
        <v>5545.2</v>
      </c>
      <c r="C18" s="60">
        <f t="shared" si="0"/>
        <v>0.32110718628756729</v>
      </c>
      <c r="D18" s="99">
        <f>SUM(D13:D17)</f>
        <v>5194.3</v>
      </c>
      <c r="E18" s="60">
        <f t="shared" si="0"/>
        <v>0.31677389846013115</v>
      </c>
      <c r="F18" s="99">
        <f>SUM(F13:F17)</f>
        <v>5022.1000000000004</v>
      </c>
      <c r="G18" s="60">
        <f t="shared" si="0"/>
        <v>0.32138149053536919</v>
      </c>
      <c r="H18" s="61"/>
    </row>
    <row r="19" spans="1:8" ht="12.75" customHeight="1" x14ac:dyDescent="0.2">
      <c r="A19" s="15"/>
      <c r="B19" s="97"/>
      <c r="C19" s="16"/>
      <c r="D19" s="16"/>
      <c r="E19" s="16"/>
      <c r="F19" s="16"/>
      <c r="G19" s="16"/>
      <c r="H19" s="17"/>
    </row>
    <row r="20" spans="1:8" ht="12.75" customHeight="1" x14ac:dyDescent="0.2">
      <c r="A20" s="125" t="s">
        <v>84</v>
      </c>
      <c r="B20" s="97"/>
      <c r="C20" s="16"/>
      <c r="D20" s="16"/>
      <c r="E20" s="16"/>
      <c r="F20" s="16"/>
      <c r="G20" s="16"/>
      <c r="H20" s="17"/>
    </row>
    <row r="21" spans="1:8" ht="12.75" customHeight="1" x14ac:dyDescent="0.2">
      <c r="A21" s="15" t="s">
        <v>85</v>
      </c>
      <c r="B21" s="97"/>
      <c r="C21" s="59"/>
      <c r="D21" s="59"/>
      <c r="E21" s="59"/>
      <c r="F21" s="59"/>
      <c r="G21" s="59"/>
      <c r="H21" s="105"/>
    </row>
    <row r="22" spans="1:8" ht="12.75" customHeight="1" x14ac:dyDescent="0.2">
      <c r="A22" s="58" t="s">
        <v>86</v>
      </c>
      <c r="B22" s="97">
        <v>1153.0999999999999</v>
      </c>
      <c r="C22" s="60">
        <f t="shared" ref="C22:C32" si="1">+B22/B$38</f>
        <v>6.6772829926457805E-2</v>
      </c>
      <c r="D22" s="97">
        <v>1040</v>
      </c>
      <c r="E22" s="60">
        <f t="shared" ref="E22:G32" si="2">+D22/D$38</f>
        <v>6.3424302485134934E-2</v>
      </c>
      <c r="F22" s="97">
        <v>1012.1</v>
      </c>
      <c r="G22" s="60">
        <f t="shared" si="2"/>
        <v>6.4767767780579272E-2</v>
      </c>
      <c r="H22" s="61"/>
    </row>
    <row r="23" spans="1:8" ht="12.75" customHeight="1" x14ac:dyDescent="0.2">
      <c r="A23" s="58" t="s">
        <v>87</v>
      </c>
      <c r="B23" s="97">
        <f>231.2+390</f>
        <v>621.20000000000005</v>
      </c>
      <c r="C23" s="60">
        <f t="shared" si="1"/>
        <v>3.5971972899415137E-2</v>
      </c>
      <c r="D23" s="97">
        <f>234.6+424</f>
        <v>658.6</v>
      </c>
      <c r="E23" s="60">
        <f t="shared" si="2"/>
        <v>4.0164659246836411E-2</v>
      </c>
      <c r="F23" s="97">
        <f>223.6+416.1</f>
        <v>639.70000000000005</v>
      </c>
      <c r="G23" s="60">
        <f t="shared" si="2"/>
        <v>4.0936608091331449E-2</v>
      </c>
      <c r="H23" s="61"/>
    </row>
    <row r="24" spans="1:8" ht="12.75" customHeight="1" x14ac:dyDescent="0.2">
      <c r="A24" s="58" t="s">
        <v>88</v>
      </c>
      <c r="B24" s="98">
        <f>237.3+18.4</f>
        <v>255.70000000000002</v>
      </c>
      <c r="C24" s="60">
        <f t="shared" si="1"/>
        <v>1.4806879379234467E-2</v>
      </c>
      <c r="D24" s="98">
        <f>221.4+19</f>
        <v>240.4</v>
      </c>
      <c r="E24" s="60">
        <f t="shared" si="2"/>
        <v>1.4660771459063882E-2</v>
      </c>
      <c r="F24" s="98">
        <v>171.8</v>
      </c>
      <c r="G24" s="60">
        <f t="shared" si="2"/>
        <v>1.0994074206801223E-2</v>
      </c>
      <c r="H24" s="61"/>
    </row>
    <row r="25" spans="1:8" ht="12.75" customHeight="1" x14ac:dyDescent="0.2">
      <c r="A25" s="58" t="s">
        <v>89</v>
      </c>
      <c r="B25" s="97">
        <f>SUM(B22:B24)</f>
        <v>2030</v>
      </c>
      <c r="C25" s="60">
        <f t="shared" si="1"/>
        <v>0.11755168220510742</v>
      </c>
      <c r="D25" s="97">
        <f>SUM(D22:D24)</f>
        <v>1939</v>
      </c>
      <c r="E25" s="60">
        <f t="shared" si="2"/>
        <v>0.11824973319103523</v>
      </c>
      <c r="F25" s="97">
        <f>SUM(F22:F24)</f>
        <v>1823.6000000000001</v>
      </c>
      <c r="G25" s="60">
        <f t="shared" si="2"/>
        <v>0.11669845007871195</v>
      </c>
      <c r="H25" s="61"/>
    </row>
    <row r="26" spans="1:8" ht="12.75" customHeight="1" x14ac:dyDescent="0.2">
      <c r="A26" s="15" t="s">
        <v>90</v>
      </c>
      <c r="B26" s="97">
        <v>0</v>
      </c>
      <c r="C26" s="60">
        <f t="shared" si="1"/>
        <v>0</v>
      </c>
      <c r="D26" s="97">
        <v>0</v>
      </c>
      <c r="E26" s="60">
        <f t="shared" si="2"/>
        <v>0</v>
      </c>
      <c r="F26" s="97">
        <v>0</v>
      </c>
      <c r="G26" s="60">
        <f t="shared" si="2"/>
        <v>0</v>
      </c>
      <c r="H26" s="61"/>
    </row>
    <row r="27" spans="1:8" ht="12.75" customHeight="1" x14ac:dyDescent="0.2">
      <c r="A27" s="15" t="s">
        <v>91</v>
      </c>
      <c r="B27" s="97">
        <v>223.8</v>
      </c>
      <c r="C27" s="60">
        <f t="shared" si="1"/>
        <v>1.2959638658868494E-2</v>
      </c>
      <c r="D27" s="97">
        <v>108.5</v>
      </c>
      <c r="E27" s="60">
        <f t="shared" si="2"/>
        <v>6.6168623265741725E-3</v>
      </c>
      <c r="F27" s="97">
        <v>128.30000000000001</v>
      </c>
      <c r="G27" s="60">
        <f t="shared" si="2"/>
        <v>8.2103592592118572E-3</v>
      </c>
      <c r="H27" s="61"/>
    </row>
    <row r="28" spans="1:8" ht="12.75" customHeight="1" x14ac:dyDescent="0.2">
      <c r="A28" s="15" t="s">
        <v>92</v>
      </c>
      <c r="B28" s="97">
        <v>376.1</v>
      </c>
      <c r="C28" s="60">
        <f t="shared" si="1"/>
        <v>2.1778910185882218E-2</v>
      </c>
      <c r="D28" s="97">
        <v>401.5</v>
      </c>
      <c r="E28" s="60">
        <f t="shared" si="2"/>
        <v>2.4485439853636225E-2</v>
      </c>
      <c r="F28" s="97">
        <v>402.1</v>
      </c>
      <c r="G28" s="60">
        <f t="shared" si="2"/>
        <v>2.5731765067257113E-2</v>
      </c>
      <c r="H28" s="61"/>
    </row>
    <row r="29" spans="1:8" ht="12.75" customHeight="1" x14ac:dyDescent="0.2">
      <c r="A29" s="15" t="s">
        <v>93</v>
      </c>
      <c r="B29" s="97">
        <v>160.4</v>
      </c>
      <c r="C29" s="60">
        <f t="shared" si="1"/>
        <v>9.2883201111818876E-3</v>
      </c>
      <c r="D29" s="97">
        <v>166.2</v>
      </c>
      <c r="E29" s="60">
        <f t="shared" si="2"/>
        <v>1.0135691416374446E-2</v>
      </c>
      <c r="F29" s="97">
        <f>166.2+5.8</f>
        <v>172</v>
      </c>
      <c r="G29" s="60">
        <f t="shared" si="2"/>
        <v>1.1006872896215427E-2</v>
      </c>
      <c r="H29" s="61"/>
    </row>
    <row r="30" spans="1:8" ht="12.75" customHeight="1" x14ac:dyDescent="0.2">
      <c r="A30" s="15" t="s">
        <v>94</v>
      </c>
      <c r="B30" s="97">
        <v>1568.1</v>
      </c>
      <c r="C30" s="60">
        <f t="shared" si="1"/>
        <v>9.0804331460999477E-2</v>
      </c>
      <c r="D30" s="97">
        <v>1783.6</v>
      </c>
      <c r="E30" s="60">
        <f t="shared" si="2"/>
        <v>0.1087726787620064</v>
      </c>
      <c r="F30" s="97">
        <f>2024.3-172</f>
        <v>1852.3</v>
      </c>
      <c r="G30" s="60">
        <f t="shared" si="2"/>
        <v>0.11853506200965021</v>
      </c>
      <c r="H30" s="61"/>
    </row>
    <row r="31" spans="1:8" ht="12.75" customHeight="1" x14ac:dyDescent="0.2">
      <c r="A31" s="15" t="s">
        <v>95</v>
      </c>
      <c r="B31" s="98">
        <v>1186.8</v>
      </c>
      <c r="C31" s="60">
        <f t="shared" si="1"/>
        <v>6.8724303665527828E-2</v>
      </c>
      <c r="D31" s="98">
        <v>795.5</v>
      </c>
      <c r="E31" s="60">
        <f t="shared" si="2"/>
        <v>4.8513492910504649E-2</v>
      </c>
      <c r="F31" s="98">
        <v>643.79999999999995</v>
      </c>
      <c r="G31" s="60">
        <f t="shared" si="2"/>
        <v>4.1198981224322626E-2</v>
      </c>
      <c r="H31" s="61"/>
    </row>
    <row r="32" spans="1:8" ht="12.75" customHeight="1" x14ac:dyDescent="0.2">
      <c r="A32" s="125" t="s">
        <v>96</v>
      </c>
      <c r="B32" s="99">
        <f>SUM(B25:B31)</f>
        <v>5545.2</v>
      </c>
      <c r="C32" s="60">
        <f t="shared" si="1"/>
        <v>0.32110718628756729</v>
      </c>
      <c r="D32" s="99">
        <f>SUM(D25:D31)</f>
        <v>5194.2999999999993</v>
      </c>
      <c r="E32" s="60">
        <f t="shared" si="2"/>
        <v>0.3167738984601311</v>
      </c>
      <c r="F32" s="99">
        <f>SUM(F25:F31)</f>
        <v>5022.1000000000004</v>
      </c>
      <c r="G32" s="60">
        <f t="shared" si="2"/>
        <v>0.32138149053536919</v>
      </c>
      <c r="H32" s="61"/>
    </row>
    <row r="33" spans="1:8" ht="12.75" customHeight="1" x14ac:dyDescent="0.2">
      <c r="A33" s="126"/>
      <c r="B33" s="127"/>
      <c r="C33" s="127"/>
      <c r="D33" s="127"/>
      <c r="E33" s="127"/>
      <c r="F33" s="127"/>
      <c r="G33" s="127"/>
      <c r="H33" s="106"/>
    </row>
    <row r="34" spans="1:8" ht="12.75" customHeight="1" x14ac:dyDescent="0.2">
      <c r="A34" s="123" t="s">
        <v>97</v>
      </c>
      <c r="B34" s="91"/>
      <c r="C34" s="91"/>
      <c r="D34" s="91"/>
      <c r="E34" s="91"/>
      <c r="F34" s="91"/>
      <c r="G34" s="91"/>
      <c r="H34" s="90"/>
    </row>
    <row r="35" spans="1:8" ht="12.75" customHeight="1" x14ac:dyDescent="0.2">
      <c r="A35" s="15"/>
      <c r="B35" s="16"/>
      <c r="C35" s="16"/>
      <c r="D35" s="16"/>
      <c r="E35" s="16"/>
      <c r="F35" s="16"/>
      <c r="G35" s="16"/>
      <c r="H35" s="17"/>
    </row>
    <row r="36" spans="1:8" ht="12.75" customHeight="1" x14ac:dyDescent="0.2">
      <c r="A36" s="15"/>
      <c r="B36" s="96">
        <f>+B5</f>
        <v>35400</v>
      </c>
      <c r="C36" s="128"/>
      <c r="D36" s="96">
        <f>+D5</f>
        <v>35035</v>
      </c>
      <c r="E36" s="128"/>
      <c r="F36" s="96">
        <f>+D36-365</f>
        <v>34670</v>
      </c>
      <c r="G36" s="128"/>
      <c r="H36" s="17"/>
    </row>
    <row r="37" spans="1:8" ht="12.75" customHeight="1" x14ac:dyDescent="0.2">
      <c r="A37" s="15"/>
      <c r="B37" s="16"/>
      <c r="C37" s="16"/>
      <c r="D37" s="59"/>
      <c r="E37" s="59"/>
      <c r="F37" s="59"/>
      <c r="G37" s="59"/>
      <c r="H37" s="17"/>
    </row>
    <row r="38" spans="1:8" ht="12.75" customHeight="1" x14ac:dyDescent="0.2">
      <c r="A38" s="15" t="s">
        <v>98</v>
      </c>
      <c r="B38" s="97">
        <v>17269</v>
      </c>
      <c r="C38" s="60">
        <f>+B38/B$38</f>
        <v>1</v>
      </c>
      <c r="D38" s="97">
        <v>16397.5</v>
      </c>
      <c r="E38" s="60">
        <f>+D38/D$38</f>
        <v>1</v>
      </c>
      <c r="F38" s="97">
        <v>15626.6</v>
      </c>
      <c r="G38" s="60">
        <f>+F38/F$38</f>
        <v>1</v>
      </c>
      <c r="H38" s="61"/>
    </row>
    <row r="39" spans="1:8" ht="5.0999999999999996" customHeight="1" x14ac:dyDescent="0.2">
      <c r="A39" s="15"/>
      <c r="B39" s="97"/>
      <c r="C39" s="59"/>
      <c r="D39" s="97"/>
      <c r="E39" s="59"/>
      <c r="F39" s="97"/>
      <c r="G39" s="59"/>
      <c r="H39" s="105"/>
    </row>
    <row r="40" spans="1:8" ht="12.75" customHeight="1" x14ac:dyDescent="0.2">
      <c r="A40" s="15" t="s">
        <v>99</v>
      </c>
      <c r="B40" s="97"/>
      <c r="C40" s="59"/>
      <c r="D40" s="97"/>
      <c r="E40" s="59"/>
      <c r="F40" s="97"/>
      <c r="G40" s="59"/>
      <c r="H40" s="105"/>
    </row>
    <row r="41" spans="1:8" ht="12.75" customHeight="1" x14ac:dyDescent="0.2">
      <c r="A41" s="15" t="s">
        <v>100</v>
      </c>
      <c r="B41" s="97">
        <v>12494.8</v>
      </c>
      <c r="C41" s="60">
        <f t="shared" ref="C41:C46" si="3">+B41/B$38</f>
        <v>0.72353929005732809</v>
      </c>
      <c r="D41" s="97">
        <v>11905.1</v>
      </c>
      <c r="E41" s="60">
        <f t="shared" ref="E41:E46" si="4">+D41/D$38</f>
        <v>0.72603140722671144</v>
      </c>
      <c r="F41" s="97">
        <v>11339.3</v>
      </c>
      <c r="G41" s="60">
        <f t="shared" ref="G41:G46" si="5">+F41/F$38</f>
        <v>0.72564089437241619</v>
      </c>
      <c r="H41" s="61"/>
    </row>
    <row r="42" spans="1:8" ht="12.75" customHeight="1" x14ac:dyDescent="0.2">
      <c r="A42" s="15" t="s">
        <v>101</v>
      </c>
      <c r="B42" s="97">
        <v>3882.5</v>
      </c>
      <c r="C42" s="60">
        <f t="shared" si="3"/>
        <v>0.22482483062134462</v>
      </c>
      <c r="D42" s="97">
        <v>3765</v>
      </c>
      <c r="E42" s="60">
        <f t="shared" si="4"/>
        <v>0.22960817197743558</v>
      </c>
      <c r="F42" s="97">
        <v>3675.2</v>
      </c>
      <c r="G42" s="60">
        <f t="shared" si="5"/>
        <v>0.23518871667541241</v>
      </c>
      <c r="H42" s="61"/>
    </row>
    <row r="43" spans="1:8" ht="12.75" customHeight="1" x14ac:dyDescent="0.2">
      <c r="A43" s="15" t="s">
        <v>102</v>
      </c>
      <c r="B43" s="97">
        <v>0</v>
      </c>
      <c r="C43" s="60">
        <f t="shared" si="3"/>
        <v>0</v>
      </c>
      <c r="D43" s="97">
        <v>0</v>
      </c>
      <c r="E43" s="60">
        <f t="shared" si="4"/>
        <v>0</v>
      </c>
      <c r="F43" s="97">
        <v>0</v>
      </c>
      <c r="G43" s="60">
        <f t="shared" si="5"/>
        <v>0</v>
      </c>
      <c r="H43" s="61"/>
    </row>
    <row r="44" spans="1:8" ht="12.75" customHeight="1" x14ac:dyDescent="0.2">
      <c r="A44" s="15" t="s">
        <v>103</v>
      </c>
      <c r="B44" s="97">
        <v>0</v>
      </c>
      <c r="C44" s="60">
        <f t="shared" si="3"/>
        <v>0</v>
      </c>
      <c r="D44" s="97">
        <v>0</v>
      </c>
      <c r="E44" s="60">
        <f t="shared" si="4"/>
        <v>0</v>
      </c>
      <c r="F44" s="97">
        <v>0</v>
      </c>
      <c r="G44" s="60">
        <f t="shared" si="5"/>
        <v>0</v>
      </c>
      <c r="H44" s="61"/>
    </row>
    <row r="45" spans="1:8" ht="12.75" customHeight="1" x14ac:dyDescent="0.2">
      <c r="A45" s="15" t="s">
        <v>104</v>
      </c>
      <c r="B45" s="98">
        <v>0</v>
      </c>
      <c r="C45" s="60">
        <f t="shared" si="3"/>
        <v>0</v>
      </c>
      <c r="D45" s="98">
        <v>0</v>
      </c>
      <c r="E45" s="60">
        <f t="shared" si="4"/>
        <v>0</v>
      </c>
      <c r="F45" s="98">
        <v>0</v>
      </c>
      <c r="G45" s="60">
        <f t="shared" si="5"/>
        <v>0</v>
      </c>
      <c r="H45" s="61"/>
    </row>
    <row r="46" spans="1:8" ht="12.75" customHeight="1" x14ac:dyDescent="0.2">
      <c r="A46" s="15" t="s">
        <v>105</v>
      </c>
      <c r="B46" s="97">
        <f>SUM(B41:B45)</f>
        <v>16377.3</v>
      </c>
      <c r="C46" s="60">
        <f t="shared" si="3"/>
        <v>0.94836412067867271</v>
      </c>
      <c r="D46" s="97">
        <f>SUM(D41:D45)</f>
        <v>15670.1</v>
      </c>
      <c r="E46" s="60">
        <f t="shared" si="4"/>
        <v>0.95563957920414699</v>
      </c>
      <c r="F46" s="97">
        <f>SUM(F41:F45)</f>
        <v>15014.5</v>
      </c>
      <c r="G46" s="60">
        <f t="shared" si="5"/>
        <v>0.96082961104782871</v>
      </c>
      <c r="H46" s="61"/>
    </row>
    <row r="47" spans="1:8" ht="5.0999999999999996" customHeight="1" x14ac:dyDescent="0.2">
      <c r="A47" s="15"/>
      <c r="B47" s="97"/>
      <c r="C47" s="59"/>
      <c r="D47" s="97"/>
      <c r="E47" s="59"/>
      <c r="F47" s="97"/>
      <c r="G47" s="59"/>
      <c r="H47" s="105"/>
    </row>
    <row r="48" spans="1:8" ht="12.75" customHeight="1" x14ac:dyDescent="0.2">
      <c r="A48" s="15" t="s">
        <v>106</v>
      </c>
      <c r="B48" s="97">
        <f>+B38-B46</f>
        <v>891.70000000000073</v>
      </c>
      <c r="C48" s="60">
        <f>+B48/B$38</f>
        <v>5.1635879321327273E-2</v>
      </c>
      <c r="D48" s="97">
        <f>+D38-D46</f>
        <v>727.39999999999964</v>
      </c>
      <c r="E48" s="60">
        <f>+D48/D$38</f>
        <v>4.4360420795853006E-2</v>
      </c>
      <c r="F48" s="97">
        <f>+F38-F46</f>
        <v>612.10000000000036</v>
      </c>
      <c r="G48" s="60">
        <f>+F48/F$38</f>
        <v>3.9170388952171321E-2</v>
      </c>
      <c r="H48" s="61"/>
    </row>
    <row r="49" spans="1:8" ht="12.75" customHeight="1" x14ac:dyDescent="0.2">
      <c r="A49" s="102" t="s">
        <v>107</v>
      </c>
      <c r="B49" s="103">
        <f>+B48+B45</f>
        <v>891.70000000000073</v>
      </c>
      <c r="C49" s="104"/>
      <c r="D49" s="103">
        <f>+D48+D45</f>
        <v>727.39999999999964</v>
      </c>
      <c r="E49" s="104"/>
      <c r="F49" s="103">
        <f>+F48+F45</f>
        <v>612.10000000000036</v>
      </c>
      <c r="G49" s="104"/>
      <c r="H49" s="107"/>
    </row>
    <row r="50" spans="1:8" ht="5.0999999999999996" customHeight="1" x14ac:dyDescent="0.2">
      <c r="A50" s="15"/>
      <c r="B50" s="97"/>
      <c r="C50" s="59"/>
      <c r="D50" s="97"/>
      <c r="E50" s="59"/>
      <c r="F50" s="97"/>
      <c r="G50" s="59"/>
      <c r="H50" s="105"/>
    </row>
    <row r="51" spans="1:8" ht="12.75" customHeight="1" x14ac:dyDescent="0.2">
      <c r="A51" s="15" t="s">
        <v>108</v>
      </c>
      <c r="B51" s="97">
        <v>178.5</v>
      </c>
      <c r="C51" s="60">
        <f>+B51/B$38</f>
        <v>1.0336441021483584E-2</v>
      </c>
      <c r="D51" s="97">
        <v>199.8</v>
      </c>
      <c r="E51" s="60">
        <f>+D51/D$38</f>
        <v>1.2184784265894193E-2</v>
      </c>
      <c r="F51" s="97">
        <v>221.7</v>
      </c>
      <c r="G51" s="60">
        <f>+F51/F$38</f>
        <v>1.4187347215645118E-2</v>
      </c>
      <c r="H51" s="61"/>
    </row>
    <row r="52" spans="1:8" ht="12.75" customHeight="1" x14ac:dyDescent="0.2">
      <c r="A52" s="15" t="s">
        <v>109</v>
      </c>
      <c r="B52" s="97">
        <v>50</v>
      </c>
      <c r="C52" s="60">
        <f>+B52/B$38</f>
        <v>2.8953616306676704E-3</v>
      </c>
      <c r="D52" s="97">
        <v>26.9</v>
      </c>
      <c r="E52" s="60">
        <f>+D52/D$38</f>
        <v>1.6404939777405092E-3</v>
      </c>
      <c r="F52" s="97">
        <v>27.3</v>
      </c>
      <c r="G52" s="60">
        <f>+F52/F$38</f>
        <v>1.747021105038844E-3</v>
      </c>
      <c r="H52" s="61"/>
    </row>
    <row r="53" spans="1:8" ht="12.75" customHeight="1" x14ac:dyDescent="0.2">
      <c r="A53" s="15" t="s">
        <v>110</v>
      </c>
      <c r="B53" s="97">
        <v>4.4000000000000004</v>
      </c>
      <c r="C53" s="60">
        <f>+B53/B$38</f>
        <v>2.5479182349875501E-4</v>
      </c>
      <c r="D53" s="97">
        <v>2</v>
      </c>
      <c r="E53" s="60">
        <f>+D53/D$38</f>
        <v>1.2196981247141332E-4</v>
      </c>
      <c r="F53" s="97">
        <v>6.4</v>
      </c>
      <c r="G53" s="60">
        <f>+F53/F$38</f>
        <v>4.0955806125452757E-4</v>
      </c>
      <c r="H53" s="61"/>
    </row>
    <row r="54" spans="1:8" ht="5.0999999999999996" customHeight="1" x14ac:dyDescent="0.2">
      <c r="A54" s="15"/>
      <c r="B54" s="97"/>
      <c r="C54" s="59"/>
      <c r="D54" s="97"/>
      <c r="E54" s="59"/>
      <c r="F54" s="97"/>
      <c r="G54" s="59"/>
      <c r="H54" s="105"/>
    </row>
    <row r="55" spans="1:8" ht="12.75" customHeight="1" x14ac:dyDescent="0.2">
      <c r="A55" s="15" t="s">
        <v>111</v>
      </c>
      <c r="B55" s="97">
        <f>+B48-B51+B52+B53</f>
        <v>767.6000000000007</v>
      </c>
      <c r="C55" s="60">
        <f>+B55/B$38</f>
        <v>4.4449591754010115E-2</v>
      </c>
      <c r="D55" s="97">
        <f>+D48-D51+D52+D53</f>
        <v>556.49999999999966</v>
      </c>
      <c r="E55" s="60">
        <f>+D55/D$38</f>
        <v>3.3938100320170736E-2</v>
      </c>
      <c r="F55" s="97">
        <f>+F48-F51+F52+F53</f>
        <v>424.10000000000036</v>
      </c>
      <c r="G55" s="60">
        <f>+F55/F$38</f>
        <v>2.7139620902819572E-2</v>
      </c>
      <c r="H55" s="61"/>
    </row>
    <row r="56" spans="1:8" ht="12.75" customHeight="1" x14ac:dyDescent="0.2">
      <c r="A56" s="15" t="s">
        <v>112</v>
      </c>
      <c r="B56" s="98">
        <v>307</v>
      </c>
      <c r="C56" s="60">
        <f>+B56/B$38</f>
        <v>1.7777520412299495E-2</v>
      </c>
      <c r="D56" s="98">
        <v>228.2</v>
      </c>
      <c r="E56" s="60">
        <f>+D56/D$38</f>
        <v>1.3916755602988259E-2</v>
      </c>
      <c r="F56" s="98">
        <v>173.9</v>
      </c>
      <c r="G56" s="60">
        <f>+F56/F$38</f>
        <v>1.1128460445650365E-2</v>
      </c>
      <c r="H56" s="61"/>
    </row>
    <row r="57" spans="1:8" ht="12.75" customHeight="1" x14ac:dyDescent="0.2">
      <c r="A57" s="125" t="s">
        <v>113</v>
      </c>
      <c r="B57" s="99">
        <f>+B55-B56</f>
        <v>460.6000000000007</v>
      </c>
      <c r="C57" s="60">
        <f>+B57/B$38</f>
        <v>2.667207134171062E-2</v>
      </c>
      <c r="D57" s="99">
        <f>+D55-D56</f>
        <v>328.29999999999967</v>
      </c>
      <c r="E57" s="60">
        <f>+D57/D$38</f>
        <v>2.0021344717182477E-2</v>
      </c>
      <c r="F57" s="99">
        <f>+F55-F56</f>
        <v>250.20000000000036</v>
      </c>
      <c r="G57" s="60">
        <f>+F57/F$38</f>
        <v>1.6011160457169209E-2</v>
      </c>
      <c r="H57" s="61"/>
    </row>
    <row r="58" spans="1:8" ht="5.0999999999999996" customHeight="1" x14ac:dyDescent="0.2">
      <c r="A58" s="125"/>
      <c r="B58" s="99"/>
      <c r="C58" s="60"/>
      <c r="D58" s="99"/>
      <c r="E58" s="60"/>
      <c r="F58" s="99"/>
      <c r="G58" s="60"/>
      <c r="H58" s="61"/>
    </row>
    <row r="59" spans="1:8" ht="12.75" customHeight="1" x14ac:dyDescent="0.2">
      <c r="A59" s="126"/>
      <c r="B59" s="127"/>
      <c r="C59" s="127"/>
      <c r="D59" s="127"/>
      <c r="E59" s="127"/>
      <c r="F59" s="127"/>
      <c r="G59" s="127"/>
      <c r="H59" s="106"/>
    </row>
    <row r="60" spans="1:8" ht="12.75" customHeight="1" x14ac:dyDescent="0.2">
      <c r="A60" s="95" t="str">
        <f>"Appendix 2:  "&amp;Inputs!E3&amp;"  Ratio Analysis"</f>
        <v>Appendix 2:  Safeway, Inc.  Ratio Analysis</v>
      </c>
      <c r="B60" s="129"/>
      <c r="C60" s="129"/>
      <c r="D60" s="129"/>
      <c r="E60" s="129"/>
      <c r="F60" s="129"/>
      <c r="G60" s="129"/>
      <c r="H60" s="54"/>
    </row>
    <row r="61" spans="1:8" ht="12.75" customHeight="1" x14ac:dyDescent="0.2">
      <c r="A61" s="15"/>
      <c r="B61" s="16"/>
      <c r="C61" s="16"/>
      <c r="D61" s="16"/>
      <c r="E61" s="16"/>
      <c r="F61" s="16"/>
      <c r="G61" s="16"/>
      <c r="H61" s="17"/>
    </row>
    <row r="62" spans="1:8" ht="12.75" customHeight="1" x14ac:dyDescent="0.2">
      <c r="A62" s="15"/>
      <c r="B62" s="96">
        <f>+B36</f>
        <v>35400</v>
      </c>
      <c r="C62" s="128"/>
      <c r="D62" s="96">
        <f>+D36</f>
        <v>35035</v>
      </c>
      <c r="E62" s="128"/>
      <c r="F62" s="96">
        <f>+F36</f>
        <v>34670</v>
      </c>
      <c r="G62" s="128"/>
      <c r="H62" s="17"/>
    </row>
    <row r="63" spans="1:8" ht="12.75" customHeight="1" x14ac:dyDescent="0.2">
      <c r="A63" s="15"/>
      <c r="H63" s="17"/>
    </row>
    <row r="64" spans="1:8" ht="12.75" customHeight="1" x14ac:dyDescent="0.2">
      <c r="A64" s="78" t="s">
        <v>114</v>
      </c>
      <c r="B64" s="74">
        <f>(B57+(B51*(1-(B56/(B55+B44)))))/+B38</f>
        <v>3.2874474591443999E-2</v>
      </c>
      <c r="C64" s="67"/>
      <c r="D64" s="74">
        <f>(D57+(D51*(1-(D56/(D55+D44)))))/+D38</f>
        <v>2.7209601095426972E-2</v>
      </c>
      <c r="E64" s="67"/>
      <c r="F64" s="74">
        <f>(F57+(F51*(1-(F56/(F55+F44)))))/+F38</f>
        <v>2.4381059710539665E-2</v>
      </c>
      <c r="G64" s="67"/>
      <c r="H64" s="130"/>
    </row>
    <row r="65" spans="1:8" ht="12.75" customHeight="1" x14ac:dyDescent="0.2">
      <c r="A65" s="78" t="s">
        <v>115</v>
      </c>
      <c r="B65" s="75">
        <f>(+B38)/((B32+D32)/2)</f>
        <v>3.2159783975045393</v>
      </c>
      <c r="C65" s="68"/>
      <c r="D65" s="75">
        <f>(+D38)/((D32+F32)/2)</f>
        <v>3.2100348459339885</v>
      </c>
      <c r="E65" s="68"/>
      <c r="F65" s="75">
        <f>(+F38)/((F32+5074.7)/2)</f>
        <v>3.0953569447745823</v>
      </c>
      <c r="G65" s="68"/>
      <c r="H65" s="130"/>
    </row>
    <row r="66" spans="1:8" ht="12.75" customHeight="1" x14ac:dyDescent="0.2">
      <c r="A66" s="78" t="s">
        <v>116</v>
      </c>
      <c r="B66" s="77">
        <f>+B64*B65</f>
        <v>0.10572360011539576</v>
      </c>
      <c r="C66" s="68"/>
      <c r="D66" s="77">
        <f>+D64*D65</f>
        <v>8.7343767660284205E-2</v>
      </c>
      <c r="E66" s="68"/>
      <c r="F66" s="77">
        <f>+F64*F65</f>
        <v>7.5468082495982719E-2</v>
      </c>
      <c r="G66" s="68"/>
      <c r="H66" s="130"/>
    </row>
    <row r="67" spans="1:8" ht="12.75" customHeight="1" x14ac:dyDescent="0.2">
      <c r="A67" s="78" t="s">
        <v>117</v>
      </c>
      <c r="B67" s="75">
        <f>((B32+D32)/2)/((B31+D31)/2)</f>
        <v>5.4176966150431323</v>
      </c>
      <c r="C67" s="68"/>
      <c r="D67" s="75">
        <f>((D32+F32)/2)/((D31+F31)/2)</f>
        <v>7.0981727228513858</v>
      </c>
      <c r="E67" s="68"/>
      <c r="F67" s="75">
        <f>((F32+5074.7)/2)/((F31+382.9)/2)</f>
        <v>9.8342261614882638</v>
      </c>
      <c r="G67" s="68"/>
      <c r="H67" s="130"/>
    </row>
    <row r="68" spans="1:8" ht="12.75" customHeight="1" x14ac:dyDescent="0.2">
      <c r="A68" s="78" t="s">
        <v>118</v>
      </c>
      <c r="B68" s="77">
        <f>+B66*B67</f>
        <v>0.57277839047535328</v>
      </c>
      <c r="C68" s="68"/>
      <c r="D68" s="77">
        <f>+D66*D67</f>
        <v>0.6199811491172984</v>
      </c>
      <c r="E68" s="68"/>
      <c r="F68" s="77">
        <f>+F66*F67</f>
        <v>0.7421701912393478</v>
      </c>
      <c r="G68" s="68"/>
      <c r="H68" s="130"/>
    </row>
    <row r="69" spans="1:8" ht="12.75" customHeight="1" x14ac:dyDescent="0.2">
      <c r="A69" s="78"/>
      <c r="B69" s="68"/>
      <c r="C69" s="68"/>
      <c r="D69" s="68"/>
      <c r="E69" s="68"/>
      <c r="F69" s="68"/>
      <c r="G69" s="68"/>
      <c r="H69" s="130"/>
    </row>
    <row r="70" spans="1:8" ht="12.75" customHeight="1" x14ac:dyDescent="0.2">
      <c r="A70" s="78" t="s">
        <v>119</v>
      </c>
      <c r="B70" s="68"/>
      <c r="C70" s="68"/>
      <c r="D70" s="68"/>
      <c r="E70" s="68"/>
      <c r="F70" s="68"/>
      <c r="G70" s="68"/>
      <c r="H70" s="130"/>
    </row>
    <row r="71" spans="1:8" ht="12.75" customHeight="1" x14ac:dyDescent="0.2">
      <c r="A71" s="78" t="s">
        <v>120</v>
      </c>
      <c r="B71" s="76">
        <f>(+B38-D38)/D38</f>
        <v>5.3148345784418356E-2</v>
      </c>
      <c r="C71" s="68"/>
      <c r="D71" s="76">
        <f>(+D38-F38)/F38</f>
        <v>4.933254834704924E-2</v>
      </c>
      <c r="E71" s="68"/>
      <c r="F71" s="76">
        <f>(+F38-15214.5)/15214.5</f>
        <v>2.7086003483519035E-2</v>
      </c>
      <c r="G71" s="68"/>
      <c r="H71" s="130"/>
    </row>
    <row r="72" spans="1:8" ht="12.75" customHeight="1" x14ac:dyDescent="0.2">
      <c r="A72" s="78" t="s">
        <v>121</v>
      </c>
      <c r="B72" s="76">
        <f>(+B49-D49)/D49</f>
        <v>0.22587297222986139</v>
      </c>
      <c r="C72" s="68"/>
      <c r="D72" s="76">
        <f>(+D49-F49)/F49</f>
        <v>0.18836791373958373</v>
      </c>
      <c r="E72" s="68"/>
      <c r="F72" s="76">
        <f>(+F49-441.5)/441.5</f>
        <v>0.3864099660249159</v>
      </c>
      <c r="G72" s="68"/>
      <c r="H72" s="130"/>
    </row>
    <row r="73" spans="1:8" ht="12.75" customHeight="1" x14ac:dyDescent="0.2">
      <c r="A73" s="78" t="s">
        <v>122</v>
      </c>
      <c r="B73" s="76">
        <f>(+B57-D57)/D57</f>
        <v>0.40298507462686922</v>
      </c>
      <c r="C73" s="68"/>
      <c r="D73" s="76">
        <f>(+D57-F57)/F57</f>
        <v>0.31215027977617588</v>
      </c>
      <c r="E73" s="68"/>
      <c r="F73" s="76">
        <f>(+F57-123.3)/123.3</f>
        <v>1.0291970802919737</v>
      </c>
      <c r="G73" s="68"/>
      <c r="H73" s="130"/>
    </row>
    <row r="74" spans="1:8" ht="12.75" customHeight="1" x14ac:dyDescent="0.2">
      <c r="A74" s="78"/>
      <c r="B74" s="68"/>
      <c r="C74" s="70"/>
      <c r="D74" s="68"/>
      <c r="E74" s="70"/>
      <c r="F74" s="68"/>
      <c r="G74" s="70"/>
      <c r="H74" s="83"/>
    </row>
    <row r="75" spans="1:8" ht="12.75" customHeight="1" x14ac:dyDescent="0.2">
      <c r="A75" s="80"/>
      <c r="B75" s="109"/>
      <c r="C75" s="81"/>
      <c r="D75" s="85"/>
      <c r="E75" s="81"/>
      <c r="F75" s="85"/>
      <c r="G75" s="81"/>
      <c r="H75" s="82"/>
    </row>
    <row r="76" spans="1:8" ht="12.75" customHeight="1" x14ac:dyDescent="0.2">
      <c r="A76" s="22"/>
      <c r="B76" s="68"/>
      <c r="C76" s="68"/>
      <c r="D76" s="68"/>
      <c r="E76" s="68"/>
      <c r="F76" s="68"/>
      <c r="G76" s="68"/>
      <c r="H76" s="68"/>
    </row>
    <row r="77" spans="1:8" ht="12.75" customHeight="1" x14ac:dyDescent="0.2">
      <c r="A77" s="22"/>
      <c r="B77" s="68"/>
      <c r="C77" s="68"/>
      <c r="D77" s="68"/>
      <c r="E77" s="68"/>
      <c r="F77" s="68"/>
      <c r="G77" s="68"/>
      <c r="H77" s="68"/>
    </row>
    <row r="78" spans="1:8" ht="12.75" customHeight="1" x14ac:dyDescent="0.2">
      <c r="A78" s="22"/>
      <c r="B78" s="68"/>
      <c r="C78" s="68"/>
      <c r="D78" s="68"/>
      <c r="E78" s="68"/>
      <c r="F78" s="68"/>
      <c r="G78" s="68"/>
      <c r="H78" s="68"/>
    </row>
    <row r="79" spans="1:8" ht="12.75" customHeight="1" x14ac:dyDescent="0.2">
      <c r="A79" s="22"/>
      <c r="B79" s="68"/>
      <c r="C79" s="68"/>
      <c r="D79" s="68"/>
      <c r="E79" s="68"/>
      <c r="F79" s="68"/>
      <c r="G79" s="68"/>
      <c r="H79" s="68"/>
    </row>
    <row r="80" spans="1:8" ht="12.75" customHeight="1" x14ac:dyDescent="0.2">
      <c r="A80" s="22"/>
      <c r="B80" s="70"/>
      <c r="C80" s="70"/>
      <c r="D80" s="70"/>
      <c r="E80" s="70"/>
      <c r="F80" s="70"/>
      <c r="G80" s="70"/>
      <c r="H80" s="68"/>
    </row>
    <row r="81" spans="1:8" ht="12.75" customHeight="1" x14ac:dyDescent="0.2">
      <c r="A81" s="22"/>
      <c r="B81" s="68"/>
      <c r="C81" s="68"/>
      <c r="D81" s="68"/>
      <c r="E81" s="68"/>
      <c r="F81" s="68"/>
      <c r="G81" s="68"/>
      <c r="H81" s="68"/>
    </row>
    <row r="82" spans="1:8" ht="12.75" customHeight="1" x14ac:dyDescent="0.2">
      <c r="A82" s="22"/>
      <c r="B82" s="22"/>
      <c r="C82" s="22"/>
      <c r="D82" s="22"/>
      <c r="E82" s="22"/>
      <c r="F82" s="22"/>
      <c r="G82" s="22"/>
      <c r="H82" s="68"/>
    </row>
    <row r="83" spans="1:8" ht="12.75" customHeight="1" x14ac:dyDescent="0.2">
      <c r="A83" s="22"/>
      <c r="B83" s="22"/>
      <c r="C83" s="22"/>
      <c r="D83" s="22"/>
      <c r="E83" s="22"/>
      <c r="F83" s="22"/>
      <c r="G83" s="22"/>
      <c r="H83" s="68"/>
    </row>
    <row r="84" spans="1:8" ht="12.75" customHeight="1" x14ac:dyDescent="0.2">
      <c r="A84" s="22"/>
      <c r="B84" s="22"/>
      <c r="C84" s="22"/>
      <c r="D84" s="22"/>
      <c r="E84" s="22"/>
      <c r="F84" s="22"/>
      <c r="G84" s="22"/>
      <c r="H84" s="68"/>
    </row>
    <row r="85" spans="1:8" ht="12.75" customHeight="1" x14ac:dyDescent="0.2">
      <c r="A85" s="22"/>
      <c r="B85" s="22"/>
      <c r="C85" s="22"/>
      <c r="D85" s="22"/>
      <c r="E85" s="22"/>
      <c r="F85" s="22"/>
      <c r="G85" s="22"/>
      <c r="H85" s="68"/>
    </row>
    <row r="86" spans="1:8" ht="12.75" customHeight="1" x14ac:dyDescent="0.2">
      <c r="A86" s="22"/>
      <c r="B86" s="22"/>
      <c r="C86" s="22"/>
      <c r="D86" s="22"/>
      <c r="E86" s="22"/>
      <c r="F86" s="22"/>
      <c r="G86" s="22"/>
      <c r="H86" s="68"/>
    </row>
    <row r="87" spans="1:8" ht="12.75" customHeight="1" x14ac:dyDescent="0.2">
      <c r="A87" s="22"/>
      <c r="B87" s="22"/>
      <c r="C87" s="22"/>
      <c r="D87" s="22"/>
      <c r="E87" s="22"/>
      <c r="F87" s="22"/>
      <c r="G87" s="22"/>
      <c r="H87" s="68"/>
    </row>
    <row r="88" spans="1:8" ht="12.75" customHeight="1" x14ac:dyDescent="0.2">
      <c r="A88" s="22"/>
      <c r="B88" s="22"/>
      <c r="C88" s="22"/>
      <c r="D88" s="22"/>
      <c r="E88" s="22"/>
      <c r="F88" s="22"/>
      <c r="G88" s="22"/>
      <c r="H88" s="68"/>
    </row>
    <row r="89" spans="1:8" ht="12.75" customHeight="1" x14ac:dyDescent="0.2">
      <c r="A89" s="22"/>
      <c r="B89" s="22"/>
      <c r="C89" s="22"/>
      <c r="D89" s="22"/>
      <c r="E89" s="22"/>
      <c r="F89" s="22"/>
      <c r="G89" s="22"/>
      <c r="H89" s="68"/>
    </row>
    <row r="90" spans="1:8" ht="12.75" customHeight="1" x14ac:dyDescent="0.2">
      <c r="A90" s="22"/>
      <c r="B90" s="22"/>
      <c r="C90" s="22"/>
      <c r="D90" s="22"/>
      <c r="E90" s="22"/>
      <c r="F90" s="22"/>
      <c r="G90" s="22"/>
      <c r="H90" s="68"/>
    </row>
    <row r="91" spans="1:8" ht="12.75" customHeight="1" x14ac:dyDescent="0.2">
      <c r="A91" s="22"/>
      <c r="B91" s="22"/>
      <c r="C91" s="22"/>
      <c r="D91" s="22"/>
      <c r="E91" s="22"/>
      <c r="F91" s="22"/>
      <c r="G91" s="22"/>
      <c r="H91" s="22"/>
    </row>
    <row r="92" spans="1:8" ht="12.75" customHeight="1" x14ac:dyDescent="0.2">
      <c r="A92" s="22"/>
      <c r="B92" s="22"/>
      <c r="C92" s="22"/>
      <c r="D92" s="22"/>
      <c r="E92" s="22"/>
      <c r="F92" s="22"/>
      <c r="G92" s="22"/>
      <c r="H92" s="22"/>
    </row>
    <row r="93" spans="1:8" ht="12.75" customHeight="1" x14ac:dyDescent="0.2">
      <c r="A93" s="22"/>
      <c r="B93" s="22"/>
      <c r="C93" s="22"/>
      <c r="D93" s="22"/>
      <c r="E93" s="22"/>
      <c r="F93" s="22"/>
      <c r="G93" s="22"/>
      <c r="H93" s="22"/>
    </row>
    <row r="94" spans="1:8" ht="12.75" customHeight="1" x14ac:dyDescent="0.2">
      <c r="A94" s="22"/>
      <c r="B94" s="22"/>
      <c r="C94" s="22"/>
      <c r="D94" s="22"/>
      <c r="E94" s="22"/>
      <c r="F94" s="22"/>
      <c r="G94" s="22"/>
      <c r="H94" s="22"/>
    </row>
    <row r="95" spans="1:8" ht="12.75" customHeight="1" x14ac:dyDescent="0.2">
      <c r="A95" s="22"/>
      <c r="B95" s="22"/>
      <c r="C95" s="22"/>
      <c r="D95" s="22"/>
      <c r="E95" s="22"/>
      <c r="F95" s="22"/>
      <c r="G95" s="22"/>
      <c r="H95" s="22"/>
    </row>
    <row r="96" spans="1:8" ht="12.75" customHeight="1" x14ac:dyDescent="0.2">
      <c r="A96" s="22"/>
      <c r="B96" s="22"/>
      <c r="C96" s="22"/>
      <c r="D96" s="22"/>
      <c r="E96" s="22"/>
      <c r="F96" s="22"/>
      <c r="G96" s="22"/>
      <c r="H96" s="22"/>
    </row>
    <row r="97" spans="1:8" ht="12.75" customHeight="1" x14ac:dyDescent="0.2">
      <c r="A97" s="22"/>
      <c r="B97" s="22"/>
      <c r="C97" s="22"/>
      <c r="D97" s="22"/>
      <c r="E97" s="22"/>
      <c r="F97" s="22"/>
      <c r="G97" s="22"/>
      <c r="H97" s="22"/>
    </row>
    <row r="98" spans="1:8" ht="12.75" customHeight="1" x14ac:dyDescent="0.2">
      <c r="A98" s="22"/>
      <c r="B98" s="22"/>
      <c r="C98" s="22"/>
      <c r="D98" s="22"/>
      <c r="E98" s="22"/>
      <c r="F98" s="22"/>
      <c r="G98" s="22"/>
      <c r="H98" s="22"/>
    </row>
    <row r="99" spans="1:8" ht="12.75" customHeight="1" x14ac:dyDescent="0.2">
      <c r="A99" s="22"/>
      <c r="B99" s="68"/>
      <c r="C99" s="68"/>
      <c r="D99" s="68"/>
      <c r="E99" s="68"/>
      <c r="F99" s="68"/>
      <c r="G99" s="68"/>
      <c r="H99" s="22"/>
    </row>
    <row r="100" spans="1:8" ht="12.75" customHeight="1" x14ac:dyDescent="0.2">
      <c r="A100" s="22"/>
      <c r="B100" s="68"/>
      <c r="C100" s="68"/>
      <c r="D100" s="68"/>
      <c r="E100" s="68"/>
      <c r="F100" s="68"/>
      <c r="G100" s="68"/>
      <c r="H100" s="22"/>
    </row>
    <row r="101" spans="1:8" ht="12.75" customHeight="1" x14ac:dyDescent="0.2">
      <c r="A101" s="22"/>
      <c r="B101" s="68"/>
      <c r="C101" s="68"/>
      <c r="D101" s="68"/>
      <c r="E101" s="68"/>
      <c r="F101" s="68"/>
      <c r="G101" s="68"/>
      <c r="H101" s="22"/>
    </row>
    <row r="102" spans="1:8" ht="12.75" customHeight="1" x14ac:dyDescent="0.2">
      <c r="A102" s="22"/>
      <c r="B102" s="68"/>
      <c r="C102" s="68"/>
      <c r="D102" s="68"/>
      <c r="E102" s="68"/>
      <c r="F102" s="68"/>
      <c r="G102" s="68"/>
      <c r="H102" s="22"/>
    </row>
    <row r="103" spans="1:8" ht="12.75" customHeight="1" x14ac:dyDescent="0.2">
      <c r="A103" s="22"/>
      <c r="B103" s="68"/>
      <c r="C103" s="68"/>
      <c r="D103" s="68"/>
      <c r="E103" s="68"/>
      <c r="F103" s="68"/>
      <c r="G103" s="68"/>
      <c r="H103" s="22"/>
    </row>
    <row r="104" spans="1:8" ht="12.75" customHeight="1" x14ac:dyDescent="0.2">
      <c r="A104" s="22"/>
      <c r="B104" s="68"/>
      <c r="C104" s="68"/>
      <c r="D104" s="68"/>
      <c r="E104" s="68"/>
      <c r="F104" s="68"/>
      <c r="G104" s="68"/>
      <c r="H104" s="22"/>
    </row>
    <row r="105" spans="1:8" ht="12.75" customHeight="1" x14ac:dyDescent="0.2">
      <c r="A105" s="22"/>
      <c r="B105" s="68"/>
      <c r="C105" s="68"/>
      <c r="D105" s="68"/>
      <c r="E105" s="68"/>
      <c r="F105" s="68"/>
      <c r="G105" s="68"/>
      <c r="H105" s="22"/>
    </row>
    <row r="106" spans="1:8" ht="12.75" customHeight="1" x14ac:dyDescent="0.2">
      <c r="A106" s="22"/>
      <c r="B106" s="68"/>
      <c r="C106" s="68"/>
      <c r="D106" s="68"/>
      <c r="E106" s="68"/>
      <c r="F106" s="68"/>
      <c r="G106" s="68"/>
      <c r="H106" s="22"/>
    </row>
    <row r="107" spans="1:8" ht="12.75" customHeight="1" x14ac:dyDescent="0.2">
      <c r="A107" s="22"/>
      <c r="B107" s="68"/>
      <c r="C107" s="68"/>
      <c r="D107" s="68"/>
      <c r="E107" s="68"/>
      <c r="F107" s="68"/>
      <c r="G107" s="68"/>
      <c r="H107" s="22"/>
    </row>
    <row r="108" spans="1:8" ht="12.75" customHeight="1" x14ac:dyDescent="0.2">
      <c r="A108" s="22"/>
      <c r="B108" s="68"/>
      <c r="C108" s="68"/>
      <c r="D108" s="68"/>
      <c r="E108" s="68"/>
      <c r="F108" s="68"/>
      <c r="G108" s="68"/>
      <c r="H108" s="22"/>
    </row>
    <row r="109" spans="1:8" ht="12.75" customHeight="1" x14ac:dyDescent="0.2">
      <c r="A109" s="22"/>
      <c r="B109" s="68"/>
      <c r="C109" s="68"/>
      <c r="D109" s="68"/>
      <c r="E109" s="68"/>
      <c r="F109" s="68"/>
      <c r="G109" s="68"/>
      <c r="H109" s="22"/>
    </row>
    <row r="110" spans="1:8" ht="12.75" customHeight="1" x14ac:dyDescent="0.2">
      <c r="A110" s="22"/>
      <c r="B110" s="68"/>
      <c r="C110" s="68"/>
      <c r="D110" s="68"/>
      <c r="E110" s="68"/>
      <c r="F110" s="68"/>
      <c r="G110" s="68"/>
      <c r="H110" s="22"/>
    </row>
    <row r="111" spans="1:8" ht="12.75" customHeight="1" x14ac:dyDescent="0.2">
      <c r="A111" s="22"/>
      <c r="B111" s="68"/>
      <c r="C111" s="68"/>
      <c r="D111" s="68"/>
      <c r="E111" s="68"/>
      <c r="F111" s="68"/>
      <c r="G111" s="68"/>
      <c r="H111" s="22"/>
    </row>
    <row r="112" spans="1:8" ht="12.75" customHeight="1" x14ac:dyDescent="0.2">
      <c r="A112" s="22"/>
      <c r="B112" s="22"/>
      <c r="C112" s="22"/>
      <c r="D112" s="22"/>
      <c r="E112" s="22"/>
      <c r="F112" s="22"/>
      <c r="G112" s="22"/>
      <c r="H112" s="22"/>
    </row>
    <row r="113" spans="1:8" ht="12.75" customHeight="1" x14ac:dyDescent="0.2">
      <c r="A113" s="22"/>
      <c r="B113" s="22"/>
      <c r="C113" s="22"/>
      <c r="D113" s="22"/>
      <c r="E113" s="22"/>
      <c r="F113" s="22"/>
      <c r="G113" s="22"/>
      <c r="H113" s="22"/>
    </row>
    <row r="114" spans="1:8" ht="12.75" customHeight="1" x14ac:dyDescent="0.2">
      <c r="A114" s="22"/>
      <c r="B114" s="22"/>
      <c r="C114" s="22"/>
      <c r="D114" s="22"/>
      <c r="E114" s="22"/>
      <c r="F114" s="22"/>
      <c r="G114" s="22"/>
      <c r="H114" s="22"/>
    </row>
    <row r="115" spans="1:8" ht="12.75" customHeight="1" x14ac:dyDescent="0.2">
      <c r="A115" s="22"/>
      <c r="B115" s="22"/>
      <c r="C115" s="22"/>
      <c r="D115" s="22"/>
      <c r="E115" s="22"/>
      <c r="F115" s="22"/>
      <c r="G115" s="22"/>
      <c r="H115" s="22"/>
    </row>
    <row r="116" spans="1:8" ht="12.75" customHeight="1" x14ac:dyDescent="0.2">
      <c r="A116" s="22"/>
      <c r="B116" s="68"/>
      <c r="C116" s="68"/>
      <c r="D116" s="68"/>
      <c r="E116" s="68"/>
      <c r="F116" s="68"/>
      <c r="G116" s="68"/>
      <c r="H116" s="22"/>
    </row>
    <row r="117" spans="1:8" ht="12.75" customHeight="1" x14ac:dyDescent="0.2">
      <c r="A117" s="22"/>
      <c r="B117" s="68"/>
      <c r="C117" s="68"/>
      <c r="D117" s="68"/>
      <c r="E117" s="68"/>
      <c r="F117" s="68"/>
      <c r="G117" s="68"/>
      <c r="H117" s="22"/>
    </row>
    <row r="118" spans="1:8" ht="12.75" customHeight="1" x14ac:dyDescent="0.2">
      <c r="A118" s="22"/>
      <c r="B118" s="68"/>
      <c r="C118" s="68"/>
      <c r="D118" s="68"/>
      <c r="E118" s="68"/>
      <c r="F118" s="68"/>
      <c r="G118" s="68"/>
      <c r="H118" s="22"/>
    </row>
    <row r="119" spans="1:8" ht="12.75" customHeight="1" x14ac:dyDescent="0.2">
      <c r="A119" s="22"/>
      <c r="B119" s="68"/>
      <c r="C119" s="68"/>
      <c r="D119" s="68"/>
      <c r="E119" s="68"/>
      <c r="F119" s="68"/>
      <c r="G119" s="68"/>
      <c r="H119" s="22"/>
    </row>
    <row r="120" spans="1:8" ht="12.75" customHeight="1" x14ac:dyDescent="0.2">
      <c r="A120" s="22"/>
      <c r="B120" s="68"/>
      <c r="C120" s="68"/>
      <c r="D120" s="68"/>
      <c r="E120" s="68"/>
      <c r="F120" s="68"/>
      <c r="G120" s="68"/>
      <c r="H120" s="22"/>
    </row>
    <row r="121" spans="1:8" ht="12.75" customHeight="1" x14ac:dyDescent="0.2">
      <c r="A121" s="22"/>
      <c r="B121" s="68"/>
      <c r="C121" s="68"/>
      <c r="D121" s="68"/>
      <c r="E121" s="68"/>
      <c r="F121" s="68"/>
      <c r="G121" s="68"/>
      <c r="H121" s="22"/>
    </row>
    <row r="122" spans="1:8" ht="12.75" customHeight="1" x14ac:dyDescent="0.2">
      <c r="A122" s="22"/>
      <c r="B122" s="68"/>
      <c r="C122" s="68"/>
      <c r="D122" s="68"/>
      <c r="E122" s="68"/>
      <c r="F122" s="68"/>
      <c r="G122" s="68"/>
      <c r="H122" s="22"/>
    </row>
    <row r="123" spans="1:8" ht="12.75" customHeight="1" x14ac:dyDescent="0.2">
      <c r="A123" s="22"/>
      <c r="B123" s="68"/>
      <c r="C123" s="68"/>
      <c r="D123" s="68"/>
      <c r="E123" s="68"/>
      <c r="F123" s="68"/>
      <c r="G123" s="68"/>
      <c r="H123" s="22"/>
    </row>
    <row r="124" spans="1:8" ht="12.75" customHeight="1" x14ac:dyDescent="0.2">
      <c r="A124" s="22"/>
      <c r="B124" s="68"/>
      <c r="C124" s="68"/>
      <c r="D124" s="68"/>
      <c r="E124" s="68"/>
      <c r="F124" s="68"/>
      <c r="G124" s="68"/>
      <c r="H124" s="22"/>
    </row>
    <row r="125" spans="1:8" ht="12.75" customHeight="1" x14ac:dyDescent="0.2">
      <c r="A125" s="22"/>
      <c r="B125" s="68"/>
      <c r="C125" s="68"/>
      <c r="D125" s="68"/>
      <c r="E125" s="68"/>
      <c r="F125" s="68"/>
      <c r="G125" s="68"/>
      <c r="H125" s="22"/>
    </row>
    <row r="126" spans="1:8" ht="12.75" customHeight="1" x14ac:dyDescent="0.2">
      <c r="A126" s="22"/>
      <c r="B126" s="22"/>
      <c r="C126" s="22"/>
      <c r="D126" s="22"/>
      <c r="E126" s="22"/>
      <c r="F126" s="22"/>
      <c r="G126" s="22"/>
      <c r="H126" s="22"/>
    </row>
    <row r="127" spans="1:8" ht="12.75" customHeight="1" x14ac:dyDescent="0.2">
      <c r="A127" s="22"/>
      <c r="B127" s="22"/>
      <c r="C127" s="22"/>
      <c r="D127" s="22"/>
      <c r="E127" s="22"/>
      <c r="F127" s="22"/>
      <c r="G127" s="22"/>
      <c r="H127" s="22"/>
    </row>
    <row r="128" spans="1:8" ht="12.75" customHeight="1" x14ac:dyDescent="0.2">
      <c r="A128" s="22"/>
      <c r="B128" s="22"/>
      <c r="C128" s="22"/>
      <c r="D128" s="22"/>
      <c r="E128" s="22"/>
      <c r="F128" s="22"/>
      <c r="G128" s="22"/>
      <c r="H128" s="22"/>
    </row>
    <row r="129" spans="1:8" ht="12.75" customHeight="1" x14ac:dyDescent="0.2">
      <c r="A129" s="22"/>
      <c r="B129" s="22"/>
      <c r="C129" s="22"/>
      <c r="D129" s="22"/>
      <c r="E129" s="22"/>
      <c r="F129" s="22"/>
      <c r="G129" s="22"/>
      <c r="H129" s="22"/>
    </row>
    <row r="130" spans="1:8" ht="12.75" customHeight="1" x14ac:dyDescent="0.2">
      <c r="A130" s="22"/>
      <c r="B130" s="22"/>
      <c r="C130" s="22"/>
      <c r="D130" s="22"/>
      <c r="E130" s="22"/>
      <c r="F130" s="22"/>
      <c r="G130" s="22"/>
      <c r="H130" s="22"/>
    </row>
    <row r="131" spans="1:8" ht="12.75" customHeight="1" x14ac:dyDescent="0.2">
      <c r="A131" s="22"/>
      <c r="B131" s="22"/>
      <c r="C131" s="22"/>
      <c r="D131" s="22"/>
      <c r="E131" s="22"/>
      <c r="F131" s="22"/>
      <c r="G131" s="22"/>
      <c r="H131" s="22"/>
    </row>
    <row r="132" spans="1:8" ht="12.75" customHeight="1" x14ac:dyDescent="0.2">
      <c r="A132" s="22"/>
      <c r="B132" s="22"/>
      <c r="C132" s="22"/>
      <c r="D132" s="22"/>
      <c r="E132" s="22"/>
      <c r="F132" s="22"/>
      <c r="G132" s="22"/>
      <c r="H132" s="22"/>
    </row>
    <row r="133" spans="1:8" ht="12.75" customHeight="1" x14ac:dyDescent="0.2">
      <c r="A133" s="22"/>
      <c r="B133" s="22"/>
      <c r="C133" s="22"/>
      <c r="D133" s="22"/>
      <c r="E133" s="22"/>
      <c r="F133" s="22"/>
      <c r="G133" s="22"/>
      <c r="H133" s="22"/>
    </row>
    <row r="134" spans="1:8" ht="12.75" customHeight="1" x14ac:dyDescent="0.2">
      <c r="A134" s="22"/>
      <c r="B134" s="22"/>
      <c r="C134" s="22"/>
      <c r="D134" s="22"/>
      <c r="E134" s="22"/>
      <c r="F134" s="22"/>
      <c r="G134" s="22"/>
      <c r="H134" s="22"/>
    </row>
    <row r="135" spans="1:8" ht="12.75" customHeight="1" x14ac:dyDescent="0.2">
      <c r="A135" s="22"/>
      <c r="B135" s="22"/>
      <c r="C135" s="22"/>
      <c r="D135" s="22"/>
      <c r="E135" s="22"/>
      <c r="F135" s="22"/>
      <c r="G135" s="22"/>
      <c r="H135" s="22"/>
    </row>
    <row r="136" spans="1:8" ht="12.75" customHeight="1" x14ac:dyDescent="0.2">
      <c r="A136" s="22"/>
      <c r="B136" s="22"/>
      <c r="C136" s="22"/>
      <c r="D136" s="22"/>
      <c r="E136" s="22"/>
      <c r="F136" s="22"/>
      <c r="G136" s="22"/>
      <c r="H136" s="22"/>
    </row>
    <row r="137" spans="1:8" ht="12.75" customHeight="1" x14ac:dyDescent="0.2">
      <c r="A137" s="22"/>
      <c r="B137" s="22"/>
      <c r="C137" s="22"/>
      <c r="D137" s="22"/>
      <c r="E137" s="22"/>
      <c r="F137" s="22"/>
      <c r="G137" s="22"/>
      <c r="H137" s="22"/>
    </row>
    <row r="138" spans="1:8" ht="12.75" customHeight="1" x14ac:dyDescent="0.2">
      <c r="A138" s="22"/>
      <c r="B138" s="22"/>
      <c r="C138" s="22"/>
      <c r="D138" s="22"/>
      <c r="E138" s="22"/>
      <c r="F138" s="22"/>
      <c r="G138" s="22"/>
      <c r="H138" s="22"/>
    </row>
    <row r="139" spans="1:8" ht="12.75" customHeight="1" x14ac:dyDescent="0.2">
      <c r="A139" s="22"/>
      <c r="B139" s="22"/>
      <c r="C139" s="22"/>
      <c r="D139" s="22"/>
      <c r="E139" s="22"/>
      <c r="F139" s="22"/>
      <c r="G139" s="22"/>
      <c r="H139" s="22"/>
    </row>
    <row r="140" spans="1:8" ht="12.75" customHeight="1" x14ac:dyDescent="0.2">
      <c r="A140" s="22"/>
      <c r="B140" s="22"/>
      <c r="C140" s="22"/>
      <c r="D140" s="22"/>
      <c r="E140" s="22"/>
      <c r="F140" s="22"/>
      <c r="G140" s="22"/>
      <c r="H140" s="22"/>
    </row>
    <row r="141" spans="1:8" ht="12.75" customHeight="1" x14ac:dyDescent="0.2">
      <c r="A141" s="22"/>
      <c r="B141" s="22"/>
      <c r="C141" s="22"/>
      <c r="D141" s="22"/>
      <c r="E141" s="22"/>
      <c r="F141" s="22"/>
      <c r="G141" s="22"/>
      <c r="H141" s="22"/>
    </row>
    <row r="142" spans="1:8" ht="12.75" customHeight="1" x14ac:dyDescent="0.2">
      <c r="A142" s="22"/>
      <c r="B142" s="22"/>
      <c r="C142" s="22"/>
      <c r="D142" s="22"/>
      <c r="E142" s="22"/>
      <c r="F142" s="22"/>
      <c r="G142" s="22"/>
      <c r="H142" s="22"/>
    </row>
    <row r="143" spans="1:8" ht="12.75" customHeight="1" x14ac:dyDescent="0.2">
      <c r="A143" s="22"/>
      <c r="B143" s="22"/>
      <c r="C143" s="22"/>
      <c r="D143" s="22"/>
      <c r="E143" s="22"/>
      <c r="F143" s="22"/>
      <c r="G143" s="22"/>
      <c r="H143" s="22"/>
    </row>
    <row r="144" spans="1:8" ht="12.75" customHeight="1" x14ac:dyDescent="0.2">
      <c r="A144" s="22"/>
      <c r="B144" s="22"/>
      <c r="C144" s="22"/>
      <c r="D144" s="22"/>
      <c r="E144" s="22"/>
      <c r="F144" s="22"/>
      <c r="G144" s="22"/>
      <c r="H144" s="22"/>
    </row>
    <row r="145" spans="1:8" ht="12.75" customHeight="1" x14ac:dyDescent="0.2">
      <c r="A145" s="22"/>
      <c r="B145" s="22"/>
      <c r="C145" s="22"/>
      <c r="D145" s="22"/>
      <c r="E145" s="22"/>
      <c r="F145" s="22"/>
      <c r="G145" s="22"/>
      <c r="H145" s="22"/>
    </row>
    <row r="146" spans="1:8" ht="12.75" customHeight="1" x14ac:dyDescent="0.2">
      <c r="A146" s="22"/>
      <c r="B146" s="22"/>
      <c r="C146" s="22"/>
      <c r="D146" s="22"/>
      <c r="E146" s="22"/>
      <c r="F146" s="22"/>
      <c r="G146" s="22"/>
      <c r="H146" s="22"/>
    </row>
    <row r="147" spans="1:8" ht="12.75" customHeight="1" x14ac:dyDescent="0.2">
      <c r="A147" s="22"/>
      <c r="B147" s="22"/>
      <c r="C147" s="22"/>
      <c r="D147" s="22"/>
      <c r="E147" s="22"/>
      <c r="F147" s="22"/>
      <c r="G147" s="22"/>
      <c r="H147" s="22"/>
    </row>
    <row r="148" spans="1:8" ht="12.75" customHeight="1" x14ac:dyDescent="0.2">
      <c r="A148" s="22"/>
      <c r="B148" s="22"/>
      <c r="C148" s="22"/>
      <c r="D148" s="22"/>
      <c r="E148" s="22"/>
      <c r="F148" s="22"/>
      <c r="G148" s="22"/>
      <c r="H148" s="22"/>
    </row>
    <row r="149" spans="1:8" ht="12.75" customHeight="1" x14ac:dyDescent="0.2">
      <c r="A149" s="22"/>
      <c r="B149" s="22"/>
      <c r="C149" s="22"/>
      <c r="D149" s="22"/>
      <c r="E149" s="22"/>
      <c r="F149" s="22"/>
      <c r="G149" s="22"/>
      <c r="H149" s="22"/>
    </row>
    <row r="150" spans="1:8" ht="12.75" customHeight="1" x14ac:dyDescent="0.2">
      <c r="A150" s="22"/>
      <c r="B150" s="22"/>
      <c r="C150" s="22"/>
      <c r="D150" s="22"/>
      <c r="E150" s="22"/>
      <c r="F150" s="22"/>
      <c r="G150" s="22"/>
      <c r="H150" s="22"/>
    </row>
    <row r="151" spans="1:8" ht="12.75" customHeight="1" x14ac:dyDescent="0.2">
      <c r="A151" s="22"/>
      <c r="B151" s="22"/>
      <c r="C151" s="22"/>
      <c r="D151" s="22"/>
      <c r="E151" s="22"/>
      <c r="F151" s="22"/>
      <c r="G151" s="22"/>
      <c r="H151" s="22"/>
    </row>
    <row r="152" spans="1:8" ht="12.75" customHeight="1" x14ac:dyDescent="0.2">
      <c r="A152" s="22"/>
      <c r="B152" s="22"/>
      <c r="C152" s="22"/>
      <c r="D152" s="22"/>
      <c r="E152" s="22"/>
      <c r="F152" s="22"/>
      <c r="G152" s="22"/>
      <c r="H152" s="22"/>
    </row>
    <row r="153" spans="1:8" ht="12.75" customHeight="1" x14ac:dyDescent="0.2">
      <c r="A153" s="22"/>
      <c r="B153" s="22"/>
      <c r="C153" s="22"/>
      <c r="D153" s="22"/>
      <c r="E153" s="22"/>
      <c r="F153" s="22"/>
      <c r="G153" s="22"/>
      <c r="H153" s="22"/>
    </row>
    <row r="154" spans="1:8" ht="12.75" customHeight="1" x14ac:dyDescent="0.2">
      <c r="A154" s="22"/>
      <c r="B154" s="22"/>
      <c r="C154" s="22"/>
      <c r="D154" s="22"/>
      <c r="E154" s="22"/>
      <c r="F154" s="22"/>
      <c r="G154" s="22"/>
      <c r="H154" s="22"/>
    </row>
    <row r="155" spans="1:8" ht="12.75" customHeight="1" x14ac:dyDescent="0.2">
      <c r="A155" s="22"/>
      <c r="B155" s="22"/>
      <c r="C155" s="22"/>
      <c r="D155" s="22"/>
      <c r="E155" s="22"/>
      <c r="F155" s="22"/>
      <c r="G155" s="22"/>
      <c r="H155" s="22"/>
    </row>
    <row r="156" spans="1:8" ht="12.75" customHeight="1" x14ac:dyDescent="0.2">
      <c r="A156" s="22"/>
      <c r="B156" s="22"/>
      <c r="C156" s="22"/>
      <c r="D156" s="22"/>
      <c r="E156" s="22"/>
      <c r="F156" s="22"/>
      <c r="G156" s="22"/>
      <c r="H156" s="22"/>
    </row>
    <row r="157" spans="1:8" ht="12.75" customHeight="1" x14ac:dyDescent="0.2">
      <c r="A157" s="22"/>
      <c r="B157" s="22"/>
      <c r="C157" s="22"/>
      <c r="D157" s="22"/>
      <c r="E157" s="22"/>
      <c r="F157" s="22"/>
      <c r="G157" s="22"/>
      <c r="H157" s="22"/>
    </row>
    <row r="158" spans="1:8" ht="12.75" customHeight="1" x14ac:dyDescent="0.2">
      <c r="A158" s="22"/>
      <c r="B158" s="22"/>
      <c r="C158" s="22"/>
      <c r="D158" s="22"/>
      <c r="E158" s="22"/>
      <c r="F158" s="22"/>
      <c r="G158" s="22"/>
      <c r="H158" s="22"/>
    </row>
    <row r="159" spans="1:8" ht="12.75" customHeight="1" x14ac:dyDescent="0.2">
      <c r="A159" s="22"/>
      <c r="B159" s="22"/>
      <c r="C159" s="22"/>
      <c r="D159" s="22"/>
      <c r="E159" s="22"/>
      <c r="F159" s="22"/>
      <c r="G159" s="22"/>
      <c r="H159" s="22"/>
    </row>
    <row r="160" spans="1:8" ht="12.75" customHeight="1" x14ac:dyDescent="0.2">
      <c r="A160" s="22"/>
      <c r="B160" s="22"/>
      <c r="C160" s="22"/>
      <c r="D160" s="22"/>
      <c r="E160" s="22"/>
      <c r="F160" s="22"/>
      <c r="G160" s="22"/>
      <c r="H160" s="22"/>
    </row>
    <row r="161" spans="1:8" ht="12.75" customHeight="1" x14ac:dyDescent="0.2">
      <c r="A161" s="22"/>
      <c r="B161" s="22"/>
      <c r="C161" s="22"/>
      <c r="D161" s="22"/>
      <c r="E161" s="22"/>
      <c r="F161" s="22"/>
      <c r="G161" s="22"/>
      <c r="H161" s="22"/>
    </row>
    <row r="162" spans="1:8" ht="12.75" customHeight="1" x14ac:dyDescent="0.2">
      <c r="A162" s="22"/>
      <c r="B162" s="22"/>
      <c r="C162" s="22"/>
      <c r="D162" s="22"/>
      <c r="E162" s="22"/>
      <c r="F162" s="22"/>
      <c r="G162" s="22"/>
      <c r="H162" s="22"/>
    </row>
    <row r="163" spans="1:8" ht="12.75" customHeight="1" x14ac:dyDescent="0.2">
      <c r="A163" s="22"/>
      <c r="B163" s="22"/>
      <c r="C163" s="22"/>
      <c r="D163" s="22"/>
      <c r="E163" s="22"/>
      <c r="F163" s="22"/>
      <c r="G163" s="22"/>
      <c r="H163" s="22"/>
    </row>
    <row r="164" spans="1:8" ht="12.75" customHeight="1" x14ac:dyDescent="0.2">
      <c r="A164" s="22"/>
      <c r="B164" s="22"/>
      <c r="C164" s="22"/>
      <c r="D164" s="22"/>
      <c r="E164" s="22"/>
      <c r="F164" s="22"/>
      <c r="G164" s="22"/>
      <c r="H164" s="22"/>
    </row>
    <row r="165" spans="1:8" ht="12.75" customHeight="1" x14ac:dyDescent="0.2">
      <c r="A165" s="22"/>
      <c r="B165" s="22"/>
      <c r="C165" s="22"/>
      <c r="D165" s="22"/>
      <c r="E165" s="22"/>
      <c r="F165" s="22"/>
      <c r="G165" s="22"/>
      <c r="H165" s="22"/>
    </row>
    <row r="166" spans="1:8" ht="12.75" customHeight="1" x14ac:dyDescent="0.2">
      <c r="A166" s="22"/>
      <c r="B166" s="22"/>
      <c r="C166" s="22"/>
      <c r="D166" s="22"/>
      <c r="E166" s="22"/>
      <c r="F166" s="22"/>
      <c r="G166" s="22"/>
      <c r="H166" s="22"/>
    </row>
    <row r="167" spans="1:8" ht="12.75" customHeight="1" x14ac:dyDescent="0.2">
      <c r="A167" s="22"/>
      <c r="B167" s="22"/>
      <c r="C167" s="22"/>
      <c r="D167" s="22"/>
      <c r="E167" s="22"/>
      <c r="F167" s="22"/>
      <c r="G167" s="22"/>
      <c r="H167" s="22"/>
    </row>
    <row r="168" spans="1:8" ht="12.75" customHeight="1" x14ac:dyDescent="0.2">
      <c r="A168" s="22"/>
      <c r="B168" s="22"/>
      <c r="C168" s="22"/>
      <c r="D168" s="22"/>
      <c r="E168" s="22"/>
      <c r="F168" s="22"/>
      <c r="G168" s="22"/>
      <c r="H168" s="22"/>
    </row>
    <row r="169" spans="1:8" ht="12.75" customHeight="1" x14ac:dyDescent="0.2">
      <c r="A169" s="22"/>
      <c r="B169" s="22"/>
      <c r="C169" s="22"/>
      <c r="D169" s="22"/>
      <c r="E169" s="22"/>
      <c r="F169" s="22"/>
      <c r="G169" s="22"/>
      <c r="H169" s="22"/>
    </row>
    <row r="170" spans="1:8" ht="12.75" customHeight="1" x14ac:dyDescent="0.2">
      <c r="A170" s="22"/>
      <c r="B170" s="22"/>
      <c r="C170" s="22"/>
      <c r="D170" s="22"/>
      <c r="E170" s="22"/>
      <c r="F170" s="22"/>
      <c r="G170" s="22"/>
      <c r="H170" s="22"/>
    </row>
    <row r="171" spans="1:8" ht="12.75" customHeight="1" x14ac:dyDescent="0.2">
      <c r="A171" s="22"/>
      <c r="B171" s="22"/>
      <c r="C171" s="22"/>
      <c r="D171" s="22"/>
      <c r="E171" s="22"/>
      <c r="F171" s="22"/>
      <c r="G171" s="22"/>
      <c r="H171" s="22"/>
    </row>
    <row r="172" spans="1:8" ht="12.75" customHeight="1" x14ac:dyDescent="0.2">
      <c r="A172" s="22"/>
      <c r="B172" s="22"/>
      <c r="C172" s="22"/>
      <c r="D172" s="22"/>
      <c r="E172" s="22"/>
      <c r="F172" s="22"/>
      <c r="G172" s="22"/>
      <c r="H172" s="22"/>
    </row>
    <row r="173" spans="1:8" ht="12.75" customHeight="1" x14ac:dyDescent="0.2">
      <c r="A173" s="22"/>
      <c r="B173" s="22"/>
      <c r="C173" s="22"/>
      <c r="D173" s="22"/>
      <c r="E173" s="22"/>
      <c r="F173" s="22"/>
      <c r="G173" s="22"/>
      <c r="H173" s="22"/>
    </row>
    <row r="174" spans="1:8" ht="12.75" customHeight="1" x14ac:dyDescent="0.2">
      <c r="A174" s="22"/>
      <c r="B174" s="22"/>
      <c r="C174" s="22"/>
      <c r="D174" s="22"/>
      <c r="E174" s="22"/>
      <c r="F174" s="22"/>
      <c r="G174" s="22"/>
      <c r="H174" s="22"/>
    </row>
    <row r="175" spans="1:8" ht="12.75" customHeight="1" x14ac:dyDescent="0.2">
      <c r="A175" s="22"/>
      <c r="B175" s="22"/>
      <c r="C175" s="22"/>
      <c r="D175" s="22"/>
      <c r="E175" s="22"/>
      <c r="F175" s="22"/>
      <c r="G175" s="22"/>
      <c r="H175" s="22"/>
    </row>
    <row r="176" spans="1:8" ht="12.75" customHeight="1" x14ac:dyDescent="0.2">
      <c r="A176" s="22"/>
      <c r="B176" s="22"/>
      <c r="C176" s="22"/>
      <c r="D176" s="22"/>
      <c r="E176" s="22"/>
      <c r="F176" s="22"/>
      <c r="G176" s="22"/>
      <c r="H176" s="22"/>
    </row>
    <row r="177" spans="1:8" ht="12.75" customHeight="1" x14ac:dyDescent="0.2">
      <c r="A177" s="22"/>
      <c r="B177" s="22"/>
      <c r="C177" s="22"/>
      <c r="D177" s="22"/>
      <c r="E177" s="22"/>
      <c r="F177" s="22"/>
      <c r="G177" s="22"/>
      <c r="H177" s="22"/>
    </row>
    <row r="178" spans="1:8" ht="12.75" customHeight="1" x14ac:dyDescent="0.2">
      <c r="A178" s="22"/>
      <c r="B178" s="22"/>
      <c r="C178" s="22"/>
      <c r="D178" s="22"/>
      <c r="E178" s="22"/>
      <c r="F178" s="22"/>
      <c r="G178" s="22"/>
      <c r="H178" s="22"/>
    </row>
    <row r="179" spans="1:8" ht="12.75" customHeight="1" x14ac:dyDescent="0.2">
      <c r="A179" s="22"/>
      <c r="B179" s="22"/>
      <c r="C179" s="22"/>
      <c r="D179" s="22"/>
      <c r="E179" s="22"/>
      <c r="F179" s="22"/>
      <c r="G179" s="22"/>
      <c r="H179" s="22"/>
    </row>
    <row r="180" spans="1:8" ht="12.75" customHeight="1" x14ac:dyDescent="0.2">
      <c r="A180" s="22"/>
      <c r="B180" s="22"/>
      <c r="C180" s="22"/>
      <c r="D180" s="22"/>
      <c r="E180" s="22"/>
      <c r="F180" s="22"/>
      <c r="G180" s="22"/>
      <c r="H180" s="22"/>
    </row>
    <row r="181" spans="1:8" ht="12.75" customHeight="1" x14ac:dyDescent="0.2">
      <c r="A181" s="22"/>
      <c r="B181" s="22"/>
      <c r="C181" s="22"/>
      <c r="D181" s="22"/>
      <c r="E181" s="22"/>
      <c r="F181" s="22"/>
      <c r="G181" s="22"/>
      <c r="H181" s="22"/>
    </row>
    <row r="182" spans="1:8" ht="12.75" customHeight="1" x14ac:dyDescent="0.2">
      <c r="A182" s="22"/>
      <c r="B182" s="22"/>
      <c r="C182" s="22"/>
      <c r="D182" s="22"/>
      <c r="E182" s="22"/>
      <c r="F182" s="22"/>
      <c r="G182" s="22"/>
      <c r="H182" s="22"/>
    </row>
    <row r="183" spans="1:8" ht="12.75" customHeight="1" x14ac:dyDescent="0.2">
      <c r="A183" s="22"/>
      <c r="B183" s="22"/>
      <c r="C183" s="22"/>
      <c r="D183" s="22"/>
      <c r="E183" s="22"/>
      <c r="F183" s="22"/>
      <c r="G183" s="22"/>
      <c r="H183" s="22"/>
    </row>
    <row r="184" spans="1:8" ht="12.75" customHeight="1" x14ac:dyDescent="0.2">
      <c r="A184" s="22"/>
      <c r="B184" s="22"/>
      <c r="C184" s="22"/>
      <c r="D184" s="22"/>
      <c r="E184" s="22"/>
      <c r="F184" s="22"/>
      <c r="G184" s="22"/>
      <c r="H184" s="22"/>
    </row>
    <row r="185" spans="1:8" ht="12.75" customHeight="1" x14ac:dyDescent="0.2">
      <c r="A185" s="22"/>
      <c r="B185" s="22"/>
      <c r="C185" s="22"/>
      <c r="D185" s="22"/>
      <c r="E185" s="22"/>
      <c r="F185" s="22"/>
      <c r="G185" s="22"/>
      <c r="H185" s="22"/>
    </row>
    <row r="186" spans="1:8" ht="12.75" customHeight="1" x14ac:dyDescent="0.2">
      <c r="A186" s="22"/>
      <c r="B186" s="22"/>
      <c r="C186" s="22"/>
      <c r="D186" s="22"/>
      <c r="E186" s="22"/>
      <c r="F186" s="22"/>
      <c r="G186" s="22"/>
      <c r="H186" s="22"/>
    </row>
    <row r="187" spans="1:8" ht="12.75" customHeight="1" x14ac:dyDescent="0.2">
      <c r="A187" s="22"/>
      <c r="B187" s="22"/>
      <c r="C187" s="22"/>
      <c r="D187" s="22"/>
      <c r="E187" s="22"/>
      <c r="F187" s="22"/>
      <c r="G187" s="22"/>
      <c r="H187" s="22"/>
    </row>
    <row r="188" spans="1:8" ht="12.75" customHeight="1" x14ac:dyDescent="0.2">
      <c r="A188" s="22"/>
      <c r="B188" s="22"/>
      <c r="C188" s="22"/>
      <c r="D188" s="22"/>
      <c r="E188" s="22"/>
      <c r="F188" s="22"/>
      <c r="G188" s="22"/>
      <c r="H188" s="22"/>
    </row>
    <row r="189" spans="1:8" ht="12.75" customHeight="1" x14ac:dyDescent="0.2">
      <c r="A189" s="22"/>
      <c r="B189" s="22"/>
      <c r="C189" s="22"/>
      <c r="D189" s="22"/>
      <c r="E189" s="22"/>
      <c r="F189" s="22"/>
      <c r="G189" s="22"/>
      <c r="H189" s="22"/>
    </row>
    <row r="190" spans="1:8" ht="12.75" customHeight="1" x14ac:dyDescent="0.2">
      <c r="A190" s="22"/>
      <c r="B190" s="22"/>
      <c r="C190" s="22"/>
      <c r="D190" s="22"/>
      <c r="E190" s="22"/>
      <c r="F190" s="22"/>
      <c r="G190" s="22"/>
      <c r="H190" s="22"/>
    </row>
    <row r="191" spans="1:8" ht="12.75" customHeight="1" x14ac:dyDescent="0.2">
      <c r="A191" s="22"/>
      <c r="B191" s="22"/>
      <c r="C191" s="22"/>
      <c r="D191" s="22"/>
      <c r="E191" s="22"/>
      <c r="F191" s="22"/>
      <c r="G191" s="22"/>
      <c r="H191" s="22"/>
    </row>
    <row r="192" spans="1:8" ht="12.75" customHeight="1" x14ac:dyDescent="0.2">
      <c r="A192" s="22"/>
      <c r="B192" s="22"/>
      <c r="C192" s="22"/>
      <c r="D192" s="22"/>
      <c r="E192" s="22"/>
      <c r="F192" s="22"/>
      <c r="G192" s="22"/>
      <c r="H192" s="22"/>
    </row>
    <row r="193" spans="1:8" ht="12.75" customHeight="1" x14ac:dyDescent="0.2">
      <c r="A193" s="22"/>
      <c r="B193" s="22"/>
      <c r="C193" s="22"/>
      <c r="D193" s="22"/>
      <c r="E193" s="22"/>
      <c r="F193" s="22"/>
      <c r="G193" s="22"/>
      <c r="H193" s="22"/>
    </row>
    <row r="194" spans="1:8" ht="12.75" customHeight="1" x14ac:dyDescent="0.2">
      <c r="A194" s="22"/>
      <c r="B194" s="22"/>
      <c r="C194" s="22"/>
      <c r="D194" s="22"/>
      <c r="E194" s="22"/>
      <c r="F194" s="22"/>
      <c r="G194" s="22"/>
      <c r="H194" s="22"/>
    </row>
    <row r="195" spans="1:8" ht="12.75" customHeight="1" x14ac:dyDescent="0.2">
      <c r="A195" s="22"/>
      <c r="B195" s="22"/>
      <c r="C195" s="22"/>
      <c r="D195" s="22"/>
      <c r="E195" s="22"/>
      <c r="F195" s="22"/>
      <c r="G195" s="22"/>
      <c r="H195" s="22"/>
    </row>
    <row r="196" spans="1:8" ht="12.75" customHeight="1" x14ac:dyDescent="0.2">
      <c r="A196" s="22"/>
      <c r="B196" s="22"/>
      <c r="C196" s="22"/>
      <c r="D196" s="22"/>
      <c r="E196" s="22"/>
      <c r="F196" s="22"/>
      <c r="G196" s="22"/>
      <c r="H196" s="22"/>
    </row>
    <row r="197" spans="1:8" ht="12.75" customHeight="1" x14ac:dyDescent="0.2">
      <c r="A197" s="22"/>
      <c r="B197" s="22"/>
      <c r="C197" s="22"/>
      <c r="D197" s="22"/>
      <c r="E197" s="22"/>
      <c r="F197" s="22"/>
      <c r="G197" s="22"/>
      <c r="H197" s="22"/>
    </row>
    <row r="198" spans="1:8" ht="12.75" customHeight="1" x14ac:dyDescent="0.2">
      <c r="A198" s="22"/>
      <c r="B198" s="22"/>
      <c r="C198" s="22"/>
      <c r="D198" s="22"/>
      <c r="E198" s="22"/>
      <c r="F198" s="22"/>
      <c r="G198" s="22"/>
      <c r="H198" s="22"/>
    </row>
    <row r="199" spans="1:8" ht="12.75" customHeight="1" x14ac:dyDescent="0.2">
      <c r="A199" s="22"/>
      <c r="B199" s="22"/>
      <c r="C199" s="22"/>
      <c r="D199" s="22"/>
      <c r="E199" s="22"/>
      <c r="F199" s="22"/>
      <c r="G199" s="22"/>
      <c r="H199" s="22"/>
    </row>
    <row r="200" spans="1:8" ht="12.75" customHeight="1" x14ac:dyDescent="0.2">
      <c r="A200" s="22"/>
      <c r="B200" s="22"/>
      <c r="C200" s="22"/>
      <c r="D200" s="22"/>
      <c r="E200" s="22"/>
      <c r="F200" s="22"/>
      <c r="G200" s="22"/>
      <c r="H200" s="22"/>
    </row>
    <row r="201" spans="1:8" ht="12.75" customHeight="1" x14ac:dyDescent="0.2">
      <c r="A201" s="22"/>
      <c r="B201" s="22"/>
      <c r="C201" s="22"/>
      <c r="D201" s="22"/>
      <c r="E201" s="22"/>
      <c r="F201" s="22"/>
      <c r="G201" s="22"/>
      <c r="H201" s="22"/>
    </row>
    <row r="202" spans="1:8" ht="12.75" customHeight="1" x14ac:dyDescent="0.2">
      <c r="A202" s="22"/>
      <c r="B202" s="22"/>
      <c r="C202" s="22"/>
      <c r="D202" s="22"/>
      <c r="E202" s="22"/>
      <c r="F202" s="22"/>
      <c r="G202" s="22"/>
      <c r="H202" s="22"/>
    </row>
    <row r="203" spans="1:8" ht="12.75" customHeight="1" x14ac:dyDescent="0.2">
      <c r="A203" s="22"/>
      <c r="B203" s="22"/>
      <c r="C203" s="22"/>
      <c r="D203" s="22"/>
      <c r="E203" s="22"/>
      <c r="F203" s="22"/>
      <c r="G203" s="22"/>
      <c r="H203" s="22"/>
    </row>
    <row r="204" spans="1:8" ht="12.75" customHeight="1" x14ac:dyDescent="0.2">
      <c r="A204" s="22"/>
      <c r="B204" s="22"/>
      <c r="C204" s="22"/>
      <c r="D204" s="22"/>
      <c r="E204" s="22"/>
      <c r="F204" s="22"/>
      <c r="G204" s="22"/>
      <c r="H204" s="22"/>
    </row>
    <row r="205" spans="1:8" ht="12.75" customHeight="1" x14ac:dyDescent="0.2">
      <c r="A205" s="22"/>
      <c r="B205" s="22"/>
      <c r="C205" s="22"/>
      <c r="D205" s="22"/>
      <c r="E205" s="22"/>
      <c r="F205" s="22"/>
      <c r="G205" s="22"/>
      <c r="H205" s="22"/>
    </row>
    <row r="206" spans="1:8" ht="12.75" customHeight="1" x14ac:dyDescent="0.2">
      <c r="A206" s="22"/>
      <c r="B206" s="22"/>
      <c r="C206" s="22"/>
      <c r="D206" s="22"/>
      <c r="E206" s="22"/>
      <c r="F206" s="22"/>
      <c r="G206" s="22"/>
      <c r="H206" s="22"/>
    </row>
    <row r="207" spans="1:8" ht="12.75" customHeight="1" x14ac:dyDescent="0.2">
      <c r="A207" s="22"/>
      <c r="B207" s="22"/>
      <c r="C207" s="22"/>
      <c r="D207" s="22"/>
      <c r="E207" s="22"/>
      <c r="F207" s="22"/>
      <c r="G207" s="22"/>
      <c r="H207" s="22"/>
    </row>
    <row r="208" spans="1:8" ht="12.75" customHeight="1" x14ac:dyDescent="0.2">
      <c r="A208" s="22"/>
      <c r="B208" s="22"/>
      <c r="C208" s="22"/>
      <c r="D208" s="22"/>
      <c r="E208" s="22"/>
      <c r="F208" s="22"/>
      <c r="G208" s="22"/>
      <c r="H208" s="22"/>
    </row>
    <row r="209" spans="1:8" ht="12.75" customHeight="1" x14ac:dyDescent="0.2">
      <c r="A209" s="22"/>
      <c r="B209" s="22"/>
      <c r="C209" s="22"/>
      <c r="D209" s="22"/>
      <c r="E209" s="22"/>
      <c r="F209" s="22"/>
      <c r="G209" s="22"/>
      <c r="H209" s="22"/>
    </row>
    <row r="210" spans="1:8" ht="12.75" customHeight="1" x14ac:dyDescent="0.2">
      <c r="A210" s="22"/>
      <c r="B210" s="22"/>
      <c r="C210" s="22"/>
      <c r="D210" s="22"/>
      <c r="E210" s="22"/>
      <c r="F210" s="22"/>
      <c r="G210" s="22"/>
      <c r="H210" s="22"/>
    </row>
    <row r="211" spans="1:8" ht="12.75" customHeight="1" x14ac:dyDescent="0.2">
      <c r="A211" s="22"/>
      <c r="B211" s="22"/>
      <c r="C211" s="22"/>
      <c r="D211" s="22"/>
      <c r="E211" s="22"/>
      <c r="F211" s="22"/>
      <c r="G211" s="22"/>
      <c r="H211" s="22"/>
    </row>
    <row r="212" spans="1:8" ht="12.75" customHeight="1" x14ac:dyDescent="0.2">
      <c r="A212" s="22"/>
      <c r="B212" s="22"/>
      <c r="C212" s="22"/>
      <c r="D212" s="22"/>
      <c r="E212" s="22"/>
      <c r="F212" s="22"/>
      <c r="G212" s="22"/>
      <c r="H212" s="22"/>
    </row>
    <row r="213" spans="1:8" ht="12.75" customHeight="1" x14ac:dyDescent="0.2">
      <c r="A213" s="22"/>
      <c r="B213" s="22"/>
      <c r="C213" s="22"/>
      <c r="D213" s="22"/>
      <c r="E213" s="22"/>
      <c r="F213" s="22"/>
      <c r="G213" s="22"/>
      <c r="H213" s="22"/>
    </row>
    <row r="214" spans="1:8" ht="12.75" customHeight="1" x14ac:dyDescent="0.2">
      <c r="A214" s="22"/>
      <c r="B214" s="22"/>
      <c r="C214" s="22"/>
      <c r="D214" s="22"/>
      <c r="E214" s="22"/>
      <c r="F214" s="22"/>
      <c r="G214" s="22"/>
      <c r="H214" s="22"/>
    </row>
    <row r="215" spans="1:8" ht="12.75" customHeight="1" x14ac:dyDescent="0.2">
      <c r="A215" s="22"/>
      <c r="B215" s="22"/>
      <c r="C215" s="22"/>
      <c r="D215" s="22"/>
      <c r="E215" s="22"/>
      <c r="F215" s="22"/>
      <c r="G215" s="22"/>
      <c r="H215" s="22"/>
    </row>
    <row r="216" spans="1:8" ht="12.75" customHeight="1" x14ac:dyDescent="0.2">
      <c r="A216" s="22"/>
      <c r="B216" s="22"/>
      <c r="C216" s="22"/>
      <c r="D216" s="22"/>
      <c r="E216" s="22"/>
      <c r="F216" s="22"/>
      <c r="G216" s="22"/>
      <c r="H216" s="22"/>
    </row>
    <row r="217" spans="1:8" ht="12.75" customHeight="1" x14ac:dyDescent="0.2">
      <c r="A217" s="22"/>
      <c r="B217" s="22"/>
      <c r="C217" s="22"/>
      <c r="D217" s="22"/>
      <c r="E217" s="22"/>
      <c r="F217" s="22"/>
      <c r="G217" s="22"/>
      <c r="H217" s="22"/>
    </row>
    <row r="218" spans="1:8" ht="12.75" customHeight="1" x14ac:dyDescent="0.2">
      <c r="A218" s="22"/>
      <c r="B218" s="22"/>
      <c r="C218" s="22"/>
      <c r="D218" s="22"/>
      <c r="E218" s="22"/>
      <c r="F218" s="22"/>
      <c r="G218" s="22"/>
      <c r="H218" s="22"/>
    </row>
    <row r="219" spans="1:8" ht="12.75" customHeight="1" x14ac:dyDescent="0.2">
      <c r="A219" s="22"/>
      <c r="B219" s="22"/>
      <c r="C219" s="22"/>
      <c r="D219" s="22"/>
      <c r="E219" s="22"/>
      <c r="F219" s="22"/>
      <c r="G219" s="22"/>
      <c r="H219" s="22"/>
    </row>
    <row r="220" spans="1:8" ht="12.75" customHeight="1" x14ac:dyDescent="0.2">
      <c r="A220" s="22"/>
      <c r="B220" s="22"/>
      <c r="C220" s="22"/>
      <c r="D220" s="22"/>
      <c r="E220" s="22"/>
      <c r="F220" s="22"/>
      <c r="G220" s="22"/>
      <c r="H220" s="22"/>
    </row>
    <row r="221" spans="1:8" ht="12.75" customHeight="1" x14ac:dyDescent="0.2">
      <c r="A221" s="22"/>
      <c r="B221" s="22"/>
      <c r="C221" s="22"/>
      <c r="D221" s="22"/>
      <c r="E221" s="22"/>
      <c r="F221" s="22"/>
      <c r="G221" s="22"/>
      <c r="H221" s="22"/>
    </row>
    <row r="222" spans="1:8" ht="12.75" customHeight="1" x14ac:dyDescent="0.2">
      <c r="A222" s="22"/>
      <c r="B222" s="22"/>
      <c r="C222" s="22"/>
      <c r="D222" s="22"/>
      <c r="E222" s="22"/>
      <c r="F222" s="22"/>
      <c r="G222" s="22"/>
      <c r="H222" s="22"/>
    </row>
    <row r="223" spans="1:8" ht="12.75" customHeight="1" x14ac:dyDescent="0.2">
      <c r="A223" s="22"/>
      <c r="B223" s="22"/>
      <c r="C223" s="22"/>
      <c r="D223" s="22"/>
      <c r="E223" s="22"/>
      <c r="F223" s="22"/>
      <c r="G223" s="22"/>
      <c r="H223" s="22"/>
    </row>
    <row r="224" spans="1:8" ht="12.75" customHeight="1" x14ac:dyDescent="0.2">
      <c r="A224" s="22"/>
      <c r="B224" s="22"/>
      <c r="C224" s="22"/>
      <c r="D224" s="22"/>
      <c r="E224" s="22"/>
      <c r="F224" s="22"/>
      <c r="G224" s="22"/>
      <c r="H224" s="22"/>
    </row>
    <row r="225" spans="1:8" ht="12.75" customHeight="1" x14ac:dyDescent="0.2">
      <c r="A225" s="22"/>
      <c r="B225" s="22"/>
      <c r="C225" s="22"/>
      <c r="D225" s="22"/>
      <c r="E225" s="22"/>
      <c r="F225" s="22"/>
      <c r="G225" s="22"/>
      <c r="H225" s="22"/>
    </row>
    <row r="226" spans="1:8" ht="12.75" customHeight="1" x14ac:dyDescent="0.2">
      <c r="A226" s="22"/>
      <c r="B226" s="22"/>
      <c r="C226" s="22"/>
      <c r="D226" s="22"/>
      <c r="E226" s="22"/>
      <c r="F226" s="22"/>
      <c r="G226" s="22"/>
      <c r="H226" s="22"/>
    </row>
    <row r="227" spans="1:8" ht="12.75" customHeight="1" x14ac:dyDescent="0.2">
      <c r="A227" s="22"/>
      <c r="B227" s="22"/>
      <c r="C227" s="22"/>
      <c r="D227" s="22"/>
      <c r="E227" s="22"/>
      <c r="F227" s="22"/>
      <c r="G227" s="22"/>
      <c r="H227" s="22"/>
    </row>
    <row r="228" spans="1:8" ht="12.75" customHeight="1" x14ac:dyDescent="0.2">
      <c r="A228" s="22"/>
      <c r="B228" s="22"/>
      <c r="C228" s="22"/>
      <c r="D228" s="22"/>
      <c r="E228" s="22"/>
      <c r="F228" s="22"/>
      <c r="G228" s="22"/>
      <c r="H228" s="22"/>
    </row>
    <row r="229" spans="1:8" ht="12.75" customHeight="1" x14ac:dyDescent="0.2">
      <c r="A229" s="22"/>
      <c r="B229" s="22"/>
      <c r="C229" s="22"/>
      <c r="D229" s="22"/>
      <c r="E229" s="22"/>
      <c r="F229" s="22"/>
      <c r="G229" s="22"/>
      <c r="H229" s="22"/>
    </row>
    <row r="230" spans="1:8" ht="12.75" customHeight="1" x14ac:dyDescent="0.2">
      <c r="A230" s="22"/>
      <c r="B230" s="22"/>
      <c r="C230" s="22"/>
      <c r="D230" s="22"/>
      <c r="E230" s="22"/>
      <c r="F230" s="22"/>
      <c r="G230" s="22"/>
      <c r="H230" s="22"/>
    </row>
    <row r="231" spans="1:8" ht="12.75" customHeight="1" x14ac:dyDescent="0.2">
      <c r="A231" s="22"/>
      <c r="B231" s="22"/>
      <c r="C231" s="22"/>
      <c r="D231" s="22"/>
      <c r="E231" s="22"/>
      <c r="F231" s="22"/>
      <c r="G231" s="22"/>
      <c r="H231" s="22"/>
    </row>
    <row r="232" spans="1:8" ht="12.75" customHeight="1" x14ac:dyDescent="0.2">
      <c r="A232" s="22"/>
      <c r="B232" s="22"/>
      <c r="C232" s="22"/>
      <c r="D232" s="22"/>
      <c r="E232" s="22"/>
      <c r="F232" s="22"/>
      <c r="G232" s="22"/>
      <c r="H232" s="22"/>
    </row>
    <row r="233" spans="1:8" ht="12.75" customHeight="1" x14ac:dyDescent="0.2">
      <c r="A233" s="22"/>
      <c r="B233" s="22"/>
      <c r="C233" s="22"/>
      <c r="D233" s="22"/>
      <c r="E233" s="22"/>
      <c r="F233" s="22"/>
      <c r="G233" s="22"/>
      <c r="H233" s="22"/>
    </row>
    <row r="234" spans="1:8" ht="12.75" customHeight="1" x14ac:dyDescent="0.2">
      <c r="A234" s="22"/>
      <c r="B234" s="22"/>
      <c r="C234" s="22"/>
      <c r="D234" s="22"/>
      <c r="E234" s="22"/>
      <c r="F234" s="22"/>
      <c r="G234" s="22"/>
      <c r="H234" s="22"/>
    </row>
    <row r="235" spans="1:8" ht="12.75" customHeight="1" x14ac:dyDescent="0.2">
      <c r="A235" s="22"/>
      <c r="B235" s="22"/>
      <c r="C235" s="22"/>
      <c r="D235" s="22"/>
      <c r="E235" s="22"/>
      <c r="F235" s="22"/>
      <c r="G235" s="22"/>
      <c r="H235" s="22"/>
    </row>
    <row r="236" spans="1:8" ht="12.75" customHeight="1" x14ac:dyDescent="0.2">
      <c r="A236" s="22"/>
      <c r="B236" s="22"/>
      <c r="C236" s="22"/>
      <c r="D236" s="22"/>
      <c r="E236" s="22"/>
      <c r="F236" s="22"/>
      <c r="G236" s="22"/>
      <c r="H236" s="22"/>
    </row>
    <row r="237" spans="1:8" ht="12.75" customHeight="1" x14ac:dyDescent="0.2">
      <c r="A237" s="22"/>
      <c r="B237" s="22"/>
      <c r="C237" s="22"/>
      <c r="D237" s="22"/>
      <c r="E237" s="22"/>
      <c r="F237" s="22"/>
      <c r="G237" s="22"/>
      <c r="H237" s="22"/>
    </row>
    <row r="238" spans="1:8" ht="12.75" customHeight="1" x14ac:dyDescent="0.2">
      <c r="A238" s="22"/>
      <c r="B238" s="22"/>
      <c r="C238" s="22"/>
      <c r="D238" s="22"/>
      <c r="E238" s="22"/>
      <c r="F238" s="22"/>
      <c r="G238" s="22"/>
      <c r="H238" s="22"/>
    </row>
    <row r="239" spans="1:8" ht="12.75" customHeight="1" x14ac:dyDescent="0.2">
      <c r="A239" s="22"/>
      <c r="B239" s="22"/>
      <c r="C239" s="22"/>
      <c r="D239" s="22"/>
      <c r="E239" s="22"/>
      <c r="F239" s="22"/>
      <c r="G239" s="22"/>
      <c r="H239" s="22"/>
    </row>
    <row r="240" spans="1:8" ht="12.75" customHeight="1" x14ac:dyDescent="0.2">
      <c r="A240" s="22"/>
      <c r="B240" s="22"/>
      <c r="C240" s="22"/>
      <c r="D240" s="22"/>
      <c r="E240" s="22"/>
      <c r="F240" s="22"/>
      <c r="G240" s="22"/>
      <c r="H240" s="22"/>
    </row>
    <row r="241" spans="1:8" ht="12.75" customHeight="1" x14ac:dyDescent="0.2">
      <c r="A241" s="22"/>
      <c r="B241" s="22"/>
      <c r="C241" s="22"/>
      <c r="D241" s="22"/>
      <c r="E241" s="22"/>
      <c r="F241" s="22"/>
      <c r="G241" s="22"/>
      <c r="H241" s="22"/>
    </row>
    <row r="242" spans="1:8" ht="12.75" customHeight="1" x14ac:dyDescent="0.2">
      <c r="A242" s="22"/>
      <c r="B242" s="22"/>
      <c r="C242" s="22"/>
      <c r="D242" s="22"/>
      <c r="E242" s="22"/>
      <c r="F242" s="22"/>
      <c r="G242" s="22"/>
      <c r="H242" s="22"/>
    </row>
    <row r="243" spans="1:8" ht="12.75" customHeight="1" x14ac:dyDescent="0.2">
      <c r="A243" s="22"/>
      <c r="B243" s="22"/>
      <c r="C243" s="22"/>
      <c r="D243" s="22"/>
      <c r="E243" s="22"/>
      <c r="F243" s="22"/>
      <c r="G243" s="22"/>
      <c r="H243" s="22"/>
    </row>
    <row r="244" spans="1:8" ht="12.75" customHeight="1" x14ac:dyDescent="0.2">
      <c r="A244" s="22"/>
      <c r="B244" s="22"/>
      <c r="C244" s="22"/>
      <c r="D244" s="22"/>
      <c r="E244" s="22"/>
      <c r="F244" s="22"/>
      <c r="G244" s="22"/>
      <c r="H244" s="22"/>
    </row>
    <row r="245" spans="1:8" ht="12.75" customHeight="1" x14ac:dyDescent="0.2">
      <c r="A245" s="22"/>
      <c r="B245" s="22"/>
      <c r="C245" s="22"/>
      <c r="D245" s="22"/>
      <c r="E245" s="22"/>
      <c r="F245" s="22"/>
      <c r="G245" s="22"/>
      <c r="H245" s="22"/>
    </row>
    <row r="246" spans="1:8" ht="12.75" customHeight="1" x14ac:dyDescent="0.2">
      <c r="A246" s="22"/>
      <c r="B246" s="22"/>
      <c r="C246" s="22"/>
      <c r="D246" s="22"/>
      <c r="E246" s="22"/>
      <c r="F246" s="22"/>
      <c r="G246" s="22"/>
      <c r="H246" s="22"/>
    </row>
    <row r="247" spans="1:8" ht="12.75" customHeight="1" x14ac:dyDescent="0.2">
      <c r="A247" s="22"/>
      <c r="B247" s="22"/>
      <c r="C247" s="22"/>
      <c r="D247" s="22"/>
      <c r="E247" s="22"/>
      <c r="F247" s="22"/>
      <c r="G247" s="22"/>
      <c r="H247" s="22"/>
    </row>
    <row r="248" spans="1:8" ht="12.75" customHeight="1" x14ac:dyDescent="0.2">
      <c r="A248" s="22"/>
      <c r="B248" s="22"/>
      <c r="C248" s="22"/>
      <c r="D248" s="22"/>
      <c r="E248" s="22"/>
      <c r="F248" s="22"/>
      <c r="G248" s="22"/>
      <c r="H248" s="22"/>
    </row>
    <row r="249" spans="1:8" ht="12.75" customHeight="1" x14ac:dyDescent="0.2">
      <c r="A249" s="22"/>
      <c r="B249" s="22"/>
      <c r="C249" s="22"/>
      <c r="D249" s="22"/>
      <c r="E249" s="22"/>
      <c r="F249" s="22"/>
      <c r="G249" s="22"/>
      <c r="H249" s="22"/>
    </row>
    <row r="250" spans="1:8" ht="12.75" customHeight="1" x14ac:dyDescent="0.2">
      <c r="A250" s="22"/>
      <c r="B250" s="22"/>
      <c r="C250" s="22"/>
      <c r="D250" s="22"/>
      <c r="E250" s="22"/>
      <c r="F250" s="22"/>
      <c r="G250" s="22"/>
      <c r="H250" s="22"/>
    </row>
    <row r="251" spans="1:8" ht="12.75" customHeight="1" x14ac:dyDescent="0.2">
      <c r="A251" s="22"/>
      <c r="B251" s="22"/>
      <c r="C251" s="22"/>
      <c r="D251" s="22"/>
      <c r="E251" s="22"/>
      <c r="F251" s="22"/>
      <c r="G251" s="22"/>
      <c r="H251" s="22"/>
    </row>
    <row r="252" spans="1:8" ht="12.75" customHeight="1" x14ac:dyDescent="0.2">
      <c r="A252" s="22"/>
      <c r="B252" s="22"/>
      <c r="C252" s="22"/>
      <c r="D252" s="22"/>
      <c r="E252" s="22"/>
      <c r="F252" s="22"/>
      <c r="G252" s="22"/>
      <c r="H252" s="22"/>
    </row>
    <row r="253" spans="1:8" ht="12.75" customHeight="1" x14ac:dyDescent="0.2">
      <c r="A253" s="22"/>
      <c r="B253" s="22"/>
      <c r="C253" s="22"/>
      <c r="D253" s="22"/>
      <c r="E253" s="22"/>
      <c r="F253" s="22"/>
      <c r="G253" s="22"/>
      <c r="H253" s="22"/>
    </row>
    <row r="254" spans="1:8" ht="12.75" customHeight="1" x14ac:dyDescent="0.2">
      <c r="A254" s="22"/>
      <c r="B254" s="22"/>
      <c r="C254" s="22"/>
      <c r="D254" s="22"/>
      <c r="E254" s="22"/>
      <c r="F254" s="22"/>
      <c r="G254" s="22"/>
      <c r="H254" s="22"/>
    </row>
    <row r="255" spans="1:8" ht="12.75" customHeight="1" x14ac:dyDescent="0.2">
      <c r="A255" s="22"/>
      <c r="B255" s="22"/>
      <c r="C255" s="22"/>
      <c r="D255" s="22"/>
      <c r="E255" s="22"/>
      <c r="F255" s="22"/>
      <c r="G255" s="22"/>
      <c r="H255" s="22"/>
    </row>
    <row r="256" spans="1:8" ht="12.75" customHeight="1" x14ac:dyDescent="0.2">
      <c r="A256" s="22"/>
      <c r="B256" s="22"/>
      <c r="C256" s="22"/>
      <c r="D256" s="22"/>
      <c r="E256" s="22"/>
      <c r="F256" s="22"/>
      <c r="G256" s="22"/>
      <c r="H256" s="22"/>
    </row>
    <row r="257" spans="1:8" ht="12.75" customHeight="1" x14ac:dyDescent="0.2">
      <c r="A257" s="22"/>
      <c r="B257" s="22"/>
      <c r="C257" s="22"/>
      <c r="D257" s="22"/>
      <c r="E257" s="22"/>
      <c r="F257" s="22"/>
      <c r="G257" s="22"/>
      <c r="H257" s="22"/>
    </row>
    <row r="258" spans="1:8" ht="12.75" customHeight="1" x14ac:dyDescent="0.2">
      <c r="A258" s="22"/>
      <c r="B258" s="22"/>
      <c r="C258" s="22"/>
      <c r="D258" s="22"/>
      <c r="E258" s="22"/>
      <c r="F258" s="22"/>
      <c r="G258" s="22"/>
      <c r="H258" s="22"/>
    </row>
    <row r="259" spans="1:8" ht="12.75" customHeight="1" x14ac:dyDescent="0.2">
      <c r="A259" s="22"/>
      <c r="B259" s="22"/>
      <c r="C259" s="22"/>
      <c r="D259" s="22"/>
      <c r="E259" s="22"/>
      <c r="F259" s="22"/>
      <c r="G259" s="22"/>
      <c r="H259" s="22"/>
    </row>
    <row r="260" spans="1:8" ht="12.75" customHeight="1" x14ac:dyDescent="0.2">
      <c r="A260" s="22"/>
      <c r="B260" s="22"/>
      <c r="C260" s="22"/>
      <c r="D260" s="22"/>
      <c r="E260" s="22"/>
      <c r="F260" s="22"/>
      <c r="G260" s="22"/>
      <c r="H260" s="22"/>
    </row>
    <row r="261" spans="1:8" ht="12.75" customHeight="1" x14ac:dyDescent="0.2">
      <c r="A261" s="22"/>
      <c r="B261" s="22"/>
      <c r="C261" s="22"/>
      <c r="D261" s="22"/>
      <c r="E261" s="22"/>
      <c r="F261" s="22"/>
      <c r="G261" s="22"/>
      <c r="H261" s="22"/>
    </row>
    <row r="262" spans="1:8" ht="12.75" customHeight="1" x14ac:dyDescent="0.2">
      <c r="A262" s="22"/>
      <c r="B262" s="22"/>
      <c r="C262" s="22"/>
      <c r="D262" s="22"/>
      <c r="E262" s="22"/>
      <c r="F262" s="22"/>
      <c r="G262" s="22"/>
      <c r="H262" s="22"/>
    </row>
    <row r="263" spans="1:8" ht="12.75" customHeight="1" x14ac:dyDescent="0.2">
      <c r="A263" s="22"/>
      <c r="B263" s="22"/>
      <c r="C263" s="22"/>
      <c r="D263" s="22"/>
      <c r="E263" s="22"/>
      <c r="F263" s="22"/>
      <c r="G263" s="22"/>
      <c r="H263" s="22"/>
    </row>
    <row r="264" spans="1:8" ht="12.75" customHeight="1" x14ac:dyDescent="0.2">
      <c r="A264" s="22"/>
      <c r="B264" s="22"/>
      <c r="C264" s="22"/>
      <c r="D264" s="22"/>
      <c r="E264" s="22"/>
      <c r="F264" s="22"/>
      <c r="G264" s="22"/>
      <c r="H264" s="22"/>
    </row>
    <row r="265" spans="1:8" ht="12.75" customHeight="1" x14ac:dyDescent="0.2">
      <c r="A265" s="22"/>
      <c r="B265" s="22"/>
      <c r="C265" s="22"/>
      <c r="D265" s="22"/>
      <c r="E265" s="22"/>
      <c r="F265" s="22"/>
      <c r="G265" s="22"/>
      <c r="H265" s="22"/>
    </row>
    <row r="266" spans="1:8" ht="12.75" customHeight="1" x14ac:dyDescent="0.2">
      <c r="A266" s="22"/>
      <c r="B266" s="22"/>
      <c r="C266" s="22"/>
      <c r="D266" s="22"/>
      <c r="E266" s="22"/>
      <c r="F266" s="22"/>
      <c r="G266" s="22"/>
      <c r="H266" s="22"/>
    </row>
    <row r="267" spans="1:8" ht="12.75" customHeight="1" x14ac:dyDescent="0.2">
      <c r="A267" s="22"/>
      <c r="B267" s="22"/>
      <c r="C267" s="22"/>
      <c r="D267" s="22"/>
      <c r="E267" s="22"/>
      <c r="F267" s="22"/>
      <c r="G267" s="22"/>
      <c r="H267" s="22"/>
    </row>
    <row r="268" spans="1:8" ht="12.75" customHeight="1" x14ac:dyDescent="0.2">
      <c r="A268" s="22"/>
      <c r="B268" s="22"/>
      <c r="C268" s="22"/>
      <c r="D268" s="22"/>
      <c r="E268" s="22"/>
      <c r="F268" s="22"/>
      <c r="G268" s="22"/>
      <c r="H268" s="22"/>
    </row>
    <row r="269" spans="1:8" ht="12.75" customHeight="1" x14ac:dyDescent="0.2">
      <c r="A269" s="22"/>
      <c r="B269" s="22"/>
      <c r="C269" s="22"/>
      <c r="D269" s="22"/>
      <c r="E269" s="22"/>
      <c r="F269" s="22"/>
      <c r="G269" s="22"/>
      <c r="H269" s="22"/>
    </row>
    <row r="270" spans="1:8" ht="12.75" customHeight="1" x14ac:dyDescent="0.2">
      <c r="A270" s="22"/>
      <c r="B270" s="22"/>
      <c r="C270" s="22"/>
      <c r="D270" s="22"/>
      <c r="E270" s="22"/>
      <c r="F270" s="22"/>
      <c r="G270" s="22"/>
      <c r="H270" s="22"/>
    </row>
    <row r="271" spans="1:8" ht="12.75" customHeight="1" x14ac:dyDescent="0.2">
      <c r="A271" s="22"/>
      <c r="B271" s="22"/>
      <c r="C271" s="22"/>
      <c r="D271" s="22"/>
      <c r="E271" s="22"/>
      <c r="F271" s="22"/>
      <c r="G271" s="22"/>
      <c r="H271" s="22"/>
    </row>
    <row r="272" spans="1:8" ht="12.75" customHeight="1" x14ac:dyDescent="0.2">
      <c r="A272" s="22"/>
      <c r="B272" s="22"/>
      <c r="C272" s="22"/>
      <c r="D272" s="22"/>
      <c r="E272" s="22"/>
      <c r="F272" s="22"/>
      <c r="G272" s="22"/>
      <c r="H272" s="22"/>
    </row>
    <row r="273" spans="1:8" ht="12.75" customHeight="1" x14ac:dyDescent="0.2">
      <c r="A273" s="22"/>
      <c r="B273" s="22"/>
      <c r="C273" s="22"/>
      <c r="D273" s="22"/>
      <c r="E273" s="22"/>
      <c r="F273" s="22"/>
      <c r="G273" s="22"/>
      <c r="H273" s="22"/>
    </row>
    <row r="274" spans="1:8" ht="12.75" customHeight="1" x14ac:dyDescent="0.2">
      <c r="A274" s="22"/>
      <c r="B274" s="22"/>
      <c r="C274" s="22"/>
      <c r="D274" s="22"/>
      <c r="E274" s="22"/>
      <c r="F274" s="22"/>
      <c r="G274" s="22"/>
      <c r="H274" s="22"/>
    </row>
    <row r="275" spans="1:8" ht="12.75" customHeight="1" x14ac:dyDescent="0.2">
      <c r="A275" s="22"/>
      <c r="B275" s="22"/>
      <c r="C275" s="22"/>
      <c r="D275" s="22"/>
      <c r="E275" s="22"/>
      <c r="F275" s="22"/>
      <c r="G275" s="22"/>
      <c r="H275" s="22"/>
    </row>
    <row r="276" spans="1:8" ht="12.75" customHeight="1" x14ac:dyDescent="0.2">
      <c r="A276" s="22"/>
      <c r="B276" s="22"/>
      <c r="C276" s="22"/>
      <c r="D276" s="22"/>
      <c r="E276" s="22"/>
      <c r="F276" s="22"/>
      <c r="G276" s="22"/>
      <c r="H276" s="22"/>
    </row>
    <row r="277" spans="1:8" ht="12.75" customHeight="1" x14ac:dyDescent="0.2">
      <c r="A277" s="22"/>
      <c r="B277" s="22"/>
      <c r="C277" s="22"/>
      <c r="D277" s="22"/>
      <c r="E277" s="22"/>
      <c r="F277" s="22"/>
      <c r="G277" s="22"/>
      <c r="H277" s="22"/>
    </row>
    <row r="278" spans="1:8" ht="12.75" customHeight="1" x14ac:dyDescent="0.2">
      <c r="A278" s="22"/>
      <c r="B278" s="22"/>
      <c r="C278" s="22"/>
      <c r="D278" s="22"/>
      <c r="E278" s="22"/>
      <c r="F278" s="22"/>
      <c r="G278" s="22"/>
      <c r="H278" s="22"/>
    </row>
    <row r="279" spans="1:8" ht="12.75" customHeight="1" x14ac:dyDescent="0.2">
      <c r="A279" s="22"/>
      <c r="B279" s="22"/>
      <c r="C279" s="22"/>
      <c r="D279" s="22"/>
      <c r="E279" s="22"/>
      <c r="F279" s="22"/>
      <c r="G279" s="22"/>
      <c r="H279" s="22"/>
    </row>
    <row r="280" spans="1:8" ht="12.75" customHeight="1" x14ac:dyDescent="0.2">
      <c r="A280" s="22"/>
      <c r="B280" s="22"/>
      <c r="C280" s="22"/>
      <c r="D280" s="22"/>
      <c r="E280" s="22"/>
      <c r="F280" s="22"/>
      <c r="G280" s="22"/>
      <c r="H280" s="22"/>
    </row>
    <row r="281" spans="1:8" ht="12.75" customHeight="1" x14ac:dyDescent="0.2">
      <c r="A281" s="22"/>
      <c r="B281" s="22"/>
      <c r="C281" s="22"/>
      <c r="D281" s="22"/>
      <c r="E281" s="22"/>
      <c r="F281" s="22"/>
      <c r="G281" s="22"/>
      <c r="H281" s="22"/>
    </row>
    <row r="282" spans="1:8" ht="12.75" customHeight="1" x14ac:dyDescent="0.2">
      <c r="A282" s="22"/>
      <c r="B282" s="22"/>
      <c r="C282" s="22"/>
      <c r="D282" s="22"/>
      <c r="E282" s="22"/>
      <c r="F282" s="22"/>
      <c r="G282" s="22"/>
      <c r="H282" s="22"/>
    </row>
    <row r="283" spans="1:8" ht="12.75" customHeight="1" x14ac:dyDescent="0.2">
      <c r="A283" s="22"/>
      <c r="B283" s="22"/>
      <c r="C283" s="22"/>
      <c r="D283" s="22"/>
      <c r="E283" s="22"/>
      <c r="F283" s="22"/>
      <c r="G283" s="22"/>
      <c r="H283" s="22"/>
    </row>
    <row r="284" spans="1:8" ht="12.75" customHeight="1" x14ac:dyDescent="0.2">
      <c r="A284" s="22"/>
      <c r="B284" s="22"/>
      <c r="C284" s="22"/>
      <c r="D284" s="22"/>
      <c r="E284" s="22"/>
      <c r="F284" s="22"/>
      <c r="G284" s="22"/>
      <c r="H284" s="22"/>
    </row>
    <row r="285" spans="1:8" ht="12.75" customHeight="1" x14ac:dyDescent="0.2">
      <c r="A285" s="22"/>
      <c r="B285" s="22"/>
      <c r="C285" s="22"/>
      <c r="D285" s="22"/>
      <c r="E285" s="22"/>
      <c r="F285" s="22"/>
      <c r="G285" s="22"/>
      <c r="H285" s="22"/>
    </row>
    <row r="286" spans="1:8" ht="12.75" customHeight="1" x14ac:dyDescent="0.2">
      <c r="A286" s="22"/>
      <c r="B286" s="22"/>
      <c r="C286" s="22"/>
      <c r="D286" s="22"/>
      <c r="E286" s="22"/>
      <c r="F286" s="22"/>
      <c r="G286" s="22"/>
      <c r="H286" s="22"/>
    </row>
    <row r="287" spans="1:8" ht="12.75" customHeight="1" x14ac:dyDescent="0.2">
      <c r="A287" s="22"/>
      <c r="B287" s="22"/>
      <c r="C287" s="22"/>
      <c r="D287" s="22"/>
      <c r="E287" s="22"/>
      <c r="F287" s="22"/>
      <c r="G287" s="22"/>
      <c r="H287" s="22"/>
    </row>
    <row r="288" spans="1:8" ht="12.75" customHeight="1" x14ac:dyDescent="0.2">
      <c r="A288" s="22"/>
      <c r="B288" s="22"/>
      <c r="C288" s="22"/>
      <c r="D288" s="22"/>
      <c r="E288" s="22"/>
      <c r="F288" s="22"/>
      <c r="G288" s="22"/>
      <c r="H288" s="22"/>
    </row>
    <row r="289" spans="1:8" ht="12.75" customHeight="1" x14ac:dyDescent="0.2">
      <c r="A289" s="22"/>
      <c r="B289" s="22"/>
      <c r="C289" s="22"/>
      <c r="D289" s="22"/>
      <c r="E289" s="22"/>
      <c r="F289" s="22"/>
      <c r="G289" s="22"/>
      <c r="H289" s="22"/>
    </row>
    <row r="290" spans="1:8" ht="12.75" customHeight="1" x14ac:dyDescent="0.2">
      <c r="A290" s="22"/>
      <c r="B290" s="22"/>
      <c r="C290" s="22"/>
      <c r="D290" s="22"/>
      <c r="E290" s="22"/>
      <c r="F290" s="22"/>
      <c r="G290" s="22"/>
      <c r="H290" s="22"/>
    </row>
    <row r="291" spans="1:8" ht="12.75" customHeight="1" x14ac:dyDescent="0.2">
      <c r="A291" s="22"/>
      <c r="B291" s="22"/>
      <c r="C291" s="22"/>
      <c r="D291" s="22"/>
      <c r="E291" s="22"/>
      <c r="F291" s="22"/>
      <c r="G291" s="22"/>
      <c r="H291" s="22"/>
    </row>
    <row r="292" spans="1:8" ht="12.75" customHeight="1" x14ac:dyDescent="0.2">
      <c r="A292" s="22"/>
      <c r="B292" s="22"/>
      <c r="C292" s="22"/>
      <c r="D292" s="22"/>
      <c r="E292" s="22"/>
      <c r="F292" s="22"/>
      <c r="G292" s="22"/>
      <c r="H292" s="22"/>
    </row>
    <row r="293" spans="1:8" ht="12.75" customHeight="1" x14ac:dyDescent="0.2">
      <c r="A293" s="22"/>
      <c r="B293" s="22"/>
      <c r="C293" s="22"/>
      <c r="D293" s="22"/>
      <c r="E293" s="22"/>
      <c r="F293" s="22"/>
      <c r="G293" s="22"/>
      <c r="H293" s="22"/>
    </row>
    <row r="294" spans="1:8" ht="12.75" customHeight="1" x14ac:dyDescent="0.2">
      <c r="A294" s="22"/>
      <c r="B294" s="22"/>
      <c r="C294" s="22"/>
      <c r="D294" s="22"/>
      <c r="E294" s="22"/>
      <c r="F294" s="22"/>
      <c r="G294" s="22"/>
      <c r="H294" s="22"/>
    </row>
    <row r="295" spans="1:8" ht="12.75" customHeight="1" x14ac:dyDescent="0.2">
      <c r="A295" s="22"/>
      <c r="B295" s="22"/>
      <c r="C295" s="22"/>
      <c r="D295" s="22"/>
      <c r="E295" s="22"/>
      <c r="F295" s="22"/>
      <c r="G295" s="22"/>
      <c r="H295" s="22"/>
    </row>
    <row r="296" spans="1:8" ht="12.75" customHeight="1" x14ac:dyDescent="0.2">
      <c r="A296" s="22"/>
      <c r="B296" s="22"/>
      <c r="C296" s="22"/>
      <c r="D296" s="22"/>
      <c r="E296" s="22"/>
      <c r="F296" s="22"/>
      <c r="G296" s="22"/>
      <c r="H296" s="22"/>
    </row>
    <row r="297" spans="1:8" ht="12.75" customHeight="1" x14ac:dyDescent="0.2">
      <c r="A297" s="22"/>
      <c r="B297" s="22"/>
      <c r="C297" s="22"/>
      <c r="D297" s="22"/>
      <c r="E297" s="22"/>
      <c r="F297" s="22"/>
      <c r="G297" s="22"/>
      <c r="H297" s="22"/>
    </row>
    <row r="298" spans="1:8" ht="12.75" customHeight="1" x14ac:dyDescent="0.2">
      <c r="A298" s="22"/>
      <c r="B298" s="22"/>
      <c r="C298" s="22"/>
      <c r="D298" s="22"/>
      <c r="E298" s="22"/>
      <c r="F298" s="22"/>
      <c r="G298" s="22"/>
      <c r="H298" s="22"/>
    </row>
    <row r="299" spans="1:8" ht="12.75" customHeight="1" x14ac:dyDescent="0.2">
      <c r="A299" s="22"/>
      <c r="B299" s="22"/>
      <c r="C299" s="22"/>
      <c r="D299" s="22"/>
      <c r="E299" s="22"/>
      <c r="F299" s="22"/>
      <c r="G299" s="22"/>
      <c r="H299" s="22"/>
    </row>
    <row r="300" spans="1:8" ht="12.75" customHeight="1" x14ac:dyDescent="0.2">
      <c r="A300" s="22"/>
      <c r="B300" s="22"/>
      <c r="C300" s="22"/>
      <c r="D300" s="22"/>
      <c r="E300" s="22"/>
      <c r="F300" s="22"/>
      <c r="G300" s="22"/>
      <c r="H300" s="22"/>
    </row>
    <row r="301" spans="1:8" ht="12.75" customHeight="1" x14ac:dyDescent="0.2">
      <c r="A301" s="22"/>
      <c r="B301" s="22"/>
      <c r="C301" s="22"/>
      <c r="D301" s="22"/>
      <c r="E301" s="22"/>
      <c r="F301" s="22"/>
      <c r="G301" s="22"/>
      <c r="H301" s="22"/>
    </row>
    <row r="302" spans="1:8" ht="12.75" customHeight="1" x14ac:dyDescent="0.2">
      <c r="A302" s="22"/>
      <c r="B302" s="22"/>
      <c r="C302" s="22"/>
      <c r="D302" s="22"/>
      <c r="E302" s="22"/>
      <c r="F302" s="22"/>
      <c r="G302" s="22"/>
      <c r="H302" s="22"/>
    </row>
    <row r="303" spans="1:8" ht="12.75" customHeight="1" x14ac:dyDescent="0.2">
      <c r="A303" s="22"/>
      <c r="B303" s="22"/>
      <c r="C303" s="22"/>
      <c r="D303" s="22"/>
      <c r="E303" s="22"/>
      <c r="F303" s="22"/>
      <c r="G303" s="22"/>
      <c r="H303" s="22"/>
    </row>
    <row r="304" spans="1:8" ht="12.75" customHeight="1" x14ac:dyDescent="0.2">
      <c r="A304" s="22"/>
      <c r="B304" s="22"/>
      <c r="C304" s="22"/>
      <c r="D304" s="22"/>
      <c r="E304" s="22"/>
      <c r="F304" s="22"/>
      <c r="G304" s="22"/>
      <c r="H304" s="22"/>
    </row>
    <row r="305" spans="1:8" ht="12.75" customHeight="1" x14ac:dyDescent="0.2">
      <c r="A305" s="22"/>
      <c r="B305" s="22"/>
      <c r="C305" s="22"/>
      <c r="D305" s="22"/>
      <c r="E305" s="22"/>
      <c r="F305" s="22"/>
      <c r="G305" s="22"/>
      <c r="H305" s="22"/>
    </row>
    <row r="306" spans="1:8" ht="12.75" customHeight="1" x14ac:dyDescent="0.2">
      <c r="A306" s="22"/>
      <c r="B306" s="22"/>
      <c r="C306" s="22"/>
      <c r="D306" s="22"/>
      <c r="E306" s="22"/>
      <c r="F306" s="22"/>
      <c r="G306" s="22"/>
      <c r="H306" s="22"/>
    </row>
    <row r="307" spans="1:8" ht="12.75" customHeight="1" x14ac:dyDescent="0.2">
      <c r="A307" s="22"/>
      <c r="B307" s="22"/>
      <c r="C307" s="22"/>
      <c r="D307" s="22"/>
      <c r="E307" s="22"/>
      <c r="F307" s="22"/>
      <c r="G307" s="22"/>
      <c r="H307" s="22"/>
    </row>
    <row r="308" spans="1:8" ht="12.75" customHeight="1" x14ac:dyDescent="0.2">
      <c r="A308" s="22"/>
      <c r="B308" s="22"/>
      <c r="C308" s="22"/>
      <c r="D308" s="22"/>
      <c r="E308" s="22"/>
      <c r="F308" s="22"/>
      <c r="G308" s="22"/>
      <c r="H308" s="22"/>
    </row>
    <row r="309" spans="1:8" ht="12.75" customHeight="1" x14ac:dyDescent="0.2">
      <c r="A309" s="22"/>
      <c r="B309" s="22"/>
      <c r="C309" s="22"/>
      <c r="D309" s="22"/>
      <c r="E309" s="22"/>
      <c r="F309" s="22"/>
      <c r="G309" s="22"/>
      <c r="H309" s="22"/>
    </row>
    <row r="310" spans="1:8" ht="12.75" customHeight="1" x14ac:dyDescent="0.2">
      <c r="A310" s="22"/>
      <c r="B310" s="22"/>
      <c r="C310" s="22"/>
      <c r="D310" s="22"/>
      <c r="E310" s="22"/>
      <c r="F310" s="22"/>
      <c r="G310" s="22"/>
      <c r="H310" s="22"/>
    </row>
    <row r="311" spans="1:8" ht="12.75" customHeight="1" x14ac:dyDescent="0.2">
      <c r="A311" s="22"/>
      <c r="B311" s="22"/>
      <c r="C311" s="22"/>
      <c r="D311" s="22"/>
      <c r="E311" s="22"/>
      <c r="F311" s="22"/>
      <c r="G311" s="22"/>
      <c r="H311" s="22"/>
    </row>
    <row r="312" spans="1:8" ht="12.75" customHeight="1" x14ac:dyDescent="0.2">
      <c r="A312" s="22"/>
      <c r="B312" s="22"/>
      <c r="C312" s="22"/>
      <c r="D312" s="22"/>
      <c r="E312" s="22"/>
      <c r="F312" s="22"/>
      <c r="G312" s="22"/>
      <c r="H312" s="22"/>
    </row>
    <row r="313" spans="1:8" ht="12.75" customHeight="1" x14ac:dyDescent="0.2">
      <c r="A313" s="22"/>
      <c r="B313" s="22"/>
      <c r="C313" s="22"/>
      <c r="D313" s="22"/>
      <c r="E313" s="22"/>
      <c r="F313" s="22"/>
      <c r="G313" s="22"/>
      <c r="H313" s="22"/>
    </row>
    <row r="314" spans="1:8" ht="12.75" customHeight="1" x14ac:dyDescent="0.2">
      <c r="A314" s="22"/>
      <c r="B314" s="22"/>
      <c r="C314" s="22"/>
      <c r="D314" s="22"/>
      <c r="E314" s="22"/>
      <c r="F314" s="22"/>
      <c r="G314" s="22"/>
      <c r="H314" s="22"/>
    </row>
    <row r="315" spans="1:8" ht="12.75" customHeight="1" x14ac:dyDescent="0.2">
      <c r="A315" s="22"/>
      <c r="B315" s="22"/>
      <c r="C315" s="22"/>
      <c r="D315" s="22"/>
      <c r="E315" s="22"/>
      <c r="F315" s="22"/>
      <c r="G315" s="22"/>
      <c r="H315" s="22"/>
    </row>
    <row r="316" spans="1:8" ht="12.75" customHeight="1" x14ac:dyDescent="0.2">
      <c r="A316" s="22"/>
      <c r="B316" s="22"/>
      <c r="C316" s="22"/>
      <c r="D316" s="22"/>
      <c r="E316" s="22"/>
      <c r="F316" s="22"/>
      <c r="G316" s="22"/>
      <c r="H316" s="22"/>
    </row>
    <row r="317" spans="1:8" ht="12.75" customHeight="1" x14ac:dyDescent="0.2">
      <c r="A317" s="22"/>
      <c r="B317" s="22"/>
      <c r="C317" s="22"/>
      <c r="D317" s="22"/>
      <c r="E317" s="22"/>
      <c r="F317" s="22"/>
      <c r="G317" s="22"/>
      <c r="H317" s="22"/>
    </row>
    <row r="318" spans="1:8" ht="12.75" customHeight="1" x14ac:dyDescent="0.2">
      <c r="A318" s="22"/>
      <c r="B318" s="22"/>
      <c r="C318" s="22"/>
      <c r="D318" s="22"/>
      <c r="E318" s="22"/>
      <c r="F318" s="22"/>
      <c r="G318" s="22"/>
      <c r="H318" s="22"/>
    </row>
    <row r="319" spans="1:8" ht="12.75" customHeight="1" x14ac:dyDescent="0.2">
      <c r="A319" s="22"/>
      <c r="B319" s="22"/>
      <c r="C319" s="22"/>
      <c r="D319" s="22"/>
      <c r="E319" s="22"/>
      <c r="F319" s="22"/>
      <c r="G319" s="22"/>
      <c r="H319" s="22"/>
    </row>
    <row r="320" spans="1:8" ht="12.75" customHeight="1" x14ac:dyDescent="0.2">
      <c r="A320" s="22"/>
      <c r="B320" s="22"/>
      <c r="C320" s="22"/>
      <c r="D320" s="22"/>
      <c r="E320" s="22"/>
      <c r="F320" s="22"/>
      <c r="G320" s="22"/>
      <c r="H320" s="22"/>
    </row>
    <row r="321" spans="1:8" ht="12.75" customHeight="1" x14ac:dyDescent="0.2">
      <c r="A321" s="22"/>
      <c r="B321" s="22"/>
      <c r="C321" s="22"/>
      <c r="D321" s="22"/>
      <c r="E321" s="22"/>
      <c r="F321" s="22"/>
      <c r="G321" s="22"/>
      <c r="H321" s="22"/>
    </row>
    <row r="322" spans="1:8" ht="12.75" customHeight="1" x14ac:dyDescent="0.2">
      <c r="A322" s="22"/>
      <c r="B322" s="22"/>
      <c r="C322" s="22"/>
      <c r="D322" s="22"/>
      <c r="E322" s="22"/>
      <c r="F322" s="22"/>
      <c r="G322" s="22"/>
      <c r="H322" s="22"/>
    </row>
    <row r="323" spans="1:8" ht="12.75" customHeight="1" x14ac:dyDescent="0.2">
      <c r="A323" s="22"/>
      <c r="B323" s="22"/>
      <c r="C323" s="22"/>
      <c r="D323" s="22"/>
      <c r="E323" s="22"/>
      <c r="F323" s="22"/>
      <c r="G323" s="22"/>
      <c r="H323" s="22"/>
    </row>
    <row r="324" spans="1:8" ht="12.75" customHeight="1" x14ac:dyDescent="0.2">
      <c r="A324" s="22"/>
      <c r="B324" s="22"/>
      <c r="C324" s="22"/>
      <c r="D324" s="22"/>
      <c r="E324" s="22"/>
      <c r="F324" s="22"/>
      <c r="G324" s="22"/>
      <c r="H324" s="22"/>
    </row>
    <row r="325" spans="1:8" ht="12.75" customHeight="1" x14ac:dyDescent="0.2">
      <c r="A325" s="22"/>
      <c r="B325" s="22"/>
      <c r="C325" s="22"/>
      <c r="D325" s="22"/>
      <c r="E325" s="22"/>
      <c r="F325" s="22"/>
      <c r="G325" s="22"/>
      <c r="H325" s="22"/>
    </row>
    <row r="326" spans="1:8" ht="12.75" customHeight="1" x14ac:dyDescent="0.2">
      <c r="A326" s="22"/>
      <c r="B326" s="22"/>
      <c r="C326" s="22"/>
      <c r="D326" s="22"/>
      <c r="E326" s="22"/>
      <c r="F326" s="22"/>
      <c r="G326" s="22"/>
      <c r="H326" s="22"/>
    </row>
    <row r="327" spans="1:8" ht="12.75" customHeight="1" x14ac:dyDescent="0.2">
      <c r="A327" s="22"/>
      <c r="B327" s="22"/>
      <c r="C327" s="22"/>
      <c r="D327" s="22"/>
      <c r="E327" s="22"/>
      <c r="F327" s="22"/>
      <c r="G327" s="22"/>
      <c r="H327" s="22"/>
    </row>
    <row r="328" spans="1:8" ht="12.75" customHeight="1" x14ac:dyDescent="0.2">
      <c r="A328" s="22"/>
      <c r="B328" s="22"/>
      <c r="C328" s="22"/>
      <c r="D328" s="22"/>
      <c r="E328" s="22"/>
      <c r="F328" s="22"/>
      <c r="G328" s="22"/>
      <c r="H328" s="22"/>
    </row>
    <row r="329" spans="1:8" ht="12.75" customHeight="1" x14ac:dyDescent="0.2">
      <c r="A329" s="22"/>
      <c r="B329" s="22"/>
      <c r="C329" s="22"/>
      <c r="D329" s="22"/>
      <c r="E329" s="22"/>
      <c r="F329" s="22"/>
      <c r="G329" s="22"/>
      <c r="H329" s="22"/>
    </row>
    <row r="330" spans="1:8" ht="12.75" customHeight="1" x14ac:dyDescent="0.2">
      <c r="A330" s="22"/>
      <c r="B330" s="22"/>
      <c r="C330" s="22"/>
      <c r="D330" s="22"/>
      <c r="E330" s="22"/>
      <c r="F330" s="22"/>
      <c r="G330" s="22"/>
      <c r="H330" s="22"/>
    </row>
    <row r="331" spans="1:8" ht="12.75" customHeight="1" x14ac:dyDescent="0.2">
      <c r="A331" s="22"/>
      <c r="B331" s="22"/>
      <c r="C331" s="22"/>
      <c r="D331" s="22"/>
      <c r="E331" s="22"/>
      <c r="F331" s="22"/>
      <c r="G331" s="22"/>
      <c r="H331" s="22"/>
    </row>
    <row r="332" spans="1:8" ht="12.75" customHeight="1" x14ac:dyDescent="0.2">
      <c r="A332" s="22"/>
      <c r="B332" s="22"/>
      <c r="C332" s="22"/>
      <c r="D332" s="22"/>
      <c r="E332" s="22"/>
      <c r="F332" s="22"/>
      <c r="G332" s="22"/>
      <c r="H332" s="22"/>
    </row>
    <row r="333" spans="1:8" ht="12.75" customHeight="1" x14ac:dyDescent="0.2">
      <c r="A333" s="22"/>
      <c r="B333" s="22"/>
      <c r="C333" s="22"/>
      <c r="D333" s="22"/>
      <c r="E333" s="22"/>
      <c r="F333" s="22"/>
      <c r="G333" s="22"/>
      <c r="H333" s="22"/>
    </row>
    <row r="334" spans="1:8" ht="12.75" customHeight="1" x14ac:dyDescent="0.2">
      <c r="A334" s="22"/>
      <c r="B334" s="22"/>
      <c r="C334" s="22"/>
      <c r="D334" s="22"/>
      <c r="E334" s="22"/>
      <c r="F334" s="22"/>
      <c r="G334" s="22"/>
      <c r="H334" s="22"/>
    </row>
    <row r="335" spans="1:8" ht="12.75" customHeight="1" x14ac:dyDescent="0.2">
      <c r="A335" s="22"/>
      <c r="B335" s="22"/>
      <c r="C335" s="22"/>
      <c r="D335" s="22"/>
      <c r="E335" s="22"/>
      <c r="F335" s="22"/>
      <c r="G335" s="22"/>
      <c r="H335" s="22"/>
    </row>
    <row r="336" spans="1:8" ht="12.75" customHeight="1" x14ac:dyDescent="0.2">
      <c r="A336" s="22"/>
      <c r="B336" s="22"/>
      <c r="C336" s="22"/>
      <c r="D336" s="22"/>
      <c r="E336" s="22"/>
      <c r="F336" s="22"/>
      <c r="G336" s="22"/>
      <c r="H336" s="22"/>
    </row>
    <row r="337" spans="1:8" ht="12.75" customHeight="1" x14ac:dyDescent="0.2">
      <c r="A337" s="22"/>
      <c r="B337" s="22"/>
      <c r="C337" s="22"/>
      <c r="D337" s="22"/>
      <c r="E337" s="22"/>
      <c r="F337" s="22"/>
      <c r="G337" s="22"/>
      <c r="H337" s="22"/>
    </row>
    <row r="338" spans="1:8" ht="12.75" customHeight="1" x14ac:dyDescent="0.2">
      <c r="A338" s="22"/>
      <c r="B338" s="22"/>
      <c r="C338" s="22"/>
      <c r="D338" s="22"/>
      <c r="E338" s="22"/>
      <c r="F338" s="22"/>
      <c r="G338" s="22"/>
      <c r="H338" s="22"/>
    </row>
    <row r="339" spans="1:8" ht="12.75" customHeight="1" x14ac:dyDescent="0.2">
      <c r="A339" s="22"/>
      <c r="B339" s="22"/>
      <c r="C339" s="22"/>
      <c r="D339" s="22"/>
      <c r="E339" s="22"/>
      <c r="F339" s="22"/>
      <c r="G339" s="22"/>
      <c r="H339" s="22"/>
    </row>
    <row r="340" spans="1:8" ht="12.75" customHeight="1" x14ac:dyDescent="0.2">
      <c r="A340" s="22"/>
      <c r="B340" s="22"/>
      <c r="C340" s="22"/>
      <c r="D340" s="22"/>
      <c r="E340" s="22"/>
      <c r="F340" s="22"/>
      <c r="G340" s="22"/>
      <c r="H340" s="22"/>
    </row>
    <row r="341" spans="1:8" ht="12.75" customHeight="1" x14ac:dyDescent="0.2">
      <c r="A341" s="22"/>
      <c r="B341" s="22"/>
      <c r="C341" s="22"/>
      <c r="D341" s="22"/>
      <c r="E341" s="22"/>
      <c r="F341" s="22"/>
      <c r="G341" s="22"/>
      <c r="H341" s="22"/>
    </row>
    <row r="342" spans="1:8" ht="12.75" customHeight="1" x14ac:dyDescent="0.2">
      <c r="A342" s="22"/>
      <c r="B342" s="22"/>
      <c r="C342" s="22"/>
      <c r="D342" s="22"/>
      <c r="E342" s="22"/>
      <c r="F342" s="22"/>
      <c r="G342" s="22"/>
      <c r="H342" s="22"/>
    </row>
    <row r="343" spans="1:8" ht="12.75" customHeight="1" x14ac:dyDescent="0.2">
      <c r="A343" s="22"/>
      <c r="B343" s="22"/>
      <c r="C343" s="22"/>
      <c r="D343" s="22"/>
      <c r="E343" s="22"/>
      <c r="F343" s="22"/>
      <c r="G343" s="22"/>
      <c r="H343" s="22"/>
    </row>
    <row r="344" spans="1:8" ht="12.75" customHeight="1" x14ac:dyDescent="0.2">
      <c r="A344" s="22"/>
      <c r="B344" s="22"/>
      <c r="C344" s="22"/>
      <c r="D344" s="22"/>
      <c r="E344" s="22"/>
      <c r="F344" s="22"/>
      <c r="G344" s="22"/>
      <c r="H344" s="22"/>
    </row>
    <row r="345" spans="1:8" ht="12.75" customHeight="1" x14ac:dyDescent="0.2">
      <c r="A345" s="22"/>
      <c r="B345" s="22"/>
      <c r="C345" s="22"/>
      <c r="D345" s="22"/>
      <c r="E345" s="22"/>
      <c r="F345" s="22"/>
      <c r="G345" s="22"/>
      <c r="H345" s="22"/>
    </row>
    <row r="346" spans="1:8" ht="12.75" customHeight="1" x14ac:dyDescent="0.2">
      <c r="A346" s="22"/>
      <c r="B346" s="22"/>
      <c r="C346" s="22"/>
      <c r="D346" s="22"/>
      <c r="E346" s="22"/>
      <c r="F346" s="22"/>
      <c r="G346" s="22"/>
      <c r="H346" s="22"/>
    </row>
    <row r="347" spans="1:8" ht="12.75" customHeight="1" x14ac:dyDescent="0.2">
      <c r="A347" s="22"/>
      <c r="B347" s="22"/>
      <c r="C347" s="22"/>
      <c r="D347" s="22"/>
      <c r="E347" s="22"/>
      <c r="F347" s="22"/>
      <c r="G347" s="22"/>
      <c r="H347" s="22"/>
    </row>
    <row r="348" spans="1:8" ht="12.75" customHeight="1" x14ac:dyDescent="0.2">
      <c r="A348" s="22"/>
      <c r="B348" s="22"/>
      <c r="C348" s="22"/>
      <c r="D348" s="22"/>
      <c r="E348" s="22"/>
      <c r="F348" s="22"/>
      <c r="G348" s="22"/>
      <c r="H348" s="22"/>
    </row>
    <row r="349" spans="1:8" ht="12.75" customHeight="1" x14ac:dyDescent="0.2">
      <c r="A349" s="22"/>
      <c r="B349" s="22"/>
      <c r="C349" s="22"/>
      <c r="D349" s="22"/>
      <c r="E349" s="22"/>
      <c r="F349" s="22"/>
      <c r="G349" s="22"/>
      <c r="H349" s="22"/>
    </row>
    <row r="350" spans="1:8" ht="12.75" customHeight="1" x14ac:dyDescent="0.2">
      <c r="A350" s="22"/>
      <c r="B350" s="22"/>
      <c r="C350" s="22"/>
      <c r="D350" s="22"/>
      <c r="E350" s="22"/>
      <c r="F350" s="22"/>
      <c r="G350" s="22"/>
      <c r="H350" s="22"/>
    </row>
    <row r="351" spans="1:8" ht="12.75" customHeight="1" x14ac:dyDescent="0.2">
      <c r="A351" s="22"/>
      <c r="B351" s="22"/>
      <c r="C351" s="22"/>
      <c r="D351" s="22"/>
      <c r="E351" s="22"/>
      <c r="F351" s="22"/>
      <c r="G351" s="22"/>
      <c r="H351" s="22"/>
    </row>
    <row r="352" spans="1:8" ht="12.75" customHeight="1" x14ac:dyDescent="0.2">
      <c r="A352" s="22"/>
      <c r="B352" s="22"/>
      <c r="C352" s="22"/>
      <c r="D352" s="22"/>
      <c r="E352" s="22"/>
      <c r="F352" s="22"/>
      <c r="G352" s="22"/>
      <c r="H352" s="22"/>
    </row>
    <row r="353" spans="1:8" ht="12.75" customHeight="1" x14ac:dyDescent="0.2">
      <c r="A353" s="22"/>
      <c r="B353" s="22"/>
      <c r="C353" s="22"/>
      <c r="D353" s="22"/>
      <c r="E353" s="22"/>
      <c r="F353" s="22"/>
      <c r="G353" s="22"/>
      <c r="H353" s="22"/>
    </row>
    <row r="354" spans="1:8" ht="12.75" customHeight="1" x14ac:dyDescent="0.2">
      <c r="A354" s="22"/>
      <c r="B354" s="22"/>
      <c r="C354" s="22"/>
      <c r="D354" s="22"/>
      <c r="E354" s="22"/>
      <c r="F354" s="22"/>
      <c r="G354" s="22"/>
      <c r="H354" s="22"/>
    </row>
    <row r="355" spans="1:8" ht="12.75" customHeight="1" x14ac:dyDescent="0.2">
      <c r="A355" s="22"/>
      <c r="B355" s="22"/>
      <c r="C355" s="22"/>
      <c r="D355" s="22"/>
      <c r="E355" s="22"/>
      <c r="F355" s="22"/>
      <c r="G355" s="22"/>
      <c r="H355" s="22"/>
    </row>
    <row r="356" spans="1:8" ht="12.75" customHeight="1" x14ac:dyDescent="0.2">
      <c r="A356" s="22"/>
      <c r="B356" s="22"/>
      <c r="C356" s="22"/>
      <c r="D356" s="22"/>
      <c r="E356" s="22"/>
      <c r="F356" s="22"/>
      <c r="G356" s="22"/>
      <c r="H356" s="22"/>
    </row>
    <row r="357" spans="1:8" ht="12.75" customHeight="1" x14ac:dyDescent="0.2">
      <c r="A357" s="22"/>
      <c r="B357" s="22"/>
      <c r="C357" s="22"/>
      <c r="D357" s="22"/>
      <c r="E357" s="22"/>
      <c r="F357" s="22"/>
      <c r="G357" s="22"/>
      <c r="H357" s="22"/>
    </row>
    <row r="358" spans="1:8" ht="12.75" customHeight="1" x14ac:dyDescent="0.2">
      <c r="A358" s="22"/>
      <c r="B358" s="22"/>
      <c r="C358" s="22"/>
      <c r="D358" s="22"/>
      <c r="E358" s="22"/>
      <c r="F358" s="22"/>
      <c r="G358" s="22"/>
      <c r="H358" s="22"/>
    </row>
    <row r="359" spans="1:8" ht="12.75" customHeight="1" x14ac:dyDescent="0.2">
      <c r="A359" s="22"/>
      <c r="B359" s="22"/>
      <c r="C359" s="22"/>
      <c r="D359" s="22"/>
      <c r="E359" s="22"/>
      <c r="F359" s="22"/>
      <c r="G359" s="22"/>
      <c r="H359" s="22"/>
    </row>
    <row r="360" spans="1:8" ht="12.75" customHeight="1" x14ac:dyDescent="0.2">
      <c r="A360" s="22"/>
      <c r="B360" s="22"/>
      <c r="C360" s="22"/>
      <c r="D360" s="22"/>
      <c r="E360" s="22"/>
      <c r="F360" s="22"/>
      <c r="G360" s="22"/>
      <c r="H360" s="22"/>
    </row>
    <row r="361" spans="1:8" ht="12.75" customHeight="1" x14ac:dyDescent="0.2">
      <c r="A361" s="22"/>
      <c r="B361" s="22"/>
      <c r="C361" s="22"/>
      <c r="D361" s="22"/>
      <c r="E361" s="22"/>
      <c r="F361" s="22"/>
      <c r="G361" s="22"/>
      <c r="H361" s="22"/>
    </row>
    <row r="362" spans="1:8" ht="12.75" customHeight="1" x14ac:dyDescent="0.2">
      <c r="A362" s="22"/>
      <c r="B362" s="22"/>
      <c r="C362" s="22"/>
      <c r="D362" s="22"/>
      <c r="E362" s="22"/>
      <c r="F362" s="22"/>
      <c r="G362" s="22"/>
      <c r="H362" s="22"/>
    </row>
    <row r="363" spans="1:8" ht="12.75" customHeight="1" x14ac:dyDescent="0.2">
      <c r="A363" s="22"/>
      <c r="B363" s="22"/>
      <c r="C363" s="22"/>
      <c r="D363" s="22"/>
      <c r="E363" s="22"/>
      <c r="F363" s="22"/>
      <c r="G363" s="22"/>
      <c r="H363" s="22"/>
    </row>
    <row r="364" spans="1:8" ht="12.75" customHeight="1" x14ac:dyDescent="0.2">
      <c r="A364" s="22"/>
      <c r="B364" s="22"/>
      <c r="C364" s="22"/>
      <c r="D364" s="22"/>
      <c r="E364" s="22"/>
      <c r="F364" s="22"/>
      <c r="G364" s="22"/>
      <c r="H364" s="22"/>
    </row>
    <row r="365" spans="1:8" ht="12.75" customHeight="1" x14ac:dyDescent="0.2">
      <c r="A365" s="22"/>
      <c r="B365" s="22"/>
      <c r="C365" s="22"/>
      <c r="D365" s="22"/>
      <c r="E365" s="22"/>
      <c r="F365" s="22"/>
      <c r="G365" s="22"/>
      <c r="H365" s="22"/>
    </row>
    <row r="366" spans="1:8" ht="12.75" customHeight="1" x14ac:dyDescent="0.2">
      <c r="A366" s="22"/>
      <c r="B366" s="22"/>
      <c r="C366" s="22"/>
      <c r="D366" s="22"/>
      <c r="E366" s="22"/>
      <c r="F366" s="22"/>
      <c r="G366" s="22"/>
      <c r="H366" s="22"/>
    </row>
    <row r="367" spans="1:8" ht="12.75" customHeight="1" x14ac:dyDescent="0.2">
      <c r="A367" s="22"/>
      <c r="B367" s="22"/>
      <c r="C367" s="22"/>
      <c r="D367" s="22"/>
      <c r="E367" s="22"/>
      <c r="F367" s="22"/>
      <c r="G367" s="22"/>
      <c r="H367" s="22"/>
    </row>
    <row r="368" spans="1:8" ht="12.75" customHeight="1" x14ac:dyDescent="0.2">
      <c r="A368" s="22"/>
      <c r="B368" s="22"/>
      <c r="C368" s="22"/>
      <c r="D368" s="22"/>
      <c r="E368" s="22"/>
      <c r="F368" s="22"/>
      <c r="G368" s="22"/>
      <c r="H368" s="22"/>
    </row>
    <row r="369" spans="1:8" ht="12.75" customHeight="1" x14ac:dyDescent="0.2">
      <c r="A369" s="22"/>
      <c r="B369" s="22"/>
      <c r="C369" s="22"/>
      <c r="D369" s="22"/>
      <c r="E369" s="22"/>
      <c r="F369" s="22"/>
      <c r="G369" s="22"/>
      <c r="H369" s="22"/>
    </row>
    <row r="370" spans="1:8" ht="12.75" customHeight="1" x14ac:dyDescent="0.2">
      <c r="A370" s="22"/>
      <c r="B370" s="22"/>
      <c r="C370" s="22"/>
      <c r="D370" s="22"/>
      <c r="E370" s="22"/>
      <c r="F370" s="22"/>
      <c r="G370" s="22"/>
      <c r="H370" s="22"/>
    </row>
    <row r="371" spans="1:8" ht="12.75" customHeight="1" x14ac:dyDescent="0.2">
      <c r="A371" s="22"/>
      <c r="B371" s="22"/>
      <c r="C371" s="22"/>
      <c r="D371" s="22"/>
      <c r="E371" s="22"/>
      <c r="F371" s="22"/>
      <c r="G371" s="22"/>
      <c r="H371" s="22"/>
    </row>
    <row r="372" spans="1:8" ht="12.75" customHeight="1" x14ac:dyDescent="0.2">
      <c r="A372" s="22"/>
      <c r="B372" s="22"/>
      <c r="C372" s="22"/>
      <c r="D372" s="22"/>
      <c r="E372" s="22"/>
      <c r="F372" s="22"/>
      <c r="G372" s="22"/>
      <c r="H372" s="22"/>
    </row>
    <row r="373" spans="1:8" ht="12.75" customHeight="1" x14ac:dyDescent="0.2">
      <c r="A373" s="22"/>
      <c r="B373" s="22"/>
      <c r="C373" s="22"/>
      <c r="D373" s="22"/>
      <c r="E373" s="22"/>
      <c r="F373" s="22"/>
      <c r="G373" s="22"/>
      <c r="H373" s="22"/>
    </row>
    <row r="374" spans="1:8" ht="12.75" customHeight="1" x14ac:dyDescent="0.2">
      <c r="A374" s="22"/>
      <c r="B374" s="22"/>
      <c r="C374" s="22"/>
      <c r="D374" s="22"/>
      <c r="E374" s="22"/>
      <c r="F374" s="22"/>
      <c r="G374" s="22"/>
      <c r="H374" s="22"/>
    </row>
    <row r="375" spans="1:8" x14ac:dyDescent="0.2">
      <c r="A375" s="22"/>
      <c r="B375" s="22"/>
      <c r="C375" s="22"/>
      <c r="D375" s="22"/>
      <c r="E375" s="22"/>
      <c r="F375" s="22"/>
      <c r="G375" s="22"/>
      <c r="H375" s="22"/>
    </row>
    <row r="376" spans="1:8" x14ac:dyDescent="0.2">
      <c r="A376" s="22"/>
      <c r="B376" s="22"/>
      <c r="C376" s="22"/>
      <c r="D376" s="22"/>
      <c r="E376" s="22"/>
      <c r="F376" s="22"/>
      <c r="G376" s="22"/>
      <c r="H376" s="22"/>
    </row>
    <row r="377" spans="1:8" x14ac:dyDescent="0.2">
      <c r="A377" s="22"/>
      <c r="B377" s="22"/>
      <c r="C377" s="22"/>
      <c r="D377" s="22"/>
      <c r="E377" s="22"/>
      <c r="F377" s="22"/>
      <c r="G377" s="22"/>
      <c r="H377" s="22"/>
    </row>
    <row r="378" spans="1:8" x14ac:dyDescent="0.2">
      <c r="A378" s="22"/>
      <c r="B378" s="22"/>
      <c r="C378" s="22"/>
      <c r="D378" s="22"/>
      <c r="E378" s="22"/>
      <c r="F378" s="22"/>
      <c r="G378" s="22"/>
      <c r="H378" s="22"/>
    </row>
    <row r="379" spans="1:8" x14ac:dyDescent="0.2">
      <c r="A379" s="22"/>
      <c r="B379" s="22"/>
      <c r="C379" s="22"/>
      <c r="D379" s="22"/>
      <c r="E379" s="22"/>
      <c r="F379" s="22"/>
      <c r="G379" s="22"/>
      <c r="H379" s="22"/>
    </row>
    <row r="380" spans="1:8" x14ac:dyDescent="0.2">
      <c r="A380" s="22"/>
      <c r="B380" s="22"/>
      <c r="C380" s="22"/>
      <c r="D380" s="22"/>
      <c r="E380" s="22"/>
      <c r="F380" s="22"/>
      <c r="G380" s="22"/>
      <c r="H380" s="22"/>
    </row>
    <row r="381" spans="1:8" x14ac:dyDescent="0.2">
      <c r="A381" s="22"/>
      <c r="B381" s="22"/>
      <c r="C381" s="22"/>
      <c r="D381" s="22"/>
      <c r="E381" s="22"/>
      <c r="F381" s="22"/>
      <c r="G381" s="22"/>
      <c r="H381" s="22"/>
    </row>
    <row r="382" spans="1:8" x14ac:dyDescent="0.2">
      <c r="A382" s="22"/>
      <c r="B382" s="22"/>
      <c r="C382" s="22"/>
      <c r="D382" s="22"/>
      <c r="E382" s="22"/>
      <c r="F382" s="22"/>
      <c r="G382" s="22"/>
      <c r="H382" s="22"/>
    </row>
    <row r="383" spans="1:8" x14ac:dyDescent="0.2">
      <c r="A383" s="22"/>
      <c r="B383" s="22"/>
      <c r="C383" s="22"/>
      <c r="D383" s="22"/>
      <c r="E383" s="22"/>
      <c r="F383" s="22"/>
      <c r="G383" s="22"/>
      <c r="H383" s="22"/>
    </row>
    <row r="384" spans="1:8" x14ac:dyDescent="0.2">
      <c r="A384" s="22"/>
      <c r="B384" s="22"/>
      <c r="C384" s="22"/>
      <c r="D384" s="22"/>
      <c r="E384" s="22"/>
      <c r="F384" s="22"/>
      <c r="G384" s="22"/>
      <c r="H384" s="22"/>
    </row>
    <row r="385" spans="1:8" x14ac:dyDescent="0.2">
      <c r="A385" s="22"/>
      <c r="B385" s="22"/>
      <c r="C385" s="22"/>
      <c r="D385" s="22"/>
      <c r="E385" s="22"/>
      <c r="F385" s="22"/>
      <c r="G385" s="22"/>
      <c r="H385" s="22"/>
    </row>
    <row r="386" spans="1:8" x14ac:dyDescent="0.2">
      <c r="A386" s="22"/>
      <c r="B386" s="22"/>
      <c r="C386" s="22"/>
      <c r="D386" s="22"/>
      <c r="E386" s="22"/>
      <c r="F386" s="22"/>
      <c r="G386" s="22"/>
      <c r="H386" s="22"/>
    </row>
    <row r="387" spans="1:8" x14ac:dyDescent="0.2">
      <c r="A387" s="22"/>
      <c r="B387" s="22"/>
      <c r="C387" s="22"/>
      <c r="D387" s="22"/>
      <c r="E387" s="22"/>
      <c r="F387" s="22"/>
      <c r="G387" s="22"/>
      <c r="H387" s="22"/>
    </row>
    <row r="388" spans="1:8" x14ac:dyDescent="0.2">
      <c r="A388" s="22"/>
      <c r="B388" s="22"/>
      <c r="C388" s="22"/>
      <c r="D388" s="22"/>
      <c r="E388" s="22"/>
      <c r="F388" s="22"/>
      <c r="G388" s="22"/>
      <c r="H388" s="22"/>
    </row>
    <row r="389" spans="1:8" x14ac:dyDescent="0.2">
      <c r="A389" s="22"/>
      <c r="B389" s="22"/>
      <c r="C389" s="22"/>
      <c r="D389" s="22"/>
      <c r="E389" s="22"/>
      <c r="F389" s="22"/>
      <c r="G389" s="22"/>
      <c r="H389" s="22"/>
    </row>
    <row r="390" spans="1:8" x14ac:dyDescent="0.2">
      <c r="A390" s="22"/>
      <c r="B390" s="22"/>
      <c r="C390" s="22"/>
      <c r="D390" s="22"/>
      <c r="E390" s="22"/>
      <c r="F390" s="22"/>
      <c r="G390" s="22"/>
      <c r="H390" s="22"/>
    </row>
    <row r="391" spans="1:8" x14ac:dyDescent="0.2">
      <c r="A391" s="22"/>
      <c r="B391" s="22"/>
      <c r="C391" s="22"/>
      <c r="D391" s="22"/>
      <c r="E391" s="22"/>
      <c r="F391" s="22"/>
      <c r="G391" s="22"/>
      <c r="H391" s="22"/>
    </row>
    <row r="392" spans="1:8" x14ac:dyDescent="0.2">
      <c r="A392" s="22"/>
      <c r="B392" s="22"/>
      <c r="C392" s="22"/>
      <c r="D392" s="22"/>
      <c r="E392" s="22"/>
      <c r="F392" s="22"/>
      <c r="G392" s="22"/>
      <c r="H392" s="22"/>
    </row>
    <row r="393" spans="1:8" x14ac:dyDescent="0.2">
      <c r="A393" s="22"/>
      <c r="B393" s="22"/>
      <c r="C393" s="22"/>
      <c r="D393" s="22"/>
      <c r="E393" s="22"/>
      <c r="F393" s="22"/>
      <c r="G393" s="22"/>
      <c r="H393" s="22"/>
    </row>
    <row r="394" spans="1:8" x14ac:dyDescent="0.2">
      <c r="A394" s="22"/>
      <c r="B394" s="22"/>
      <c r="C394" s="22"/>
      <c r="D394" s="22"/>
      <c r="E394" s="22"/>
      <c r="F394" s="22"/>
      <c r="G394" s="22"/>
      <c r="H394" s="22"/>
    </row>
    <row r="395" spans="1:8" x14ac:dyDescent="0.2">
      <c r="A395" s="22"/>
      <c r="B395" s="22"/>
      <c r="C395" s="22"/>
      <c r="D395" s="22"/>
      <c r="E395" s="22"/>
      <c r="F395" s="22"/>
      <c r="G395" s="22"/>
      <c r="H395" s="22"/>
    </row>
    <row r="396" spans="1:8" x14ac:dyDescent="0.2">
      <c r="A396" s="22"/>
      <c r="B396" s="22"/>
      <c r="C396" s="22"/>
      <c r="D396" s="22"/>
      <c r="E396" s="22"/>
      <c r="F396" s="22"/>
      <c r="G396" s="22"/>
      <c r="H396" s="22"/>
    </row>
    <row r="397" spans="1:8" x14ac:dyDescent="0.2">
      <c r="A397" s="22"/>
      <c r="B397" s="22"/>
      <c r="C397" s="22"/>
      <c r="D397" s="22"/>
      <c r="E397" s="22"/>
      <c r="F397" s="22"/>
      <c r="G397" s="22"/>
      <c r="H397" s="22"/>
    </row>
    <row r="398" spans="1:8" x14ac:dyDescent="0.2">
      <c r="A398" s="22"/>
      <c r="B398" s="22"/>
      <c r="C398" s="22"/>
      <c r="D398" s="22"/>
      <c r="E398" s="22"/>
      <c r="F398" s="22"/>
      <c r="G398" s="22"/>
      <c r="H398" s="22"/>
    </row>
    <row r="399" spans="1:8" x14ac:dyDescent="0.2">
      <c r="A399" s="22"/>
      <c r="B399" s="22"/>
      <c r="C399" s="22"/>
      <c r="D399" s="22"/>
      <c r="E399" s="22"/>
      <c r="F399" s="22"/>
      <c r="G399" s="22"/>
      <c r="H399" s="22"/>
    </row>
    <row r="400" spans="1:8" x14ac:dyDescent="0.2">
      <c r="A400" s="22"/>
      <c r="B400" s="22"/>
      <c r="C400" s="22"/>
      <c r="D400" s="22"/>
      <c r="E400" s="22"/>
      <c r="F400" s="22"/>
      <c r="G400" s="22"/>
      <c r="H400" s="22"/>
    </row>
    <row r="401" spans="1:8" x14ac:dyDescent="0.2">
      <c r="A401" s="22"/>
      <c r="B401" s="22"/>
      <c r="C401" s="22"/>
      <c r="D401" s="22"/>
      <c r="E401" s="22"/>
      <c r="F401" s="22"/>
      <c r="G401" s="22"/>
      <c r="H401" s="22"/>
    </row>
    <row r="402" spans="1:8" x14ac:dyDescent="0.2">
      <c r="A402" s="22"/>
      <c r="B402" s="22"/>
      <c r="C402" s="22"/>
      <c r="D402" s="22"/>
      <c r="E402" s="22"/>
      <c r="F402" s="22"/>
      <c r="G402" s="22"/>
      <c r="H402" s="22"/>
    </row>
    <row r="403" spans="1:8" x14ac:dyDescent="0.2">
      <c r="A403" s="22"/>
      <c r="B403" s="22"/>
      <c r="C403" s="22"/>
      <c r="D403" s="22"/>
      <c r="E403" s="22"/>
      <c r="F403" s="22"/>
      <c r="G403" s="22"/>
      <c r="H403" s="22"/>
    </row>
    <row r="404" spans="1:8" x14ac:dyDescent="0.2">
      <c r="A404" s="22"/>
      <c r="B404" s="22"/>
      <c r="C404" s="22"/>
      <c r="D404" s="22"/>
      <c r="E404" s="22"/>
      <c r="F404" s="22"/>
      <c r="G404" s="22"/>
      <c r="H404" s="22"/>
    </row>
    <row r="405" spans="1:8" x14ac:dyDescent="0.2">
      <c r="A405" s="22"/>
      <c r="B405" s="22"/>
      <c r="C405" s="22"/>
      <c r="D405" s="22"/>
      <c r="E405" s="22"/>
      <c r="F405" s="22"/>
      <c r="G405" s="22"/>
      <c r="H405" s="22"/>
    </row>
    <row r="406" spans="1:8" x14ac:dyDescent="0.2">
      <c r="A406" s="22"/>
      <c r="B406" s="22"/>
      <c r="C406" s="22"/>
      <c r="D406" s="22"/>
      <c r="E406" s="22"/>
      <c r="F406" s="22"/>
      <c r="G406" s="22"/>
      <c r="H406" s="22"/>
    </row>
    <row r="407" spans="1:8" x14ac:dyDescent="0.2">
      <c r="A407" s="22"/>
      <c r="B407" s="22"/>
      <c r="C407" s="22"/>
      <c r="D407" s="22"/>
      <c r="E407" s="22"/>
      <c r="F407" s="22"/>
      <c r="G407" s="22"/>
      <c r="H407" s="22"/>
    </row>
    <row r="408" spans="1:8" x14ac:dyDescent="0.2">
      <c r="A408" s="22"/>
      <c r="B408" s="22"/>
      <c r="C408" s="22"/>
      <c r="D408" s="22"/>
      <c r="E408" s="22"/>
      <c r="F408" s="22"/>
      <c r="G408" s="22"/>
      <c r="H408" s="22"/>
    </row>
    <row r="409" spans="1:8" x14ac:dyDescent="0.2">
      <c r="A409" s="22"/>
      <c r="B409" s="22"/>
      <c r="C409" s="22"/>
      <c r="D409" s="22"/>
      <c r="E409" s="22"/>
      <c r="F409" s="22"/>
      <c r="G409" s="22"/>
      <c r="H409" s="22"/>
    </row>
    <row r="410" spans="1:8" x14ac:dyDescent="0.2">
      <c r="A410" s="22"/>
      <c r="B410" s="22"/>
      <c r="C410" s="22"/>
      <c r="D410" s="22"/>
      <c r="E410" s="22"/>
      <c r="F410" s="22"/>
      <c r="G410" s="22"/>
      <c r="H410" s="22"/>
    </row>
    <row r="411" spans="1:8" x14ac:dyDescent="0.2">
      <c r="A411" s="22"/>
      <c r="B411" s="22"/>
      <c r="C411" s="22"/>
      <c r="D411" s="22"/>
      <c r="E411" s="22"/>
      <c r="F411" s="22"/>
      <c r="G411" s="22"/>
      <c r="H411" s="22"/>
    </row>
    <row r="412" spans="1:8" x14ac:dyDescent="0.2">
      <c r="A412" s="22"/>
      <c r="B412" s="22"/>
      <c r="C412" s="22"/>
      <c r="D412" s="22"/>
      <c r="E412" s="22"/>
      <c r="F412" s="22"/>
      <c r="G412" s="22"/>
      <c r="H412" s="22"/>
    </row>
    <row r="413" spans="1:8" x14ac:dyDescent="0.2">
      <c r="A413" s="22"/>
      <c r="B413" s="22"/>
      <c r="C413" s="22"/>
      <c r="D413" s="22"/>
      <c r="E413" s="22"/>
      <c r="F413" s="22"/>
      <c r="G413" s="22"/>
      <c r="H413" s="22"/>
    </row>
    <row r="414" spans="1:8" x14ac:dyDescent="0.2">
      <c r="A414" s="22"/>
      <c r="B414" s="22"/>
      <c r="C414" s="22"/>
      <c r="D414" s="22"/>
      <c r="E414" s="22"/>
      <c r="F414" s="22"/>
      <c r="G414" s="22"/>
      <c r="H414" s="22"/>
    </row>
    <row r="415" spans="1:8" x14ac:dyDescent="0.2">
      <c r="A415" s="22"/>
      <c r="B415" s="22"/>
      <c r="C415" s="22"/>
      <c r="D415" s="22"/>
      <c r="E415" s="22"/>
      <c r="F415" s="22"/>
      <c r="G415" s="22"/>
      <c r="H415" s="22"/>
    </row>
    <row r="416" spans="1:8" x14ac:dyDescent="0.2">
      <c r="A416" s="22"/>
      <c r="B416" s="22"/>
      <c r="C416" s="22"/>
      <c r="D416" s="22"/>
      <c r="E416" s="22"/>
      <c r="F416" s="22"/>
      <c r="G416" s="22"/>
      <c r="H416" s="22"/>
    </row>
    <row r="417" spans="1:8" x14ac:dyDescent="0.2">
      <c r="A417" s="22"/>
      <c r="B417" s="22"/>
      <c r="C417" s="22"/>
      <c r="D417" s="22"/>
      <c r="E417" s="22"/>
      <c r="F417" s="22"/>
      <c r="G417" s="22"/>
      <c r="H417" s="22"/>
    </row>
    <row r="418" spans="1:8" x14ac:dyDescent="0.2">
      <c r="A418" s="22"/>
      <c r="B418" s="22"/>
      <c r="C418" s="22"/>
      <c r="D418" s="22"/>
      <c r="E418" s="22"/>
      <c r="F418" s="22"/>
      <c r="G418" s="22"/>
      <c r="H418" s="22"/>
    </row>
    <row r="419" spans="1:8" x14ac:dyDescent="0.2">
      <c r="A419" s="22"/>
      <c r="B419" s="22"/>
      <c r="C419" s="22"/>
      <c r="D419" s="22"/>
      <c r="E419" s="22"/>
      <c r="F419" s="22"/>
      <c r="G419" s="22"/>
      <c r="H419" s="22"/>
    </row>
    <row r="420" spans="1:8" x14ac:dyDescent="0.2">
      <c r="A420" s="22"/>
      <c r="B420" s="22"/>
      <c r="C420" s="22"/>
      <c r="D420" s="22"/>
      <c r="E420" s="22"/>
      <c r="F420" s="22"/>
      <c r="G420" s="22"/>
      <c r="H420" s="22"/>
    </row>
    <row r="421" spans="1:8" x14ac:dyDescent="0.2">
      <c r="A421" s="22"/>
      <c r="B421" s="22"/>
      <c r="C421" s="22"/>
      <c r="D421" s="22"/>
      <c r="E421" s="22"/>
      <c r="F421" s="22"/>
      <c r="G421" s="22"/>
      <c r="H421" s="22"/>
    </row>
    <row r="422" spans="1:8" x14ac:dyDescent="0.2">
      <c r="A422" s="22"/>
      <c r="B422" s="22"/>
      <c r="C422" s="22"/>
      <c r="D422" s="22"/>
      <c r="E422" s="22"/>
      <c r="F422" s="22"/>
      <c r="G422" s="22"/>
      <c r="H422" s="22"/>
    </row>
    <row r="423" spans="1:8" x14ac:dyDescent="0.2">
      <c r="A423" s="22"/>
      <c r="B423" s="22"/>
      <c r="C423" s="22"/>
      <c r="D423" s="22"/>
      <c r="E423" s="22"/>
      <c r="F423" s="22"/>
      <c r="G423" s="22"/>
      <c r="H423" s="22"/>
    </row>
    <row r="424" spans="1:8" x14ac:dyDescent="0.2">
      <c r="A424" s="22"/>
      <c r="B424" s="22"/>
      <c r="C424" s="22"/>
      <c r="D424" s="22"/>
      <c r="E424" s="22"/>
      <c r="F424" s="22"/>
      <c r="G424" s="22"/>
      <c r="H424" s="22"/>
    </row>
    <row r="425" spans="1:8" x14ac:dyDescent="0.2">
      <c r="A425" s="22"/>
      <c r="B425" s="22"/>
      <c r="C425" s="22"/>
      <c r="D425" s="22"/>
      <c r="E425" s="22"/>
      <c r="F425" s="22"/>
      <c r="G425" s="22"/>
      <c r="H425" s="22"/>
    </row>
    <row r="426" spans="1:8" x14ac:dyDescent="0.2">
      <c r="A426" s="22"/>
      <c r="B426" s="22"/>
      <c r="C426" s="22"/>
      <c r="D426" s="22"/>
      <c r="E426" s="22"/>
      <c r="F426" s="22"/>
      <c r="G426" s="22"/>
      <c r="H426" s="22"/>
    </row>
    <row r="427" spans="1:8" x14ac:dyDescent="0.2">
      <c r="A427" s="22"/>
      <c r="B427" s="22"/>
      <c r="C427" s="22"/>
      <c r="D427" s="22"/>
      <c r="E427" s="22"/>
      <c r="F427" s="22"/>
      <c r="G427" s="22"/>
      <c r="H427" s="22"/>
    </row>
    <row r="428" spans="1:8" x14ac:dyDescent="0.2">
      <c r="A428" s="22"/>
      <c r="B428" s="22"/>
      <c r="C428" s="22"/>
      <c r="D428" s="22"/>
      <c r="E428" s="22"/>
      <c r="F428" s="22"/>
      <c r="G428" s="22"/>
      <c r="H428" s="22"/>
    </row>
    <row r="429" spans="1:8" x14ac:dyDescent="0.2">
      <c r="A429" s="22"/>
      <c r="B429" s="22"/>
      <c r="C429" s="22"/>
      <c r="D429" s="22"/>
      <c r="E429" s="22"/>
      <c r="F429" s="22"/>
      <c r="G429" s="22"/>
      <c r="H429" s="22"/>
    </row>
    <row r="430" spans="1:8" x14ac:dyDescent="0.2">
      <c r="A430" s="22"/>
      <c r="B430" s="22"/>
      <c r="C430" s="22"/>
      <c r="D430" s="22"/>
      <c r="E430" s="22"/>
      <c r="F430" s="22"/>
      <c r="G430" s="22"/>
      <c r="H430" s="22"/>
    </row>
    <row r="431" spans="1:8" x14ac:dyDescent="0.2">
      <c r="A431" s="22"/>
      <c r="B431" s="22"/>
      <c r="C431" s="22"/>
      <c r="D431" s="22"/>
      <c r="E431" s="22"/>
      <c r="F431" s="22"/>
      <c r="G431" s="22"/>
      <c r="H431" s="22"/>
    </row>
    <row r="432" spans="1:8" x14ac:dyDescent="0.2">
      <c r="A432" s="22"/>
      <c r="B432" s="22"/>
      <c r="C432" s="22"/>
      <c r="D432" s="22"/>
      <c r="E432" s="22"/>
      <c r="F432" s="22"/>
      <c r="G432" s="22"/>
      <c r="H432" s="22"/>
    </row>
    <row r="433" spans="1:8" x14ac:dyDescent="0.2">
      <c r="A433" s="22"/>
      <c r="B433" s="22"/>
      <c r="C433" s="22"/>
      <c r="D433" s="22"/>
      <c r="E433" s="22"/>
      <c r="F433" s="22"/>
      <c r="G433" s="22"/>
      <c r="H433" s="22"/>
    </row>
    <row r="434" spans="1:8" x14ac:dyDescent="0.2">
      <c r="A434" s="22"/>
      <c r="B434" s="22"/>
      <c r="C434" s="22"/>
      <c r="D434" s="22"/>
      <c r="E434" s="22"/>
      <c r="F434" s="22"/>
      <c r="G434" s="22"/>
      <c r="H434" s="22"/>
    </row>
    <row r="435" spans="1:8" x14ac:dyDescent="0.2">
      <c r="A435" s="22"/>
      <c r="B435" s="22"/>
      <c r="C435" s="22"/>
      <c r="D435" s="22"/>
      <c r="E435" s="22"/>
      <c r="F435" s="22"/>
      <c r="G435" s="22"/>
      <c r="H435" s="22"/>
    </row>
    <row r="436" spans="1:8" x14ac:dyDescent="0.2">
      <c r="A436" s="22"/>
      <c r="B436" s="22"/>
      <c r="C436" s="22"/>
      <c r="D436" s="22"/>
      <c r="E436" s="22"/>
      <c r="F436" s="22"/>
      <c r="G436" s="22"/>
      <c r="H436" s="22"/>
    </row>
    <row r="437" spans="1:8" x14ac:dyDescent="0.2">
      <c r="A437" s="22"/>
      <c r="B437" s="22"/>
      <c r="C437" s="22"/>
      <c r="D437" s="22"/>
      <c r="E437" s="22"/>
      <c r="F437" s="22"/>
      <c r="G437" s="22"/>
      <c r="H437" s="22"/>
    </row>
    <row r="438" spans="1:8" x14ac:dyDescent="0.2">
      <c r="A438" s="22"/>
      <c r="B438" s="22"/>
      <c r="C438" s="22"/>
      <c r="D438" s="22"/>
      <c r="E438" s="22"/>
      <c r="F438" s="22"/>
      <c r="G438" s="22"/>
      <c r="H438" s="22"/>
    </row>
    <row r="439" spans="1:8" x14ac:dyDescent="0.2">
      <c r="A439" s="22"/>
      <c r="B439" s="22"/>
      <c r="C439" s="22"/>
      <c r="D439" s="22"/>
      <c r="E439" s="22"/>
      <c r="F439" s="22"/>
      <c r="G439" s="22"/>
      <c r="H439" s="22"/>
    </row>
    <row r="440" spans="1:8" x14ac:dyDescent="0.2">
      <c r="A440" s="22"/>
      <c r="B440" s="22"/>
      <c r="C440" s="22"/>
      <c r="D440" s="22"/>
      <c r="E440" s="22"/>
      <c r="F440" s="22"/>
      <c r="G440" s="22"/>
      <c r="H440" s="22"/>
    </row>
    <row r="441" spans="1:8" x14ac:dyDescent="0.2">
      <c r="A441" s="22"/>
      <c r="B441" s="22"/>
      <c r="C441" s="22"/>
      <c r="D441" s="22"/>
      <c r="E441" s="22"/>
      <c r="F441" s="22"/>
      <c r="G441" s="22"/>
      <c r="H441" s="22"/>
    </row>
    <row r="442" spans="1:8" x14ac:dyDescent="0.2">
      <c r="A442" s="22"/>
      <c r="B442" s="22"/>
      <c r="C442" s="22"/>
      <c r="D442" s="22"/>
      <c r="E442" s="22"/>
      <c r="F442" s="22"/>
      <c r="G442" s="22"/>
      <c r="H442" s="22"/>
    </row>
    <row r="443" spans="1:8" x14ac:dyDescent="0.2">
      <c r="A443" s="22"/>
      <c r="B443" s="22"/>
      <c r="C443" s="22"/>
      <c r="D443" s="22"/>
      <c r="E443" s="22"/>
      <c r="F443" s="22"/>
      <c r="G443" s="22"/>
      <c r="H443" s="22"/>
    </row>
    <row r="444" spans="1:8" x14ac:dyDescent="0.2">
      <c r="A444" s="22"/>
      <c r="B444" s="22"/>
      <c r="C444" s="22"/>
      <c r="D444" s="22"/>
      <c r="E444" s="22"/>
      <c r="F444" s="22"/>
      <c r="G444" s="22"/>
      <c r="H444" s="22"/>
    </row>
    <row r="445" spans="1:8" x14ac:dyDescent="0.2">
      <c r="A445" s="22"/>
      <c r="B445" s="22"/>
      <c r="C445" s="22"/>
      <c r="D445" s="22"/>
      <c r="E445" s="22"/>
      <c r="F445" s="22"/>
      <c r="G445" s="22"/>
      <c r="H445" s="22"/>
    </row>
    <row r="446" spans="1:8" x14ac:dyDescent="0.2">
      <c r="A446" s="22"/>
      <c r="B446" s="22"/>
      <c r="C446" s="22"/>
      <c r="D446" s="22"/>
      <c r="E446" s="22"/>
      <c r="F446" s="22"/>
      <c r="G446" s="22"/>
      <c r="H446" s="22"/>
    </row>
    <row r="447" spans="1:8" x14ac:dyDescent="0.2">
      <c r="A447" s="22"/>
      <c r="B447" s="22"/>
      <c r="C447" s="22"/>
      <c r="D447" s="22"/>
      <c r="E447" s="22"/>
      <c r="F447" s="22"/>
      <c r="G447" s="22"/>
      <c r="H447" s="22"/>
    </row>
    <row r="448" spans="1:8" x14ac:dyDescent="0.2">
      <c r="A448" s="22"/>
      <c r="B448" s="22"/>
      <c r="C448" s="22"/>
      <c r="D448" s="22"/>
      <c r="E448" s="22"/>
      <c r="F448" s="22"/>
      <c r="G448" s="22"/>
      <c r="H448" s="22"/>
    </row>
    <row r="449" spans="1:8" x14ac:dyDescent="0.2">
      <c r="A449" s="22"/>
      <c r="B449" s="22"/>
      <c r="C449" s="22"/>
      <c r="D449" s="22"/>
      <c r="E449" s="22"/>
      <c r="F449" s="22"/>
      <c r="G449" s="22"/>
      <c r="H449" s="22"/>
    </row>
    <row r="450" spans="1:8" x14ac:dyDescent="0.2">
      <c r="A450" s="22"/>
      <c r="B450" s="22"/>
      <c r="C450" s="22"/>
      <c r="D450" s="22"/>
      <c r="E450" s="22"/>
      <c r="F450" s="22"/>
      <c r="G450" s="22"/>
      <c r="H450" s="22"/>
    </row>
    <row r="451" spans="1:8" x14ac:dyDescent="0.2">
      <c r="A451" s="22"/>
      <c r="B451" s="22"/>
      <c r="C451" s="22"/>
      <c r="D451" s="22"/>
      <c r="E451" s="22"/>
      <c r="F451" s="22"/>
      <c r="G451" s="22"/>
      <c r="H451" s="22"/>
    </row>
    <row r="452" spans="1:8" x14ac:dyDescent="0.2">
      <c r="A452" s="22"/>
      <c r="B452" s="22"/>
      <c r="C452" s="22"/>
      <c r="D452" s="22"/>
      <c r="E452" s="22"/>
      <c r="F452" s="22"/>
      <c r="G452" s="22"/>
      <c r="H452" s="22"/>
    </row>
    <row r="453" spans="1:8" x14ac:dyDescent="0.2">
      <c r="A453" s="22"/>
      <c r="B453" s="22"/>
      <c r="C453" s="22"/>
      <c r="D453" s="22"/>
      <c r="E453" s="22"/>
      <c r="F453" s="22"/>
      <c r="G453" s="22"/>
      <c r="H453" s="22"/>
    </row>
    <row r="454" spans="1:8" x14ac:dyDescent="0.2">
      <c r="A454" s="22"/>
      <c r="B454" s="22"/>
      <c r="C454" s="22"/>
      <c r="D454" s="22"/>
      <c r="E454" s="22"/>
      <c r="F454" s="22"/>
      <c r="G454" s="22"/>
      <c r="H454" s="22"/>
    </row>
    <row r="455" spans="1:8" x14ac:dyDescent="0.2">
      <c r="A455" s="22"/>
      <c r="B455" s="22"/>
      <c r="C455" s="22"/>
      <c r="D455" s="22"/>
      <c r="E455" s="22"/>
      <c r="F455" s="22"/>
      <c r="G455" s="22"/>
      <c r="H455" s="22"/>
    </row>
    <row r="456" spans="1:8" x14ac:dyDescent="0.2">
      <c r="A456" s="22"/>
      <c r="B456" s="22"/>
      <c r="C456" s="22"/>
      <c r="D456" s="22"/>
      <c r="E456" s="22"/>
      <c r="F456" s="22"/>
      <c r="G456" s="22"/>
      <c r="H456" s="22"/>
    </row>
    <row r="457" spans="1:8" x14ac:dyDescent="0.2">
      <c r="A457" s="22"/>
      <c r="B457" s="22"/>
      <c r="C457" s="22"/>
      <c r="D457" s="22"/>
      <c r="E457" s="22"/>
      <c r="F457" s="22"/>
      <c r="G457" s="22"/>
      <c r="H457" s="22"/>
    </row>
    <row r="458" spans="1:8" x14ac:dyDescent="0.2">
      <c r="A458" s="22"/>
      <c r="B458" s="22"/>
      <c r="C458" s="22"/>
      <c r="D458" s="22"/>
      <c r="E458" s="22"/>
      <c r="F458" s="22"/>
      <c r="G458" s="22"/>
      <c r="H458" s="22"/>
    </row>
    <row r="459" spans="1:8" x14ac:dyDescent="0.2">
      <c r="A459" s="22"/>
      <c r="B459" s="22"/>
      <c r="C459" s="22"/>
      <c r="D459" s="22"/>
      <c r="E459" s="22"/>
      <c r="F459" s="22"/>
      <c r="G459" s="22"/>
      <c r="H459" s="22"/>
    </row>
    <row r="460" spans="1:8" x14ac:dyDescent="0.2">
      <c r="A460" s="22"/>
      <c r="B460" s="22"/>
      <c r="C460" s="22"/>
      <c r="D460" s="22"/>
      <c r="E460" s="22"/>
      <c r="F460" s="22"/>
      <c r="G460" s="22"/>
      <c r="H460" s="22"/>
    </row>
    <row r="461" spans="1:8" x14ac:dyDescent="0.2">
      <c r="A461" s="22"/>
      <c r="B461" s="22"/>
      <c r="C461" s="22"/>
      <c r="D461" s="22"/>
      <c r="E461" s="22"/>
      <c r="F461" s="22"/>
      <c r="G461" s="22"/>
      <c r="H461" s="22"/>
    </row>
    <row r="462" spans="1:8" x14ac:dyDescent="0.2">
      <c r="A462" s="22"/>
      <c r="B462" s="22"/>
      <c r="C462" s="22"/>
      <c r="D462" s="22"/>
      <c r="E462" s="22"/>
      <c r="F462" s="22"/>
      <c r="G462" s="22"/>
      <c r="H462" s="22"/>
    </row>
    <row r="463" spans="1:8" x14ac:dyDescent="0.2">
      <c r="A463" s="22"/>
      <c r="B463" s="22"/>
      <c r="C463" s="22"/>
      <c r="D463" s="22"/>
      <c r="E463" s="22"/>
      <c r="F463" s="22"/>
      <c r="G463" s="22"/>
      <c r="H463" s="22"/>
    </row>
    <row r="464" spans="1:8" x14ac:dyDescent="0.2">
      <c r="A464" s="22"/>
      <c r="B464" s="22"/>
      <c r="C464" s="22"/>
      <c r="D464" s="22"/>
      <c r="E464" s="22"/>
      <c r="F464" s="22"/>
      <c r="G464" s="22"/>
      <c r="H464" s="22"/>
    </row>
    <row r="465" spans="1:8" x14ac:dyDescent="0.2">
      <c r="A465" s="22"/>
      <c r="B465" s="22"/>
      <c r="C465" s="22"/>
      <c r="D465" s="22"/>
      <c r="E465" s="22"/>
      <c r="F465" s="22"/>
      <c r="G465" s="22"/>
      <c r="H465" s="22"/>
    </row>
    <row r="466" spans="1:8" x14ac:dyDescent="0.2">
      <c r="A466" s="22"/>
      <c r="B466" s="22"/>
      <c r="C466" s="22"/>
      <c r="D466" s="22"/>
      <c r="E466" s="22"/>
      <c r="F466" s="22"/>
      <c r="G466" s="22"/>
      <c r="H466" s="22"/>
    </row>
    <row r="467" spans="1:8" x14ac:dyDescent="0.2">
      <c r="A467" s="22"/>
      <c r="B467" s="22"/>
      <c r="C467" s="22"/>
      <c r="D467" s="22"/>
      <c r="E467" s="22"/>
      <c r="F467" s="22"/>
      <c r="G467" s="22"/>
      <c r="H467" s="22"/>
    </row>
    <row r="468" spans="1:8" x14ac:dyDescent="0.2">
      <c r="A468" s="22"/>
      <c r="B468" s="22"/>
      <c r="C468" s="22"/>
      <c r="D468" s="22"/>
      <c r="E468" s="22"/>
      <c r="F468" s="22"/>
      <c r="G468" s="22"/>
      <c r="H468" s="22"/>
    </row>
    <row r="469" spans="1:8" x14ac:dyDescent="0.2">
      <c r="A469" s="22"/>
      <c r="B469" s="22"/>
      <c r="C469" s="22"/>
      <c r="D469" s="22"/>
      <c r="E469" s="22"/>
      <c r="F469" s="22"/>
      <c r="G469" s="22"/>
      <c r="H469" s="22"/>
    </row>
    <row r="470" spans="1:8" x14ac:dyDescent="0.2">
      <c r="A470" s="22"/>
      <c r="B470" s="22"/>
      <c r="C470" s="22"/>
      <c r="D470" s="22"/>
      <c r="E470" s="22"/>
      <c r="F470" s="22"/>
      <c r="G470" s="22"/>
      <c r="H470" s="22"/>
    </row>
    <row r="471" spans="1:8" x14ac:dyDescent="0.2">
      <c r="A471" s="22"/>
      <c r="B471" s="22"/>
      <c r="C471" s="22"/>
      <c r="D471" s="22"/>
      <c r="E471" s="22"/>
      <c r="F471" s="22"/>
      <c r="G471" s="22"/>
      <c r="H471" s="22"/>
    </row>
    <row r="472" spans="1:8" x14ac:dyDescent="0.2">
      <c r="A472" s="22"/>
      <c r="B472" s="22"/>
      <c r="C472" s="22"/>
      <c r="D472" s="22"/>
      <c r="E472" s="22"/>
      <c r="F472" s="22"/>
      <c r="G472" s="22"/>
      <c r="H472" s="22"/>
    </row>
    <row r="473" spans="1:8" x14ac:dyDescent="0.2">
      <c r="A473" s="22"/>
      <c r="B473" s="22"/>
      <c r="C473" s="22"/>
      <c r="D473" s="22"/>
      <c r="E473" s="22"/>
      <c r="F473" s="22"/>
      <c r="G473" s="22"/>
      <c r="H473" s="22"/>
    </row>
    <row r="474" spans="1:8" x14ac:dyDescent="0.2">
      <c r="A474" s="22"/>
      <c r="B474" s="22"/>
      <c r="C474" s="22"/>
      <c r="D474" s="22"/>
      <c r="E474" s="22"/>
      <c r="F474" s="22"/>
      <c r="G474" s="22"/>
      <c r="H474" s="22"/>
    </row>
    <row r="475" spans="1:8" x14ac:dyDescent="0.2">
      <c r="A475" s="22"/>
      <c r="B475" s="22"/>
      <c r="C475" s="22"/>
      <c r="D475" s="22"/>
      <c r="E475" s="22"/>
      <c r="F475" s="22"/>
      <c r="G475" s="22"/>
      <c r="H475" s="22"/>
    </row>
    <row r="476" spans="1:8" x14ac:dyDescent="0.2">
      <c r="A476" s="22"/>
      <c r="B476" s="22"/>
      <c r="C476" s="22"/>
      <c r="D476" s="22"/>
      <c r="E476" s="22"/>
      <c r="F476" s="22"/>
      <c r="G476" s="22"/>
      <c r="H476" s="22"/>
    </row>
    <row r="477" spans="1:8" x14ac:dyDescent="0.2">
      <c r="A477" s="22"/>
      <c r="B477" s="22"/>
      <c r="C477" s="22"/>
      <c r="D477" s="22"/>
      <c r="E477" s="22"/>
      <c r="F477" s="22"/>
      <c r="G477" s="22"/>
      <c r="H477" s="22"/>
    </row>
    <row r="478" spans="1:8" x14ac:dyDescent="0.2">
      <c r="A478" s="22"/>
      <c r="B478" s="22"/>
      <c r="C478" s="22"/>
      <c r="D478" s="22"/>
      <c r="E478" s="22"/>
      <c r="F478" s="22"/>
      <c r="G478" s="22"/>
      <c r="H478" s="22"/>
    </row>
    <row r="479" spans="1:8" x14ac:dyDescent="0.2">
      <c r="A479" s="22"/>
      <c r="B479" s="22"/>
      <c r="C479" s="22"/>
      <c r="D479" s="22"/>
      <c r="E479" s="22"/>
      <c r="F479" s="22"/>
      <c r="G479" s="22"/>
      <c r="H479" s="22"/>
    </row>
    <row r="480" spans="1:8" x14ac:dyDescent="0.2">
      <c r="A480" s="22"/>
      <c r="B480" s="22"/>
      <c r="C480" s="22"/>
      <c r="D480" s="22"/>
      <c r="E480" s="22"/>
      <c r="F480" s="22"/>
      <c r="G480" s="22"/>
      <c r="H480" s="22"/>
    </row>
    <row r="481" spans="1:8" x14ac:dyDescent="0.2">
      <c r="A481" s="22"/>
      <c r="B481" s="22"/>
      <c r="C481" s="22"/>
      <c r="D481" s="22"/>
      <c r="E481" s="22"/>
      <c r="F481" s="22"/>
      <c r="G481" s="22"/>
      <c r="H481" s="22"/>
    </row>
    <row r="482" spans="1:8" x14ac:dyDescent="0.2">
      <c r="A482" s="22"/>
      <c r="B482" s="22"/>
      <c r="C482" s="22"/>
      <c r="D482" s="22"/>
      <c r="E482" s="22"/>
      <c r="F482" s="22"/>
      <c r="G482" s="22"/>
      <c r="H482" s="22"/>
    </row>
    <row r="483" spans="1:8" x14ac:dyDescent="0.2">
      <c r="A483" s="22"/>
      <c r="B483" s="22"/>
      <c r="C483" s="22"/>
      <c r="D483" s="22"/>
      <c r="E483" s="22"/>
      <c r="F483" s="22"/>
      <c r="G483" s="22"/>
      <c r="H483" s="22"/>
    </row>
    <row r="484" spans="1:8" x14ac:dyDescent="0.2">
      <c r="A484" s="22"/>
      <c r="B484" s="22"/>
      <c r="C484" s="22"/>
      <c r="D484" s="22"/>
      <c r="E484" s="22"/>
      <c r="F484" s="22"/>
      <c r="G484" s="22"/>
      <c r="H484" s="22"/>
    </row>
    <row r="485" spans="1:8" x14ac:dyDescent="0.2">
      <c r="A485" s="22"/>
      <c r="B485" s="22"/>
      <c r="C485" s="22"/>
      <c r="D485" s="22"/>
      <c r="E485" s="22"/>
      <c r="F485" s="22"/>
      <c r="G485" s="22"/>
      <c r="H485" s="22"/>
    </row>
    <row r="486" spans="1:8" x14ac:dyDescent="0.2">
      <c r="A486" s="22"/>
      <c r="B486" s="22"/>
      <c r="C486" s="22"/>
      <c r="D486" s="22"/>
      <c r="E486" s="22"/>
      <c r="F486" s="22"/>
      <c r="G486" s="22"/>
      <c r="H486" s="22"/>
    </row>
    <row r="487" spans="1:8" x14ac:dyDescent="0.2">
      <c r="A487" s="22"/>
      <c r="B487" s="22"/>
      <c r="C487" s="22"/>
      <c r="D487" s="22"/>
      <c r="E487" s="22"/>
      <c r="F487" s="22"/>
      <c r="G487" s="22"/>
      <c r="H487" s="22"/>
    </row>
    <row r="488" spans="1:8" x14ac:dyDescent="0.2">
      <c r="A488" s="22"/>
      <c r="B488" s="22"/>
      <c r="C488" s="22"/>
      <c r="D488" s="22"/>
      <c r="E488" s="22"/>
      <c r="F488" s="22"/>
      <c r="G488" s="22"/>
      <c r="H488" s="22"/>
    </row>
    <row r="489" spans="1:8" x14ac:dyDescent="0.2">
      <c r="A489" s="22"/>
      <c r="B489" s="22"/>
      <c r="C489" s="22"/>
      <c r="D489" s="22"/>
      <c r="E489" s="22"/>
      <c r="F489" s="22"/>
      <c r="G489" s="22"/>
      <c r="H489" s="22"/>
    </row>
    <row r="490" spans="1:8" x14ac:dyDescent="0.2">
      <c r="A490" s="22"/>
      <c r="B490" s="22"/>
      <c r="C490" s="22"/>
      <c r="D490" s="22"/>
      <c r="E490" s="22"/>
      <c r="F490" s="22"/>
      <c r="G490" s="22"/>
      <c r="H490" s="22"/>
    </row>
    <row r="491" spans="1:8" x14ac:dyDescent="0.2">
      <c r="A491" s="22"/>
      <c r="B491" s="22"/>
      <c r="C491" s="22"/>
      <c r="D491" s="22"/>
      <c r="E491" s="22"/>
      <c r="F491" s="22"/>
      <c r="G491" s="22"/>
      <c r="H491" s="22"/>
    </row>
    <row r="492" spans="1:8" x14ac:dyDescent="0.2">
      <c r="A492" s="22"/>
      <c r="B492" s="22"/>
      <c r="C492" s="22"/>
      <c r="D492" s="22"/>
      <c r="E492" s="22"/>
      <c r="F492" s="22"/>
      <c r="G492" s="22"/>
      <c r="H492" s="22"/>
    </row>
    <row r="493" spans="1:8" x14ac:dyDescent="0.2">
      <c r="A493" s="22"/>
      <c r="B493" s="22"/>
      <c r="C493" s="22"/>
      <c r="D493" s="22"/>
      <c r="E493" s="22"/>
      <c r="F493" s="22"/>
      <c r="G493" s="22"/>
      <c r="H493" s="22"/>
    </row>
    <row r="494" spans="1:8" x14ac:dyDescent="0.2">
      <c r="A494" s="22"/>
      <c r="B494" s="22"/>
      <c r="C494" s="22"/>
      <c r="D494" s="22"/>
      <c r="E494" s="22"/>
      <c r="F494" s="22"/>
      <c r="G494" s="22"/>
      <c r="H494" s="22"/>
    </row>
    <row r="495" spans="1:8" x14ac:dyDescent="0.2">
      <c r="A495" s="22"/>
      <c r="B495" s="22"/>
      <c r="C495" s="22"/>
      <c r="D495" s="22"/>
      <c r="E495" s="22"/>
      <c r="F495" s="22"/>
      <c r="G495" s="22"/>
      <c r="H495" s="22"/>
    </row>
    <row r="496" spans="1:8" x14ac:dyDescent="0.2">
      <c r="A496" s="22"/>
      <c r="B496" s="22"/>
      <c r="C496" s="22"/>
      <c r="D496" s="22"/>
      <c r="E496" s="22"/>
      <c r="F496" s="22"/>
      <c r="G496" s="22"/>
      <c r="H496" s="22"/>
    </row>
    <row r="497" spans="1:8" x14ac:dyDescent="0.2">
      <c r="A497" s="22"/>
      <c r="B497" s="22"/>
      <c r="C497" s="22"/>
      <c r="D497" s="22"/>
      <c r="E497" s="22"/>
      <c r="F497" s="22"/>
      <c r="G497" s="22"/>
      <c r="H497" s="22"/>
    </row>
    <row r="498" spans="1:8" x14ac:dyDescent="0.2">
      <c r="A498" s="22"/>
      <c r="B498" s="22"/>
      <c r="C498" s="22"/>
      <c r="D498" s="22"/>
      <c r="E498" s="22"/>
      <c r="F498" s="22"/>
      <c r="G498" s="22"/>
      <c r="H498" s="22"/>
    </row>
    <row r="499" spans="1:8" x14ac:dyDescent="0.2">
      <c r="A499" s="22"/>
      <c r="B499" s="22"/>
      <c r="C499" s="22"/>
      <c r="D499" s="22"/>
      <c r="E499" s="22"/>
      <c r="F499" s="22"/>
      <c r="G499" s="22"/>
      <c r="H499" s="22"/>
    </row>
    <row r="500" spans="1:8" x14ac:dyDescent="0.2">
      <c r="A500" s="22"/>
      <c r="B500" s="22"/>
      <c r="C500" s="22"/>
      <c r="D500" s="22"/>
      <c r="E500" s="22"/>
      <c r="F500" s="22"/>
      <c r="G500" s="22"/>
      <c r="H500" s="22"/>
    </row>
    <row r="501" spans="1:8" x14ac:dyDescent="0.2">
      <c r="A501" s="22"/>
      <c r="B501" s="22"/>
      <c r="C501" s="22"/>
      <c r="D501" s="22"/>
      <c r="E501" s="22"/>
      <c r="F501" s="22"/>
      <c r="G501" s="22"/>
      <c r="H501" s="22"/>
    </row>
    <row r="502" spans="1:8" x14ac:dyDescent="0.2">
      <c r="A502" s="22"/>
      <c r="B502" s="22"/>
      <c r="C502" s="22"/>
      <c r="D502" s="22"/>
      <c r="E502" s="22"/>
      <c r="F502" s="22"/>
      <c r="G502" s="22"/>
      <c r="H502" s="22"/>
    </row>
    <row r="503" spans="1:8" x14ac:dyDescent="0.2">
      <c r="A503" s="22"/>
      <c r="B503" s="22"/>
      <c r="C503" s="22"/>
      <c r="D503" s="22"/>
      <c r="E503" s="22"/>
      <c r="F503" s="22"/>
      <c r="G503" s="22"/>
      <c r="H503" s="22"/>
    </row>
    <row r="504" spans="1:8" x14ac:dyDescent="0.2">
      <c r="A504" s="22"/>
      <c r="B504" s="22"/>
      <c r="C504" s="22"/>
      <c r="D504" s="22"/>
      <c r="E504" s="22"/>
      <c r="F504" s="22"/>
      <c r="G504" s="22"/>
      <c r="H504" s="22"/>
    </row>
    <row r="505" spans="1:8" x14ac:dyDescent="0.2">
      <c r="A505" s="22"/>
      <c r="B505" s="22"/>
      <c r="C505" s="22"/>
      <c r="D505" s="22"/>
      <c r="E505" s="22"/>
      <c r="F505" s="22"/>
      <c r="G505" s="22"/>
      <c r="H505" s="22"/>
    </row>
    <row r="506" spans="1:8" x14ac:dyDescent="0.2">
      <c r="A506" s="22"/>
      <c r="B506" s="22"/>
      <c r="C506" s="22"/>
      <c r="D506" s="22"/>
      <c r="E506" s="22"/>
      <c r="F506" s="22"/>
      <c r="G506" s="22"/>
      <c r="H506" s="22"/>
    </row>
    <row r="507" spans="1:8" x14ac:dyDescent="0.2">
      <c r="A507" s="22"/>
      <c r="B507" s="22"/>
      <c r="C507" s="22"/>
      <c r="D507" s="22"/>
      <c r="E507" s="22"/>
      <c r="F507" s="22"/>
      <c r="G507" s="22"/>
      <c r="H507" s="22"/>
    </row>
    <row r="508" spans="1:8" x14ac:dyDescent="0.2">
      <c r="A508" s="22"/>
      <c r="B508" s="22"/>
      <c r="C508" s="22"/>
      <c r="D508" s="22"/>
      <c r="E508" s="22"/>
      <c r="F508" s="22"/>
      <c r="G508" s="22"/>
      <c r="H508" s="22"/>
    </row>
    <row r="509" spans="1:8" x14ac:dyDescent="0.2">
      <c r="A509" s="22"/>
      <c r="B509" s="22"/>
      <c r="C509" s="22"/>
      <c r="D509" s="22"/>
      <c r="E509" s="22"/>
      <c r="F509" s="22"/>
      <c r="G509" s="22"/>
      <c r="H509" s="22"/>
    </row>
    <row r="510" spans="1:8" x14ac:dyDescent="0.2">
      <c r="A510" s="22"/>
      <c r="B510" s="22"/>
      <c r="C510" s="22"/>
      <c r="D510" s="22"/>
      <c r="E510" s="22"/>
      <c r="F510" s="22"/>
      <c r="G510" s="22"/>
      <c r="H510" s="22"/>
    </row>
    <row r="511" spans="1:8" x14ac:dyDescent="0.2">
      <c r="A511" s="22"/>
      <c r="B511" s="22"/>
      <c r="C511" s="22"/>
      <c r="D511" s="22"/>
      <c r="E511" s="22"/>
      <c r="F511" s="22"/>
      <c r="G511" s="22"/>
      <c r="H511" s="22"/>
    </row>
    <row r="512" spans="1:8" x14ac:dyDescent="0.2">
      <c r="A512" s="22"/>
      <c r="B512" s="22"/>
      <c r="C512" s="22"/>
      <c r="D512" s="22"/>
      <c r="E512" s="22"/>
      <c r="F512" s="22"/>
      <c r="G512" s="22"/>
      <c r="H512" s="22"/>
    </row>
    <row r="513" spans="1:8" x14ac:dyDescent="0.2">
      <c r="A513" s="22"/>
      <c r="B513" s="22"/>
      <c r="C513" s="22"/>
      <c r="D513" s="22"/>
      <c r="E513" s="22"/>
      <c r="F513" s="22"/>
      <c r="G513" s="22"/>
      <c r="H513" s="22"/>
    </row>
    <row r="514" spans="1:8" x14ac:dyDescent="0.2">
      <c r="A514" s="22"/>
      <c r="B514" s="22"/>
      <c r="C514" s="22"/>
      <c r="D514" s="22"/>
      <c r="E514" s="22"/>
      <c r="F514" s="22"/>
      <c r="G514" s="22"/>
      <c r="H514" s="22"/>
    </row>
    <row r="515" spans="1:8" x14ac:dyDescent="0.2">
      <c r="A515" s="22"/>
      <c r="B515" s="22"/>
      <c r="C515" s="22"/>
      <c r="D515" s="22"/>
      <c r="E515" s="22"/>
      <c r="F515" s="22"/>
      <c r="G515" s="22"/>
      <c r="H515" s="22"/>
    </row>
    <row r="516" spans="1:8" x14ac:dyDescent="0.2">
      <c r="A516" s="22"/>
      <c r="B516" s="22"/>
      <c r="C516" s="22"/>
      <c r="D516" s="22"/>
      <c r="E516" s="22"/>
      <c r="F516" s="22"/>
      <c r="G516" s="22"/>
      <c r="H516" s="22"/>
    </row>
    <row r="517" spans="1:8" x14ac:dyDescent="0.2">
      <c r="A517" s="22"/>
      <c r="B517" s="22"/>
      <c r="C517" s="22"/>
      <c r="D517" s="22"/>
      <c r="E517" s="22"/>
      <c r="F517" s="22"/>
      <c r="G517" s="22"/>
      <c r="H517" s="22"/>
    </row>
    <row r="518" spans="1:8" x14ac:dyDescent="0.2">
      <c r="A518" s="22"/>
      <c r="B518" s="22"/>
      <c r="C518" s="22"/>
      <c r="D518" s="22"/>
      <c r="E518" s="22"/>
      <c r="F518" s="22"/>
      <c r="G518" s="22"/>
      <c r="H518" s="22"/>
    </row>
    <row r="519" spans="1:8" x14ac:dyDescent="0.2">
      <c r="A519" s="22"/>
      <c r="B519" s="22"/>
      <c r="C519" s="22"/>
      <c r="D519" s="22"/>
      <c r="E519" s="22"/>
      <c r="F519" s="22"/>
      <c r="G519" s="22"/>
      <c r="H519" s="22"/>
    </row>
    <row r="520" spans="1:8" x14ac:dyDescent="0.2">
      <c r="A520" s="22"/>
      <c r="B520" s="22"/>
      <c r="C520" s="22"/>
      <c r="D520" s="22"/>
      <c r="E520" s="22"/>
      <c r="F520" s="22"/>
      <c r="G520" s="22"/>
      <c r="H520" s="22"/>
    </row>
    <row r="521" spans="1:8" x14ac:dyDescent="0.2">
      <c r="A521" s="22"/>
      <c r="B521" s="22"/>
      <c r="C521" s="22"/>
      <c r="D521" s="22"/>
      <c r="E521" s="22"/>
      <c r="F521" s="22"/>
      <c r="G521" s="22"/>
      <c r="H521" s="22"/>
    </row>
    <row r="522" spans="1:8" x14ac:dyDescent="0.2">
      <c r="A522" s="22"/>
      <c r="B522" s="22"/>
      <c r="C522" s="22"/>
      <c r="D522" s="22"/>
      <c r="E522" s="22"/>
      <c r="F522" s="22"/>
      <c r="G522" s="22"/>
      <c r="H522" s="22"/>
    </row>
    <row r="523" spans="1:8" x14ac:dyDescent="0.2">
      <c r="A523" s="22"/>
      <c r="B523" s="22"/>
      <c r="C523" s="22"/>
      <c r="D523" s="22"/>
      <c r="E523" s="22"/>
      <c r="F523" s="22"/>
      <c r="G523" s="22"/>
      <c r="H523" s="22"/>
    </row>
    <row r="524" spans="1:8" x14ac:dyDescent="0.2">
      <c r="A524" s="22"/>
      <c r="B524" s="22"/>
      <c r="C524" s="22"/>
      <c r="D524" s="22"/>
      <c r="E524" s="22"/>
      <c r="F524" s="22"/>
      <c r="G524" s="22"/>
      <c r="H524" s="22"/>
    </row>
    <row r="525" spans="1:8" x14ac:dyDescent="0.2">
      <c r="A525" s="22"/>
      <c r="B525" s="22"/>
      <c r="C525" s="22"/>
      <c r="D525" s="22"/>
      <c r="E525" s="22"/>
      <c r="F525" s="22"/>
      <c r="G525" s="22"/>
      <c r="H525" s="22"/>
    </row>
    <row r="526" spans="1:8" x14ac:dyDescent="0.2">
      <c r="A526" s="22"/>
      <c r="B526" s="22"/>
      <c r="C526" s="22"/>
      <c r="D526" s="22"/>
      <c r="E526" s="22"/>
      <c r="F526" s="22"/>
      <c r="G526" s="22"/>
      <c r="H526" s="22"/>
    </row>
    <row r="527" spans="1:8" x14ac:dyDescent="0.2">
      <c r="A527" s="22"/>
      <c r="B527" s="22"/>
      <c r="C527" s="22"/>
      <c r="D527" s="22"/>
      <c r="E527" s="22"/>
      <c r="F527" s="22"/>
      <c r="G527" s="22"/>
      <c r="H527" s="22"/>
    </row>
    <row r="528" spans="1:8" x14ac:dyDescent="0.2">
      <c r="A528" s="22"/>
      <c r="B528" s="22"/>
      <c r="C528" s="22"/>
      <c r="D528" s="22"/>
      <c r="E528" s="22"/>
      <c r="F528" s="22"/>
      <c r="G528" s="22"/>
      <c r="H528" s="22"/>
    </row>
    <row r="529" spans="1:8" x14ac:dyDescent="0.2">
      <c r="A529" s="22"/>
      <c r="B529" s="22"/>
      <c r="C529" s="22"/>
      <c r="D529" s="22"/>
      <c r="E529" s="22"/>
      <c r="F529" s="22"/>
      <c r="G529" s="22"/>
      <c r="H529" s="22"/>
    </row>
    <row r="530" spans="1:8" x14ac:dyDescent="0.2">
      <c r="A530" s="22"/>
      <c r="B530" s="22"/>
      <c r="C530" s="22"/>
      <c r="D530" s="22"/>
      <c r="E530" s="22"/>
      <c r="F530" s="22"/>
      <c r="G530" s="22"/>
      <c r="H530" s="22"/>
    </row>
    <row r="531" spans="1:8" x14ac:dyDescent="0.2">
      <c r="A531" s="22"/>
      <c r="B531" s="22"/>
      <c r="C531" s="22"/>
      <c r="D531" s="22"/>
      <c r="E531" s="22"/>
      <c r="F531" s="22"/>
      <c r="G531" s="22"/>
      <c r="H531" s="22"/>
    </row>
    <row r="532" spans="1:8" x14ac:dyDescent="0.2">
      <c r="A532" s="22"/>
      <c r="B532" s="22"/>
      <c r="C532" s="22"/>
      <c r="D532" s="22"/>
      <c r="E532" s="22"/>
      <c r="F532" s="22"/>
      <c r="G532" s="22"/>
      <c r="H532" s="22"/>
    </row>
    <row r="533" spans="1:8" x14ac:dyDescent="0.2">
      <c r="A533" s="22"/>
      <c r="B533" s="22"/>
      <c r="C533" s="22"/>
      <c r="D533" s="22"/>
      <c r="E533" s="22"/>
      <c r="F533" s="22"/>
      <c r="G533" s="22"/>
      <c r="H533" s="22"/>
    </row>
    <row r="534" spans="1:8" x14ac:dyDescent="0.2">
      <c r="A534" s="22"/>
      <c r="B534" s="22"/>
      <c r="C534" s="22"/>
      <c r="D534" s="22"/>
      <c r="E534" s="22"/>
      <c r="F534" s="22"/>
      <c r="G534" s="22"/>
      <c r="H534" s="22"/>
    </row>
    <row r="535" spans="1:8" x14ac:dyDescent="0.2">
      <c r="A535" s="22"/>
      <c r="B535" s="22"/>
      <c r="C535" s="22"/>
      <c r="D535" s="22"/>
      <c r="E535" s="22"/>
      <c r="F535" s="22"/>
      <c r="G535" s="22"/>
      <c r="H535" s="22"/>
    </row>
    <row r="536" spans="1:8" x14ac:dyDescent="0.2">
      <c r="A536" s="22"/>
      <c r="B536" s="22"/>
      <c r="C536" s="22"/>
      <c r="D536" s="22"/>
      <c r="E536" s="22"/>
      <c r="F536" s="22"/>
      <c r="G536" s="22"/>
      <c r="H536" s="22"/>
    </row>
    <row r="537" spans="1:8" x14ac:dyDescent="0.2">
      <c r="A537" s="22"/>
      <c r="B537" s="22"/>
      <c r="C537" s="22"/>
      <c r="D537" s="22"/>
      <c r="E537" s="22"/>
      <c r="F537" s="22"/>
      <c r="G537" s="22"/>
      <c r="H537" s="22"/>
    </row>
    <row r="538" spans="1:8" x14ac:dyDescent="0.2">
      <c r="A538" s="22"/>
      <c r="B538" s="22"/>
      <c r="C538" s="22"/>
      <c r="D538" s="22"/>
      <c r="E538" s="22"/>
      <c r="F538" s="22"/>
      <c r="G538" s="22"/>
      <c r="H538" s="22"/>
    </row>
    <row r="539" spans="1:8" x14ac:dyDescent="0.2">
      <c r="A539" s="22"/>
      <c r="B539" s="22"/>
      <c r="C539" s="22"/>
      <c r="D539" s="22"/>
      <c r="E539" s="22"/>
      <c r="F539" s="22"/>
      <c r="G539" s="22"/>
      <c r="H539" s="22"/>
    </row>
    <row r="540" spans="1:8" x14ac:dyDescent="0.2">
      <c r="A540" s="22"/>
      <c r="B540" s="22"/>
      <c r="C540" s="22"/>
      <c r="D540" s="22"/>
      <c r="E540" s="22"/>
      <c r="F540" s="22"/>
      <c r="G540" s="22"/>
      <c r="H540" s="22"/>
    </row>
    <row r="541" spans="1:8" x14ac:dyDescent="0.2">
      <c r="A541" s="22"/>
      <c r="B541" s="22"/>
      <c r="C541" s="22"/>
      <c r="D541" s="22"/>
      <c r="E541" s="22"/>
      <c r="F541" s="22"/>
      <c r="G541" s="22"/>
      <c r="H541" s="22"/>
    </row>
    <row r="542" spans="1:8" x14ac:dyDescent="0.2">
      <c r="A542" s="22"/>
      <c r="B542" s="22"/>
      <c r="C542" s="22"/>
      <c r="D542" s="22"/>
      <c r="E542" s="22"/>
      <c r="F542" s="22"/>
      <c r="G542" s="22"/>
      <c r="H542" s="22"/>
    </row>
    <row r="543" spans="1:8" x14ac:dyDescent="0.2">
      <c r="A543" s="22"/>
      <c r="B543" s="22"/>
      <c r="C543" s="22"/>
      <c r="D543" s="22"/>
      <c r="E543" s="22"/>
      <c r="F543" s="22"/>
      <c r="G543" s="22"/>
      <c r="H543" s="22"/>
    </row>
    <row r="544" spans="1:8" x14ac:dyDescent="0.2">
      <c r="A544" s="22"/>
      <c r="B544" s="22"/>
      <c r="C544" s="22"/>
      <c r="D544" s="22"/>
      <c r="E544" s="22"/>
      <c r="F544" s="22"/>
      <c r="G544" s="22"/>
      <c r="H544" s="22"/>
    </row>
    <row r="545" spans="1:8" x14ac:dyDescent="0.2">
      <c r="A545" s="22"/>
      <c r="B545" s="22"/>
      <c r="C545" s="22"/>
      <c r="D545" s="22"/>
      <c r="E545" s="22"/>
      <c r="F545" s="22"/>
      <c r="G545" s="22"/>
      <c r="H545" s="22"/>
    </row>
    <row r="546" spans="1:8" x14ac:dyDescent="0.2">
      <c r="A546" s="22"/>
      <c r="B546" s="22"/>
      <c r="C546" s="22"/>
      <c r="D546" s="22"/>
      <c r="E546" s="22"/>
      <c r="F546" s="22"/>
      <c r="G546" s="22"/>
      <c r="H546" s="22"/>
    </row>
    <row r="547" spans="1:8" x14ac:dyDescent="0.2">
      <c r="A547" s="22"/>
      <c r="B547" s="22"/>
      <c r="C547" s="22"/>
      <c r="D547" s="22"/>
      <c r="E547" s="22"/>
      <c r="F547" s="22"/>
      <c r="G547" s="22"/>
      <c r="H547" s="22"/>
    </row>
    <row r="548" spans="1:8" x14ac:dyDescent="0.2">
      <c r="A548" s="22"/>
      <c r="B548" s="22"/>
      <c r="C548" s="22"/>
      <c r="D548" s="22"/>
      <c r="E548" s="22"/>
      <c r="F548" s="22"/>
      <c r="G548" s="22"/>
      <c r="H548" s="22"/>
    </row>
    <row r="549" spans="1:8" x14ac:dyDescent="0.2">
      <c r="A549" s="22"/>
      <c r="B549" s="22"/>
      <c r="C549" s="22"/>
      <c r="D549" s="22"/>
      <c r="E549" s="22"/>
      <c r="F549" s="22"/>
      <c r="G549" s="22"/>
      <c r="H549" s="22"/>
    </row>
    <row r="550" spans="1:8" x14ac:dyDescent="0.2">
      <c r="A550" s="22"/>
      <c r="B550" s="22"/>
      <c r="C550" s="22"/>
      <c r="D550" s="22"/>
      <c r="E550" s="22"/>
      <c r="F550" s="22"/>
      <c r="G550" s="22"/>
      <c r="H550" s="22"/>
    </row>
    <row r="551" spans="1:8" x14ac:dyDescent="0.2">
      <c r="A551" s="22"/>
      <c r="B551" s="22"/>
      <c r="C551" s="22"/>
      <c r="D551" s="22"/>
      <c r="E551" s="22"/>
      <c r="F551" s="22"/>
      <c r="G551" s="22"/>
      <c r="H551" s="22"/>
    </row>
    <row r="552" spans="1:8" x14ac:dyDescent="0.2">
      <c r="A552" s="22"/>
      <c r="B552" s="22"/>
      <c r="C552" s="22"/>
      <c r="D552" s="22"/>
      <c r="E552" s="22"/>
      <c r="F552" s="22"/>
      <c r="G552" s="22"/>
      <c r="H552" s="22"/>
    </row>
    <row r="553" spans="1:8" x14ac:dyDescent="0.2">
      <c r="A553" s="22"/>
      <c r="B553" s="22"/>
      <c r="C553" s="22"/>
      <c r="D553" s="22"/>
      <c r="E553" s="22"/>
      <c r="F553" s="22"/>
      <c r="G553" s="22"/>
      <c r="H553" s="22"/>
    </row>
    <row r="554" spans="1:8" x14ac:dyDescent="0.2">
      <c r="A554" s="22"/>
      <c r="B554" s="22"/>
      <c r="C554" s="22"/>
      <c r="D554" s="22"/>
      <c r="E554" s="22"/>
      <c r="F554" s="22"/>
      <c r="G554" s="22"/>
      <c r="H554" s="22"/>
    </row>
    <row r="555" spans="1:8" x14ac:dyDescent="0.2">
      <c r="A555" s="22"/>
      <c r="B555" s="22"/>
      <c r="C555" s="22"/>
      <c r="D555" s="22"/>
      <c r="E555" s="22"/>
      <c r="F555" s="22"/>
      <c r="G555" s="22"/>
      <c r="H555" s="22"/>
    </row>
    <row r="556" spans="1:8" x14ac:dyDescent="0.2">
      <c r="A556" s="22"/>
      <c r="B556" s="22"/>
      <c r="C556" s="22"/>
      <c r="D556" s="22"/>
      <c r="E556" s="22"/>
      <c r="F556" s="22"/>
      <c r="G556" s="22"/>
      <c r="H556" s="22"/>
    </row>
    <row r="557" spans="1:8" x14ac:dyDescent="0.2">
      <c r="A557" s="22"/>
      <c r="B557" s="22"/>
      <c r="C557" s="22"/>
      <c r="D557" s="22"/>
      <c r="E557" s="22"/>
      <c r="F557" s="22"/>
      <c r="G557" s="22"/>
      <c r="H557" s="22"/>
    </row>
    <row r="558" spans="1:8" x14ac:dyDescent="0.2">
      <c r="A558" s="22"/>
      <c r="B558" s="22"/>
      <c r="C558" s="22"/>
      <c r="D558" s="22"/>
      <c r="E558" s="22"/>
      <c r="F558" s="22"/>
      <c r="G558" s="22"/>
      <c r="H558" s="22"/>
    </row>
    <row r="559" spans="1:8" x14ac:dyDescent="0.2">
      <c r="A559" s="22"/>
      <c r="B559" s="22"/>
      <c r="C559" s="22"/>
      <c r="D559" s="22"/>
      <c r="E559" s="22"/>
      <c r="F559" s="22"/>
      <c r="G559" s="22"/>
      <c r="H559" s="22"/>
    </row>
    <row r="560" spans="1:8" x14ac:dyDescent="0.2">
      <c r="A560" s="22"/>
      <c r="B560" s="22"/>
      <c r="C560" s="22"/>
      <c r="D560" s="22"/>
      <c r="E560" s="22"/>
      <c r="F560" s="22"/>
      <c r="G560" s="22"/>
      <c r="H560" s="22"/>
    </row>
    <row r="561" spans="1:8" x14ac:dyDescent="0.2">
      <c r="A561" s="22"/>
      <c r="B561" s="22"/>
      <c r="C561" s="22"/>
      <c r="D561" s="22"/>
      <c r="E561" s="22"/>
      <c r="F561" s="22"/>
      <c r="G561" s="22"/>
      <c r="H561" s="22"/>
    </row>
    <row r="562" spans="1:8" x14ac:dyDescent="0.2">
      <c r="A562" s="22"/>
      <c r="B562" s="22"/>
      <c r="C562" s="22"/>
      <c r="D562" s="22"/>
      <c r="E562" s="22"/>
      <c r="F562" s="22"/>
      <c r="G562" s="22"/>
      <c r="H562" s="22"/>
    </row>
    <row r="563" spans="1:8" x14ac:dyDescent="0.2">
      <c r="A563" s="22"/>
      <c r="B563" s="22"/>
      <c r="C563" s="22"/>
      <c r="D563" s="22"/>
      <c r="E563" s="22"/>
      <c r="F563" s="22"/>
      <c r="G563" s="22"/>
      <c r="H563" s="22"/>
    </row>
    <row r="564" spans="1:8" x14ac:dyDescent="0.2">
      <c r="A564" s="22"/>
      <c r="B564" s="22"/>
      <c r="C564" s="22"/>
      <c r="D564" s="22"/>
      <c r="E564" s="22"/>
      <c r="F564" s="22"/>
      <c r="G564" s="22"/>
      <c r="H564" s="22"/>
    </row>
    <row r="565" spans="1:8" x14ac:dyDescent="0.2">
      <c r="A565" s="22"/>
      <c r="B565" s="22"/>
      <c r="C565" s="22"/>
      <c r="D565" s="22"/>
      <c r="E565" s="22"/>
      <c r="F565" s="22"/>
      <c r="G565" s="22"/>
      <c r="H565" s="22"/>
    </row>
    <row r="566" spans="1:8" x14ac:dyDescent="0.2">
      <c r="A566" s="22"/>
      <c r="B566" s="22"/>
      <c r="C566" s="22"/>
      <c r="D566" s="22"/>
      <c r="E566" s="22"/>
      <c r="F566" s="22"/>
      <c r="G566" s="22"/>
      <c r="H566" s="22"/>
    </row>
    <row r="567" spans="1:8" x14ac:dyDescent="0.2">
      <c r="A567" s="22"/>
      <c r="B567" s="22"/>
      <c r="C567" s="22"/>
      <c r="D567" s="22"/>
      <c r="E567" s="22"/>
      <c r="F567" s="22"/>
      <c r="G567" s="22"/>
      <c r="H567" s="22"/>
    </row>
    <row r="568" spans="1:8" x14ac:dyDescent="0.2">
      <c r="A568" s="22"/>
      <c r="B568" s="22"/>
      <c r="C568" s="22"/>
      <c r="D568" s="22"/>
      <c r="E568" s="22"/>
      <c r="F568" s="22"/>
      <c r="G568" s="22"/>
      <c r="H568" s="22"/>
    </row>
    <row r="569" spans="1:8" x14ac:dyDescent="0.2">
      <c r="A569" s="22"/>
      <c r="B569" s="22"/>
      <c r="C569" s="22"/>
      <c r="D569" s="22"/>
      <c r="E569" s="22"/>
      <c r="F569" s="22"/>
      <c r="G569" s="22"/>
      <c r="H569" s="22"/>
    </row>
    <row r="570" spans="1:8" x14ac:dyDescent="0.2">
      <c r="A570" s="22"/>
      <c r="B570" s="22"/>
      <c r="C570" s="22"/>
      <c r="D570" s="22"/>
      <c r="E570" s="22"/>
      <c r="F570" s="22"/>
      <c r="G570" s="22"/>
      <c r="H570" s="22"/>
    </row>
    <row r="571" spans="1:8" x14ac:dyDescent="0.2">
      <c r="A571" s="22"/>
      <c r="B571" s="22"/>
      <c r="C571" s="22"/>
      <c r="D571" s="22"/>
      <c r="E571" s="22"/>
      <c r="F571" s="22"/>
      <c r="G571" s="22"/>
      <c r="H571" s="22"/>
    </row>
    <row r="572" spans="1:8" x14ac:dyDescent="0.2">
      <c r="A572" s="22"/>
      <c r="B572" s="22"/>
      <c r="C572" s="22"/>
      <c r="D572" s="22"/>
      <c r="E572" s="22"/>
      <c r="F572" s="22"/>
      <c r="G572" s="22"/>
      <c r="H572" s="22"/>
    </row>
    <row r="573" spans="1:8" x14ac:dyDescent="0.2">
      <c r="A573" s="22"/>
      <c r="B573" s="22"/>
      <c r="C573" s="22"/>
      <c r="D573" s="22"/>
      <c r="E573" s="22"/>
      <c r="F573" s="22"/>
      <c r="G573" s="22"/>
      <c r="H573" s="22"/>
    </row>
    <row r="574" spans="1:8" x14ac:dyDescent="0.2">
      <c r="A574" s="22"/>
      <c r="B574" s="22"/>
      <c r="C574" s="22"/>
      <c r="D574" s="22"/>
      <c r="E574" s="22"/>
      <c r="F574" s="22"/>
      <c r="G574" s="22"/>
      <c r="H574" s="22"/>
    </row>
    <row r="575" spans="1:8" x14ac:dyDescent="0.2">
      <c r="A575" s="22"/>
      <c r="B575" s="22"/>
      <c r="C575" s="22"/>
      <c r="D575" s="22"/>
      <c r="E575" s="22"/>
      <c r="F575" s="22"/>
      <c r="G575" s="22"/>
      <c r="H575" s="22"/>
    </row>
    <row r="576" spans="1:8" x14ac:dyDescent="0.2">
      <c r="A576" s="22"/>
      <c r="B576" s="22"/>
      <c r="C576" s="22"/>
      <c r="D576" s="22"/>
      <c r="E576" s="22"/>
      <c r="F576" s="22"/>
      <c r="G576" s="22"/>
      <c r="H576" s="22"/>
    </row>
    <row r="577" spans="1:8" x14ac:dyDescent="0.2">
      <c r="A577" s="22"/>
      <c r="B577" s="22"/>
      <c r="C577" s="22"/>
      <c r="D577" s="22"/>
      <c r="E577" s="22"/>
      <c r="F577" s="22"/>
      <c r="G577" s="22"/>
      <c r="H577" s="22"/>
    </row>
    <row r="578" spans="1:8" x14ac:dyDescent="0.2">
      <c r="A578" s="22"/>
      <c r="B578" s="22"/>
      <c r="C578" s="22"/>
      <c r="D578" s="22"/>
      <c r="E578" s="22"/>
      <c r="F578" s="22"/>
      <c r="G578" s="22"/>
      <c r="H578" s="22"/>
    </row>
    <row r="579" spans="1:8" x14ac:dyDescent="0.2">
      <c r="A579" s="22"/>
      <c r="B579" s="22"/>
      <c r="C579" s="22"/>
      <c r="D579" s="22"/>
      <c r="E579" s="22"/>
      <c r="F579" s="22"/>
      <c r="G579" s="22"/>
      <c r="H579" s="22"/>
    </row>
    <row r="580" spans="1:8" x14ac:dyDescent="0.2">
      <c r="A580" s="22"/>
      <c r="B580" s="22"/>
      <c r="C580" s="22"/>
      <c r="D580" s="22"/>
      <c r="E580" s="22"/>
      <c r="F580" s="22"/>
      <c r="G580" s="22"/>
      <c r="H580" s="22"/>
    </row>
    <row r="581" spans="1:8" x14ac:dyDescent="0.2">
      <c r="A581" s="22"/>
      <c r="B581" s="22"/>
      <c r="C581" s="22"/>
      <c r="D581" s="22"/>
      <c r="E581" s="22"/>
      <c r="F581" s="22"/>
      <c r="G581" s="22"/>
      <c r="H581" s="22"/>
    </row>
    <row r="582" spans="1:8" x14ac:dyDescent="0.2">
      <c r="A582" s="22"/>
      <c r="B582" s="22"/>
      <c r="C582" s="22"/>
      <c r="D582" s="22"/>
      <c r="E582" s="22"/>
      <c r="F582" s="22"/>
      <c r="G582" s="22"/>
      <c r="H582" s="22"/>
    </row>
    <row r="583" spans="1:8" x14ac:dyDescent="0.2">
      <c r="A583" s="22"/>
      <c r="B583" s="22"/>
      <c r="C583" s="22"/>
      <c r="D583" s="22"/>
      <c r="E583" s="22"/>
      <c r="F583" s="22"/>
      <c r="G583" s="22"/>
      <c r="H583" s="22"/>
    </row>
    <row r="584" spans="1:8" x14ac:dyDescent="0.2">
      <c r="A584" s="22"/>
      <c r="B584" s="22"/>
      <c r="C584" s="22"/>
      <c r="D584" s="22"/>
      <c r="E584" s="22"/>
      <c r="F584" s="22"/>
      <c r="G584" s="22"/>
      <c r="H584" s="22"/>
    </row>
    <row r="585" spans="1:8" x14ac:dyDescent="0.2">
      <c r="A585" s="22"/>
      <c r="B585" s="22"/>
      <c r="C585" s="22"/>
      <c r="D585" s="22"/>
      <c r="E585" s="22"/>
      <c r="F585" s="22"/>
      <c r="G585" s="22"/>
      <c r="H585" s="22"/>
    </row>
    <row r="586" spans="1:8" x14ac:dyDescent="0.2">
      <c r="A586" s="22"/>
      <c r="B586" s="22"/>
      <c r="C586" s="22"/>
      <c r="D586" s="22"/>
      <c r="E586" s="22"/>
      <c r="F586" s="22"/>
      <c r="G586" s="22"/>
      <c r="H586" s="22"/>
    </row>
    <row r="587" spans="1:8" x14ac:dyDescent="0.2">
      <c r="A587" s="22"/>
      <c r="B587" s="22"/>
      <c r="C587" s="22"/>
      <c r="D587" s="22"/>
      <c r="E587" s="22"/>
      <c r="F587" s="22"/>
      <c r="G587" s="22"/>
      <c r="H587" s="22"/>
    </row>
    <row r="588" spans="1:8" x14ac:dyDescent="0.2">
      <c r="A588" s="22"/>
      <c r="B588" s="22"/>
      <c r="C588" s="22"/>
      <c r="D588" s="22"/>
      <c r="E588" s="22"/>
      <c r="F588" s="22"/>
      <c r="G588" s="22"/>
      <c r="H588" s="22"/>
    </row>
    <row r="589" spans="1:8" x14ac:dyDescent="0.2">
      <c r="A589" s="22"/>
      <c r="B589" s="22"/>
      <c r="C589" s="22"/>
      <c r="D589" s="22"/>
      <c r="E589" s="22"/>
      <c r="F589" s="22"/>
      <c r="G589" s="22"/>
      <c r="H589" s="22"/>
    </row>
    <row r="590" spans="1:8" x14ac:dyDescent="0.2">
      <c r="A590" s="22"/>
      <c r="B590" s="22"/>
      <c r="C590" s="22"/>
      <c r="D590" s="22"/>
      <c r="E590" s="22"/>
      <c r="F590" s="22"/>
      <c r="G590" s="22"/>
      <c r="H590" s="22"/>
    </row>
    <row r="591" spans="1:8" x14ac:dyDescent="0.2">
      <c r="A591" s="22"/>
      <c r="B591" s="22"/>
      <c r="C591" s="22"/>
      <c r="D591" s="22"/>
      <c r="E591" s="22"/>
      <c r="F591" s="22"/>
      <c r="G591" s="22"/>
      <c r="H591" s="22"/>
    </row>
    <row r="592" spans="1:8" x14ac:dyDescent="0.2">
      <c r="A592" s="22"/>
      <c r="B592" s="22"/>
      <c r="C592" s="22"/>
      <c r="D592" s="22"/>
      <c r="E592" s="22"/>
      <c r="F592" s="22"/>
      <c r="G592" s="22"/>
      <c r="H592" s="22"/>
    </row>
    <row r="593" spans="1:8" x14ac:dyDescent="0.2">
      <c r="A593" s="22"/>
      <c r="B593" s="22"/>
      <c r="C593" s="22"/>
      <c r="D593" s="22"/>
      <c r="E593" s="22"/>
      <c r="F593" s="22"/>
      <c r="G593" s="22"/>
      <c r="H593" s="22"/>
    </row>
    <row r="594" spans="1:8" x14ac:dyDescent="0.2">
      <c r="A594" s="22"/>
      <c r="B594" s="22"/>
      <c r="C594" s="22"/>
      <c r="D594" s="22"/>
      <c r="E594" s="22"/>
      <c r="F594" s="22"/>
      <c r="G594" s="22"/>
      <c r="H594" s="22"/>
    </row>
    <row r="595" spans="1:8" x14ac:dyDescent="0.2">
      <c r="A595" s="22"/>
      <c r="B595" s="22"/>
      <c r="C595" s="22"/>
      <c r="D595" s="22"/>
      <c r="E595" s="22"/>
      <c r="F595" s="22"/>
      <c r="G595" s="22"/>
      <c r="H595" s="22"/>
    </row>
    <row r="596" spans="1:8" x14ac:dyDescent="0.2">
      <c r="A596" s="22"/>
      <c r="B596" s="22"/>
      <c r="C596" s="22"/>
      <c r="D596" s="22"/>
      <c r="E596" s="22"/>
      <c r="F596" s="22"/>
      <c r="G596" s="22"/>
      <c r="H596" s="22"/>
    </row>
    <row r="597" spans="1:8" x14ac:dyDescent="0.2">
      <c r="A597" s="22"/>
      <c r="B597" s="22"/>
      <c r="C597" s="22"/>
      <c r="D597" s="22"/>
      <c r="E597" s="22"/>
      <c r="F597" s="22"/>
      <c r="G597" s="22"/>
      <c r="H597" s="22"/>
    </row>
    <row r="598" spans="1:8" x14ac:dyDescent="0.2">
      <c r="A598" s="22"/>
      <c r="B598" s="22"/>
      <c r="C598" s="22"/>
      <c r="D598" s="22"/>
      <c r="E598" s="22"/>
      <c r="F598" s="22"/>
      <c r="G598" s="22"/>
      <c r="H598" s="22"/>
    </row>
    <row r="599" spans="1:8" x14ac:dyDescent="0.2">
      <c r="A599" s="22"/>
      <c r="B599" s="22"/>
      <c r="C599" s="22"/>
      <c r="D599" s="22"/>
      <c r="E599" s="22"/>
      <c r="F599" s="22"/>
      <c r="G599" s="22"/>
      <c r="H599" s="22"/>
    </row>
    <row r="600" spans="1:8" x14ac:dyDescent="0.2">
      <c r="A600" s="22"/>
      <c r="B600" s="22"/>
      <c r="C600" s="22"/>
      <c r="D600" s="22"/>
      <c r="E600" s="22"/>
      <c r="F600" s="22"/>
      <c r="G600" s="22"/>
      <c r="H600" s="22"/>
    </row>
    <row r="601" spans="1:8" x14ac:dyDescent="0.2">
      <c r="A601" s="22"/>
      <c r="B601" s="22"/>
      <c r="C601" s="22"/>
      <c r="D601" s="22"/>
      <c r="E601" s="22"/>
      <c r="F601" s="22"/>
      <c r="G601" s="22"/>
      <c r="H601" s="22"/>
    </row>
    <row r="602" spans="1:8" x14ac:dyDescent="0.2">
      <c r="A602" s="22"/>
      <c r="B602" s="22"/>
      <c r="C602" s="22"/>
      <c r="D602" s="22"/>
      <c r="E602" s="22"/>
      <c r="F602" s="22"/>
      <c r="G602" s="22"/>
      <c r="H602" s="22"/>
    </row>
    <row r="603" spans="1:8" x14ac:dyDescent="0.2">
      <c r="A603" s="22"/>
      <c r="B603" s="22"/>
      <c r="C603" s="22"/>
      <c r="D603" s="22"/>
      <c r="E603" s="22"/>
      <c r="F603" s="22"/>
      <c r="G603" s="22"/>
      <c r="H603" s="22"/>
    </row>
    <row r="604" spans="1:8" x14ac:dyDescent="0.2">
      <c r="A604" s="22"/>
      <c r="B604" s="22"/>
      <c r="C604" s="22"/>
      <c r="D604" s="22"/>
      <c r="E604" s="22"/>
      <c r="F604" s="22"/>
      <c r="G604" s="22"/>
      <c r="H604" s="22"/>
    </row>
    <row r="605" spans="1:8" x14ac:dyDescent="0.2">
      <c r="A605" s="22"/>
      <c r="B605" s="22"/>
      <c r="C605" s="22"/>
      <c r="D605" s="22"/>
      <c r="E605" s="22"/>
      <c r="F605" s="22"/>
      <c r="G605" s="22"/>
      <c r="H605" s="22"/>
    </row>
    <row r="606" spans="1:8" x14ac:dyDescent="0.2">
      <c r="A606" s="22"/>
      <c r="B606" s="22"/>
      <c r="C606" s="22"/>
      <c r="D606" s="22"/>
      <c r="E606" s="22"/>
      <c r="F606" s="22"/>
      <c r="G606" s="22"/>
      <c r="H606" s="22"/>
    </row>
    <row r="607" spans="1:8" x14ac:dyDescent="0.2">
      <c r="A607" s="22"/>
      <c r="B607" s="22"/>
      <c r="C607" s="22"/>
      <c r="D607" s="22"/>
      <c r="E607" s="22"/>
      <c r="F607" s="22"/>
      <c r="G607" s="22"/>
      <c r="H607" s="22"/>
    </row>
    <row r="608" spans="1:8" x14ac:dyDescent="0.2">
      <c r="A608" s="22"/>
      <c r="B608" s="22"/>
      <c r="C608" s="22"/>
      <c r="D608" s="22"/>
      <c r="E608" s="22"/>
      <c r="F608" s="22"/>
      <c r="G608" s="22"/>
      <c r="H608" s="22"/>
    </row>
    <row r="609" spans="1:8" x14ac:dyDescent="0.2">
      <c r="A609" s="22"/>
      <c r="B609" s="22"/>
      <c r="C609" s="22"/>
      <c r="D609" s="22"/>
      <c r="E609" s="22"/>
      <c r="F609" s="22"/>
      <c r="G609" s="22"/>
      <c r="H609" s="22"/>
    </row>
    <row r="610" spans="1:8" x14ac:dyDescent="0.2">
      <c r="A610" s="22"/>
      <c r="B610" s="22"/>
      <c r="C610" s="22"/>
      <c r="D610" s="22"/>
      <c r="E610" s="22"/>
      <c r="F610" s="22"/>
      <c r="G610" s="22"/>
      <c r="H610" s="22"/>
    </row>
    <row r="611" spans="1:8" x14ac:dyDescent="0.2">
      <c r="A611" s="22"/>
      <c r="B611" s="22"/>
      <c r="C611" s="22"/>
      <c r="D611" s="22"/>
      <c r="E611" s="22"/>
      <c r="F611" s="22"/>
      <c r="G611" s="22"/>
      <c r="H611" s="22"/>
    </row>
    <row r="612" spans="1:8" x14ac:dyDescent="0.2">
      <c r="A612" s="22"/>
      <c r="B612" s="22"/>
      <c r="C612" s="22"/>
      <c r="D612" s="22"/>
      <c r="E612" s="22"/>
      <c r="F612" s="22"/>
      <c r="G612" s="22"/>
      <c r="H612" s="22"/>
    </row>
    <row r="613" spans="1:8" x14ac:dyDescent="0.2">
      <c r="A613" s="22"/>
      <c r="B613" s="22"/>
      <c r="C613" s="22"/>
      <c r="D613" s="22"/>
      <c r="E613" s="22"/>
      <c r="F613" s="22"/>
      <c r="G613" s="22"/>
      <c r="H613" s="22"/>
    </row>
    <row r="614" spans="1:8" x14ac:dyDescent="0.2">
      <c r="A614" s="22"/>
      <c r="B614" s="22"/>
      <c r="C614" s="22"/>
      <c r="D614" s="22"/>
      <c r="E614" s="22"/>
      <c r="F614" s="22"/>
      <c r="G614" s="22"/>
      <c r="H614" s="22"/>
    </row>
    <row r="615" spans="1:8" x14ac:dyDescent="0.2">
      <c r="A615" s="22"/>
      <c r="B615" s="22"/>
      <c r="C615" s="22"/>
      <c r="D615" s="22"/>
      <c r="E615" s="22"/>
      <c r="F615" s="22"/>
      <c r="G615" s="22"/>
      <c r="H615" s="22"/>
    </row>
    <row r="616" spans="1:8" x14ac:dyDescent="0.2">
      <c r="A616" s="22"/>
      <c r="B616" s="22"/>
      <c r="C616" s="22"/>
      <c r="D616" s="22"/>
      <c r="E616" s="22"/>
      <c r="F616" s="22"/>
      <c r="G616" s="22"/>
      <c r="H616" s="22"/>
    </row>
    <row r="617" spans="1:8" x14ac:dyDescent="0.2">
      <c r="A617" s="22"/>
      <c r="B617" s="22"/>
      <c r="C617" s="22"/>
      <c r="D617" s="22"/>
      <c r="E617" s="22"/>
      <c r="F617" s="22"/>
      <c r="G617" s="22"/>
      <c r="H617" s="22"/>
    </row>
    <row r="618" spans="1:8" x14ac:dyDescent="0.2">
      <c r="A618" s="22"/>
      <c r="B618" s="22"/>
      <c r="C618" s="22"/>
      <c r="D618" s="22"/>
      <c r="E618" s="22"/>
      <c r="F618" s="22"/>
      <c r="G618" s="22"/>
      <c r="H618" s="22"/>
    </row>
    <row r="619" spans="1:8" x14ac:dyDescent="0.2">
      <c r="A619" s="22"/>
      <c r="B619" s="22"/>
      <c r="C619" s="22"/>
      <c r="D619" s="22"/>
      <c r="E619" s="22"/>
      <c r="F619" s="22"/>
      <c r="G619" s="22"/>
      <c r="H619" s="22"/>
    </row>
    <row r="620" spans="1:8" x14ac:dyDescent="0.2">
      <c r="A620" s="22"/>
      <c r="B620" s="22"/>
      <c r="C620" s="22"/>
      <c r="D620" s="22"/>
      <c r="E620" s="22"/>
      <c r="F620" s="22"/>
      <c r="G620" s="22"/>
      <c r="H620" s="22"/>
    </row>
    <row r="621" spans="1:8" x14ac:dyDescent="0.2">
      <c r="A621" s="22"/>
      <c r="B621" s="22"/>
      <c r="C621" s="22"/>
      <c r="D621" s="22"/>
      <c r="E621" s="22"/>
      <c r="F621" s="22"/>
      <c r="G621" s="22"/>
      <c r="H621" s="22"/>
    </row>
    <row r="622" spans="1:8" x14ac:dyDescent="0.2">
      <c r="A622" s="22"/>
      <c r="B622" s="22"/>
      <c r="C622" s="22"/>
      <c r="D622" s="22"/>
      <c r="E622" s="22"/>
      <c r="F622" s="22"/>
      <c r="G622" s="22"/>
      <c r="H622" s="22"/>
    </row>
    <row r="623" spans="1:8" x14ac:dyDescent="0.2">
      <c r="A623" s="22"/>
      <c r="B623" s="22"/>
      <c r="C623" s="22"/>
      <c r="D623" s="22"/>
      <c r="E623" s="22"/>
      <c r="F623" s="22"/>
      <c r="G623" s="22"/>
      <c r="H623" s="22"/>
    </row>
    <row r="624" spans="1:8" x14ac:dyDescent="0.2">
      <c r="A624" s="22"/>
      <c r="B624" s="22"/>
      <c r="C624" s="22"/>
      <c r="D624" s="22"/>
      <c r="E624" s="22"/>
      <c r="F624" s="22"/>
      <c r="G624" s="22"/>
      <c r="H624" s="22"/>
    </row>
    <row r="625" spans="1:8" x14ac:dyDescent="0.2">
      <c r="A625" s="22"/>
      <c r="B625" s="22"/>
      <c r="C625" s="22"/>
      <c r="D625" s="22"/>
      <c r="E625" s="22"/>
      <c r="F625" s="22"/>
      <c r="G625" s="22"/>
      <c r="H625" s="22"/>
    </row>
    <row r="626" spans="1:8" x14ac:dyDescent="0.2">
      <c r="A626" s="22"/>
      <c r="B626" s="22"/>
      <c r="C626" s="22"/>
      <c r="D626" s="22"/>
      <c r="E626" s="22"/>
      <c r="F626" s="22"/>
      <c r="G626" s="22"/>
      <c r="H626" s="22"/>
    </row>
    <row r="627" spans="1:8" x14ac:dyDescent="0.2">
      <c r="A627" s="22"/>
      <c r="B627" s="22"/>
      <c r="C627" s="22"/>
      <c r="D627" s="22"/>
      <c r="E627" s="22"/>
      <c r="F627" s="22"/>
      <c r="G627" s="22"/>
      <c r="H627" s="22"/>
    </row>
    <row r="628" spans="1:8" x14ac:dyDescent="0.2">
      <c r="A628" s="22"/>
      <c r="B628" s="22"/>
      <c r="C628" s="22"/>
      <c r="D628" s="22"/>
      <c r="E628" s="22"/>
      <c r="F628" s="22"/>
      <c r="G628" s="22"/>
      <c r="H628" s="22"/>
    </row>
    <row r="629" spans="1:8" x14ac:dyDescent="0.2">
      <c r="A629" s="22"/>
      <c r="B629" s="22"/>
      <c r="C629" s="22"/>
      <c r="D629" s="22"/>
      <c r="E629" s="22"/>
      <c r="F629" s="22"/>
      <c r="G629" s="22"/>
      <c r="H629" s="22"/>
    </row>
    <row r="630" spans="1:8" x14ac:dyDescent="0.2">
      <c r="A630" s="22"/>
      <c r="B630" s="22"/>
      <c r="C630" s="22"/>
      <c r="D630" s="22"/>
      <c r="E630" s="22"/>
      <c r="F630" s="22"/>
      <c r="G630" s="22"/>
      <c r="H630" s="22"/>
    </row>
    <row r="631" spans="1:8" x14ac:dyDescent="0.2">
      <c r="A631" s="22"/>
      <c r="B631" s="22"/>
      <c r="C631" s="22"/>
      <c r="D631" s="22"/>
      <c r="E631" s="22"/>
      <c r="F631" s="22"/>
      <c r="G631" s="22"/>
      <c r="H631" s="22"/>
    </row>
    <row r="632" spans="1:8" x14ac:dyDescent="0.2">
      <c r="A632" s="22"/>
      <c r="B632" s="22"/>
      <c r="C632" s="22"/>
      <c r="D632" s="22"/>
      <c r="E632" s="22"/>
      <c r="F632" s="22"/>
      <c r="G632" s="22"/>
      <c r="H632" s="22"/>
    </row>
    <row r="633" spans="1:8" x14ac:dyDescent="0.2">
      <c r="A633" s="22"/>
      <c r="B633" s="22"/>
      <c r="C633" s="22"/>
      <c r="D633" s="22"/>
      <c r="E633" s="22"/>
      <c r="F633" s="22"/>
      <c r="G633" s="22"/>
      <c r="H633" s="22"/>
    </row>
    <row r="634" spans="1:8" x14ac:dyDescent="0.2">
      <c r="A634" s="22"/>
      <c r="B634" s="22"/>
      <c r="C634" s="22"/>
      <c r="D634" s="22"/>
      <c r="E634" s="22"/>
      <c r="F634" s="22"/>
      <c r="G634" s="22"/>
      <c r="H634" s="22"/>
    </row>
    <row r="635" spans="1:8" x14ac:dyDescent="0.2">
      <c r="A635" s="22"/>
      <c r="B635" s="22"/>
      <c r="C635" s="22"/>
      <c r="D635" s="22"/>
      <c r="E635" s="22"/>
      <c r="F635" s="22"/>
      <c r="G635" s="22"/>
      <c r="H635" s="22"/>
    </row>
    <row r="636" spans="1:8" x14ac:dyDescent="0.2">
      <c r="A636" s="22"/>
      <c r="B636" s="22"/>
      <c r="C636" s="22"/>
      <c r="D636" s="22"/>
      <c r="E636" s="22"/>
      <c r="F636" s="22"/>
      <c r="G636" s="22"/>
      <c r="H636" s="22"/>
    </row>
    <row r="637" spans="1:8" x14ac:dyDescent="0.2">
      <c r="A637" s="22"/>
      <c r="B637" s="22"/>
      <c r="C637" s="22"/>
      <c r="D637" s="22"/>
      <c r="E637" s="22"/>
      <c r="F637" s="22"/>
      <c r="G637" s="22"/>
      <c r="H637" s="22"/>
    </row>
    <row r="638" spans="1:8" x14ac:dyDescent="0.2">
      <c r="A638" s="22"/>
      <c r="B638" s="22"/>
      <c r="C638" s="22"/>
      <c r="D638" s="22"/>
      <c r="E638" s="22"/>
      <c r="F638" s="22"/>
      <c r="G638" s="22"/>
      <c r="H638" s="22"/>
    </row>
    <row r="639" spans="1:8" x14ac:dyDescent="0.2">
      <c r="A639" s="22"/>
      <c r="B639" s="22"/>
      <c r="C639" s="22"/>
      <c r="D639" s="22"/>
      <c r="E639" s="22"/>
      <c r="F639" s="22"/>
      <c r="G639" s="22"/>
      <c r="H639" s="22"/>
    </row>
    <row r="640" spans="1:8" x14ac:dyDescent="0.2">
      <c r="A640" s="22"/>
      <c r="B640" s="22"/>
      <c r="C640" s="22"/>
      <c r="D640" s="22"/>
      <c r="E640" s="22"/>
      <c r="F640" s="22"/>
      <c r="G640" s="22"/>
      <c r="H640" s="22"/>
    </row>
    <row r="641" spans="1:8" x14ac:dyDescent="0.2">
      <c r="A641" s="22"/>
      <c r="B641" s="22"/>
      <c r="C641" s="22"/>
      <c r="D641" s="22"/>
      <c r="E641" s="22"/>
      <c r="F641" s="22"/>
      <c r="G641" s="22"/>
      <c r="H641" s="22"/>
    </row>
    <row r="642" spans="1:8" x14ac:dyDescent="0.2">
      <c r="A642" s="22"/>
      <c r="B642" s="22"/>
      <c r="C642" s="22"/>
      <c r="D642" s="22"/>
      <c r="E642" s="22"/>
      <c r="F642" s="22"/>
      <c r="G642" s="22"/>
      <c r="H642" s="22"/>
    </row>
    <row r="643" spans="1:8" x14ac:dyDescent="0.2">
      <c r="A643" s="22"/>
      <c r="B643" s="22"/>
      <c r="C643" s="22"/>
      <c r="D643" s="22"/>
      <c r="E643" s="22"/>
      <c r="F643" s="22"/>
      <c r="G643" s="22"/>
      <c r="H643" s="22"/>
    </row>
    <row r="644" spans="1:8" x14ac:dyDescent="0.2">
      <c r="A644" s="22"/>
      <c r="B644" s="22"/>
      <c r="C644" s="22"/>
      <c r="D644" s="22"/>
      <c r="E644" s="22"/>
      <c r="F644" s="22"/>
      <c r="G644" s="22"/>
      <c r="H644" s="22"/>
    </row>
    <row r="645" spans="1:8" x14ac:dyDescent="0.2">
      <c r="A645" s="22"/>
      <c r="B645" s="22"/>
      <c r="C645" s="22"/>
      <c r="D645" s="22"/>
      <c r="E645" s="22"/>
      <c r="F645" s="22"/>
      <c r="G645" s="22"/>
      <c r="H645" s="22"/>
    </row>
    <row r="646" spans="1:8" x14ac:dyDescent="0.2">
      <c r="A646" s="22"/>
      <c r="B646" s="22"/>
      <c r="C646" s="22"/>
      <c r="D646" s="22"/>
      <c r="E646" s="22"/>
      <c r="F646" s="22"/>
      <c r="G646" s="22"/>
      <c r="H646" s="22"/>
    </row>
    <row r="647" spans="1:8" x14ac:dyDescent="0.2">
      <c r="A647" s="22"/>
      <c r="B647" s="22"/>
      <c r="C647" s="22"/>
      <c r="D647" s="22"/>
      <c r="E647" s="22"/>
      <c r="F647" s="22"/>
      <c r="G647" s="22"/>
      <c r="H647" s="22"/>
    </row>
    <row r="648" spans="1:8" x14ac:dyDescent="0.2">
      <c r="A648" s="22"/>
      <c r="B648" s="22"/>
      <c r="C648" s="22"/>
      <c r="D648" s="22"/>
      <c r="E648" s="22"/>
      <c r="F648" s="22"/>
      <c r="G648" s="22"/>
      <c r="H648" s="22"/>
    </row>
    <row r="649" spans="1:8" x14ac:dyDescent="0.2">
      <c r="A649" s="22"/>
      <c r="B649" s="22"/>
      <c r="C649" s="22"/>
      <c r="D649" s="22"/>
      <c r="E649" s="22"/>
      <c r="F649" s="22"/>
      <c r="G649" s="22"/>
      <c r="H649" s="22"/>
    </row>
    <row r="650" spans="1:8" x14ac:dyDescent="0.2">
      <c r="A650" s="22"/>
      <c r="B650" s="22"/>
      <c r="C650" s="22"/>
      <c r="D650" s="22"/>
      <c r="E650" s="22"/>
      <c r="F650" s="22"/>
      <c r="G650" s="22"/>
      <c r="H650" s="22"/>
    </row>
    <row r="651" spans="1:8" x14ac:dyDescent="0.2">
      <c r="A651" s="22"/>
      <c r="B651" s="22"/>
      <c r="C651" s="22"/>
      <c r="D651" s="22"/>
      <c r="E651" s="22"/>
      <c r="F651" s="22"/>
      <c r="G651" s="22"/>
      <c r="H651" s="22"/>
    </row>
    <row r="652" spans="1:8" x14ac:dyDescent="0.2">
      <c r="A652" s="22"/>
      <c r="B652" s="22"/>
      <c r="C652" s="22"/>
      <c r="D652" s="22"/>
      <c r="E652" s="22"/>
      <c r="F652" s="22"/>
      <c r="G652" s="22"/>
      <c r="H652" s="22"/>
    </row>
    <row r="653" spans="1:8" x14ac:dyDescent="0.2">
      <c r="A653" s="22"/>
      <c r="B653" s="22"/>
      <c r="C653" s="22"/>
      <c r="D653" s="22"/>
      <c r="E653" s="22"/>
      <c r="F653" s="22"/>
      <c r="G653" s="22"/>
      <c r="H653" s="22"/>
    </row>
    <row r="654" spans="1:8" x14ac:dyDescent="0.2">
      <c r="A654" s="22"/>
      <c r="B654" s="22"/>
      <c r="C654" s="22"/>
      <c r="D654" s="22"/>
      <c r="E654" s="22"/>
      <c r="F654" s="22"/>
      <c r="G654" s="22"/>
      <c r="H654" s="22"/>
    </row>
    <row r="655" spans="1:8" x14ac:dyDescent="0.2">
      <c r="A655" s="22"/>
      <c r="B655" s="22"/>
      <c r="C655" s="22"/>
      <c r="D655" s="22"/>
      <c r="E655" s="22"/>
      <c r="F655" s="22"/>
      <c r="G655" s="22"/>
      <c r="H655" s="22"/>
    </row>
    <row r="656" spans="1:8" x14ac:dyDescent="0.2">
      <c r="A656" s="22"/>
      <c r="B656" s="22"/>
      <c r="C656" s="22"/>
      <c r="D656" s="22"/>
      <c r="E656" s="22"/>
      <c r="F656" s="22"/>
      <c r="G656" s="22"/>
      <c r="H656" s="22"/>
    </row>
    <row r="657" spans="1:8" x14ac:dyDescent="0.2">
      <c r="A657" s="22"/>
      <c r="B657" s="22"/>
      <c r="C657" s="22"/>
      <c r="D657" s="22"/>
      <c r="E657" s="22"/>
      <c r="F657" s="22"/>
      <c r="G657" s="22"/>
      <c r="H657" s="22"/>
    </row>
    <row r="658" spans="1:8" x14ac:dyDescent="0.2">
      <c r="A658" s="22"/>
      <c r="B658" s="22"/>
      <c r="C658" s="22"/>
      <c r="D658" s="22"/>
      <c r="E658" s="22"/>
      <c r="F658" s="22"/>
      <c r="G658" s="22"/>
      <c r="H658" s="22"/>
    </row>
    <row r="659" spans="1:8" x14ac:dyDescent="0.2">
      <c r="A659" s="22"/>
      <c r="B659" s="22"/>
      <c r="C659" s="22"/>
      <c r="D659" s="22"/>
      <c r="E659" s="22"/>
      <c r="F659" s="22"/>
      <c r="G659" s="22"/>
      <c r="H659" s="22"/>
    </row>
    <row r="660" spans="1:8" x14ac:dyDescent="0.2">
      <c r="A660" s="22"/>
      <c r="B660" s="22"/>
      <c r="C660" s="22"/>
      <c r="D660" s="22"/>
      <c r="E660" s="22"/>
      <c r="F660" s="22"/>
      <c r="G660" s="22"/>
      <c r="H660" s="22"/>
    </row>
    <row r="661" spans="1:8" x14ac:dyDescent="0.2">
      <c r="A661" s="22"/>
      <c r="B661" s="22"/>
      <c r="C661" s="22"/>
      <c r="D661" s="22"/>
      <c r="E661" s="22"/>
      <c r="F661" s="22"/>
      <c r="G661" s="22"/>
      <c r="H661" s="22"/>
    </row>
    <row r="662" spans="1:8" x14ac:dyDescent="0.2">
      <c r="A662" s="22"/>
      <c r="B662" s="22"/>
      <c r="C662" s="22"/>
      <c r="D662" s="22"/>
      <c r="E662" s="22"/>
      <c r="F662" s="22"/>
      <c r="G662" s="22"/>
      <c r="H662" s="22"/>
    </row>
    <row r="663" spans="1:8" x14ac:dyDescent="0.2">
      <c r="A663" s="22"/>
      <c r="B663" s="22"/>
      <c r="C663" s="22"/>
      <c r="D663" s="22"/>
      <c r="E663" s="22"/>
      <c r="F663" s="22"/>
      <c r="G663" s="22"/>
      <c r="H663" s="22"/>
    </row>
    <row r="664" spans="1:8" x14ac:dyDescent="0.2">
      <c r="A664" s="22"/>
      <c r="B664" s="22"/>
      <c r="C664" s="22"/>
      <c r="D664" s="22"/>
      <c r="E664" s="22"/>
      <c r="F664" s="22"/>
      <c r="G664" s="22"/>
      <c r="H664" s="22"/>
    </row>
    <row r="665" spans="1:8" x14ac:dyDescent="0.2">
      <c r="A665" s="22"/>
      <c r="B665" s="22"/>
      <c r="C665" s="22"/>
      <c r="D665" s="22"/>
      <c r="E665" s="22"/>
      <c r="F665" s="22"/>
      <c r="G665" s="22"/>
      <c r="H665" s="22"/>
    </row>
    <row r="666" spans="1:8" x14ac:dyDescent="0.2">
      <c r="A666" s="22"/>
      <c r="B666" s="22"/>
      <c r="C666" s="22"/>
      <c r="D666" s="22"/>
      <c r="E666" s="22"/>
      <c r="F666" s="22"/>
      <c r="G666" s="22"/>
      <c r="H666" s="22"/>
    </row>
    <row r="667" spans="1:8" x14ac:dyDescent="0.2">
      <c r="A667" s="22"/>
      <c r="B667" s="22"/>
      <c r="C667" s="22"/>
      <c r="D667" s="22"/>
      <c r="E667" s="22"/>
      <c r="F667" s="22"/>
      <c r="G667" s="22"/>
      <c r="H667" s="22"/>
    </row>
    <row r="668" spans="1:8" x14ac:dyDescent="0.2">
      <c r="A668" s="22"/>
      <c r="B668" s="22"/>
      <c r="C668" s="22"/>
      <c r="D668" s="22"/>
      <c r="E668" s="22"/>
      <c r="F668" s="22"/>
      <c r="G668" s="22"/>
      <c r="H668" s="22"/>
    </row>
    <row r="669" spans="1:8" x14ac:dyDescent="0.2">
      <c r="A669" s="22"/>
      <c r="B669" s="22"/>
      <c r="C669" s="22"/>
      <c r="D669" s="22"/>
      <c r="E669" s="22"/>
      <c r="F669" s="22"/>
      <c r="G669" s="22"/>
      <c r="H669" s="22"/>
    </row>
    <row r="670" spans="1:8" x14ac:dyDescent="0.2">
      <c r="A670" s="22"/>
      <c r="B670" s="22"/>
      <c r="C670" s="22"/>
      <c r="D670" s="22"/>
      <c r="E670" s="22"/>
      <c r="F670" s="22"/>
      <c r="G670" s="22"/>
      <c r="H670" s="22"/>
    </row>
    <row r="671" spans="1:8" x14ac:dyDescent="0.2">
      <c r="A671" s="22"/>
      <c r="B671" s="22"/>
      <c r="C671" s="22"/>
      <c r="D671" s="22"/>
      <c r="E671" s="22"/>
      <c r="F671" s="22"/>
      <c r="G671" s="22"/>
      <c r="H671" s="22"/>
    </row>
    <row r="672" spans="1:8" x14ac:dyDescent="0.2">
      <c r="A672" s="22"/>
      <c r="B672" s="22"/>
      <c r="C672" s="22"/>
      <c r="D672" s="22"/>
      <c r="E672" s="22"/>
      <c r="F672" s="22"/>
      <c r="G672" s="22"/>
      <c r="H672" s="22"/>
    </row>
    <row r="673" spans="1:8" x14ac:dyDescent="0.2">
      <c r="A673" s="22"/>
      <c r="B673" s="22"/>
      <c r="C673" s="22"/>
      <c r="D673" s="22"/>
      <c r="E673" s="22"/>
      <c r="F673" s="22"/>
      <c r="G673" s="22"/>
      <c r="H673" s="22"/>
    </row>
    <row r="674" spans="1:8" x14ac:dyDescent="0.2">
      <c r="A674" s="22"/>
      <c r="B674" s="22"/>
      <c r="C674" s="22"/>
      <c r="D674" s="22"/>
      <c r="E674" s="22"/>
      <c r="F674" s="22"/>
      <c r="G674" s="22"/>
      <c r="H674" s="22"/>
    </row>
    <row r="675" spans="1:8" x14ac:dyDescent="0.2">
      <c r="A675" s="22"/>
      <c r="B675" s="22"/>
      <c r="C675" s="22"/>
      <c r="D675" s="22"/>
      <c r="E675" s="22"/>
      <c r="F675" s="22"/>
      <c r="G675" s="22"/>
      <c r="H675" s="22"/>
    </row>
    <row r="676" spans="1:8" x14ac:dyDescent="0.2">
      <c r="A676" s="22"/>
      <c r="B676" s="22"/>
      <c r="C676" s="22"/>
      <c r="D676" s="22"/>
      <c r="E676" s="22"/>
      <c r="F676" s="22"/>
      <c r="G676" s="22"/>
      <c r="H676" s="22"/>
    </row>
    <row r="677" spans="1:8" x14ac:dyDescent="0.2">
      <c r="A677" s="22"/>
      <c r="B677" s="22"/>
      <c r="C677" s="22"/>
      <c r="D677" s="22"/>
      <c r="E677" s="22"/>
      <c r="F677" s="22"/>
      <c r="G677" s="22"/>
      <c r="H677" s="22"/>
    </row>
    <row r="678" spans="1:8" x14ac:dyDescent="0.2">
      <c r="A678" s="22"/>
      <c r="B678" s="22"/>
      <c r="C678" s="22"/>
      <c r="D678" s="22"/>
      <c r="E678" s="22"/>
      <c r="F678" s="22"/>
      <c r="G678" s="22"/>
      <c r="H678" s="22"/>
    </row>
    <row r="679" spans="1:8" x14ac:dyDescent="0.2">
      <c r="A679" s="22"/>
      <c r="B679" s="22"/>
      <c r="C679" s="22"/>
      <c r="D679" s="22"/>
      <c r="E679" s="22"/>
      <c r="F679" s="22"/>
      <c r="G679" s="22"/>
      <c r="H679" s="22"/>
    </row>
    <row r="680" spans="1:8" x14ac:dyDescent="0.2">
      <c r="A680" s="22"/>
      <c r="B680" s="22"/>
      <c r="C680" s="22"/>
      <c r="D680" s="22"/>
      <c r="E680" s="22"/>
      <c r="F680" s="22"/>
      <c r="G680" s="22"/>
      <c r="H680" s="22"/>
    </row>
    <row r="681" spans="1:8" x14ac:dyDescent="0.2">
      <c r="A681" s="22"/>
      <c r="B681" s="22"/>
      <c r="C681" s="22"/>
      <c r="D681" s="22"/>
      <c r="E681" s="22"/>
      <c r="F681" s="22"/>
      <c r="G681" s="22"/>
      <c r="H681" s="22"/>
    </row>
    <row r="682" spans="1:8" x14ac:dyDescent="0.2">
      <c r="A682" s="22"/>
      <c r="B682" s="22"/>
      <c r="C682" s="22"/>
      <c r="D682" s="22"/>
      <c r="E682" s="22"/>
      <c r="F682" s="22"/>
      <c r="G682" s="22"/>
      <c r="H682" s="22"/>
    </row>
    <row r="683" spans="1:8" x14ac:dyDescent="0.2">
      <c r="A683" s="22"/>
      <c r="B683" s="22"/>
      <c r="C683" s="22"/>
      <c r="D683" s="22"/>
      <c r="E683" s="22"/>
      <c r="F683" s="22"/>
      <c r="G683" s="22"/>
      <c r="H683" s="22"/>
    </row>
    <row r="684" spans="1:8" x14ac:dyDescent="0.2">
      <c r="A684" s="22"/>
      <c r="B684" s="22"/>
      <c r="C684" s="22"/>
      <c r="D684" s="22"/>
      <c r="E684" s="22"/>
      <c r="F684" s="22"/>
      <c r="G684" s="22"/>
      <c r="H684" s="22"/>
    </row>
    <row r="685" spans="1:8" x14ac:dyDescent="0.2">
      <c r="A685" s="22"/>
      <c r="B685" s="22"/>
      <c r="C685" s="22"/>
      <c r="D685" s="22"/>
      <c r="E685" s="22"/>
      <c r="F685" s="22"/>
      <c r="G685" s="22"/>
      <c r="H685" s="22"/>
    </row>
    <row r="686" spans="1:8" x14ac:dyDescent="0.2">
      <c r="A686" s="22"/>
      <c r="B686" s="22"/>
      <c r="C686" s="22"/>
      <c r="D686" s="22"/>
      <c r="E686" s="22"/>
      <c r="F686" s="22"/>
      <c r="G686" s="22"/>
      <c r="H686" s="22"/>
    </row>
    <row r="687" spans="1:8" x14ac:dyDescent="0.2">
      <c r="A687" s="22"/>
      <c r="B687" s="22"/>
      <c r="C687" s="22"/>
      <c r="D687" s="22"/>
      <c r="E687" s="22"/>
      <c r="F687" s="22"/>
      <c r="G687" s="22"/>
      <c r="H687" s="22"/>
    </row>
    <row r="688" spans="1:8" x14ac:dyDescent="0.2">
      <c r="A688" s="22"/>
      <c r="B688" s="22"/>
      <c r="C688" s="22"/>
      <c r="D688" s="22"/>
      <c r="E688" s="22"/>
      <c r="F688" s="22"/>
      <c r="G688" s="22"/>
      <c r="H688" s="22"/>
    </row>
    <row r="689" spans="1:8" x14ac:dyDescent="0.2">
      <c r="A689" s="22"/>
      <c r="B689" s="22"/>
      <c r="C689" s="22"/>
      <c r="D689" s="22"/>
      <c r="E689" s="22"/>
      <c r="F689" s="22"/>
      <c r="G689" s="22"/>
      <c r="H689" s="22"/>
    </row>
    <row r="690" spans="1:8" x14ac:dyDescent="0.2">
      <c r="A690" s="22"/>
      <c r="B690" s="22"/>
      <c r="C690" s="22"/>
      <c r="D690" s="22"/>
      <c r="E690" s="22"/>
      <c r="F690" s="22"/>
      <c r="G690" s="22"/>
      <c r="H690" s="22"/>
    </row>
    <row r="691" spans="1:8" x14ac:dyDescent="0.2">
      <c r="A691" s="22"/>
      <c r="B691" s="22"/>
      <c r="C691" s="22"/>
      <c r="D691" s="22"/>
      <c r="E691" s="22"/>
      <c r="F691" s="22"/>
      <c r="G691" s="22"/>
      <c r="H691" s="22"/>
    </row>
    <row r="692" spans="1:8" x14ac:dyDescent="0.2">
      <c r="A692" s="22"/>
      <c r="B692" s="22"/>
      <c r="C692" s="22"/>
      <c r="D692" s="22"/>
      <c r="E692" s="22"/>
      <c r="F692" s="22"/>
      <c r="G692" s="22"/>
      <c r="H692" s="22"/>
    </row>
    <row r="693" spans="1:8" x14ac:dyDescent="0.2">
      <c r="A693" s="22"/>
      <c r="B693" s="22"/>
      <c r="C693" s="22"/>
      <c r="D693" s="22"/>
      <c r="E693" s="22"/>
      <c r="F693" s="22"/>
      <c r="G693" s="22"/>
      <c r="H693" s="22"/>
    </row>
    <row r="694" spans="1:8" x14ac:dyDescent="0.2">
      <c r="A694" s="22"/>
      <c r="B694" s="22"/>
      <c r="C694" s="22"/>
      <c r="D694" s="22"/>
      <c r="E694" s="22"/>
      <c r="F694" s="22"/>
      <c r="G694" s="22"/>
      <c r="H694" s="22"/>
    </row>
    <row r="695" spans="1:8" x14ac:dyDescent="0.2">
      <c r="A695" s="22"/>
      <c r="B695" s="22"/>
      <c r="C695" s="22"/>
      <c r="D695" s="22"/>
      <c r="E695" s="22"/>
      <c r="F695" s="22"/>
      <c r="G695" s="22"/>
      <c r="H695" s="22"/>
    </row>
    <row r="696" spans="1:8" x14ac:dyDescent="0.2">
      <c r="A696" s="22"/>
      <c r="B696" s="22"/>
      <c r="C696" s="22"/>
      <c r="D696" s="22"/>
      <c r="E696" s="22"/>
      <c r="F696" s="22"/>
      <c r="G696" s="22"/>
      <c r="H696" s="22"/>
    </row>
    <row r="697" spans="1:8" x14ac:dyDescent="0.2">
      <c r="A697" s="22"/>
      <c r="B697" s="22"/>
      <c r="C697" s="22"/>
      <c r="D697" s="22"/>
      <c r="E697" s="22"/>
      <c r="F697" s="22"/>
      <c r="G697" s="22"/>
      <c r="H697" s="22"/>
    </row>
    <row r="698" spans="1:8" x14ac:dyDescent="0.2">
      <c r="A698" s="22"/>
      <c r="B698" s="22"/>
      <c r="C698" s="22"/>
      <c r="D698" s="22"/>
      <c r="E698" s="22"/>
      <c r="F698" s="22"/>
      <c r="G698" s="22"/>
      <c r="H698" s="22"/>
    </row>
    <row r="699" spans="1:8" x14ac:dyDescent="0.2">
      <c r="A699" s="22"/>
      <c r="B699" s="22"/>
      <c r="C699" s="22"/>
      <c r="D699" s="22"/>
      <c r="E699" s="22"/>
      <c r="F699" s="22"/>
      <c r="G699" s="22"/>
      <c r="H699" s="22"/>
    </row>
    <row r="700" spans="1:8" x14ac:dyDescent="0.2">
      <c r="A700" s="22"/>
      <c r="B700" s="22"/>
      <c r="C700" s="22"/>
      <c r="D700" s="22"/>
      <c r="E700" s="22"/>
      <c r="F700" s="22"/>
      <c r="G700" s="22"/>
      <c r="H700" s="22"/>
    </row>
    <row r="701" spans="1:8" x14ac:dyDescent="0.2">
      <c r="A701" s="22"/>
      <c r="B701" s="22"/>
      <c r="C701" s="22"/>
      <c r="D701" s="22"/>
      <c r="E701" s="22"/>
      <c r="F701" s="22"/>
      <c r="G701" s="22"/>
      <c r="H701" s="22"/>
    </row>
    <row r="702" spans="1:8" x14ac:dyDescent="0.2">
      <c r="A702" s="22"/>
      <c r="B702" s="22"/>
      <c r="C702" s="22"/>
      <c r="D702" s="22"/>
      <c r="E702" s="22"/>
      <c r="F702" s="22"/>
      <c r="G702" s="22"/>
      <c r="H702" s="22"/>
    </row>
    <row r="703" spans="1:8" x14ac:dyDescent="0.2">
      <c r="A703" s="22"/>
      <c r="B703" s="22"/>
      <c r="C703" s="22"/>
      <c r="D703" s="22"/>
      <c r="E703" s="22"/>
      <c r="F703" s="22"/>
      <c r="G703" s="22"/>
      <c r="H703" s="22"/>
    </row>
    <row r="704" spans="1:8" x14ac:dyDescent="0.2">
      <c r="A704" s="22"/>
      <c r="B704" s="22"/>
      <c r="C704" s="22"/>
      <c r="D704" s="22"/>
      <c r="E704" s="22"/>
      <c r="F704" s="22"/>
      <c r="G704" s="22"/>
      <c r="H704" s="22"/>
    </row>
    <row r="705" spans="1:8" x14ac:dyDescent="0.2">
      <c r="A705" s="22"/>
      <c r="B705" s="22"/>
      <c r="C705" s="22"/>
      <c r="D705" s="22"/>
      <c r="E705" s="22"/>
      <c r="F705" s="22"/>
      <c r="G705" s="22"/>
      <c r="H705" s="22"/>
    </row>
    <row r="706" spans="1:8" x14ac:dyDescent="0.2">
      <c r="A706" s="22"/>
      <c r="B706" s="22"/>
      <c r="C706" s="22"/>
      <c r="D706" s="22"/>
      <c r="E706" s="22"/>
      <c r="F706" s="22"/>
      <c r="G706" s="22"/>
      <c r="H706" s="22"/>
    </row>
    <row r="707" spans="1:8" x14ac:dyDescent="0.2">
      <c r="A707" s="22"/>
      <c r="B707" s="22"/>
      <c r="C707" s="22"/>
      <c r="D707" s="22"/>
      <c r="E707" s="22"/>
      <c r="F707" s="22"/>
      <c r="G707" s="22"/>
      <c r="H707" s="22"/>
    </row>
    <row r="708" spans="1:8" x14ac:dyDescent="0.2">
      <c r="A708" s="22"/>
      <c r="B708" s="22"/>
      <c r="C708" s="22"/>
      <c r="D708" s="22"/>
      <c r="E708" s="22"/>
      <c r="F708" s="22"/>
      <c r="G708" s="22"/>
      <c r="H708" s="22"/>
    </row>
    <row r="709" spans="1:8" x14ac:dyDescent="0.2">
      <c r="A709" s="22"/>
      <c r="B709" s="22"/>
      <c r="C709" s="22"/>
      <c r="D709" s="22"/>
      <c r="E709" s="22"/>
      <c r="F709" s="22"/>
      <c r="G709" s="22"/>
      <c r="H709" s="22"/>
    </row>
    <row r="710" spans="1:8" x14ac:dyDescent="0.2">
      <c r="A710" s="22"/>
      <c r="B710" s="22"/>
      <c r="C710" s="22"/>
      <c r="D710" s="22"/>
      <c r="E710" s="22"/>
      <c r="F710" s="22"/>
      <c r="G710" s="22"/>
      <c r="H710" s="22"/>
    </row>
    <row r="711" spans="1:8" x14ac:dyDescent="0.2">
      <c r="A711" s="22"/>
      <c r="B711" s="22"/>
      <c r="C711" s="22"/>
      <c r="D711" s="22"/>
      <c r="E711" s="22"/>
      <c r="F711" s="22"/>
      <c r="G711" s="22"/>
      <c r="H711" s="22"/>
    </row>
    <row r="712" spans="1:8" x14ac:dyDescent="0.2">
      <c r="A712" s="22"/>
      <c r="B712" s="22"/>
      <c r="C712" s="22"/>
      <c r="D712" s="22"/>
      <c r="E712" s="22"/>
      <c r="F712" s="22"/>
      <c r="G712" s="22"/>
      <c r="H712" s="22"/>
    </row>
    <row r="713" spans="1:8" x14ac:dyDescent="0.2">
      <c r="A713" s="22"/>
      <c r="B713" s="22"/>
      <c r="C713" s="22"/>
      <c r="D713" s="22"/>
      <c r="E713" s="22"/>
      <c r="F713" s="22"/>
      <c r="G713" s="22"/>
      <c r="H713" s="22"/>
    </row>
    <row r="714" spans="1:8" x14ac:dyDescent="0.2">
      <c r="A714" s="22"/>
      <c r="B714" s="22"/>
      <c r="C714" s="22"/>
      <c r="D714" s="22"/>
      <c r="E714" s="22"/>
      <c r="F714" s="22"/>
      <c r="G714" s="22"/>
      <c r="H714" s="22"/>
    </row>
    <row r="715" spans="1:8" x14ac:dyDescent="0.2">
      <c r="A715" s="22"/>
      <c r="B715" s="22"/>
      <c r="C715" s="22"/>
      <c r="D715" s="22"/>
      <c r="E715" s="22"/>
      <c r="F715" s="22"/>
      <c r="G715" s="22"/>
      <c r="H715" s="22"/>
    </row>
    <row r="716" spans="1:8" x14ac:dyDescent="0.2">
      <c r="A716" s="22"/>
      <c r="B716" s="22"/>
      <c r="C716" s="22"/>
      <c r="D716" s="22"/>
      <c r="E716" s="22"/>
      <c r="F716" s="22"/>
      <c r="G716" s="22"/>
      <c r="H716" s="22"/>
    </row>
    <row r="717" spans="1:8" x14ac:dyDescent="0.2">
      <c r="A717" s="22"/>
      <c r="B717" s="22"/>
      <c r="C717" s="22"/>
      <c r="D717" s="22"/>
      <c r="E717" s="22"/>
      <c r="F717" s="22"/>
      <c r="G717" s="22"/>
      <c r="H717" s="22"/>
    </row>
    <row r="718" spans="1:8" x14ac:dyDescent="0.2">
      <c r="A718" s="22"/>
      <c r="B718" s="22"/>
      <c r="C718" s="22"/>
      <c r="D718" s="22"/>
      <c r="E718" s="22"/>
      <c r="F718" s="22"/>
      <c r="G718" s="22"/>
      <c r="H718" s="22"/>
    </row>
    <row r="719" spans="1:8" x14ac:dyDescent="0.2">
      <c r="A719" s="22"/>
      <c r="B719" s="22"/>
      <c r="C719" s="22"/>
      <c r="D719" s="22"/>
      <c r="E719" s="22"/>
      <c r="F719" s="22"/>
      <c r="G719" s="22"/>
      <c r="H719" s="22"/>
    </row>
    <row r="720" spans="1:8" x14ac:dyDescent="0.2">
      <c r="A720" s="22"/>
      <c r="B720" s="22"/>
      <c r="C720" s="22"/>
      <c r="D720" s="22"/>
      <c r="E720" s="22"/>
      <c r="F720" s="22"/>
      <c r="G720" s="22"/>
      <c r="H720" s="22"/>
    </row>
    <row r="721" spans="1:8" x14ac:dyDescent="0.2">
      <c r="A721" s="22"/>
      <c r="B721" s="22"/>
      <c r="C721" s="22"/>
      <c r="D721" s="22"/>
      <c r="E721" s="22"/>
      <c r="F721" s="22"/>
      <c r="G721" s="22"/>
      <c r="H721" s="22"/>
    </row>
    <row r="722" spans="1:8" x14ac:dyDescent="0.2">
      <c r="A722" s="22"/>
      <c r="B722" s="22"/>
      <c r="C722" s="22"/>
      <c r="D722" s="22"/>
      <c r="E722" s="22"/>
      <c r="F722" s="22"/>
      <c r="G722" s="22"/>
      <c r="H722" s="22"/>
    </row>
    <row r="723" spans="1:8" x14ac:dyDescent="0.2">
      <c r="A723" s="22"/>
      <c r="B723" s="22"/>
      <c r="C723" s="22"/>
      <c r="D723" s="22"/>
      <c r="E723" s="22"/>
      <c r="F723" s="22"/>
      <c r="G723" s="22"/>
      <c r="H723" s="22"/>
    </row>
    <row r="724" spans="1:8" x14ac:dyDescent="0.2">
      <c r="A724" s="22"/>
      <c r="B724" s="22"/>
      <c r="C724" s="22"/>
      <c r="D724" s="22"/>
      <c r="E724" s="22"/>
      <c r="F724" s="22"/>
      <c r="G724" s="22"/>
      <c r="H724" s="22"/>
    </row>
    <row r="725" spans="1:8" x14ac:dyDescent="0.2">
      <c r="A725" s="22"/>
      <c r="B725" s="22"/>
      <c r="C725" s="22"/>
      <c r="D725" s="22"/>
      <c r="E725" s="22"/>
      <c r="F725" s="22"/>
      <c r="G725" s="22"/>
      <c r="H725" s="22"/>
    </row>
    <row r="726" spans="1:8" x14ac:dyDescent="0.2">
      <c r="A726" s="22"/>
      <c r="B726" s="22"/>
      <c r="C726" s="22"/>
      <c r="D726" s="22"/>
      <c r="E726" s="22"/>
      <c r="F726" s="22"/>
      <c r="G726" s="22"/>
      <c r="H726" s="22"/>
    </row>
    <row r="727" spans="1:8" x14ac:dyDescent="0.2">
      <c r="A727" s="22"/>
      <c r="B727" s="22"/>
      <c r="C727" s="22"/>
      <c r="D727" s="22"/>
      <c r="E727" s="22"/>
      <c r="F727" s="22"/>
      <c r="G727" s="22"/>
      <c r="H727" s="22"/>
    </row>
    <row r="728" spans="1:8" x14ac:dyDescent="0.2">
      <c r="A728" s="22"/>
      <c r="B728" s="22"/>
      <c r="C728" s="22"/>
      <c r="D728" s="22"/>
      <c r="E728" s="22"/>
      <c r="F728" s="22"/>
      <c r="G728" s="22"/>
      <c r="H728" s="22"/>
    </row>
    <row r="729" spans="1:8" x14ac:dyDescent="0.2">
      <c r="A729" s="22"/>
      <c r="B729" s="22"/>
      <c r="C729" s="22"/>
      <c r="D729" s="22"/>
      <c r="E729" s="22"/>
      <c r="F729" s="22"/>
      <c r="G729" s="22"/>
      <c r="H729" s="22"/>
    </row>
    <row r="730" spans="1:8" x14ac:dyDescent="0.2">
      <c r="A730" s="22"/>
      <c r="B730" s="22"/>
      <c r="C730" s="22"/>
      <c r="D730" s="22"/>
      <c r="E730" s="22"/>
      <c r="F730" s="22"/>
      <c r="G730" s="22"/>
      <c r="H730" s="22"/>
    </row>
    <row r="731" spans="1:8" x14ac:dyDescent="0.2">
      <c r="A731" s="22"/>
      <c r="B731" s="22"/>
      <c r="C731" s="22"/>
      <c r="D731" s="22"/>
      <c r="E731" s="22"/>
      <c r="F731" s="22"/>
      <c r="G731" s="22"/>
      <c r="H731" s="22"/>
    </row>
    <row r="732" spans="1:8" x14ac:dyDescent="0.2">
      <c r="A732" s="22"/>
      <c r="B732" s="22"/>
      <c r="C732" s="22"/>
      <c r="D732" s="22"/>
      <c r="E732" s="22"/>
      <c r="F732" s="22"/>
      <c r="G732" s="22"/>
      <c r="H732" s="22"/>
    </row>
    <row r="733" spans="1:8" x14ac:dyDescent="0.2">
      <c r="A733" s="22"/>
      <c r="B733" s="22"/>
      <c r="C733" s="22"/>
      <c r="D733" s="22"/>
      <c r="E733" s="22"/>
      <c r="F733" s="22"/>
      <c r="G733" s="22"/>
      <c r="H733" s="22"/>
    </row>
    <row r="734" spans="1:8" x14ac:dyDescent="0.2">
      <c r="A734" s="22"/>
      <c r="B734" s="22"/>
      <c r="C734" s="22"/>
      <c r="D734" s="22"/>
      <c r="E734" s="22"/>
      <c r="F734" s="22"/>
      <c r="G734" s="22"/>
      <c r="H734" s="22"/>
    </row>
    <row r="735" spans="1:8" x14ac:dyDescent="0.2">
      <c r="A735" s="22"/>
      <c r="B735" s="22"/>
      <c r="C735" s="22"/>
      <c r="D735" s="22"/>
      <c r="E735" s="22"/>
      <c r="F735" s="22"/>
      <c r="G735" s="22"/>
      <c r="H735" s="22"/>
    </row>
    <row r="736" spans="1:8" x14ac:dyDescent="0.2">
      <c r="A736" s="22"/>
      <c r="B736" s="22"/>
      <c r="C736" s="22"/>
      <c r="D736" s="22"/>
      <c r="E736" s="22"/>
      <c r="F736" s="22"/>
      <c r="G736" s="22"/>
      <c r="H736" s="22"/>
    </row>
    <row r="737" spans="1:8" x14ac:dyDescent="0.2">
      <c r="A737" s="22"/>
      <c r="B737" s="22"/>
      <c r="C737" s="22"/>
      <c r="D737" s="22"/>
      <c r="E737" s="22"/>
      <c r="F737" s="22"/>
      <c r="G737" s="22"/>
      <c r="H737" s="22"/>
    </row>
    <row r="738" spans="1:8" x14ac:dyDescent="0.2">
      <c r="A738" s="22"/>
      <c r="B738" s="22"/>
      <c r="C738" s="22"/>
      <c r="D738" s="22"/>
      <c r="E738" s="22"/>
      <c r="F738" s="22"/>
      <c r="G738" s="22"/>
      <c r="H738" s="22"/>
    </row>
    <row r="739" spans="1:8" x14ac:dyDescent="0.2">
      <c r="A739" s="22"/>
      <c r="B739" s="22"/>
      <c r="C739" s="22"/>
      <c r="D739" s="22"/>
      <c r="E739" s="22"/>
      <c r="F739" s="22"/>
      <c r="G739" s="22"/>
      <c r="H739" s="22"/>
    </row>
    <row r="740" spans="1:8" x14ac:dyDescent="0.2">
      <c r="A740" s="22"/>
      <c r="B740" s="22"/>
      <c r="C740" s="22"/>
      <c r="D740" s="22"/>
      <c r="E740" s="22"/>
      <c r="F740" s="22"/>
      <c r="G740" s="22"/>
      <c r="H740" s="22"/>
    </row>
    <row r="741" spans="1:8" x14ac:dyDescent="0.2">
      <c r="A741" s="22"/>
      <c r="B741" s="22"/>
      <c r="C741" s="22"/>
      <c r="D741" s="22"/>
      <c r="E741" s="22"/>
      <c r="F741" s="22"/>
      <c r="G741" s="22"/>
      <c r="H741" s="22"/>
    </row>
    <row r="742" spans="1:8" x14ac:dyDescent="0.2">
      <c r="A742" s="22"/>
      <c r="B742" s="22"/>
      <c r="C742" s="22"/>
      <c r="D742" s="22"/>
      <c r="E742" s="22"/>
      <c r="F742" s="22"/>
      <c r="G742" s="22"/>
      <c r="H742" s="22"/>
    </row>
    <row r="743" spans="1:8" x14ac:dyDescent="0.2">
      <c r="A743" s="22"/>
      <c r="B743" s="22"/>
      <c r="C743" s="22"/>
      <c r="D743" s="22"/>
      <c r="E743" s="22"/>
      <c r="F743" s="22"/>
      <c r="G743" s="22"/>
      <c r="H743" s="22"/>
    </row>
    <row r="744" spans="1:8" x14ac:dyDescent="0.2">
      <c r="A744" s="22"/>
      <c r="B744" s="22"/>
      <c r="C744" s="22"/>
      <c r="D744" s="22"/>
      <c r="E744" s="22"/>
      <c r="F744" s="22"/>
      <c r="G744" s="22"/>
      <c r="H744" s="22"/>
    </row>
    <row r="745" spans="1:8" x14ac:dyDescent="0.2">
      <c r="A745" s="22"/>
      <c r="B745" s="22"/>
      <c r="C745" s="22"/>
      <c r="D745" s="22"/>
      <c r="E745" s="22"/>
      <c r="F745" s="22"/>
      <c r="G745" s="22"/>
      <c r="H745" s="22"/>
    </row>
    <row r="746" spans="1:8" x14ac:dyDescent="0.2">
      <c r="A746" s="22"/>
      <c r="B746" s="22"/>
      <c r="C746" s="22"/>
      <c r="D746" s="22"/>
      <c r="E746" s="22"/>
      <c r="F746" s="22"/>
      <c r="G746" s="22"/>
      <c r="H746" s="22"/>
    </row>
    <row r="747" spans="1:8" x14ac:dyDescent="0.2">
      <c r="A747" s="22"/>
      <c r="B747" s="22"/>
      <c r="C747" s="22"/>
      <c r="D747" s="22"/>
      <c r="E747" s="22"/>
      <c r="F747" s="22"/>
      <c r="G747" s="22"/>
      <c r="H747" s="22"/>
    </row>
    <row r="748" spans="1:8" x14ac:dyDescent="0.2">
      <c r="A748" s="22"/>
      <c r="B748" s="22"/>
      <c r="C748" s="22"/>
      <c r="D748" s="22"/>
      <c r="E748" s="22"/>
      <c r="F748" s="22"/>
      <c r="G748" s="22"/>
      <c r="H748" s="22"/>
    </row>
    <row r="749" spans="1:8" x14ac:dyDescent="0.2">
      <c r="A749" s="22"/>
      <c r="B749" s="22"/>
      <c r="C749" s="22"/>
      <c r="D749" s="22"/>
      <c r="E749" s="22"/>
      <c r="F749" s="22"/>
      <c r="G749" s="22"/>
      <c r="H749" s="22"/>
    </row>
    <row r="750" spans="1:8" x14ac:dyDescent="0.2">
      <c r="A750" s="22"/>
      <c r="B750" s="22"/>
      <c r="C750" s="22"/>
      <c r="D750" s="22"/>
      <c r="E750" s="22"/>
      <c r="F750" s="22"/>
      <c r="G750" s="22"/>
      <c r="H750" s="22"/>
    </row>
    <row r="751" spans="1:8" x14ac:dyDescent="0.2">
      <c r="A751" s="22"/>
      <c r="B751" s="22"/>
      <c r="C751" s="22"/>
      <c r="D751" s="22"/>
      <c r="E751" s="22"/>
      <c r="F751" s="22"/>
      <c r="G751" s="22"/>
      <c r="H751" s="22"/>
    </row>
    <row r="752" spans="1:8" x14ac:dyDescent="0.2">
      <c r="A752" s="22"/>
      <c r="B752" s="22"/>
      <c r="C752" s="22"/>
      <c r="D752" s="22"/>
      <c r="E752" s="22"/>
      <c r="F752" s="22"/>
      <c r="G752" s="22"/>
      <c r="H752" s="22"/>
    </row>
    <row r="753" spans="1:8" x14ac:dyDescent="0.2">
      <c r="A753" s="22"/>
      <c r="B753" s="22"/>
      <c r="C753" s="22"/>
      <c r="D753" s="22"/>
      <c r="E753" s="22"/>
      <c r="F753" s="22"/>
      <c r="G753" s="22"/>
      <c r="H753" s="22"/>
    </row>
    <row r="754" spans="1:8" x14ac:dyDescent="0.2">
      <c r="A754" s="22"/>
      <c r="B754" s="22"/>
      <c r="C754" s="22"/>
      <c r="D754" s="22"/>
      <c r="E754" s="22"/>
      <c r="F754" s="22"/>
      <c r="G754" s="22"/>
      <c r="H754" s="22"/>
    </row>
    <row r="755" spans="1:8" x14ac:dyDescent="0.2">
      <c r="A755" s="22"/>
      <c r="B755" s="22"/>
      <c r="C755" s="22"/>
      <c r="D755" s="22"/>
      <c r="E755" s="22"/>
      <c r="F755" s="22"/>
      <c r="G755" s="22"/>
      <c r="H755" s="22"/>
    </row>
    <row r="756" spans="1:8" x14ac:dyDescent="0.2">
      <c r="A756" s="22"/>
      <c r="B756" s="22"/>
      <c r="C756" s="22"/>
      <c r="D756" s="22"/>
      <c r="E756" s="22"/>
      <c r="F756" s="22"/>
      <c r="G756" s="22"/>
      <c r="H756" s="22"/>
    </row>
    <row r="757" spans="1:8" x14ac:dyDescent="0.2">
      <c r="A757" s="22"/>
      <c r="B757" s="22"/>
      <c r="C757" s="22"/>
      <c r="D757" s="22"/>
      <c r="E757" s="22"/>
      <c r="F757" s="22"/>
      <c r="G757" s="22"/>
      <c r="H757" s="22"/>
    </row>
    <row r="758" spans="1:8" x14ac:dyDescent="0.2">
      <c r="A758" s="22"/>
      <c r="B758" s="22"/>
      <c r="C758" s="22"/>
      <c r="D758" s="22"/>
      <c r="E758" s="22"/>
      <c r="F758" s="22"/>
      <c r="G758" s="22"/>
      <c r="H758" s="22"/>
    </row>
    <row r="759" spans="1:8" x14ac:dyDescent="0.2">
      <c r="A759" s="22"/>
      <c r="B759" s="22"/>
      <c r="C759" s="22"/>
      <c r="D759" s="22"/>
      <c r="E759" s="22"/>
      <c r="F759" s="22"/>
      <c r="G759" s="22"/>
      <c r="H759" s="22"/>
    </row>
    <row r="760" spans="1:8" x14ac:dyDescent="0.2">
      <c r="A760" s="22"/>
      <c r="B760" s="22"/>
      <c r="C760" s="22"/>
      <c r="D760" s="22"/>
      <c r="E760" s="22"/>
      <c r="F760" s="22"/>
      <c r="G760" s="22"/>
      <c r="H760" s="22"/>
    </row>
    <row r="761" spans="1:8" x14ac:dyDescent="0.2">
      <c r="A761" s="22"/>
      <c r="B761" s="22"/>
      <c r="C761" s="22"/>
      <c r="D761" s="22"/>
      <c r="E761" s="22"/>
      <c r="F761" s="22"/>
      <c r="G761" s="22"/>
      <c r="H761" s="22"/>
    </row>
    <row r="762" spans="1:8" x14ac:dyDescent="0.2">
      <c r="A762" s="22"/>
      <c r="B762" s="22"/>
      <c r="C762" s="22"/>
      <c r="D762" s="22"/>
      <c r="E762" s="22"/>
      <c r="F762" s="22"/>
      <c r="G762" s="22"/>
      <c r="H762" s="22"/>
    </row>
    <row r="763" spans="1:8" x14ac:dyDescent="0.2">
      <c r="A763" s="22"/>
      <c r="B763" s="22"/>
      <c r="C763" s="22"/>
      <c r="D763" s="22"/>
      <c r="E763" s="22"/>
      <c r="F763" s="22"/>
      <c r="G763" s="22"/>
      <c r="H763" s="22"/>
    </row>
    <row r="764" spans="1:8" x14ac:dyDescent="0.2">
      <c r="A764" s="22"/>
      <c r="B764" s="22"/>
      <c r="C764" s="22"/>
      <c r="D764" s="22"/>
      <c r="E764" s="22"/>
      <c r="F764" s="22"/>
      <c r="G764" s="22"/>
      <c r="H764" s="22"/>
    </row>
    <row r="765" spans="1:8" x14ac:dyDescent="0.2">
      <c r="A765" s="22"/>
      <c r="B765" s="22"/>
      <c r="C765" s="22"/>
      <c r="D765" s="22"/>
      <c r="E765" s="22"/>
      <c r="F765" s="22"/>
      <c r="G765" s="22"/>
      <c r="H765" s="22"/>
    </row>
    <row r="766" spans="1:8" x14ac:dyDescent="0.2">
      <c r="A766" s="22"/>
      <c r="B766" s="22"/>
      <c r="C766" s="22"/>
      <c r="D766" s="22"/>
      <c r="E766" s="22"/>
      <c r="F766" s="22"/>
      <c r="G766" s="22"/>
      <c r="H766" s="22"/>
    </row>
    <row r="767" spans="1:8" x14ac:dyDescent="0.2">
      <c r="A767" s="22"/>
      <c r="B767" s="22"/>
      <c r="C767" s="22"/>
      <c r="D767" s="22"/>
      <c r="E767" s="22"/>
      <c r="F767" s="22"/>
      <c r="G767" s="22"/>
      <c r="H767" s="22"/>
    </row>
    <row r="768" spans="1:8" x14ac:dyDescent="0.2">
      <c r="A768" s="22"/>
      <c r="B768" s="22"/>
      <c r="C768" s="22"/>
      <c r="D768" s="22"/>
      <c r="E768" s="22"/>
      <c r="F768" s="22"/>
      <c r="G768" s="22"/>
      <c r="H768" s="22"/>
    </row>
    <row r="769" spans="1:8" x14ac:dyDescent="0.2">
      <c r="A769" s="22"/>
      <c r="B769" s="22"/>
      <c r="C769" s="22"/>
      <c r="D769" s="22"/>
      <c r="E769" s="22"/>
      <c r="F769" s="22"/>
      <c r="G769" s="22"/>
      <c r="H769" s="22"/>
    </row>
    <row r="770" spans="1:8" x14ac:dyDescent="0.2">
      <c r="A770" s="22"/>
      <c r="B770" s="22"/>
      <c r="C770" s="22"/>
      <c r="D770" s="22"/>
      <c r="E770" s="22"/>
      <c r="F770" s="22"/>
      <c r="G770" s="22"/>
      <c r="H770" s="22"/>
    </row>
    <row r="771" spans="1:8" x14ac:dyDescent="0.2">
      <c r="A771" s="22"/>
      <c r="B771" s="22"/>
      <c r="C771" s="22"/>
      <c r="D771" s="22"/>
      <c r="E771" s="22"/>
      <c r="F771" s="22"/>
      <c r="G771" s="22"/>
      <c r="H771" s="22"/>
    </row>
    <row r="772" spans="1:8" x14ac:dyDescent="0.2">
      <c r="A772" s="22"/>
      <c r="B772" s="22"/>
      <c r="C772" s="22"/>
      <c r="D772" s="22"/>
      <c r="E772" s="22"/>
      <c r="F772" s="22"/>
      <c r="G772" s="22"/>
      <c r="H772" s="22"/>
    </row>
    <row r="773" spans="1:8" x14ac:dyDescent="0.2">
      <c r="A773" s="22"/>
      <c r="B773" s="22"/>
      <c r="C773" s="22"/>
      <c r="D773" s="22"/>
      <c r="E773" s="22"/>
      <c r="F773" s="22"/>
      <c r="G773" s="22"/>
      <c r="H773" s="22"/>
    </row>
    <row r="774" spans="1:8" x14ac:dyDescent="0.2">
      <c r="A774" s="22"/>
      <c r="B774" s="22"/>
      <c r="C774" s="22"/>
      <c r="D774" s="22"/>
      <c r="E774" s="22"/>
      <c r="F774" s="22"/>
      <c r="G774" s="22"/>
      <c r="H774" s="22"/>
    </row>
    <row r="775" spans="1:8" x14ac:dyDescent="0.2">
      <c r="A775" s="22"/>
      <c r="B775" s="22"/>
      <c r="C775" s="22"/>
      <c r="D775" s="22"/>
      <c r="E775" s="22"/>
      <c r="F775" s="22"/>
      <c r="G775" s="22"/>
      <c r="H775" s="22"/>
    </row>
    <row r="776" spans="1:8" x14ac:dyDescent="0.2">
      <c r="A776" s="22"/>
      <c r="B776" s="22"/>
      <c r="C776" s="22"/>
      <c r="D776" s="22"/>
      <c r="E776" s="22"/>
      <c r="F776" s="22"/>
      <c r="G776" s="22"/>
      <c r="H776" s="22"/>
    </row>
    <row r="777" spans="1:8" x14ac:dyDescent="0.2">
      <c r="A777" s="22"/>
      <c r="B777" s="22"/>
      <c r="C777" s="22"/>
      <c r="D777" s="22"/>
      <c r="E777" s="22"/>
      <c r="F777" s="22"/>
      <c r="G777" s="22"/>
      <c r="H777" s="22"/>
    </row>
    <row r="778" spans="1:8" x14ac:dyDescent="0.2">
      <c r="A778" s="22"/>
      <c r="B778" s="22"/>
      <c r="C778" s="22"/>
      <c r="D778" s="22"/>
      <c r="E778" s="22"/>
      <c r="F778" s="22"/>
      <c r="G778" s="22"/>
      <c r="H778" s="22"/>
    </row>
    <row r="779" spans="1:8" x14ac:dyDescent="0.2">
      <c r="A779" s="22"/>
      <c r="B779" s="22"/>
      <c r="C779" s="22"/>
      <c r="D779" s="22"/>
      <c r="E779" s="22"/>
      <c r="F779" s="22"/>
      <c r="G779" s="22"/>
      <c r="H779" s="22"/>
    </row>
    <row r="780" spans="1:8" x14ac:dyDescent="0.2">
      <c r="A780" s="22"/>
      <c r="B780" s="22"/>
      <c r="C780" s="22"/>
      <c r="D780" s="22"/>
      <c r="E780" s="22"/>
      <c r="F780" s="22"/>
      <c r="G780" s="22"/>
      <c r="H780" s="22"/>
    </row>
    <row r="781" spans="1:8" x14ac:dyDescent="0.2">
      <c r="A781" s="22"/>
      <c r="B781" s="22"/>
      <c r="C781" s="22"/>
      <c r="D781" s="22"/>
      <c r="E781" s="22"/>
      <c r="F781" s="22"/>
      <c r="G781" s="22"/>
      <c r="H781" s="22"/>
    </row>
    <row r="782" spans="1:8" x14ac:dyDescent="0.2">
      <c r="A782" s="22"/>
      <c r="B782" s="22"/>
      <c r="C782" s="22"/>
      <c r="D782" s="22"/>
      <c r="E782" s="22"/>
      <c r="F782" s="22"/>
      <c r="G782" s="22"/>
      <c r="H782" s="22"/>
    </row>
    <row r="783" spans="1:8" x14ac:dyDescent="0.2">
      <c r="A783" s="22"/>
      <c r="B783" s="22"/>
      <c r="C783" s="22"/>
      <c r="D783" s="22"/>
      <c r="E783" s="22"/>
      <c r="F783" s="22"/>
      <c r="G783" s="22"/>
      <c r="H783" s="22"/>
    </row>
    <row r="784" spans="1:8" x14ac:dyDescent="0.2">
      <c r="A784" s="22"/>
      <c r="B784" s="22"/>
      <c r="C784" s="22"/>
      <c r="D784" s="22"/>
      <c r="E784" s="22"/>
      <c r="F784" s="22"/>
      <c r="G784" s="22"/>
      <c r="H784" s="22"/>
    </row>
    <row r="785" spans="1:8" x14ac:dyDescent="0.2">
      <c r="A785" s="22"/>
      <c r="B785" s="22"/>
      <c r="C785" s="22"/>
      <c r="D785" s="22"/>
      <c r="E785" s="22"/>
      <c r="F785" s="22"/>
      <c r="G785" s="22"/>
      <c r="H785" s="22"/>
    </row>
    <row r="786" spans="1:8" x14ac:dyDescent="0.2">
      <c r="A786" s="22"/>
      <c r="B786" s="22"/>
      <c r="C786" s="22"/>
      <c r="D786" s="22"/>
      <c r="E786" s="22"/>
      <c r="F786" s="22"/>
      <c r="G786" s="22"/>
      <c r="H786" s="22"/>
    </row>
    <row r="787" spans="1:8" x14ac:dyDescent="0.2">
      <c r="A787" s="22"/>
      <c r="B787" s="22"/>
      <c r="C787" s="22"/>
      <c r="D787" s="22"/>
      <c r="E787" s="22"/>
      <c r="F787" s="22"/>
      <c r="G787" s="22"/>
      <c r="H787" s="22"/>
    </row>
    <row r="788" spans="1:8" x14ac:dyDescent="0.2">
      <c r="A788" s="22"/>
      <c r="B788" s="22"/>
      <c r="C788" s="22"/>
      <c r="D788" s="22"/>
      <c r="E788" s="22"/>
      <c r="F788" s="22"/>
      <c r="G788" s="22"/>
      <c r="H788" s="22"/>
    </row>
    <row r="789" spans="1:8" x14ac:dyDescent="0.2">
      <c r="A789" s="22"/>
      <c r="B789" s="22"/>
      <c r="C789" s="22"/>
      <c r="D789" s="22"/>
      <c r="E789" s="22"/>
      <c r="F789" s="22"/>
      <c r="G789" s="22"/>
      <c r="H789" s="22"/>
    </row>
    <row r="790" spans="1:8" x14ac:dyDescent="0.2">
      <c r="A790" s="22"/>
      <c r="B790" s="22"/>
      <c r="C790" s="22"/>
      <c r="D790" s="22"/>
      <c r="E790" s="22"/>
      <c r="F790" s="22"/>
      <c r="G790" s="22"/>
      <c r="H790" s="22"/>
    </row>
    <row r="791" spans="1:8" x14ac:dyDescent="0.2">
      <c r="A791" s="22"/>
      <c r="B791" s="22"/>
      <c r="C791" s="22"/>
      <c r="D791" s="22"/>
      <c r="E791" s="22"/>
      <c r="F791" s="22"/>
      <c r="G791" s="22"/>
      <c r="H791" s="22"/>
    </row>
    <row r="792" spans="1:8" x14ac:dyDescent="0.2">
      <c r="A792" s="22"/>
      <c r="B792" s="22"/>
      <c r="C792" s="22"/>
      <c r="D792" s="22"/>
      <c r="E792" s="22"/>
      <c r="F792" s="22"/>
      <c r="G792" s="22"/>
      <c r="H792" s="22"/>
    </row>
    <row r="793" spans="1:8" x14ac:dyDescent="0.2">
      <c r="A793" s="22"/>
      <c r="B793" s="22"/>
      <c r="C793" s="22"/>
      <c r="D793" s="22"/>
      <c r="E793" s="22"/>
      <c r="F793" s="22"/>
      <c r="G793" s="22"/>
      <c r="H793" s="22"/>
    </row>
    <row r="794" spans="1:8" x14ac:dyDescent="0.2">
      <c r="A794" s="22"/>
      <c r="B794" s="22"/>
      <c r="C794" s="22"/>
      <c r="D794" s="22"/>
      <c r="E794" s="22"/>
      <c r="F794" s="22"/>
      <c r="G794" s="22"/>
      <c r="H794" s="22"/>
    </row>
    <row r="795" spans="1:8" x14ac:dyDescent="0.2">
      <c r="A795" s="22"/>
      <c r="B795" s="22"/>
      <c r="C795" s="22"/>
      <c r="D795" s="22"/>
      <c r="E795" s="22"/>
      <c r="F795" s="22"/>
      <c r="G795" s="22"/>
      <c r="H795" s="22"/>
    </row>
    <row r="796" spans="1:8" x14ac:dyDescent="0.2">
      <c r="A796" s="22"/>
      <c r="B796" s="22"/>
      <c r="C796" s="22"/>
      <c r="D796" s="22"/>
      <c r="E796" s="22"/>
      <c r="F796" s="22"/>
      <c r="G796" s="22"/>
      <c r="H796" s="22"/>
    </row>
    <row r="797" spans="1:8" x14ac:dyDescent="0.2">
      <c r="A797" s="22"/>
      <c r="B797" s="22"/>
      <c r="C797" s="22"/>
      <c r="D797" s="22"/>
      <c r="E797" s="22"/>
      <c r="F797" s="22"/>
      <c r="G797" s="22"/>
      <c r="H797" s="22"/>
    </row>
    <row r="798" spans="1:8" x14ac:dyDescent="0.2">
      <c r="A798" s="22"/>
      <c r="B798" s="22"/>
      <c r="C798" s="22"/>
      <c r="D798" s="22"/>
      <c r="E798" s="22"/>
      <c r="F798" s="22"/>
      <c r="G798" s="22"/>
      <c r="H798" s="22"/>
    </row>
    <row r="799" spans="1:8" x14ac:dyDescent="0.2">
      <c r="A799" s="22"/>
      <c r="B799" s="22"/>
      <c r="C799" s="22"/>
      <c r="D799" s="22"/>
      <c r="E799" s="22"/>
      <c r="F799" s="22"/>
      <c r="G799" s="22"/>
      <c r="H799" s="22"/>
    </row>
    <row r="800" spans="1:8" x14ac:dyDescent="0.2">
      <c r="A800" s="22"/>
      <c r="B800" s="22"/>
      <c r="C800" s="22"/>
      <c r="D800" s="22"/>
      <c r="E800" s="22"/>
      <c r="F800" s="22"/>
      <c r="G800" s="22"/>
      <c r="H800" s="22"/>
    </row>
    <row r="801" spans="1:8" x14ac:dyDescent="0.2">
      <c r="A801" s="22"/>
      <c r="B801" s="22"/>
      <c r="C801" s="22"/>
      <c r="D801" s="22"/>
      <c r="E801" s="22"/>
      <c r="F801" s="22"/>
      <c r="G801" s="22"/>
      <c r="H801" s="22"/>
    </row>
    <row r="802" spans="1:8" x14ac:dyDescent="0.2">
      <c r="A802" s="22"/>
      <c r="B802" s="22"/>
      <c r="C802" s="22"/>
      <c r="D802" s="22"/>
      <c r="E802" s="22"/>
      <c r="F802" s="22"/>
      <c r="G802" s="22"/>
      <c r="H802" s="22"/>
    </row>
    <row r="803" spans="1:8" x14ac:dyDescent="0.2">
      <c r="A803" s="22"/>
      <c r="B803" s="22"/>
      <c r="C803" s="22"/>
      <c r="D803" s="22"/>
      <c r="E803" s="22"/>
      <c r="F803" s="22"/>
      <c r="G803" s="22"/>
      <c r="H803" s="22"/>
    </row>
    <row r="804" spans="1:8" x14ac:dyDescent="0.2">
      <c r="A804" s="22"/>
      <c r="B804" s="22"/>
      <c r="C804" s="22"/>
      <c r="D804" s="22"/>
      <c r="E804" s="22"/>
      <c r="F804" s="22"/>
      <c r="G804" s="22"/>
      <c r="H804" s="22"/>
    </row>
    <row r="805" spans="1:8" x14ac:dyDescent="0.2">
      <c r="A805" s="22"/>
      <c r="B805" s="22"/>
      <c r="C805" s="22"/>
      <c r="D805" s="22"/>
      <c r="E805" s="22"/>
      <c r="F805" s="22"/>
      <c r="G805" s="22"/>
      <c r="H805" s="22"/>
    </row>
    <row r="806" spans="1:8" x14ac:dyDescent="0.2">
      <c r="A806" s="22"/>
      <c r="B806" s="22"/>
      <c r="C806" s="22"/>
      <c r="D806" s="22"/>
      <c r="E806" s="22"/>
      <c r="F806" s="22"/>
      <c r="G806" s="22"/>
      <c r="H806" s="22"/>
    </row>
    <row r="807" spans="1:8" x14ac:dyDescent="0.2">
      <c r="A807" s="22"/>
      <c r="B807" s="22"/>
      <c r="C807" s="22"/>
      <c r="D807" s="22"/>
      <c r="E807" s="22"/>
      <c r="F807" s="22"/>
      <c r="G807" s="22"/>
      <c r="H807" s="22"/>
    </row>
    <row r="808" spans="1:8" x14ac:dyDescent="0.2">
      <c r="A808" s="22"/>
      <c r="B808" s="22"/>
      <c r="C808" s="22"/>
      <c r="D808" s="22"/>
      <c r="E808" s="22"/>
      <c r="F808" s="22"/>
      <c r="G808" s="22"/>
      <c r="H808" s="22"/>
    </row>
    <row r="809" spans="1:8" x14ac:dyDescent="0.2">
      <c r="A809" s="22"/>
      <c r="B809" s="22"/>
      <c r="C809" s="22"/>
      <c r="D809" s="22"/>
      <c r="E809" s="22"/>
      <c r="F809" s="22"/>
      <c r="G809" s="22"/>
      <c r="H809" s="22"/>
    </row>
    <row r="810" spans="1:8" x14ac:dyDescent="0.2">
      <c r="A810" s="22"/>
      <c r="B810" s="22"/>
      <c r="C810" s="22"/>
      <c r="D810" s="22"/>
      <c r="E810" s="22"/>
      <c r="F810" s="22"/>
      <c r="G810" s="22"/>
      <c r="H810" s="22"/>
    </row>
    <row r="811" spans="1:8" x14ac:dyDescent="0.2">
      <c r="A811" s="22"/>
      <c r="B811" s="22"/>
      <c r="C811" s="22"/>
      <c r="D811" s="22"/>
      <c r="E811" s="22"/>
      <c r="F811" s="22"/>
      <c r="G811" s="22"/>
      <c r="H811" s="22"/>
    </row>
    <row r="812" spans="1:8" x14ac:dyDescent="0.2">
      <c r="A812" s="22"/>
      <c r="B812" s="22"/>
      <c r="C812" s="22"/>
      <c r="D812" s="22"/>
      <c r="E812" s="22"/>
      <c r="F812" s="22"/>
      <c r="G812" s="22"/>
      <c r="H812" s="22"/>
    </row>
    <row r="813" spans="1:8" x14ac:dyDescent="0.2">
      <c r="A813" s="22"/>
      <c r="B813" s="22"/>
      <c r="C813" s="22"/>
      <c r="D813" s="22"/>
      <c r="E813" s="22"/>
      <c r="F813" s="22"/>
      <c r="G813" s="22"/>
      <c r="H813" s="22"/>
    </row>
    <row r="814" spans="1:8" x14ac:dyDescent="0.2">
      <c r="A814" s="22"/>
      <c r="B814" s="22"/>
      <c r="C814" s="22"/>
      <c r="D814" s="22"/>
      <c r="E814" s="22"/>
      <c r="F814" s="22"/>
      <c r="G814" s="22"/>
      <c r="H814" s="22"/>
    </row>
    <row r="815" spans="1:8" x14ac:dyDescent="0.2">
      <c r="A815" s="22"/>
      <c r="B815" s="22"/>
      <c r="C815" s="22"/>
      <c r="D815" s="22"/>
      <c r="E815" s="22"/>
      <c r="F815" s="22"/>
      <c r="G815" s="22"/>
      <c r="H815" s="22"/>
    </row>
    <row r="816" spans="1:8" x14ac:dyDescent="0.2">
      <c r="A816" s="22"/>
      <c r="B816" s="22"/>
      <c r="C816" s="22"/>
      <c r="D816" s="22"/>
      <c r="E816" s="22"/>
      <c r="F816" s="22"/>
      <c r="G816" s="22"/>
      <c r="H816" s="22"/>
    </row>
    <row r="817" spans="1:8" x14ac:dyDescent="0.2">
      <c r="A817" s="22"/>
      <c r="B817" s="22"/>
      <c r="C817" s="22"/>
      <c r="D817" s="22"/>
      <c r="E817" s="22"/>
      <c r="F817" s="22"/>
      <c r="G817" s="22"/>
      <c r="H817" s="22"/>
    </row>
    <row r="818" spans="1:8" x14ac:dyDescent="0.2">
      <c r="A818" s="22"/>
      <c r="B818" s="22"/>
      <c r="C818" s="22"/>
      <c r="D818" s="22"/>
      <c r="E818" s="22"/>
      <c r="F818" s="22"/>
      <c r="G818" s="22"/>
      <c r="H818" s="22"/>
    </row>
    <row r="819" spans="1:8" x14ac:dyDescent="0.2">
      <c r="A819" s="22"/>
      <c r="B819" s="22"/>
      <c r="C819" s="22"/>
      <c r="D819" s="22"/>
      <c r="E819" s="22"/>
      <c r="F819" s="22"/>
      <c r="G819" s="22"/>
      <c r="H819" s="22"/>
    </row>
    <row r="820" spans="1:8" x14ac:dyDescent="0.2">
      <c r="A820" s="22"/>
      <c r="B820" s="22"/>
      <c r="C820" s="22"/>
      <c r="D820" s="22"/>
      <c r="E820" s="22"/>
      <c r="F820" s="22"/>
      <c r="G820" s="22"/>
      <c r="H820" s="22"/>
    </row>
    <row r="821" spans="1:8" x14ac:dyDescent="0.2">
      <c r="A821" s="22"/>
      <c r="B821" s="22"/>
      <c r="C821" s="22"/>
      <c r="D821" s="22"/>
      <c r="E821" s="22"/>
      <c r="F821" s="22"/>
      <c r="G821" s="22"/>
      <c r="H821" s="22"/>
    </row>
    <row r="822" spans="1:8" x14ac:dyDescent="0.2">
      <c r="A822" s="22"/>
      <c r="B822" s="22"/>
      <c r="C822" s="22"/>
      <c r="D822" s="22"/>
      <c r="E822" s="22"/>
      <c r="F822" s="22"/>
      <c r="G822" s="22"/>
      <c r="H822" s="22"/>
    </row>
    <row r="823" spans="1:8" x14ac:dyDescent="0.2">
      <c r="A823" s="22"/>
      <c r="B823" s="22"/>
      <c r="C823" s="22"/>
      <c r="D823" s="22"/>
      <c r="E823" s="22"/>
      <c r="F823" s="22"/>
      <c r="G823" s="22"/>
      <c r="H823" s="22"/>
    </row>
    <row r="824" spans="1:8" x14ac:dyDescent="0.2">
      <c r="A824" s="22"/>
      <c r="B824" s="22"/>
      <c r="C824" s="22"/>
      <c r="D824" s="22"/>
      <c r="E824" s="22"/>
      <c r="F824" s="22"/>
      <c r="G824" s="22"/>
      <c r="H824" s="22"/>
    </row>
    <row r="825" spans="1:8" x14ac:dyDescent="0.2">
      <c r="A825" s="22"/>
      <c r="B825" s="22"/>
      <c r="C825" s="22"/>
      <c r="D825" s="22"/>
      <c r="E825" s="22"/>
      <c r="F825" s="22"/>
      <c r="G825" s="22"/>
      <c r="H825" s="22"/>
    </row>
    <row r="826" spans="1:8" x14ac:dyDescent="0.2">
      <c r="A826" s="22"/>
      <c r="B826" s="22"/>
      <c r="C826" s="22"/>
      <c r="D826" s="22"/>
      <c r="E826" s="22"/>
      <c r="F826" s="22"/>
      <c r="G826" s="22"/>
      <c r="H826" s="22"/>
    </row>
    <row r="827" spans="1:8" x14ac:dyDescent="0.2">
      <c r="A827" s="22"/>
      <c r="B827" s="22"/>
      <c r="C827" s="22"/>
      <c r="D827" s="22"/>
      <c r="E827" s="22"/>
      <c r="F827" s="22"/>
      <c r="G827" s="22"/>
      <c r="H827" s="22"/>
    </row>
    <row r="828" spans="1:8" x14ac:dyDescent="0.2">
      <c r="A828" s="22"/>
      <c r="B828" s="22"/>
      <c r="C828" s="22"/>
      <c r="D828" s="22"/>
      <c r="E828" s="22"/>
      <c r="F828" s="22"/>
      <c r="G828" s="22"/>
      <c r="H828" s="22"/>
    </row>
    <row r="829" spans="1:8" x14ac:dyDescent="0.2">
      <c r="A829" s="22"/>
      <c r="B829" s="22"/>
      <c r="C829" s="22"/>
      <c r="D829" s="22"/>
      <c r="E829" s="22"/>
      <c r="F829" s="22"/>
      <c r="G829" s="22"/>
      <c r="H829" s="22"/>
    </row>
    <row r="830" spans="1:8" x14ac:dyDescent="0.2">
      <c r="A830" s="22"/>
      <c r="B830" s="22"/>
      <c r="C830" s="22"/>
      <c r="D830" s="22"/>
      <c r="E830" s="22"/>
      <c r="F830" s="22"/>
      <c r="G830" s="22"/>
      <c r="H830" s="22"/>
    </row>
    <row r="831" spans="1:8" x14ac:dyDescent="0.2">
      <c r="A831" s="22"/>
      <c r="B831" s="22"/>
      <c r="C831" s="22"/>
      <c r="D831" s="22"/>
      <c r="E831" s="22"/>
      <c r="F831" s="22"/>
      <c r="G831" s="22"/>
      <c r="H831" s="22"/>
    </row>
    <row r="832" spans="1:8" x14ac:dyDescent="0.2">
      <c r="A832" s="22"/>
      <c r="B832" s="22"/>
      <c r="C832" s="22"/>
      <c r="D832" s="22"/>
      <c r="E832" s="22"/>
      <c r="F832" s="22"/>
      <c r="G832" s="22"/>
      <c r="H832" s="22"/>
    </row>
    <row r="833" spans="1:8" x14ac:dyDescent="0.2">
      <c r="A833" s="22"/>
      <c r="B833" s="22"/>
      <c r="C833" s="22"/>
      <c r="D833" s="22"/>
      <c r="E833" s="22"/>
      <c r="F833" s="22"/>
      <c r="G833" s="22"/>
      <c r="H833" s="22"/>
    </row>
    <row r="834" spans="1:8" x14ac:dyDescent="0.2">
      <c r="A834" s="22"/>
      <c r="B834" s="22"/>
      <c r="C834" s="22"/>
      <c r="D834" s="22"/>
      <c r="E834" s="22"/>
      <c r="F834" s="22"/>
      <c r="G834" s="22"/>
      <c r="H834" s="22"/>
    </row>
    <row r="835" spans="1:8" x14ac:dyDescent="0.2">
      <c r="A835" s="22"/>
      <c r="B835" s="22"/>
      <c r="C835" s="22"/>
      <c r="D835" s="22"/>
      <c r="E835" s="22"/>
      <c r="F835" s="22"/>
      <c r="G835" s="22"/>
      <c r="H835" s="22"/>
    </row>
    <row r="836" spans="1:8" x14ac:dyDescent="0.2">
      <c r="A836" s="22"/>
      <c r="B836" s="22"/>
      <c r="C836" s="22"/>
      <c r="D836" s="22"/>
      <c r="E836" s="22"/>
      <c r="F836" s="22"/>
      <c r="G836" s="22"/>
      <c r="H836" s="22"/>
    </row>
    <row r="837" spans="1:8" x14ac:dyDescent="0.2">
      <c r="A837" s="22"/>
      <c r="B837" s="22"/>
      <c r="C837" s="22"/>
      <c r="D837" s="22"/>
      <c r="E837" s="22"/>
      <c r="F837" s="22"/>
      <c r="G837" s="22"/>
      <c r="H837" s="22"/>
    </row>
    <row r="838" spans="1:8" x14ac:dyDescent="0.2">
      <c r="A838" s="22"/>
      <c r="B838" s="22"/>
      <c r="C838" s="22"/>
      <c r="D838" s="22"/>
      <c r="E838" s="22"/>
      <c r="F838" s="22"/>
      <c r="G838" s="22"/>
      <c r="H838" s="22"/>
    </row>
    <row r="839" spans="1:8" x14ac:dyDescent="0.2">
      <c r="A839" s="22"/>
      <c r="B839" s="22"/>
      <c r="C839" s="22"/>
      <c r="D839" s="22"/>
      <c r="E839" s="22"/>
      <c r="F839" s="22"/>
      <c r="G839" s="22"/>
      <c r="H839" s="22"/>
    </row>
    <row r="840" spans="1:8" x14ac:dyDescent="0.2">
      <c r="A840" s="22"/>
      <c r="B840" s="22"/>
      <c r="C840" s="22"/>
      <c r="D840" s="22"/>
      <c r="E840" s="22"/>
      <c r="F840" s="22"/>
      <c r="G840" s="22"/>
      <c r="H840" s="22"/>
    </row>
    <row r="841" spans="1:8" x14ac:dyDescent="0.2">
      <c r="A841" s="22"/>
      <c r="B841" s="22"/>
      <c r="C841" s="22"/>
      <c r="D841" s="22"/>
      <c r="E841" s="22"/>
      <c r="F841" s="22"/>
      <c r="G841" s="22"/>
      <c r="H841" s="22"/>
    </row>
    <row r="842" spans="1:8" x14ac:dyDescent="0.2">
      <c r="A842" s="22"/>
      <c r="B842" s="22"/>
      <c r="C842" s="22"/>
      <c r="D842" s="22"/>
      <c r="E842" s="22"/>
      <c r="F842" s="22"/>
      <c r="G842" s="22"/>
      <c r="H842" s="22"/>
    </row>
    <row r="843" spans="1:8" x14ac:dyDescent="0.2">
      <c r="A843" s="22"/>
      <c r="B843" s="22"/>
      <c r="C843" s="22"/>
      <c r="D843" s="22"/>
      <c r="E843" s="22"/>
      <c r="F843" s="22"/>
      <c r="G843" s="22"/>
      <c r="H843" s="22"/>
    </row>
    <row r="844" spans="1:8" x14ac:dyDescent="0.2">
      <c r="A844" s="22"/>
      <c r="B844" s="22"/>
      <c r="C844" s="22"/>
      <c r="D844" s="22"/>
      <c r="E844" s="22"/>
      <c r="F844" s="22"/>
      <c r="G844" s="22"/>
      <c r="H844" s="22"/>
    </row>
    <row r="845" spans="1:8" x14ac:dyDescent="0.2">
      <c r="A845" s="22"/>
      <c r="B845" s="22"/>
      <c r="C845" s="22"/>
      <c r="D845" s="22"/>
      <c r="E845" s="22"/>
      <c r="F845" s="22"/>
      <c r="G845" s="22"/>
      <c r="H845" s="22"/>
    </row>
    <row r="846" spans="1:8" x14ac:dyDescent="0.2">
      <c r="A846" s="22"/>
      <c r="B846" s="22"/>
      <c r="C846" s="22"/>
      <c r="D846" s="22"/>
      <c r="E846" s="22"/>
      <c r="F846" s="22"/>
      <c r="G846" s="22"/>
      <c r="H846" s="22"/>
    </row>
    <row r="847" spans="1:8" x14ac:dyDescent="0.2">
      <c r="A847" s="22"/>
      <c r="B847" s="22"/>
      <c r="C847" s="22"/>
      <c r="D847" s="22"/>
      <c r="E847" s="22"/>
      <c r="F847" s="22"/>
      <c r="G847" s="22"/>
      <c r="H847" s="22"/>
    </row>
    <row r="848" spans="1:8" x14ac:dyDescent="0.2">
      <c r="A848" s="22"/>
      <c r="B848" s="22"/>
      <c r="C848" s="22"/>
      <c r="D848" s="22"/>
      <c r="E848" s="22"/>
      <c r="F848" s="22"/>
      <c r="G848" s="22"/>
      <c r="H848" s="22"/>
    </row>
    <row r="849" spans="1:8" x14ac:dyDescent="0.2">
      <c r="A849" s="22"/>
      <c r="B849" s="22"/>
      <c r="C849" s="22"/>
      <c r="D849" s="22"/>
      <c r="E849" s="22"/>
      <c r="F849" s="22"/>
      <c r="G849" s="22"/>
      <c r="H849" s="22"/>
    </row>
    <row r="850" spans="1:8" x14ac:dyDescent="0.2">
      <c r="A850" s="22"/>
      <c r="B850" s="22"/>
      <c r="C850" s="22"/>
      <c r="D850" s="22"/>
      <c r="E850" s="22"/>
      <c r="F850" s="22"/>
      <c r="G850" s="22"/>
      <c r="H850" s="22"/>
    </row>
    <row r="851" spans="1:8" x14ac:dyDescent="0.2">
      <c r="A851" s="22"/>
      <c r="B851" s="22"/>
      <c r="C851" s="22"/>
      <c r="D851" s="22"/>
      <c r="E851" s="22"/>
      <c r="F851" s="22"/>
      <c r="G851" s="22"/>
      <c r="H851" s="22"/>
    </row>
    <row r="852" spans="1:8" x14ac:dyDescent="0.2">
      <c r="A852" s="22"/>
      <c r="B852" s="22"/>
      <c r="C852" s="22"/>
      <c r="D852" s="22"/>
      <c r="E852" s="22"/>
      <c r="F852" s="22"/>
      <c r="G852" s="22"/>
      <c r="H852" s="22"/>
    </row>
    <row r="853" spans="1:8" x14ac:dyDescent="0.2">
      <c r="A853" s="22"/>
      <c r="B853" s="22"/>
      <c r="C853" s="22"/>
      <c r="D853" s="22"/>
      <c r="E853" s="22"/>
      <c r="F853" s="22"/>
      <c r="G853" s="22"/>
      <c r="H853" s="22"/>
    </row>
    <row r="854" spans="1:8" x14ac:dyDescent="0.2">
      <c r="A854" s="22"/>
      <c r="B854" s="22"/>
      <c r="C854" s="22"/>
      <c r="D854" s="22"/>
      <c r="E854" s="22"/>
      <c r="F854" s="22"/>
      <c r="G854" s="22"/>
      <c r="H854" s="22"/>
    </row>
    <row r="855" spans="1:8" x14ac:dyDescent="0.2">
      <c r="A855" s="22"/>
      <c r="B855" s="22"/>
      <c r="C855" s="22"/>
      <c r="D855" s="22"/>
      <c r="E855" s="22"/>
      <c r="F855" s="22"/>
      <c r="G855" s="22"/>
      <c r="H855" s="22"/>
    </row>
    <row r="856" spans="1:8" x14ac:dyDescent="0.2">
      <c r="A856" s="22"/>
      <c r="B856" s="22"/>
      <c r="C856" s="22"/>
      <c r="D856" s="22"/>
      <c r="E856" s="22"/>
      <c r="F856" s="22"/>
      <c r="G856" s="22"/>
      <c r="H856" s="22"/>
    </row>
    <row r="857" spans="1:8" x14ac:dyDescent="0.2">
      <c r="A857" s="22"/>
      <c r="B857" s="22"/>
      <c r="C857" s="22"/>
      <c r="D857" s="22"/>
      <c r="E857" s="22"/>
      <c r="F857" s="22"/>
      <c r="G857" s="22"/>
      <c r="H857" s="22"/>
    </row>
    <row r="858" spans="1:8" x14ac:dyDescent="0.2">
      <c r="A858" s="22"/>
      <c r="B858" s="22"/>
      <c r="C858" s="22"/>
      <c r="D858" s="22"/>
      <c r="E858" s="22"/>
      <c r="F858" s="22"/>
      <c r="G858" s="22"/>
      <c r="H858" s="22"/>
    </row>
    <row r="859" spans="1:8" x14ac:dyDescent="0.2">
      <c r="A859" s="22"/>
      <c r="B859" s="22"/>
      <c r="C859" s="22"/>
      <c r="D859" s="22"/>
      <c r="E859" s="22"/>
      <c r="F859" s="22"/>
      <c r="G859" s="22"/>
      <c r="H859" s="22"/>
    </row>
    <row r="860" spans="1:8" x14ac:dyDescent="0.2">
      <c r="A860" s="22"/>
      <c r="B860" s="22"/>
      <c r="C860" s="22"/>
      <c r="D860" s="22"/>
      <c r="E860" s="22"/>
      <c r="F860" s="22"/>
      <c r="G860" s="22"/>
      <c r="H860" s="22"/>
    </row>
    <row r="861" spans="1:8" x14ac:dyDescent="0.2">
      <c r="A861" s="22"/>
      <c r="B861" s="22"/>
      <c r="C861" s="22"/>
      <c r="D861" s="22"/>
      <c r="E861" s="22"/>
      <c r="F861" s="22"/>
      <c r="G861" s="22"/>
      <c r="H861" s="22"/>
    </row>
    <row r="862" spans="1:8" x14ac:dyDescent="0.2">
      <c r="A862" s="22"/>
      <c r="B862" s="22"/>
      <c r="C862" s="22"/>
      <c r="D862" s="22"/>
      <c r="E862" s="22"/>
      <c r="F862" s="22"/>
      <c r="G862" s="22"/>
      <c r="H862" s="22"/>
    </row>
    <row r="863" spans="1:8" x14ac:dyDescent="0.2">
      <c r="A863" s="22"/>
      <c r="B863" s="22"/>
      <c r="C863" s="22"/>
      <c r="D863" s="22"/>
      <c r="E863" s="22"/>
      <c r="F863" s="22"/>
      <c r="G863" s="22"/>
      <c r="H863" s="22"/>
    </row>
    <row r="864" spans="1:8" x14ac:dyDescent="0.2">
      <c r="A864" s="22"/>
      <c r="B864" s="22"/>
      <c r="C864" s="22"/>
      <c r="D864" s="22"/>
      <c r="E864" s="22"/>
      <c r="F864" s="22"/>
      <c r="G864" s="22"/>
      <c r="H864" s="22"/>
    </row>
    <row r="865" spans="1:8" x14ac:dyDescent="0.2">
      <c r="A865" s="22"/>
      <c r="B865" s="22"/>
      <c r="C865" s="22"/>
      <c r="D865" s="22"/>
      <c r="E865" s="22"/>
      <c r="F865" s="22"/>
      <c r="G865" s="22"/>
      <c r="H865" s="22"/>
    </row>
    <row r="866" spans="1:8" x14ac:dyDescent="0.2">
      <c r="A866" s="22"/>
      <c r="B866" s="22"/>
      <c r="C866" s="22"/>
      <c r="D866" s="22"/>
      <c r="E866" s="22"/>
      <c r="F866" s="22"/>
      <c r="G866" s="22"/>
      <c r="H866" s="22"/>
    </row>
    <row r="867" spans="1:8" x14ac:dyDescent="0.2">
      <c r="A867" s="22"/>
      <c r="B867" s="22"/>
      <c r="C867" s="22"/>
      <c r="D867" s="22"/>
      <c r="E867" s="22"/>
      <c r="F867" s="22"/>
      <c r="G867" s="22"/>
      <c r="H867" s="22"/>
    </row>
    <row r="868" spans="1:8" x14ac:dyDescent="0.2">
      <c r="A868" s="22"/>
      <c r="B868" s="22"/>
      <c r="C868" s="22"/>
      <c r="D868" s="22"/>
      <c r="E868" s="22"/>
      <c r="F868" s="22"/>
      <c r="G868" s="22"/>
      <c r="H868" s="22"/>
    </row>
    <row r="869" spans="1:8" x14ac:dyDescent="0.2">
      <c r="A869" s="22"/>
      <c r="B869" s="22"/>
      <c r="C869" s="22"/>
      <c r="D869" s="22"/>
      <c r="E869" s="22"/>
      <c r="F869" s="22"/>
      <c r="G869" s="22"/>
      <c r="H869" s="22"/>
    </row>
    <row r="870" spans="1:8" x14ac:dyDescent="0.2">
      <c r="A870" s="22"/>
      <c r="B870" s="22"/>
      <c r="C870" s="22"/>
      <c r="D870" s="22"/>
      <c r="E870" s="22"/>
      <c r="F870" s="22"/>
      <c r="G870" s="22"/>
      <c r="H870" s="22"/>
    </row>
    <row r="871" spans="1:8" x14ac:dyDescent="0.2">
      <c r="A871" s="22"/>
      <c r="B871" s="22"/>
      <c r="C871" s="22"/>
      <c r="D871" s="22"/>
      <c r="E871" s="22"/>
      <c r="F871" s="22"/>
      <c r="G871" s="22"/>
      <c r="H871" s="22"/>
    </row>
    <row r="872" spans="1:8" x14ac:dyDescent="0.2">
      <c r="A872" s="22"/>
      <c r="B872" s="22"/>
      <c r="C872" s="22"/>
      <c r="D872" s="22"/>
      <c r="E872" s="22"/>
      <c r="F872" s="22"/>
      <c r="G872" s="22"/>
      <c r="H872" s="22"/>
    </row>
    <row r="873" spans="1:8" x14ac:dyDescent="0.2">
      <c r="A873" s="22"/>
      <c r="B873" s="22"/>
      <c r="C873" s="22"/>
      <c r="D873" s="22"/>
      <c r="E873" s="22"/>
      <c r="F873" s="22"/>
      <c r="G873" s="22"/>
      <c r="H873" s="22"/>
    </row>
    <row r="874" spans="1:8" x14ac:dyDescent="0.2">
      <c r="A874" s="22"/>
      <c r="B874" s="22"/>
      <c r="C874" s="22"/>
      <c r="D874" s="22"/>
      <c r="E874" s="22"/>
      <c r="F874" s="22"/>
      <c r="G874" s="22"/>
      <c r="H874" s="22"/>
    </row>
    <row r="875" spans="1:8" x14ac:dyDescent="0.2">
      <c r="A875" s="22"/>
      <c r="B875" s="22"/>
      <c r="C875" s="22"/>
      <c r="D875" s="22"/>
      <c r="E875" s="22"/>
      <c r="F875" s="22"/>
      <c r="G875" s="22"/>
      <c r="H875" s="22"/>
    </row>
    <row r="876" spans="1:8" x14ac:dyDescent="0.2">
      <c r="A876" s="22"/>
      <c r="B876" s="22"/>
      <c r="C876" s="22"/>
      <c r="D876" s="22"/>
      <c r="E876" s="22"/>
      <c r="F876" s="22"/>
      <c r="G876" s="22"/>
      <c r="H876" s="22"/>
    </row>
    <row r="877" spans="1:8" x14ac:dyDescent="0.2">
      <c r="A877" s="22"/>
      <c r="B877" s="22"/>
      <c r="C877" s="22"/>
      <c r="D877" s="22"/>
      <c r="E877" s="22"/>
      <c r="F877" s="22"/>
      <c r="G877" s="22"/>
      <c r="H877" s="22"/>
    </row>
    <row r="878" spans="1:8" x14ac:dyDescent="0.2">
      <c r="A878" s="22"/>
      <c r="B878" s="22"/>
      <c r="C878" s="22"/>
      <c r="D878" s="22"/>
      <c r="E878" s="22"/>
      <c r="F878" s="22"/>
      <c r="G878" s="22"/>
      <c r="H878" s="22"/>
    </row>
    <row r="879" spans="1:8" x14ac:dyDescent="0.2">
      <c r="A879" s="22"/>
      <c r="B879" s="22"/>
      <c r="C879" s="22"/>
      <c r="D879" s="22"/>
      <c r="E879" s="22"/>
      <c r="F879" s="22"/>
      <c r="G879" s="22"/>
      <c r="H879" s="22"/>
    </row>
    <row r="880" spans="1:8" x14ac:dyDescent="0.2">
      <c r="A880" s="22"/>
      <c r="B880" s="22"/>
      <c r="C880" s="22"/>
      <c r="D880" s="22"/>
      <c r="E880" s="22"/>
      <c r="F880" s="22"/>
      <c r="G880" s="22"/>
      <c r="H880" s="22"/>
    </row>
    <row r="881" spans="1:8" x14ac:dyDescent="0.2">
      <c r="A881" s="22"/>
      <c r="B881" s="22"/>
      <c r="C881" s="22"/>
      <c r="D881" s="22"/>
      <c r="E881" s="22"/>
      <c r="F881" s="22"/>
      <c r="G881" s="22"/>
      <c r="H881" s="22"/>
    </row>
    <row r="882" spans="1:8" x14ac:dyDescent="0.2">
      <c r="A882" s="22"/>
      <c r="B882" s="22"/>
      <c r="C882" s="22"/>
      <c r="D882" s="22"/>
      <c r="E882" s="22"/>
      <c r="F882" s="22"/>
      <c r="G882" s="22"/>
      <c r="H882" s="22"/>
    </row>
    <row r="883" spans="1:8" x14ac:dyDescent="0.2">
      <c r="A883" s="22"/>
      <c r="B883" s="22"/>
      <c r="C883" s="22"/>
      <c r="D883" s="22"/>
      <c r="E883" s="22"/>
      <c r="F883" s="22"/>
      <c r="G883" s="22"/>
      <c r="H883" s="22"/>
    </row>
    <row r="884" spans="1:8" x14ac:dyDescent="0.2">
      <c r="A884" s="22"/>
      <c r="B884" s="22"/>
      <c r="C884" s="22"/>
      <c r="D884" s="22"/>
      <c r="E884" s="22"/>
      <c r="F884" s="22"/>
      <c r="G884" s="22"/>
      <c r="H884" s="22"/>
    </row>
    <row r="885" spans="1:8" x14ac:dyDescent="0.2">
      <c r="A885" s="22"/>
      <c r="B885" s="22"/>
      <c r="C885" s="22"/>
      <c r="D885" s="22"/>
      <c r="E885" s="22"/>
      <c r="F885" s="22"/>
      <c r="G885" s="22"/>
      <c r="H885" s="22"/>
    </row>
    <row r="886" spans="1:8" x14ac:dyDescent="0.2">
      <c r="A886" s="22"/>
      <c r="B886" s="22"/>
      <c r="C886" s="22"/>
      <c r="D886" s="22"/>
      <c r="E886" s="22"/>
      <c r="F886" s="22"/>
      <c r="G886" s="22"/>
      <c r="H886" s="22"/>
    </row>
    <row r="887" spans="1:8" x14ac:dyDescent="0.2">
      <c r="A887" s="22"/>
      <c r="B887" s="22"/>
      <c r="C887" s="22"/>
      <c r="D887" s="22"/>
      <c r="E887" s="22"/>
      <c r="F887" s="22"/>
      <c r="G887" s="22"/>
      <c r="H887" s="22"/>
    </row>
    <row r="888" spans="1:8" x14ac:dyDescent="0.2">
      <c r="A888" s="22"/>
      <c r="B888" s="22"/>
      <c r="C888" s="22"/>
      <c r="D888" s="22"/>
      <c r="E888" s="22"/>
      <c r="F888" s="22"/>
      <c r="G888" s="22"/>
      <c r="H888" s="22"/>
    </row>
    <row r="889" spans="1:8" x14ac:dyDescent="0.2">
      <c r="A889" s="22"/>
      <c r="B889" s="22"/>
      <c r="C889" s="22"/>
      <c r="D889" s="22"/>
      <c r="E889" s="22"/>
      <c r="F889" s="22"/>
      <c r="G889" s="22"/>
      <c r="H889" s="22"/>
    </row>
    <row r="890" spans="1:8" x14ac:dyDescent="0.2">
      <c r="A890" s="22"/>
      <c r="B890" s="22"/>
      <c r="C890" s="22"/>
      <c r="D890" s="22"/>
      <c r="E890" s="22"/>
      <c r="F890" s="22"/>
      <c r="G890" s="22"/>
      <c r="H890" s="22"/>
    </row>
    <row r="891" spans="1:8" x14ac:dyDescent="0.2">
      <c r="A891" s="22"/>
      <c r="B891" s="22"/>
      <c r="C891" s="22"/>
      <c r="D891" s="22"/>
      <c r="E891" s="22"/>
      <c r="F891" s="22"/>
      <c r="G891" s="22"/>
      <c r="H891" s="22"/>
    </row>
    <row r="892" spans="1:8" x14ac:dyDescent="0.2">
      <c r="A892" s="22"/>
      <c r="B892" s="22"/>
      <c r="C892" s="22"/>
      <c r="D892" s="22"/>
      <c r="E892" s="22"/>
      <c r="F892" s="22"/>
      <c r="G892" s="22"/>
      <c r="H892" s="22"/>
    </row>
    <row r="893" spans="1:8" x14ac:dyDescent="0.2">
      <c r="A893" s="22"/>
      <c r="B893" s="22"/>
      <c r="C893" s="22"/>
      <c r="D893" s="22"/>
      <c r="E893" s="22"/>
      <c r="F893" s="22"/>
      <c r="G893" s="22"/>
      <c r="H893" s="22"/>
    </row>
    <row r="894" spans="1:8" x14ac:dyDescent="0.2">
      <c r="A894" s="22"/>
      <c r="B894" s="22"/>
      <c r="C894" s="22"/>
      <c r="D894" s="22"/>
      <c r="E894" s="22"/>
      <c r="F894" s="22"/>
      <c r="G894" s="22"/>
      <c r="H894" s="22"/>
    </row>
    <row r="895" spans="1:8" x14ac:dyDescent="0.2">
      <c r="A895" s="22"/>
      <c r="B895" s="22"/>
      <c r="C895" s="22"/>
      <c r="D895" s="22"/>
      <c r="E895" s="22"/>
      <c r="F895" s="22"/>
      <c r="G895" s="22"/>
      <c r="H895" s="22"/>
    </row>
    <row r="896" spans="1:8" x14ac:dyDescent="0.2">
      <c r="A896" s="22"/>
      <c r="B896" s="22"/>
      <c r="C896" s="22"/>
      <c r="D896" s="22"/>
      <c r="E896" s="22"/>
      <c r="F896" s="22"/>
      <c r="G896" s="22"/>
      <c r="H896" s="22"/>
    </row>
    <row r="897" spans="1:8" x14ac:dyDescent="0.2">
      <c r="A897" s="22"/>
      <c r="B897" s="22"/>
      <c r="C897" s="22"/>
      <c r="D897" s="22"/>
      <c r="E897" s="22"/>
      <c r="F897" s="22"/>
      <c r="G897" s="22"/>
      <c r="H897" s="22"/>
    </row>
    <row r="898" spans="1:8" x14ac:dyDescent="0.2">
      <c r="A898" s="22"/>
      <c r="B898" s="22"/>
      <c r="C898" s="22"/>
      <c r="D898" s="22"/>
      <c r="E898" s="22"/>
      <c r="F898" s="22"/>
      <c r="G898" s="22"/>
      <c r="H898" s="22"/>
    </row>
    <row r="899" spans="1:8" x14ac:dyDescent="0.2">
      <c r="A899" s="22"/>
      <c r="B899" s="22"/>
      <c r="C899" s="22"/>
      <c r="D899" s="22"/>
      <c r="E899" s="22"/>
      <c r="F899" s="22"/>
      <c r="G899" s="22"/>
      <c r="H899" s="22"/>
    </row>
    <row r="900" spans="1:8" x14ac:dyDescent="0.2">
      <c r="A900" s="22"/>
      <c r="B900" s="22"/>
      <c r="C900" s="22"/>
      <c r="D900" s="22"/>
      <c r="E900" s="22"/>
      <c r="F900" s="22"/>
      <c r="G900" s="22"/>
      <c r="H900" s="22"/>
    </row>
    <row r="901" spans="1:8" x14ac:dyDescent="0.2">
      <c r="A901" s="22"/>
      <c r="B901" s="22"/>
      <c r="C901" s="22"/>
      <c r="D901" s="22"/>
      <c r="E901" s="22"/>
      <c r="F901" s="22"/>
      <c r="G901" s="22"/>
      <c r="H901" s="22"/>
    </row>
    <row r="902" spans="1:8" x14ac:dyDescent="0.2">
      <c r="A902" s="22"/>
      <c r="B902" s="22"/>
      <c r="C902" s="22"/>
      <c r="D902" s="22"/>
      <c r="E902" s="22"/>
      <c r="F902" s="22"/>
      <c r="G902" s="22"/>
      <c r="H902" s="22"/>
    </row>
    <row r="903" spans="1:8" x14ac:dyDescent="0.2">
      <c r="A903" s="22"/>
      <c r="B903" s="22"/>
      <c r="C903" s="22"/>
      <c r="D903" s="22"/>
      <c r="E903" s="22"/>
      <c r="F903" s="22"/>
      <c r="G903" s="22"/>
      <c r="H903" s="22"/>
    </row>
    <row r="904" spans="1:8" x14ac:dyDescent="0.2">
      <c r="A904" s="22"/>
      <c r="B904" s="22"/>
      <c r="C904" s="22"/>
      <c r="D904" s="22"/>
      <c r="E904" s="22"/>
      <c r="F904" s="22"/>
      <c r="G904" s="22"/>
      <c r="H904" s="22"/>
    </row>
    <row r="905" spans="1:8" x14ac:dyDescent="0.2">
      <c r="A905" s="22"/>
      <c r="B905" s="22"/>
      <c r="C905" s="22"/>
      <c r="D905" s="22"/>
      <c r="E905" s="22"/>
      <c r="F905" s="22"/>
      <c r="G905" s="22"/>
      <c r="H905" s="22"/>
    </row>
    <row r="906" spans="1:8" x14ac:dyDescent="0.2">
      <c r="A906" s="22"/>
      <c r="B906" s="22"/>
      <c r="C906" s="22"/>
      <c r="D906" s="22"/>
      <c r="E906" s="22"/>
      <c r="F906" s="22"/>
      <c r="G906" s="22"/>
      <c r="H906" s="22"/>
    </row>
    <row r="907" spans="1:8" x14ac:dyDescent="0.2">
      <c r="A907" s="22"/>
      <c r="B907" s="22"/>
      <c r="C907" s="22"/>
      <c r="D907" s="22"/>
      <c r="E907" s="22"/>
      <c r="F907" s="22"/>
      <c r="G907" s="22"/>
      <c r="H907" s="22"/>
    </row>
    <row r="908" spans="1:8" x14ac:dyDescent="0.2">
      <c r="A908" s="22"/>
      <c r="B908" s="22"/>
      <c r="C908" s="22"/>
      <c r="D908" s="22"/>
      <c r="E908" s="22"/>
      <c r="F908" s="22"/>
      <c r="G908" s="22"/>
      <c r="H908" s="22"/>
    </row>
    <row r="909" spans="1:8" x14ac:dyDescent="0.2">
      <c r="A909" s="22"/>
      <c r="B909" s="22"/>
      <c r="C909" s="22"/>
      <c r="D909" s="22"/>
      <c r="E909" s="22"/>
      <c r="F909" s="22"/>
      <c r="G909" s="22"/>
      <c r="H909" s="22"/>
    </row>
    <row r="910" spans="1:8" x14ac:dyDescent="0.2">
      <c r="A910" s="22"/>
      <c r="B910" s="22"/>
      <c r="C910" s="22"/>
      <c r="D910" s="22"/>
      <c r="E910" s="22"/>
      <c r="F910" s="22"/>
      <c r="G910" s="22"/>
      <c r="H910" s="22"/>
    </row>
    <row r="911" spans="1:8" x14ac:dyDescent="0.2">
      <c r="A911" s="22"/>
      <c r="B911" s="22"/>
      <c r="C911" s="22"/>
      <c r="D911" s="22"/>
      <c r="E911" s="22"/>
      <c r="F911" s="22"/>
      <c r="G911" s="22"/>
      <c r="H911" s="22"/>
    </row>
    <row r="912" spans="1:8" x14ac:dyDescent="0.2">
      <c r="A912" s="22"/>
      <c r="B912" s="22"/>
      <c r="C912" s="22"/>
      <c r="D912" s="22"/>
      <c r="E912" s="22"/>
      <c r="F912" s="22"/>
      <c r="G912" s="22"/>
      <c r="H912" s="22"/>
    </row>
    <row r="913" spans="1:8" x14ac:dyDescent="0.2">
      <c r="A913" s="22"/>
      <c r="B913" s="22"/>
      <c r="C913" s="22"/>
      <c r="D913" s="22"/>
      <c r="E913" s="22"/>
      <c r="F913" s="22"/>
      <c r="G913" s="22"/>
      <c r="H913" s="22"/>
    </row>
    <row r="914" spans="1:8" x14ac:dyDescent="0.2">
      <c r="A914" s="22"/>
      <c r="B914" s="22"/>
      <c r="C914" s="22"/>
      <c r="D914" s="22"/>
      <c r="E914" s="22"/>
      <c r="F914" s="22"/>
      <c r="G914" s="22"/>
      <c r="H914" s="22"/>
    </row>
    <row r="915" spans="1:8" x14ac:dyDescent="0.2">
      <c r="A915" s="22"/>
      <c r="B915" s="22"/>
      <c r="C915" s="22"/>
      <c r="D915" s="22"/>
      <c r="E915" s="22"/>
      <c r="F915" s="22"/>
      <c r="G915" s="22"/>
      <c r="H915" s="22"/>
    </row>
    <row r="916" spans="1:8" x14ac:dyDescent="0.2">
      <c r="A916" s="22"/>
      <c r="B916" s="22"/>
      <c r="C916" s="22"/>
      <c r="D916" s="22"/>
      <c r="E916" s="22"/>
      <c r="F916" s="22"/>
      <c r="G916" s="22"/>
      <c r="H916" s="22"/>
    </row>
    <row r="917" spans="1:8" x14ac:dyDescent="0.2">
      <c r="A917" s="22"/>
      <c r="B917" s="22"/>
      <c r="C917" s="22"/>
      <c r="D917" s="22"/>
      <c r="E917" s="22"/>
      <c r="F917" s="22"/>
      <c r="G917" s="22"/>
      <c r="H917" s="22"/>
    </row>
    <row r="918" spans="1:8" x14ac:dyDescent="0.2">
      <c r="A918" s="22"/>
      <c r="B918" s="22"/>
      <c r="C918" s="22"/>
      <c r="D918" s="22"/>
      <c r="E918" s="22"/>
      <c r="F918" s="22"/>
      <c r="G918" s="22"/>
      <c r="H918" s="22"/>
    </row>
    <row r="919" spans="1:8" x14ac:dyDescent="0.2">
      <c r="A919" s="22"/>
      <c r="B919" s="22"/>
      <c r="C919" s="22"/>
      <c r="D919" s="22"/>
      <c r="E919" s="22"/>
      <c r="F919" s="22"/>
      <c r="G919" s="22"/>
      <c r="H919" s="22"/>
    </row>
    <row r="920" spans="1:8" x14ac:dyDescent="0.2">
      <c r="A920" s="22"/>
      <c r="B920" s="22"/>
      <c r="C920" s="22"/>
      <c r="D920" s="22"/>
      <c r="E920" s="22"/>
      <c r="F920" s="22"/>
      <c r="G920" s="22"/>
      <c r="H920" s="22"/>
    </row>
    <row r="921" spans="1:8" x14ac:dyDescent="0.2">
      <c r="A921" s="22"/>
      <c r="B921" s="22"/>
      <c r="C921" s="22"/>
      <c r="D921" s="22"/>
      <c r="E921" s="22"/>
      <c r="F921" s="22"/>
      <c r="G921" s="22"/>
      <c r="H921" s="22"/>
    </row>
    <row r="922" spans="1:8" x14ac:dyDescent="0.2">
      <c r="A922" s="22"/>
      <c r="B922" s="22"/>
      <c r="C922" s="22"/>
      <c r="D922" s="22"/>
      <c r="E922" s="22"/>
      <c r="F922" s="22"/>
      <c r="G922" s="22"/>
      <c r="H922" s="22"/>
    </row>
    <row r="923" spans="1:8" x14ac:dyDescent="0.2">
      <c r="A923" s="22"/>
      <c r="B923" s="22"/>
      <c r="C923" s="22"/>
      <c r="D923" s="22"/>
      <c r="E923" s="22"/>
      <c r="F923" s="22"/>
      <c r="G923" s="22"/>
      <c r="H923" s="22"/>
    </row>
    <row r="924" spans="1:8" x14ac:dyDescent="0.2">
      <c r="A924" s="22"/>
      <c r="B924" s="22"/>
      <c r="C924" s="22"/>
      <c r="D924" s="22"/>
      <c r="E924" s="22"/>
      <c r="F924" s="22"/>
      <c r="G924" s="22"/>
      <c r="H924" s="22"/>
    </row>
    <row r="925" spans="1:8" x14ac:dyDescent="0.2">
      <c r="A925" s="22"/>
      <c r="B925" s="22"/>
      <c r="C925" s="22"/>
      <c r="D925" s="22"/>
      <c r="E925" s="22"/>
      <c r="F925" s="22"/>
      <c r="G925" s="22"/>
      <c r="H925" s="22"/>
    </row>
    <row r="926" spans="1:8" x14ac:dyDescent="0.2">
      <c r="A926" s="22"/>
      <c r="B926" s="22"/>
      <c r="C926" s="22"/>
      <c r="D926" s="22"/>
      <c r="E926" s="22"/>
      <c r="F926" s="22"/>
      <c r="G926" s="22"/>
      <c r="H926" s="22"/>
    </row>
    <row r="927" spans="1:8" x14ac:dyDescent="0.2">
      <c r="A927" s="22"/>
      <c r="B927" s="22"/>
      <c r="C927" s="22"/>
      <c r="D927" s="22"/>
      <c r="E927" s="22"/>
      <c r="F927" s="22"/>
      <c r="G927" s="22"/>
      <c r="H927" s="22"/>
    </row>
    <row r="928" spans="1:8" x14ac:dyDescent="0.2">
      <c r="A928" s="22"/>
      <c r="B928" s="22"/>
      <c r="C928" s="22"/>
      <c r="D928" s="22"/>
      <c r="E928" s="22"/>
      <c r="F928" s="22"/>
      <c r="G928" s="22"/>
      <c r="H928" s="22"/>
    </row>
    <row r="929" spans="1:8" x14ac:dyDescent="0.2">
      <c r="A929" s="22"/>
      <c r="B929" s="22"/>
      <c r="C929" s="22"/>
      <c r="D929" s="22"/>
      <c r="E929" s="22"/>
      <c r="F929" s="22"/>
      <c r="G929" s="22"/>
      <c r="H929" s="22"/>
    </row>
    <row r="930" spans="1:8" x14ac:dyDescent="0.2">
      <c r="A930" s="22"/>
      <c r="B930" s="22"/>
      <c r="C930" s="22"/>
      <c r="D930" s="22"/>
      <c r="E930" s="22"/>
      <c r="F930" s="22"/>
      <c r="G930" s="22"/>
      <c r="H930" s="22"/>
    </row>
  </sheetData>
  <sheetProtection password="CFB3" sheet="1" objects="1" scenarios="1"/>
  <phoneticPr fontId="0" type="noConversion"/>
  <printOptions horizontalCentered="1" verticalCentered="1"/>
  <pageMargins left="0.5" right="0.5" top="0.5" bottom="0.5" header="0.5" footer="0.5"/>
  <pageSetup scale="75" orientation="landscape" r:id="rId1"/>
  <headerFooter alignWithMargins="0"/>
  <rowBreaks count="1" manualBreakCount="1">
    <brk id="59" max="6553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4"/>
  <sheetViews>
    <sheetView showGridLines="0" zoomScale="75" workbookViewId="0"/>
  </sheetViews>
  <sheetFormatPr defaultRowHeight="12.75" x14ac:dyDescent="0.2"/>
  <cols>
    <col min="1" max="1" width="37" style="1" customWidth="1"/>
    <col min="2" max="2" width="12.7109375" style="1" customWidth="1"/>
    <col min="3" max="3" width="9.28515625" style="1" customWidth="1"/>
    <col min="4" max="4" width="12.7109375" style="1" customWidth="1"/>
    <col min="5" max="5" width="9.28515625" style="1" customWidth="1"/>
    <col min="6" max="6" width="12.7109375" style="1" customWidth="1"/>
    <col min="7" max="7" width="9.28515625" style="1" customWidth="1"/>
    <col min="8" max="8" width="12.7109375" style="1" customWidth="1"/>
    <col min="9" max="9" width="9.28515625" style="1" customWidth="1"/>
    <col min="10" max="16384" width="9.140625" style="1"/>
  </cols>
  <sheetData>
    <row r="1" spans="1:9" ht="12.75" customHeight="1" x14ac:dyDescent="0.2">
      <c r="A1" s="7" t="str">
        <f>"Appendix 3:  "&amp;Inputs!E4&amp;"  Common Sized Financial Statements (% of total operating revenue)"</f>
        <v>Appendix 3:  Vons Companies, Inc.  Common Sized Financial Statements (% of total operating revenue)</v>
      </c>
      <c r="B1" s="8"/>
      <c r="C1" s="8"/>
      <c r="D1" s="86"/>
      <c r="E1" s="86"/>
      <c r="F1" s="8"/>
      <c r="G1" s="8"/>
      <c r="H1" s="87" t="str">
        <f>+Inputs!K4</f>
        <v>Dollars in millions</v>
      </c>
      <c r="I1" s="54"/>
    </row>
    <row r="2" spans="1:9" ht="12.75" customHeight="1" x14ac:dyDescent="0.2">
      <c r="A2" s="52"/>
      <c r="B2" s="14"/>
      <c r="C2" s="14"/>
      <c r="D2" s="14"/>
      <c r="E2" s="14"/>
      <c r="F2" s="14"/>
      <c r="G2" s="14"/>
      <c r="H2" s="55"/>
      <c r="I2" s="17"/>
    </row>
    <row r="3" spans="1:9" ht="12.75" customHeight="1" x14ac:dyDescent="0.2">
      <c r="A3" s="88" t="s">
        <v>71</v>
      </c>
      <c r="B3" s="89"/>
      <c r="C3" s="89"/>
      <c r="D3" s="89"/>
      <c r="E3" s="89"/>
      <c r="F3" s="90"/>
      <c r="G3" s="89"/>
      <c r="H3" s="89"/>
      <c r="I3" s="90"/>
    </row>
    <row r="4" spans="1:9" ht="12.75" customHeight="1" x14ac:dyDescent="0.2">
      <c r="A4" s="56"/>
      <c r="B4" s="53"/>
      <c r="C4" s="53"/>
      <c r="D4" s="53"/>
      <c r="E4" s="53"/>
      <c r="F4" s="53"/>
      <c r="G4" s="53"/>
      <c r="H4" s="55"/>
      <c r="I4" s="17"/>
    </row>
    <row r="5" spans="1:9" ht="12.75" customHeight="1" x14ac:dyDescent="0.2">
      <c r="A5" s="15"/>
      <c r="B5" s="96">
        <f>+Inputs!K3</f>
        <v>35400</v>
      </c>
      <c r="C5" s="57"/>
      <c r="D5" s="96">
        <f>+B5-365</f>
        <v>35035</v>
      </c>
      <c r="E5" s="57"/>
      <c r="F5" s="96">
        <f>+D5-365</f>
        <v>34670</v>
      </c>
      <c r="G5" s="57"/>
      <c r="H5" s="96">
        <f>+F5-365</f>
        <v>34305</v>
      </c>
      <c r="I5" s="17"/>
    </row>
    <row r="6" spans="1:9" ht="12.75" customHeight="1" x14ac:dyDescent="0.2">
      <c r="A6" s="51" t="s">
        <v>72</v>
      </c>
      <c r="B6" s="16"/>
      <c r="C6" s="16"/>
      <c r="D6" s="16"/>
      <c r="E6" s="16"/>
      <c r="F6" s="16"/>
      <c r="G6" s="16"/>
      <c r="H6" s="16"/>
      <c r="I6" s="17"/>
    </row>
    <row r="7" spans="1:9" ht="12.75" customHeight="1" x14ac:dyDescent="0.2">
      <c r="A7" s="15" t="s">
        <v>73</v>
      </c>
      <c r="B7" s="16"/>
      <c r="C7" s="16"/>
      <c r="D7" s="16"/>
      <c r="E7" s="19"/>
      <c r="F7" s="16"/>
      <c r="G7" s="16"/>
      <c r="H7" s="16"/>
      <c r="I7" s="17"/>
    </row>
    <row r="8" spans="1:9" ht="12.75" customHeight="1" x14ac:dyDescent="0.2">
      <c r="A8" s="58" t="s">
        <v>74</v>
      </c>
      <c r="B8" s="97">
        <v>9.3000000000000007</v>
      </c>
      <c r="C8" s="60">
        <f>+B8/B$37</f>
        <v>1.7198653696785888E-3</v>
      </c>
      <c r="D8" s="97">
        <v>9.4</v>
      </c>
      <c r="E8" s="60">
        <f>+D8/D$37</f>
        <v>1.8537874455203426E-3</v>
      </c>
      <c r="F8" s="97">
        <v>9</v>
      </c>
      <c r="G8" s="60">
        <f>+F8/F$37</f>
        <v>1.8012248328863627E-3</v>
      </c>
      <c r="H8" s="97">
        <v>8.5</v>
      </c>
      <c r="I8" s="61">
        <f>+H8/H$37</f>
        <v>1.6750418760469012E-3</v>
      </c>
    </row>
    <row r="9" spans="1:9" ht="12.75" customHeight="1" x14ac:dyDescent="0.2">
      <c r="A9" s="58" t="s">
        <v>75</v>
      </c>
      <c r="B9" s="97">
        <v>45</v>
      </c>
      <c r="C9" s="60">
        <f t="shared" ref="C9:I17" si="0">+B9/B$37</f>
        <v>8.321929208122204E-3</v>
      </c>
      <c r="D9" s="97">
        <v>31.7</v>
      </c>
      <c r="E9" s="60">
        <f t="shared" si="0"/>
        <v>6.2516023428717928E-3</v>
      </c>
      <c r="F9" s="97">
        <v>45.4</v>
      </c>
      <c r="G9" s="60">
        <f t="shared" si="0"/>
        <v>9.0861786014489847E-3</v>
      </c>
      <c r="H9" s="97">
        <v>36.299999999999997</v>
      </c>
      <c r="I9" s="61">
        <f t="shared" si="0"/>
        <v>7.1534141294708831E-3</v>
      </c>
    </row>
    <row r="10" spans="1:9" ht="12.75" customHeight="1" x14ac:dyDescent="0.2">
      <c r="A10" s="58" t="s">
        <v>76</v>
      </c>
      <c r="B10" s="97">
        <v>335.3</v>
      </c>
      <c r="C10" s="60">
        <f t="shared" si="0"/>
        <v>6.2007619188519443E-2</v>
      </c>
      <c r="D10" s="97">
        <v>350.7</v>
      </c>
      <c r="E10" s="60">
        <f t="shared" si="0"/>
        <v>6.9162048632338727E-2</v>
      </c>
      <c r="F10" s="97">
        <v>359.3</v>
      </c>
      <c r="G10" s="60">
        <f t="shared" si="0"/>
        <v>7.190889805067445E-2</v>
      </c>
      <c r="H10" s="97">
        <v>383.5</v>
      </c>
      <c r="I10" s="61">
        <f t="shared" si="0"/>
        <v>7.5573948172233715E-2</v>
      </c>
    </row>
    <row r="11" spans="1:9" ht="12.75" customHeight="1" x14ac:dyDescent="0.2">
      <c r="A11" s="58" t="s">
        <v>77</v>
      </c>
      <c r="B11" s="97">
        <v>32.5</v>
      </c>
      <c r="C11" s="60">
        <f t="shared" si="0"/>
        <v>6.0102822058660356E-3</v>
      </c>
      <c r="D11" s="97">
        <v>30.9</v>
      </c>
      <c r="E11" s="60">
        <f t="shared" si="0"/>
        <v>6.093833198572189E-3</v>
      </c>
      <c r="F11" s="97">
        <v>35.4</v>
      </c>
      <c r="G11" s="60">
        <f t="shared" si="0"/>
        <v>7.0848176760196927E-3</v>
      </c>
      <c r="H11" s="97">
        <v>23.2</v>
      </c>
      <c r="I11" s="61">
        <f t="shared" si="0"/>
        <v>4.5718790028574244E-3</v>
      </c>
    </row>
    <row r="12" spans="1:9" ht="12.75" customHeight="1" x14ac:dyDescent="0.2">
      <c r="A12" s="58" t="s">
        <v>78</v>
      </c>
      <c r="B12" s="98">
        <v>42.8</v>
      </c>
      <c r="C12" s="60">
        <f t="shared" si="0"/>
        <v>7.9150793357251181E-3</v>
      </c>
      <c r="D12" s="98">
        <v>29.6</v>
      </c>
      <c r="E12" s="60">
        <f t="shared" si="0"/>
        <v>5.8374583390853338E-3</v>
      </c>
      <c r="F12" s="98">
        <v>18.7</v>
      </c>
      <c r="G12" s="60">
        <f t="shared" si="0"/>
        <v>3.7425449305527755E-3</v>
      </c>
      <c r="H12" s="98">
        <v>21.9</v>
      </c>
      <c r="I12" s="61">
        <f t="shared" si="0"/>
        <v>4.3156961276973101E-3</v>
      </c>
    </row>
    <row r="13" spans="1:9" ht="12.75" customHeight="1" x14ac:dyDescent="0.2">
      <c r="A13" s="58" t="s">
        <v>79</v>
      </c>
      <c r="B13" s="97">
        <f t="shared" ref="B13:H13" si="1">SUM(B8:B12)</f>
        <v>464.90000000000003</v>
      </c>
      <c r="C13" s="60">
        <f t="shared" si="0"/>
        <v>8.5974775307911394E-2</v>
      </c>
      <c r="D13" s="97">
        <f t="shared" si="1"/>
        <v>452.3</v>
      </c>
      <c r="E13" s="60">
        <f t="shared" si="0"/>
        <v>8.9198729958388387E-2</v>
      </c>
      <c r="F13" s="97">
        <f t="shared" si="1"/>
        <v>467.79999999999995</v>
      </c>
      <c r="G13" s="60">
        <f t="shared" si="0"/>
        <v>9.3623664091582265E-2</v>
      </c>
      <c r="H13" s="97">
        <f t="shared" si="1"/>
        <v>473.4</v>
      </c>
      <c r="I13" s="61">
        <f t="shared" si="0"/>
        <v>9.3289979308306237E-2</v>
      </c>
    </row>
    <row r="14" spans="1:9" ht="12.75" customHeight="1" x14ac:dyDescent="0.2">
      <c r="A14" s="15" t="s">
        <v>80</v>
      </c>
      <c r="B14" s="97">
        <v>1194.2</v>
      </c>
      <c r="C14" s="60">
        <f t="shared" si="0"/>
        <v>0.22084550800754524</v>
      </c>
      <c r="D14" s="97">
        <v>1192.5</v>
      </c>
      <c r="E14" s="60">
        <f t="shared" si="0"/>
        <v>0.23517463072159664</v>
      </c>
      <c r="F14" s="97">
        <v>1203</v>
      </c>
      <c r="G14" s="60">
        <f t="shared" si="0"/>
        <v>0.24076371932914381</v>
      </c>
      <c r="H14" s="97">
        <v>1215.5999999999999</v>
      </c>
      <c r="I14" s="61">
        <f t="shared" si="0"/>
        <v>0.23955069464971918</v>
      </c>
    </row>
    <row r="15" spans="1:9" ht="12.75" customHeight="1" x14ac:dyDescent="0.2">
      <c r="A15" s="15" t="s">
        <v>64</v>
      </c>
      <c r="B15" s="97">
        <v>467.8</v>
      </c>
      <c r="C15" s="60">
        <f t="shared" si="0"/>
        <v>8.6511077412434814E-2</v>
      </c>
      <c r="D15" s="97">
        <v>482.8</v>
      </c>
      <c r="E15" s="60">
        <f t="shared" si="0"/>
        <v>9.5213678584810779E-2</v>
      </c>
      <c r="F15" s="97">
        <v>497.8</v>
      </c>
      <c r="G15" s="60">
        <f t="shared" si="0"/>
        <v>9.962774686787014E-2</v>
      </c>
      <c r="H15" s="97">
        <v>512.9</v>
      </c>
      <c r="I15" s="61">
        <f t="shared" si="0"/>
        <v>0.10107399743817125</v>
      </c>
    </row>
    <row r="16" spans="1:9" ht="12.75" customHeight="1" x14ac:dyDescent="0.2">
      <c r="A16" s="15" t="s">
        <v>82</v>
      </c>
      <c r="B16" s="98">
        <v>58.5</v>
      </c>
      <c r="C16" s="60">
        <f t="shared" si="0"/>
        <v>1.0818507970558864E-2</v>
      </c>
      <c r="D16" s="98">
        <v>58.9</v>
      </c>
      <c r="E16" s="60">
        <f t="shared" si="0"/>
        <v>1.1615753249058315E-2</v>
      </c>
      <c r="F16" s="98">
        <v>53.4</v>
      </c>
      <c r="G16" s="60">
        <f t="shared" si="0"/>
        <v>1.0687267341792418E-2</v>
      </c>
      <c r="H16" s="98">
        <v>47.6</v>
      </c>
      <c r="I16" s="61">
        <f t="shared" si="0"/>
        <v>9.3802345058626464E-3</v>
      </c>
    </row>
    <row r="17" spans="1:9" ht="12.75" customHeight="1" x14ac:dyDescent="0.2">
      <c r="A17" s="51" t="s">
        <v>83</v>
      </c>
      <c r="B17" s="99">
        <f>SUM(B13:B16)</f>
        <v>2185.4</v>
      </c>
      <c r="C17" s="60">
        <f t="shared" si="0"/>
        <v>0.40414986869845032</v>
      </c>
      <c r="D17" s="99">
        <f>SUM(D13:D16)</f>
        <v>2186.5</v>
      </c>
      <c r="E17" s="60">
        <f t="shared" si="0"/>
        <v>0.43120279251385413</v>
      </c>
      <c r="F17" s="99">
        <f>SUM(F13:F16)</f>
        <v>2222</v>
      </c>
      <c r="G17" s="60">
        <f t="shared" si="0"/>
        <v>0.44470239763038866</v>
      </c>
      <c r="H17" s="99">
        <f>SUM(H13:H16)</f>
        <v>2249.5</v>
      </c>
      <c r="I17" s="61">
        <f t="shared" si="0"/>
        <v>0.44329490590205933</v>
      </c>
    </row>
    <row r="18" spans="1:9" ht="12.75" customHeight="1" x14ac:dyDescent="0.2">
      <c r="A18" s="62"/>
      <c r="B18" s="100"/>
      <c r="C18" s="63"/>
      <c r="D18" s="63"/>
      <c r="E18" s="63"/>
      <c r="F18" s="63"/>
      <c r="G18" s="63"/>
      <c r="H18" s="63"/>
      <c r="I18" s="65"/>
    </row>
    <row r="19" spans="1:9" ht="12.75" customHeight="1" x14ac:dyDescent="0.2">
      <c r="A19" s="51" t="s">
        <v>84</v>
      </c>
      <c r="B19" s="100"/>
      <c r="C19" s="63"/>
      <c r="D19" s="63"/>
      <c r="E19" s="63"/>
      <c r="F19" s="63"/>
      <c r="G19" s="63"/>
      <c r="H19" s="63"/>
      <c r="I19" s="65"/>
    </row>
    <row r="20" spans="1:9" ht="12.75" customHeight="1" x14ac:dyDescent="0.2">
      <c r="A20" s="15" t="s">
        <v>85</v>
      </c>
      <c r="B20" s="97"/>
      <c r="C20" s="59"/>
      <c r="D20" s="59"/>
      <c r="E20" s="59"/>
      <c r="F20" s="59"/>
      <c r="G20" s="59"/>
      <c r="H20" s="59"/>
      <c r="I20" s="105"/>
    </row>
    <row r="21" spans="1:9" ht="12.75" customHeight="1" x14ac:dyDescent="0.2">
      <c r="A21" s="58" t="s">
        <v>86</v>
      </c>
      <c r="B21" s="97">
        <v>339.2</v>
      </c>
      <c r="C21" s="60">
        <f t="shared" ref="C21:C31" si="2">+B21/B$37</f>
        <v>6.2728853053223357E-2</v>
      </c>
      <c r="D21" s="97">
        <v>304.2</v>
      </c>
      <c r="E21" s="60">
        <f t="shared" ref="E21:E31" si="3">+D21/D$37</f>
        <v>5.9991717119924272E-2</v>
      </c>
      <c r="F21" s="97">
        <v>308.39999999999998</v>
      </c>
      <c r="G21" s="60">
        <f t="shared" ref="G21:G31" si="4">+F21/F$37</f>
        <v>6.1721970940239353E-2</v>
      </c>
      <c r="H21" s="97">
        <v>314.5</v>
      </c>
      <c r="I21" s="61">
        <f t="shared" ref="I21:I31" si="5">+H21/H$37</f>
        <v>6.1976549413735343E-2</v>
      </c>
    </row>
    <row r="22" spans="1:9" ht="12.75" customHeight="1" x14ac:dyDescent="0.2">
      <c r="A22" s="58" t="s">
        <v>87</v>
      </c>
      <c r="B22" s="97">
        <v>265.7</v>
      </c>
      <c r="C22" s="60">
        <f t="shared" si="2"/>
        <v>4.9136368679957097E-2</v>
      </c>
      <c r="D22" s="97">
        <v>263.5</v>
      </c>
      <c r="E22" s="60">
        <f t="shared" si="3"/>
        <v>5.1965211903681939E-2</v>
      </c>
      <c r="F22" s="97">
        <v>246.8</v>
      </c>
      <c r="G22" s="60">
        <f t="shared" si="4"/>
        <v>4.9393587639594921E-2</v>
      </c>
      <c r="H22" s="97">
        <v>219.6</v>
      </c>
      <c r="I22" s="61">
        <f t="shared" si="5"/>
        <v>4.3275199527046997E-2</v>
      </c>
    </row>
    <row r="23" spans="1:9" ht="12.75" customHeight="1" x14ac:dyDescent="0.2">
      <c r="A23" s="58" t="s">
        <v>88</v>
      </c>
      <c r="B23" s="98">
        <v>154.9</v>
      </c>
      <c r="C23" s="60">
        <f t="shared" si="2"/>
        <v>2.8645929651958429E-2</v>
      </c>
      <c r="D23" s="98">
        <v>25.7</v>
      </c>
      <c r="E23" s="60">
        <f t="shared" si="3"/>
        <v>5.0683337606247658E-3</v>
      </c>
      <c r="F23" s="98">
        <v>8.6999999999999993</v>
      </c>
      <c r="G23" s="60">
        <f t="shared" si="4"/>
        <v>1.7411840051234837E-3</v>
      </c>
      <c r="H23" s="98">
        <v>8.6</v>
      </c>
      <c r="I23" s="61">
        <f t="shared" si="5"/>
        <v>1.6947482510592175E-3</v>
      </c>
    </row>
    <row r="24" spans="1:9" ht="12.75" customHeight="1" x14ac:dyDescent="0.2">
      <c r="A24" s="58" t="s">
        <v>89</v>
      </c>
      <c r="B24" s="97">
        <f>SUM(B21:B23)</f>
        <v>759.8</v>
      </c>
      <c r="C24" s="60">
        <f t="shared" si="2"/>
        <v>0.14051115138513889</v>
      </c>
      <c r="D24" s="97">
        <f>SUM(D21:D23)</f>
        <v>593.40000000000009</v>
      </c>
      <c r="E24" s="60">
        <f t="shared" si="3"/>
        <v>0.11702526278423099</v>
      </c>
      <c r="F24" s="97">
        <f>SUM(F21:F23)</f>
        <v>563.90000000000009</v>
      </c>
      <c r="G24" s="60">
        <f t="shared" si="4"/>
        <v>0.11285674258495779</v>
      </c>
      <c r="H24" s="97">
        <f>SUM(H21:H23)</f>
        <v>542.70000000000005</v>
      </c>
      <c r="I24" s="61">
        <f t="shared" si="5"/>
        <v>0.10694649719184157</v>
      </c>
    </row>
    <row r="25" spans="1:9" ht="12.75" customHeight="1" x14ac:dyDescent="0.2">
      <c r="A25" s="15" t="s">
        <v>90</v>
      </c>
      <c r="B25" s="97">
        <v>143.4</v>
      </c>
      <c r="C25" s="60">
        <f t="shared" si="2"/>
        <v>2.6519214409882755E-2</v>
      </c>
      <c r="D25" s="97">
        <v>128</v>
      </c>
      <c r="E25" s="60">
        <f t="shared" si="3"/>
        <v>2.5243063087936578E-2</v>
      </c>
      <c r="F25" s="97">
        <v>110.9</v>
      </c>
      <c r="G25" s="60">
        <f t="shared" si="4"/>
        <v>2.2195092663010847E-2</v>
      </c>
      <c r="H25" s="97">
        <v>102.3</v>
      </c>
      <c r="I25" s="61">
        <f t="shared" si="5"/>
        <v>2.0159621637599764E-2</v>
      </c>
    </row>
    <row r="26" spans="1:9" ht="12.75" customHeight="1" x14ac:dyDescent="0.2">
      <c r="A26" s="15" t="s">
        <v>91</v>
      </c>
      <c r="B26" s="97">
        <v>131.69999999999999</v>
      </c>
      <c r="C26" s="60">
        <f t="shared" si="2"/>
        <v>2.4355512815770981E-2</v>
      </c>
      <c r="D26" s="97">
        <v>118.9</v>
      </c>
      <c r="E26" s="60">
        <f t="shared" si="3"/>
        <v>2.3448439071528587E-2</v>
      </c>
      <c r="F26" s="97">
        <v>121.9</v>
      </c>
      <c r="G26" s="60">
        <f t="shared" si="4"/>
        <v>2.4396589680983068E-2</v>
      </c>
      <c r="H26" s="97">
        <v>111.2</v>
      </c>
      <c r="I26" s="61">
        <f t="shared" si="5"/>
        <v>2.1913489013695931E-2</v>
      </c>
    </row>
    <row r="27" spans="1:9" ht="12.75" customHeight="1" x14ac:dyDescent="0.2">
      <c r="A27" s="15" t="s">
        <v>92</v>
      </c>
      <c r="B27" s="97">
        <v>62.3</v>
      </c>
      <c r="C27" s="60">
        <f t="shared" si="2"/>
        <v>1.1521248659244738E-2</v>
      </c>
      <c r="D27" s="97">
        <v>65</v>
      </c>
      <c r="E27" s="60">
        <f t="shared" si="3"/>
        <v>1.2818742974342793E-2</v>
      </c>
      <c r="F27" s="97">
        <v>69.099999999999994</v>
      </c>
      <c r="G27" s="60">
        <f t="shared" si="4"/>
        <v>1.3829403994716405E-2</v>
      </c>
      <c r="H27" s="97">
        <v>86.4</v>
      </c>
      <c r="I27" s="61">
        <f t="shared" si="5"/>
        <v>1.7026308010641443E-2</v>
      </c>
    </row>
    <row r="28" spans="1:9" ht="12.75" customHeight="1" x14ac:dyDescent="0.2">
      <c r="A28" s="15" t="s">
        <v>93</v>
      </c>
      <c r="B28" s="97">
        <v>50.3</v>
      </c>
      <c r="C28" s="60">
        <f t="shared" si="2"/>
        <v>9.3020675370788179E-3</v>
      </c>
      <c r="D28" s="97">
        <v>53.4</v>
      </c>
      <c r="E28" s="60">
        <f t="shared" si="3"/>
        <v>1.053109038199854E-2</v>
      </c>
      <c r="F28" s="97">
        <v>58</v>
      </c>
      <c r="G28" s="60">
        <f t="shared" si="4"/>
        <v>1.1607893367489892E-2</v>
      </c>
      <c r="H28" s="97">
        <v>62.7</v>
      </c>
      <c r="I28" s="61">
        <f t="shared" si="5"/>
        <v>1.2355897132722437E-2</v>
      </c>
    </row>
    <row r="29" spans="1:9" ht="12.75" customHeight="1" x14ac:dyDescent="0.2">
      <c r="A29" s="15" t="s">
        <v>123</v>
      </c>
      <c r="B29" s="97">
        <f>15+284.5</f>
        <v>299.5</v>
      </c>
      <c r="C29" s="60">
        <f t="shared" si="2"/>
        <v>5.5387062174057776E-2</v>
      </c>
      <c r="D29" s="97">
        <f>298.8+305.7</f>
        <v>604.5</v>
      </c>
      <c r="E29" s="60">
        <f t="shared" si="3"/>
        <v>0.11921430966138798</v>
      </c>
      <c r="F29" s="97">
        <f>426.2+319.6</f>
        <v>745.8</v>
      </c>
      <c r="G29" s="60">
        <f t="shared" si="4"/>
        <v>0.14926149781851658</v>
      </c>
      <c r="H29" s="97">
        <f>497.2+322.1</f>
        <v>819.3</v>
      </c>
      <c r="I29" s="61">
        <f t="shared" si="5"/>
        <v>0.16145433047590896</v>
      </c>
    </row>
    <row r="30" spans="1:9" ht="12.75" customHeight="1" x14ac:dyDescent="0.2">
      <c r="A30" s="15" t="s">
        <v>95</v>
      </c>
      <c r="B30" s="98">
        <v>738.4</v>
      </c>
      <c r="C30" s="60">
        <f t="shared" si="2"/>
        <v>0.13655361171727634</v>
      </c>
      <c r="D30" s="98">
        <v>623.29999999999995</v>
      </c>
      <c r="E30" s="60">
        <f t="shared" si="3"/>
        <v>0.12292188455242865</v>
      </c>
      <c r="F30" s="98">
        <v>552.4</v>
      </c>
      <c r="G30" s="60">
        <f t="shared" si="4"/>
        <v>0.11055517752071407</v>
      </c>
      <c r="H30" s="98">
        <v>524.9</v>
      </c>
      <c r="I30" s="61">
        <f t="shared" si="5"/>
        <v>0.10343876243964922</v>
      </c>
    </row>
    <row r="31" spans="1:9" ht="12.75" customHeight="1" x14ac:dyDescent="0.2">
      <c r="A31" s="51" t="s">
        <v>96</v>
      </c>
      <c r="B31" s="99">
        <f>SUM(B24:B30)</f>
        <v>2185.3999999999996</v>
      </c>
      <c r="C31" s="60">
        <f t="shared" si="2"/>
        <v>0.40414986869845021</v>
      </c>
      <c r="D31" s="99">
        <f>SUM(D24:D30)</f>
        <v>2186.5</v>
      </c>
      <c r="E31" s="60">
        <f t="shared" si="3"/>
        <v>0.43120279251385413</v>
      </c>
      <c r="F31" s="99">
        <f>SUM(F24:F30)</f>
        <v>2222</v>
      </c>
      <c r="G31" s="60">
        <f t="shared" si="4"/>
        <v>0.44470239763038866</v>
      </c>
      <c r="H31" s="99">
        <f>SUM(H24:H30)</f>
        <v>2249.5</v>
      </c>
      <c r="I31" s="61">
        <f t="shared" si="5"/>
        <v>0.44329490590205933</v>
      </c>
    </row>
    <row r="32" spans="1:9" ht="12.75" customHeight="1" x14ac:dyDescent="0.2">
      <c r="A32" s="71"/>
      <c r="B32" s="72"/>
      <c r="C32" s="72"/>
      <c r="D32" s="72"/>
      <c r="E32" s="72"/>
      <c r="F32" s="72"/>
      <c r="G32" s="72"/>
      <c r="H32" s="72"/>
      <c r="I32" s="106"/>
    </row>
    <row r="33" spans="1:9" ht="12.75" customHeight="1" x14ac:dyDescent="0.2">
      <c r="A33" s="88" t="s">
        <v>97</v>
      </c>
      <c r="B33" s="91"/>
      <c r="C33" s="91"/>
      <c r="D33" s="91"/>
      <c r="E33" s="91"/>
      <c r="F33" s="91"/>
      <c r="G33" s="91"/>
      <c r="H33" s="91"/>
      <c r="I33" s="90"/>
    </row>
    <row r="34" spans="1:9" ht="12.75" customHeight="1" x14ac:dyDescent="0.2">
      <c r="A34" s="62"/>
      <c r="B34" s="63"/>
      <c r="C34" s="63"/>
      <c r="D34" s="63"/>
      <c r="E34" s="63"/>
      <c r="F34" s="63"/>
      <c r="G34" s="63"/>
      <c r="H34" s="63"/>
      <c r="I34" s="17"/>
    </row>
    <row r="35" spans="1:9" ht="12.75" customHeight="1" x14ac:dyDescent="0.2">
      <c r="A35" s="15"/>
      <c r="B35" s="101">
        <f>+B5</f>
        <v>35400</v>
      </c>
      <c r="C35" s="64"/>
      <c r="D35" s="101">
        <f>+D5</f>
        <v>35035</v>
      </c>
      <c r="E35" s="64"/>
      <c r="F35" s="101">
        <f>+F5</f>
        <v>34670</v>
      </c>
      <c r="G35" s="64"/>
      <c r="H35" s="101">
        <f>+H5</f>
        <v>34305</v>
      </c>
      <c r="I35" s="17"/>
    </row>
    <row r="36" spans="1:9" ht="12.75" customHeight="1" x14ac:dyDescent="0.2">
      <c r="A36" s="15"/>
      <c r="B36" s="16"/>
      <c r="C36" s="16"/>
      <c r="D36" s="59"/>
      <c r="E36" s="59"/>
      <c r="F36" s="59"/>
      <c r="G36" s="59"/>
      <c r="H36" s="59"/>
      <c r="I36" s="17"/>
    </row>
    <row r="37" spans="1:9" ht="12.75" customHeight="1" x14ac:dyDescent="0.2">
      <c r="A37" s="15" t="s">
        <v>98</v>
      </c>
      <c r="B37" s="97">
        <v>5407.4</v>
      </c>
      <c r="C37" s="60">
        <f>+B37/B$37</f>
        <v>1</v>
      </c>
      <c r="D37" s="97">
        <v>5070.7</v>
      </c>
      <c r="E37" s="60">
        <f>+D37/D$37</f>
        <v>1</v>
      </c>
      <c r="F37" s="97">
        <v>4996.6000000000004</v>
      </c>
      <c r="G37" s="60">
        <f>+F37/F$37</f>
        <v>1</v>
      </c>
      <c r="H37" s="97">
        <v>5074.5</v>
      </c>
      <c r="I37" s="61">
        <f>+H37/H$37</f>
        <v>1</v>
      </c>
    </row>
    <row r="38" spans="1:9" ht="12.75" customHeight="1" x14ac:dyDescent="0.2">
      <c r="A38" s="15"/>
      <c r="B38" s="97"/>
      <c r="C38" s="59"/>
      <c r="D38" s="97"/>
      <c r="E38" s="59"/>
      <c r="F38" s="97"/>
      <c r="G38" s="59"/>
      <c r="H38" s="97"/>
      <c r="I38" s="105"/>
    </row>
    <row r="39" spans="1:9" ht="12.75" customHeight="1" x14ac:dyDescent="0.2">
      <c r="A39" s="15" t="s">
        <v>99</v>
      </c>
      <c r="B39" s="97"/>
      <c r="C39" s="59"/>
      <c r="D39" s="97"/>
      <c r="E39" s="59"/>
      <c r="F39" s="97"/>
      <c r="G39" s="59"/>
      <c r="H39" s="97"/>
      <c r="I39" s="105"/>
    </row>
    <row r="40" spans="1:9" ht="12.75" customHeight="1" x14ac:dyDescent="0.2">
      <c r="A40" s="15" t="s">
        <v>100</v>
      </c>
      <c r="B40" s="97">
        <v>4032.7</v>
      </c>
      <c r="C40" s="60">
        <f t="shared" ref="C40:C45" si="6">+B40/B$37</f>
        <v>0.74577430927987576</v>
      </c>
      <c r="D40" s="97">
        <v>3790.2</v>
      </c>
      <c r="E40" s="60">
        <f t="shared" ref="E40:E45" si="7">+D40/D$37</f>
        <v>0.74747076340544694</v>
      </c>
      <c r="F40" s="97">
        <v>3767.2</v>
      </c>
      <c r="G40" s="60">
        <f t="shared" ref="G40:G45" si="8">+F40/F$37</f>
        <v>0.75395268782772273</v>
      </c>
      <c r="H40" s="97">
        <v>3801.4</v>
      </c>
      <c r="I40" s="61">
        <f t="shared" ref="I40:I45" si="9">+H40/H$37</f>
        <v>0.74911813971819885</v>
      </c>
    </row>
    <row r="41" spans="1:9" ht="12.75" customHeight="1" x14ac:dyDescent="0.2">
      <c r="A41" s="15" t="s">
        <v>101</v>
      </c>
      <c r="B41" s="97">
        <f>1118.6-105.8</f>
        <v>1012.8</v>
      </c>
      <c r="C41" s="60">
        <f t="shared" si="6"/>
        <v>0.18729888671080372</v>
      </c>
      <c r="D41" s="97">
        <f>1071.4-105.9</f>
        <v>965.50000000000011</v>
      </c>
      <c r="E41" s="60">
        <f t="shared" si="7"/>
        <v>0.19040763602658414</v>
      </c>
      <c r="F41" s="97">
        <f>1055.5-143.4</f>
        <v>912.1</v>
      </c>
      <c r="G41" s="60">
        <f t="shared" si="8"/>
        <v>0.18254413000840572</v>
      </c>
      <c r="H41" s="97">
        <f>1065.4-98.1</f>
        <v>967.30000000000007</v>
      </c>
      <c r="I41" s="61">
        <f t="shared" si="9"/>
        <v>0.19061976549413737</v>
      </c>
    </row>
    <row r="42" spans="1:9" ht="12.75" customHeight="1" x14ac:dyDescent="0.2">
      <c r="A42" s="15" t="s">
        <v>102</v>
      </c>
      <c r="B42" s="97">
        <f>361.9-241.1-15</f>
        <v>105.79999999999998</v>
      </c>
      <c r="C42" s="60">
        <f t="shared" si="6"/>
        <v>1.9565780227096201E-2</v>
      </c>
      <c r="D42" s="97">
        <f>315-194.1-15</f>
        <v>105.9</v>
      </c>
      <c r="E42" s="60">
        <f t="shared" si="7"/>
        <v>2.0884690476660028E-2</v>
      </c>
      <c r="F42" s="97">
        <f>284.3-125.8-15.1</f>
        <v>143.4</v>
      </c>
      <c r="G42" s="60">
        <f t="shared" si="8"/>
        <v>2.8699515670656046E-2</v>
      </c>
      <c r="H42" s="97">
        <f>305.8-192.7-15</f>
        <v>98.100000000000023</v>
      </c>
      <c r="I42" s="61">
        <f t="shared" si="9"/>
        <v>1.9331953887082476E-2</v>
      </c>
    </row>
    <row r="43" spans="1:9" ht="12.75" customHeight="1" x14ac:dyDescent="0.2">
      <c r="A43" s="15" t="s">
        <v>103</v>
      </c>
      <c r="B43" s="97">
        <v>15</v>
      </c>
      <c r="C43" s="60">
        <f t="shared" si="6"/>
        <v>2.7739764027074013E-3</v>
      </c>
      <c r="D43" s="97">
        <v>15</v>
      </c>
      <c r="E43" s="60">
        <f t="shared" si="7"/>
        <v>2.9581714556175679E-3</v>
      </c>
      <c r="F43" s="97">
        <v>15.1</v>
      </c>
      <c r="G43" s="60">
        <f t="shared" si="8"/>
        <v>3.0220549973982306E-3</v>
      </c>
      <c r="H43" s="97">
        <v>15</v>
      </c>
      <c r="I43" s="61">
        <f t="shared" si="9"/>
        <v>2.9559562518474726E-3</v>
      </c>
    </row>
    <row r="44" spans="1:9" ht="12.75" customHeight="1" x14ac:dyDescent="0.2">
      <c r="A44" s="15" t="s">
        <v>104</v>
      </c>
      <c r="B44" s="98">
        <v>0</v>
      </c>
      <c r="C44" s="60">
        <f t="shared" si="6"/>
        <v>0</v>
      </c>
      <c r="D44" s="98">
        <v>0</v>
      </c>
      <c r="E44" s="60">
        <f t="shared" si="7"/>
        <v>0</v>
      </c>
      <c r="F44" s="98">
        <v>33</v>
      </c>
      <c r="G44" s="60">
        <f t="shared" si="8"/>
        <v>6.6044910539166625E-3</v>
      </c>
      <c r="H44" s="98">
        <v>56.9</v>
      </c>
      <c r="I44" s="61">
        <f t="shared" si="9"/>
        <v>1.1212927382008079E-2</v>
      </c>
    </row>
    <row r="45" spans="1:9" ht="12.75" customHeight="1" x14ac:dyDescent="0.2">
      <c r="A45" s="15" t="s">
        <v>105</v>
      </c>
      <c r="B45" s="97">
        <f>SUM(B40:B44)</f>
        <v>5166.3</v>
      </c>
      <c r="C45" s="60">
        <f t="shared" si="6"/>
        <v>0.95541295262048309</v>
      </c>
      <c r="D45" s="97">
        <f>SUM(D40:D44)</f>
        <v>4876.5999999999995</v>
      </c>
      <c r="E45" s="60">
        <f t="shared" si="7"/>
        <v>0.96172126136430858</v>
      </c>
      <c r="F45" s="97">
        <f>SUM(F40:F44)</f>
        <v>4870.8</v>
      </c>
      <c r="G45" s="60">
        <f t="shared" si="8"/>
        <v>0.97482287955809943</v>
      </c>
      <c r="H45" s="97">
        <f>SUM(H40:H44)</f>
        <v>4938.7</v>
      </c>
      <c r="I45" s="61">
        <f t="shared" si="9"/>
        <v>0.97323874273327415</v>
      </c>
    </row>
    <row r="46" spans="1:9" ht="12.75" customHeight="1" x14ac:dyDescent="0.2">
      <c r="A46" s="15"/>
      <c r="B46" s="97"/>
      <c r="C46" s="59"/>
      <c r="D46" s="97"/>
      <c r="E46" s="59"/>
      <c r="F46" s="97"/>
      <c r="G46" s="59"/>
      <c r="H46" s="97"/>
      <c r="I46" s="105"/>
    </row>
    <row r="47" spans="1:9" ht="12.75" customHeight="1" x14ac:dyDescent="0.2">
      <c r="A47" s="15" t="s">
        <v>106</v>
      </c>
      <c r="B47" s="97">
        <f>+B37-B45</f>
        <v>241.09999999999945</v>
      </c>
      <c r="C47" s="60">
        <f>+B47/B$37</f>
        <v>4.458704737951686E-2</v>
      </c>
      <c r="D47" s="97">
        <f>+D37-D45</f>
        <v>194.10000000000036</v>
      </c>
      <c r="E47" s="60">
        <f>+D47/D$37</f>
        <v>3.8278738635691395E-2</v>
      </c>
      <c r="F47" s="97">
        <f>+F37-F45</f>
        <v>125.80000000000018</v>
      </c>
      <c r="G47" s="60">
        <f>+F47/F$37</f>
        <v>2.5177120441900527E-2</v>
      </c>
      <c r="H47" s="97">
        <f>+H37-H45</f>
        <v>135.80000000000018</v>
      </c>
      <c r="I47" s="61">
        <f>+H47/H$37</f>
        <v>2.6761257266725822E-2</v>
      </c>
    </row>
    <row r="48" spans="1:9" ht="12.75" customHeight="1" x14ac:dyDescent="0.2">
      <c r="A48" s="102" t="s">
        <v>107</v>
      </c>
      <c r="B48" s="103">
        <f>+B47+B44</f>
        <v>241.09999999999945</v>
      </c>
      <c r="C48" s="104"/>
      <c r="D48" s="103">
        <f>+D47+D44</f>
        <v>194.10000000000036</v>
      </c>
      <c r="E48" s="104"/>
      <c r="F48" s="103">
        <f>+F47+F44</f>
        <v>158.80000000000018</v>
      </c>
      <c r="G48" s="104"/>
      <c r="H48" s="103">
        <f>+H47+H44</f>
        <v>192.70000000000019</v>
      </c>
      <c r="I48" s="107"/>
    </row>
    <row r="49" spans="1:9" ht="12.75" customHeight="1" x14ac:dyDescent="0.2">
      <c r="A49" s="15"/>
      <c r="B49" s="97"/>
      <c r="C49" s="59"/>
      <c r="D49" s="97"/>
      <c r="E49" s="59"/>
      <c r="F49" s="97"/>
      <c r="G49" s="59"/>
      <c r="H49" s="97"/>
      <c r="I49" s="105"/>
    </row>
    <row r="50" spans="1:9" ht="12.75" customHeight="1" x14ac:dyDescent="0.2">
      <c r="A50" s="15" t="s">
        <v>108</v>
      </c>
      <c r="B50" s="97">
        <v>55.6</v>
      </c>
      <c r="C50" s="60">
        <f>+B50/B$37</f>
        <v>1.0282205866035433E-2</v>
      </c>
      <c r="D50" s="97">
        <v>67.3</v>
      </c>
      <c r="E50" s="60">
        <f>+D50/D$37</f>
        <v>1.3272329264204153E-2</v>
      </c>
      <c r="F50" s="97">
        <v>70.8</v>
      </c>
      <c r="G50" s="60">
        <f>+F50/F$37</f>
        <v>1.4169635352039385E-2</v>
      </c>
      <c r="H50" s="97">
        <v>66</v>
      </c>
      <c r="I50" s="61">
        <f>+H50/H$37</f>
        <v>1.300620750812888E-2</v>
      </c>
    </row>
    <row r="51" spans="1:9" ht="12.75" customHeight="1" x14ac:dyDescent="0.2">
      <c r="A51" s="15"/>
      <c r="B51" s="97"/>
      <c r="C51" s="59"/>
      <c r="D51" s="97"/>
      <c r="E51" s="59"/>
      <c r="F51" s="97"/>
      <c r="G51" s="59"/>
      <c r="H51" s="97"/>
      <c r="I51" s="105"/>
    </row>
    <row r="52" spans="1:9" ht="12.75" customHeight="1" x14ac:dyDescent="0.2">
      <c r="A52" s="15" t="s">
        <v>111</v>
      </c>
      <c r="B52" s="97">
        <f>+B47-B50</f>
        <v>185.49999999999946</v>
      </c>
      <c r="C52" s="60">
        <f>+B52/B$37</f>
        <v>3.4304841513481427E-2</v>
      </c>
      <c r="D52" s="97">
        <f>+D47-D50</f>
        <v>126.80000000000037</v>
      </c>
      <c r="E52" s="60">
        <f>+D52/D$37</f>
        <v>2.5006409371487244E-2</v>
      </c>
      <c r="F52" s="97">
        <f>+F47-F50</f>
        <v>55.000000000000185</v>
      </c>
      <c r="G52" s="60">
        <f>+F52/F$37</f>
        <v>1.1007485089861142E-2</v>
      </c>
      <c r="H52" s="97">
        <f>+H47-H50</f>
        <v>69.800000000000182</v>
      </c>
      <c r="I52" s="61">
        <f>+H52/H$37</f>
        <v>1.3755049758596942E-2</v>
      </c>
    </row>
    <row r="53" spans="1:9" ht="12.75" customHeight="1" x14ac:dyDescent="0.2">
      <c r="A53" s="15" t="s">
        <v>112</v>
      </c>
      <c r="B53" s="98">
        <v>80.8</v>
      </c>
      <c r="C53" s="60">
        <f>+B53/B$37</f>
        <v>1.4942486222583868E-2</v>
      </c>
      <c r="D53" s="98">
        <v>58.7</v>
      </c>
      <c r="E53" s="60">
        <f>+D53/D$37</f>
        <v>1.1576310962983416E-2</v>
      </c>
      <c r="F53" s="98">
        <v>28.4</v>
      </c>
      <c r="G53" s="60">
        <f>+F53/F$37</f>
        <v>5.683865028219188E-3</v>
      </c>
      <c r="H53" s="98">
        <f>69.8-33</f>
        <v>36.799999999999997</v>
      </c>
      <c r="I53" s="61">
        <f>+H53/H$37</f>
        <v>7.251946004532466E-3</v>
      </c>
    </row>
    <row r="54" spans="1:9" ht="12.75" customHeight="1" x14ac:dyDescent="0.2">
      <c r="A54" s="51" t="s">
        <v>113</v>
      </c>
      <c r="B54" s="99">
        <f>+B52-B53</f>
        <v>104.69999999999946</v>
      </c>
      <c r="C54" s="60">
        <f>+B54/B$37</f>
        <v>1.9362355290897561E-2</v>
      </c>
      <c r="D54" s="99">
        <f>+D52-D53</f>
        <v>68.100000000000364</v>
      </c>
      <c r="E54" s="60">
        <f>+D54/D$37</f>
        <v>1.3430098408503829E-2</v>
      </c>
      <c r="F54" s="99">
        <f>+F52-F53</f>
        <v>26.600000000000186</v>
      </c>
      <c r="G54" s="60">
        <f>+F54/F$37</f>
        <v>5.3236200616419531E-3</v>
      </c>
      <c r="H54" s="99">
        <f>+H52-H53</f>
        <v>33.000000000000185</v>
      </c>
      <c r="I54" s="61">
        <f>+H54/H$37</f>
        <v>6.5031037540644763E-3</v>
      </c>
    </row>
    <row r="55" spans="1:9" ht="12.75" customHeight="1" x14ac:dyDescent="0.2">
      <c r="A55" s="51"/>
      <c r="B55" s="99"/>
      <c r="C55" s="60"/>
      <c r="D55" s="99"/>
      <c r="E55" s="60"/>
      <c r="F55" s="99"/>
      <c r="G55" s="60"/>
      <c r="H55" s="99"/>
      <c r="I55" s="61"/>
    </row>
    <row r="56" spans="1:9" ht="12.75" customHeight="1" x14ac:dyDescent="0.2">
      <c r="A56" s="71"/>
      <c r="B56" s="72"/>
      <c r="C56" s="72"/>
      <c r="D56" s="72"/>
      <c r="E56" s="72"/>
      <c r="F56" s="72"/>
      <c r="G56" s="72"/>
      <c r="H56" s="72"/>
      <c r="I56" s="73"/>
    </row>
    <row r="57" spans="1:9" ht="12.75" customHeight="1" x14ac:dyDescent="0.2">
      <c r="A57" s="95" t="str">
        <f>"Appendix 4:  "&amp;+Inputs!E4&amp;"  Ratio Analysis"</f>
        <v>Appendix 4:  Vons Companies, Inc.  Ratio Analysis</v>
      </c>
      <c r="B57" s="92"/>
      <c r="C57" s="92"/>
      <c r="D57" s="92"/>
      <c r="E57" s="92"/>
      <c r="F57" s="92"/>
      <c r="G57" s="92"/>
      <c r="H57" s="92"/>
      <c r="I57" s="93"/>
    </row>
    <row r="58" spans="1:9" ht="12.75" customHeight="1" x14ac:dyDescent="0.2">
      <c r="A58" s="62"/>
      <c r="B58" s="63"/>
      <c r="C58" s="63"/>
      <c r="D58" s="63"/>
      <c r="E58" s="63"/>
      <c r="F58" s="63"/>
      <c r="G58" s="63"/>
      <c r="H58" s="63"/>
      <c r="I58" s="65"/>
    </row>
    <row r="59" spans="1:9" ht="12.75" customHeight="1" x14ac:dyDescent="0.2">
      <c r="A59" s="62"/>
      <c r="B59" s="101">
        <f>+B35</f>
        <v>35400</v>
      </c>
      <c r="C59" s="64"/>
      <c r="D59" s="101">
        <f>+D35</f>
        <v>35035</v>
      </c>
      <c r="E59" s="64"/>
      <c r="F59" s="101">
        <f>+F35</f>
        <v>34670</v>
      </c>
      <c r="G59" s="64"/>
      <c r="H59" s="101">
        <f>+H35</f>
        <v>34305</v>
      </c>
      <c r="I59" s="65"/>
    </row>
    <row r="60" spans="1:9" ht="12.75" customHeight="1" x14ac:dyDescent="0.2">
      <c r="A60" s="62"/>
      <c r="B60"/>
      <c r="C60"/>
      <c r="D60"/>
      <c r="E60"/>
      <c r="F60"/>
      <c r="G60"/>
      <c r="H60"/>
      <c r="I60" s="65"/>
    </row>
    <row r="61" spans="1:9" ht="12.75" customHeight="1" x14ac:dyDescent="0.2">
      <c r="A61" s="78" t="s">
        <v>114</v>
      </c>
      <c r="B61" s="74">
        <f>(B54+(B50*(1-(B53/(B52+B43)))))/+B37</f>
        <v>2.5500909117154111E-2</v>
      </c>
      <c r="C61" s="67"/>
      <c r="D61" s="74">
        <f>(D54+(D50*(1-(D53/(D52+D43)))))/+D37</f>
        <v>2.1208170071799787E-2</v>
      </c>
      <c r="E61" s="67"/>
      <c r="F61" s="74">
        <f>(F54+(F50*(1-(F53/(F52+F43)))))/+F37</f>
        <v>1.3752632817420033E-2</v>
      </c>
      <c r="G61" s="67"/>
      <c r="H61" s="74">
        <f>(H54+(H50*(1-(H53/(H52+H43)))))/+H37</f>
        <v>1.3865108003948761E-2</v>
      </c>
      <c r="I61" s="79"/>
    </row>
    <row r="62" spans="1:9" ht="12.75" customHeight="1" x14ac:dyDescent="0.2">
      <c r="A62" s="78" t="s">
        <v>115</v>
      </c>
      <c r="B62" s="75">
        <f>(+B37)/((B31+D31)/2)</f>
        <v>2.4737070838765756</v>
      </c>
      <c r="C62" s="68"/>
      <c r="D62" s="75">
        <f>(+D37)/((D31+F31)/2)</f>
        <v>2.3004196438697968</v>
      </c>
      <c r="E62" s="68"/>
      <c r="F62" s="75">
        <f>(+F37)/((F31+H31)/2)</f>
        <v>2.2348652577434867</v>
      </c>
      <c r="G62" s="68"/>
      <c r="H62" s="75">
        <f>(+H37)/((H31+2066)/2)</f>
        <v>2.3517553006604102</v>
      </c>
      <c r="I62" s="79"/>
    </row>
    <row r="63" spans="1:9" ht="12.75" customHeight="1" x14ac:dyDescent="0.2">
      <c r="A63" s="78" t="s">
        <v>116</v>
      </c>
      <c r="B63" s="77">
        <f>+B61*B62</f>
        <v>6.3081779528396872E-2</v>
      </c>
      <c r="C63" s="68"/>
      <c r="D63" s="77">
        <f>+D61*D62</f>
        <v>4.8787691043699746E-2</v>
      </c>
      <c r="E63" s="68"/>
      <c r="F63" s="77">
        <f>+F61*F62</f>
        <v>3.0735281286154957E-2</v>
      </c>
      <c r="G63" s="68"/>
      <c r="H63" s="77">
        <f>+H61*H62</f>
        <v>3.2607341242515575E-2</v>
      </c>
      <c r="I63" s="79"/>
    </row>
    <row r="64" spans="1:9" ht="12.75" customHeight="1" x14ac:dyDescent="0.2">
      <c r="A64" s="78" t="s">
        <v>117</v>
      </c>
      <c r="B64" s="75">
        <f>((B31+D31)/2)/((B30+D30)/2)</f>
        <v>3.2106190790923113</v>
      </c>
      <c r="C64" s="68"/>
      <c r="D64" s="75">
        <f>((D31+F31)/2)/((D30+F30)/2)</f>
        <v>3.7496810410819092</v>
      </c>
      <c r="E64" s="68"/>
      <c r="F64" s="75">
        <f>((F31+H31)/2)/((F30+H30)/2)</f>
        <v>4.1506544138123092</v>
      </c>
      <c r="G64" s="68"/>
      <c r="H64" s="75">
        <f>((H31+2066)/2)/((H30+493.2)/2)</f>
        <v>4.2387781160986151</v>
      </c>
      <c r="I64" s="79"/>
    </row>
    <row r="65" spans="1:9" ht="12.75" customHeight="1" x14ac:dyDescent="0.2">
      <c r="A65" s="78" t="s">
        <v>118</v>
      </c>
      <c r="B65" s="77">
        <f>+B63*B64</f>
        <v>0.20253156489696578</v>
      </c>
      <c r="C65" s="68"/>
      <c r="D65" s="77">
        <f>+D63*D64</f>
        <v>0.1829382801447226</v>
      </c>
      <c r="E65" s="68"/>
      <c r="F65" s="77">
        <f>+F63*F64</f>
        <v>0.12757153093014195</v>
      </c>
      <c r="G65" s="68"/>
      <c r="H65" s="77">
        <f>+H63*H64</f>
        <v>0.13821528448293485</v>
      </c>
      <c r="I65" s="79"/>
    </row>
    <row r="66" spans="1:9" ht="12.75" customHeight="1" x14ac:dyDescent="0.2">
      <c r="A66" s="78"/>
      <c r="B66" s="68"/>
      <c r="C66" s="68"/>
      <c r="D66" s="68"/>
      <c r="E66" s="68"/>
      <c r="F66" s="68"/>
      <c r="G66" s="68"/>
      <c r="H66" s="69"/>
      <c r="I66" s="79"/>
    </row>
    <row r="67" spans="1:9" ht="12.75" customHeight="1" x14ac:dyDescent="0.2">
      <c r="A67" s="78" t="s">
        <v>119</v>
      </c>
      <c r="B67" s="68"/>
      <c r="C67" s="68"/>
      <c r="D67" s="68"/>
      <c r="E67" s="68"/>
      <c r="F67" s="68"/>
      <c r="G67" s="68"/>
      <c r="H67" s="68"/>
      <c r="I67" s="79"/>
    </row>
    <row r="68" spans="1:9" ht="12.75" customHeight="1" x14ac:dyDescent="0.2">
      <c r="A68" s="78" t="s">
        <v>120</v>
      </c>
      <c r="B68" s="76">
        <f>(+B37-D37)/D37</f>
        <v>6.6401088607095635E-2</v>
      </c>
      <c r="C68" s="68"/>
      <c r="D68" s="76">
        <f>(+D37-F37)/F37</f>
        <v>1.4830084457430942E-2</v>
      </c>
      <c r="E68" s="68"/>
      <c r="F68" s="76">
        <f>(+F37-H37)/H37</f>
        <v>-1.535126613459447E-2</v>
      </c>
      <c r="G68" s="68"/>
      <c r="H68" s="84"/>
      <c r="I68" s="79"/>
    </row>
    <row r="69" spans="1:9" ht="12.75" customHeight="1" x14ac:dyDescent="0.2">
      <c r="A69" s="78" t="s">
        <v>121</v>
      </c>
      <c r="B69" s="76">
        <f>(+B48-D48)/D48</f>
        <v>0.24214322514167441</v>
      </c>
      <c r="C69" s="68"/>
      <c r="D69" s="76">
        <f>(+D48-F48)/F48</f>
        <v>0.22229219143576914</v>
      </c>
      <c r="E69" s="68"/>
      <c r="F69" s="76">
        <f>(+F48-H48)/H48</f>
        <v>-0.17592112091333664</v>
      </c>
      <c r="G69" s="68"/>
      <c r="H69" s="68"/>
      <c r="I69" s="79"/>
    </row>
    <row r="70" spans="1:9" ht="12.75" customHeight="1" x14ac:dyDescent="0.2">
      <c r="A70" s="78" t="s">
        <v>122</v>
      </c>
      <c r="B70" s="76">
        <f>(+B54-D54)/D54</f>
        <v>0.53744493392068871</v>
      </c>
      <c r="C70" s="68"/>
      <c r="D70" s="76">
        <f>(+D54-F54)/F54</f>
        <v>1.5601503759398454</v>
      </c>
      <c r="E70" s="68"/>
      <c r="F70" s="76">
        <f>(+F54-H54)/H54</f>
        <v>-0.1939393939393928</v>
      </c>
      <c r="G70" s="68"/>
      <c r="H70" s="68"/>
      <c r="I70" s="79"/>
    </row>
    <row r="71" spans="1:9" ht="12.75" customHeight="1" x14ac:dyDescent="0.2">
      <c r="A71" s="78"/>
      <c r="B71" s="68"/>
      <c r="C71" s="68"/>
      <c r="D71" s="68"/>
      <c r="E71" s="68"/>
      <c r="F71" s="68"/>
      <c r="G71" s="68"/>
      <c r="H71" s="68"/>
      <c r="I71" s="79"/>
    </row>
    <row r="72" spans="1:9" ht="12.75" customHeight="1" x14ac:dyDescent="0.2">
      <c r="A72" s="78" t="s">
        <v>124</v>
      </c>
      <c r="B72" s="68">
        <f>+D75</f>
        <v>328</v>
      </c>
      <c r="C72" s="68"/>
      <c r="D72" s="68">
        <f>+F75</f>
        <v>334</v>
      </c>
      <c r="E72" s="68"/>
      <c r="F72" s="68">
        <f>+H75</f>
        <v>345</v>
      </c>
      <c r="G72" s="68"/>
      <c r="H72" s="68">
        <v>345</v>
      </c>
      <c r="I72" s="79"/>
    </row>
    <row r="73" spans="1:9" ht="12.75" customHeight="1" x14ac:dyDescent="0.2">
      <c r="A73" s="78" t="s">
        <v>125</v>
      </c>
      <c r="B73" s="68">
        <v>10</v>
      </c>
      <c r="C73" s="68"/>
      <c r="D73" s="68">
        <v>13</v>
      </c>
      <c r="E73" s="68"/>
      <c r="F73" s="68">
        <v>6</v>
      </c>
      <c r="G73" s="68"/>
      <c r="H73" s="68">
        <v>12</v>
      </c>
      <c r="I73" s="79"/>
    </row>
    <row r="74" spans="1:9" ht="12.75" customHeight="1" x14ac:dyDescent="0.2">
      <c r="A74" s="78" t="s">
        <v>126</v>
      </c>
      <c r="B74" s="70">
        <v>-18</v>
      </c>
      <c r="C74" s="70"/>
      <c r="D74" s="70">
        <v>-19</v>
      </c>
      <c r="E74" s="70"/>
      <c r="F74" s="70">
        <v>-17</v>
      </c>
      <c r="G74" s="70"/>
      <c r="H74" s="70">
        <v>-12</v>
      </c>
      <c r="I74" s="79"/>
    </row>
    <row r="75" spans="1:9" ht="12.75" customHeight="1" x14ac:dyDescent="0.2">
      <c r="A75" s="78" t="s">
        <v>127</v>
      </c>
      <c r="B75" s="108">
        <f>SUM(B72:B74)</f>
        <v>320</v>
      </c>
      <c r="C75" s="68"/>
      <c r="D75" s="108">
        <f>SUM(D72:D74)</f>
        <v>328</v>
      </c>
      <c r="E75" s="68"/>
      <c r="F75" s="108">
        <f>SUM(F72:F74)</f>
        <v>334</v>
      </c>
      <c r="G75" s="68"/>
      <c r="H75" s="108">
        <f>SUM(H72:H74)</f>
        <v>345</v>
      </c>
      <c r="I75" s="83"/>
    </row>
    <row r="76" spans="1:9" ht="12.75" customHeight="1" x14ac:dyDescent="0.2">
      <c r="A76" s="78"/>
      <c r="B76" s="68"/>
      <c r="C76" s="68"/>
      <c r="D76" s="68"/>
      <c r="E76" s="68"/>
      <c r="F76" s="68"/>
      <c r="G76" s="68"/>
      <c r="H76" s="68"/>
      <c r="I76" s="83"/>
    </row>
    <row r="77" spans="1:9" ht="12.75" customHeight="1" x14ac:dyDescent="0.2">
      <c r="A77" s="78" t="s">
        <v>128</v>
      </c>
      <c r="B77" s="68">
        <v>68</v>
      </c>
      <c r="C77" s="70"/>
      <c r="D77" s="68">
        <v>37</v>
      </c>
      <c r="E77" s="70"/>
      <c r="F77" s="68">
        <v>14</v>
      </c>
      <c r="G77" s="70"/>
      <c r="H77" s="68">
        <v>59</v>
      </c>
      <c r="I77" s="83"/>
    </row>
    <row r="78" spans="1:9" ht="12.75" customHeight="1" x14ac:dyDescent="0.2">
      <c r="A78" s="78" t="s">
        <v>129</v>
      </c>
      <c r="B78" s="68">
        <f>+B73+D73+F73+H73+B77+D77+F77+H77+8+68</f>
        <v>295</v>
      </c>
      <c r="C78" s="70"/>
      <c r="D78" s="68"/>
      <c r="E78" s="70"/>
      <c r="F78" s="68"/>
      <c r="G78" s="70"/>
      <c r="H78" s="68"/>
      <c r="I78" s="83"/>
    </row>
    <row r="79" spans="1:9" ht="12.75" customHeight="1" x14ac:dyDescent="0.2">
      <c r="A79" s="80" t="s">
        <v>130</v>
      </c>
      <c r="B79" s="109">
        <f>+B78/B75</f>
        <v>0.921875</v>
      </c>
      <c r="C79" s="81"/>
      <c r="D79" s="85"/>
      <c r="E79" s="81"/>
      <c r="F79" s="85"/>
      <c r="G79" s="81"/>
      <c r="H79" s="85"/>
      <c r="I79" s="82"/>
    </row>
    <row r="80" spans="1:9" ht="12.75" customHeight="1" x14ac:dyDescent="0.2">
      <c r="A80" s="22"/>
      <c r="B80" s="68"/>
      <c r="C80" s="68"/>
      <c r="D80" s="68"/>
      <c r="E80" s="68"/>
      <c r="F80" s="68"/>
      <c r="G80" s="68"/>
      <c r="H80" s="66"/>
      <c r="I80" s="68"/>
    </row>
    <row r="81" spans="1:9" ht="12.75" customHeight="1" x14ac:dyDescent="0.2">
      <c r="A81" s="22"/>
      <c r="B81" s="68"/>
      <c r="C81" s="68"/>
      <c r="D81" s="68"/>
      <c r="E81" s="68"/>
      <c r="F81" s="68"/>
      <c r="G81" s="68"/>
      <c r="H81" s="66"/>
      <c r="I81" s="68"/>
    </row>
    <row r="82" spans="1:9" ht="12.75" customHeight="1" x14ac:dyDescent="0.2">
      <c r="A82" s="22"/>
      <c r="B82" s="68"/>
      <c r="C82" s="68"/>
      <c r="D82" s="68"/>
      <c r="E82" s="68"/>
      <c r="F82" s="68"/>
      <c r="G82" s="68"/>
      <c r="H82" s="66"/>
      <c r="I82" s="68"/>
    </row>
    <row r="83" spans="1:9" ht="12.75" customHeight="1" x14ac:dyDescent="0.2">
      <c r="A83" s="22"/>
      <c r="B83" s="68"/>
      <c r="C83" s="68"/>
      <c r="D83" s="68"/>
      <c r="E83" s="68"/>
      <c r="F83" s="68"/>
      <c r="G83" s="68"/>
      <c r="H83" s="66"/>
      <c r="I83" s="68"/>
    </row>
    <row r="84" spans="1:9" ht="12.75" customHeight="1" x14ac:dyDescent="0.2">
      <c r="A84" s="22"/>
      <c r="B84" s="70"/>
      <c r="C84" s="70"/>
      <c r="D84" s="70"/>
      <c r="E84" s="70"/>
      <c r="F84" s="70"/>
      <c r="G84" s="70"/>
      <c r="H84" s="66"/>
      <c r="I84" s="68"/>
    </row>
    <row r="85" spans="1:9" ht="12.75" customHeight="1" x14ac:dyDescent="0.2">
      <c r="A85" s="22"/>
      <c r="B85" s="68"/>
      <c r="C85" s="68"/>
      <c r="D85" s="68"/>
      <c r="E85" s="68"/>
      <c r="F85" s="68"/>
      <c r="G85" s="68"/>
      <c r="H85" s="66"/>
      <c r="I85" s="68"/>
    </row>
    <row r="86" spans="1:9" ht="12.75" customHeight="1" x14ac:dyDescent="0.2">
      <c r="A86" s="66"/>
      <c r="B86" s="66"/>
      <c r="C86" s="66"/>
      <c r="D86" s="66"/>
      <c r="E86" s="66"/>
      <c r="F86" s="66"/>
      <c r="G86" s="66"/>
      <c r="H86" s="66"/>
      <c r="I86" s="68"/>
    </row>
    <row r="87" spans="1:9" ht="12.75" customHeight="1" x14ac:dyDescent="0.2">
      <c r="A87" s="66"/>
      <c r="B87" s="66"/>
      <c r="C87" s="66"/>
      <c r="D87" s="66"/>
      <c r="E87" s="66"/>
      <c r="F87" s="66"/>
      <c r="G87" s="66"/>
      <c r="H87" s="66"/>
      <c r="I87" s="68"/>
    </row>
    <row r="88" spans="1:9" ht="12.75" customHeight="1" x14ac:dyDescent="0.2">
      <c r="A88" s="66"/>
      <c r="B88" s="66"/>
      <c r="C88" s="66"/>
      <c r="D88" s="66"/>
      <c r="E88" s="66"/>
      <c r="F88" s="66"/>
      <c r="G88" s="66"/>
      <c r="H88" s="66"/>
      <c r="I88" s="68"/>
    </row>
    <row r="89" spans="1:9" ht="12.75" customHeight="1" x14ac:dyDescent="0.2">
      <c r="A89" s="66"/>
      <c r="B89" s="66"/>
      <c r="C89" s="66"/>
      <c r="D89" s="66"/>
      <c r="E89" s="66"/>
      <c r="F89" s="66"/>
      <c r="G89" s="66"/>
      <c r="H89" s="66"/>
      <c r="I89" s="68"/>
    </row>
    <row r="90" spans="1:9" ht="12.75" customHeight="1" x14ac:dyDescent="0.2">
      <c r="A90" s="66"/>
      <c r="B90" s="66"/>
      <c r="C90" s="66"/>
      <c r="D90" s="66"/>
      <c r="E90" s="66"/>
      <c r="F90" s="66"/>
      <c r="G90" s="66"/>
      <c r="H90" s="66"/>
      <c r="I90" s="68"/>
    </row>
    <row r="91" spans="1:9" ht="12.75" customHeight="1" x14ac:dyDescent="0.2">
      <c r="A91" s="66"/>
      <c r="B91" s="66"/>
      <c r="C91" s="66"/>
      <c r="D91" s="66"/>
      <c r="E91" s="66"/>
      <c r="F91" s="66"/>
      <c r="G91" s="66"/>
      <c r="H91" s="66"/>
      <c r="I91" s="68"/>
    </row>
    <row r="92" spans="1:9" ht="12.75" customHeight="1" x14ac:dyDescent="0.2">
      <c r="A92" s="66"/>
      <c r="B92" s="66"/>
      <c r="C92" s="66"/>
      <c r="D92" s="66"/>
      <c r="E92" s="66"/>
      <c r="F92" s="66"/>
      <c r="G92" s="66"/>
      <c r="H92" s="66"/>
      <c r="I92" s="68"/>
    </row>
    <row r="93" spans="1:9" ht="12.75" customHeight="1" x14ac:dyDescent="0.2">
      <c r="A93" s="66"/>
      <c r="B93" s="66"/>
      <c r="C93" s="66"/>
      <c r="D93" s="66"/>
      <c r="E93" s="66"/>
      <c r="F93" s="66"/>
      <c r="G93" s="66"/>
      <c r="H93" s="66"/>
      <c r="I93" s="68"/>
    </row>
    <row r="94" spans="1:9" ht="12.75" customHeight="1" x14ac:dyDescent="0.2">
      <c r="A94" s="66"/>
      <c r="B94" s="66"/>
      <c r="C94" s="66"/>
      <c r="D94" s="66"/>
      <c r="E94" s="66"/>
      <c r="F94" s="66"/>
      <c r="G94" s="66"/>
      <c r="H94" s="66"/>
      <c r="I94" s="68"/>
    </row>
    <row r="95" spans="1:9" ht="12.75" customHeight="1" x14ac:dyDescent="0.2">
      <c r="A95" s="66"/>
      <c r="B95" s="66"/>
      <c r="C95" s="66"/>
      <c r="D95" s="66"/>
      <c r="E95" s="66"/>
      <c r="F95" s="66"/>
      <c r="G95" s="66"/>
      <c r="H95" s="66"/>
      <c r="I95" s="22"/>
    </row>
    <row r="96" spans="1:9" ht="12.75" customHeight="1" x14ac:dyDescent="0.2">
      <c r="A96" s="66"/>
      <c r="B96" s="66"/>
      <c r="C96" s="66"/>
      <c r="D96" s="66"/>
      <c r="E96" s="66"/>
      <c r="F96" s="66"/>
      <c r="G96" s="66"/>
      <c r="H96" s="66"/>
      <c r="I96" s="22"/>
    </row>
    <row r="97" spans="1:9" ht="12.75" customHeight="1" x14ac:dyDescent="0.2">
      <c r="A97" s="66"/>
      <c r="B97" s="66"/>
      <c r="C97" s="66"/>
      <c r="D97" s="66"/>
      <c r="E97" s="66"/>
      <c r="F97" s="66"/>
      <c r="G97" s="66"/>
      <c r="H97" s="66"/>
      <c r="I97" s="22"/>
    </row>
    <row r="98" spans="1:9" ht="12.75" customHeight="1" x14ac:dyDescent="0.2">
      <c r="A98" s="66"/>
      <c r="B98" s="66"/>
      <c r="C98" s="66"/>
      <c r="D98" s="66"/>
      <c r="E98" s="66"/>
      <c r="F98" s="66"/>
      <c r="G98" s="66"/>
      <c r="H98" s="66"/>
      <c r="I98" s="22"/>
    </row>
    <row r="99" spans="1:9" ht="12.75" customHeight="1" x14ac:dyDescent="0.2">
      <c r="A99" s="66"/>
      <c r="B99" s="66"/>
      <c r="C99" s="66"/>
      <c r="D99" s="66"/>
      <c r="E99" s="66"/>
      <c r="F99" s="66"/>
      <c r="G99" s="66"/>
      <c r="H99" s="66"/>
      <c r="I99" s="22"/>
    </row>
    <row r="100" spans="1:9" ht="12.75" customHeight="1" x14ac:dyDescent="0.2">
      <c r="A100" s="66"/>
      <c r="B100" s="66"/>
      <c r="C100" s="66"/>
      <c r="D100" s="66"/>
      <c r="E100" s="66"/>
      <c r="F100" s="66"/>
      <c r="G100" s="66"/>
      <c r="H100" s="66"/>
      <c r="I100" s="22"/>
    </row>
    <row r="101" spans="1:9" ht="12.75" customHeight="1" x14ac:dyDescent="0.2">
      <c r="A101" s="66"/>
      <c r="B101" s="66"/>
      <c r="C101" s="66"/>
      <c r="D101" s="66"/>
      <c r="E101" s="66"/>
      <c r="F101" s="66"/>
      <c r="G101" s="66"/>
      <c r="H101" s="66"/>
      <c r="I101" s="22"/>
    </row>
    <row r="102" spans="1:9" ht="12.75" customHeight="1" x14ac:dyDescent="0.2">
      <c r="A102" s="66"/>
      <c r="B102" s="66"/>
      <c r="C102" s="66"/>
      <c r="D102" s="66"/>
      <c r="E102" s="66"/>
      <c r="F102" s="66"/>
      <c r="G102" s="66"/>
      <c r="H102" s="66"/>
      <c r="I102" s="22"/>
    </row>
    <row r="103" spans="1:9" ht="12.75" customHeight="1" x14ac:dyDescent="0.2">
      <c r="A103" s="22"/>
      <c r="B103" s="68"/>
      <c r="C103" s="68"/>
      <c r="D103" s="68"/>
      <c r="E103" s="68"/>
      <c r="F103" s="68"/>
      <c r="G103" s="68"/>
      <c r="H103" s="66"/>
      <c r="I103" s="22"/>
    </row>
    <row r="104" spans="1:9" ht="12.75" customHeight="1" x14ac:dyDescent="0.2">
      <c r="A104" s="22"/>
      <c r="B104" s="68"/>
      <c r="C104" s="68"/>
      <c r="D104" s="68"/>
      <c r="E104" s="68"/>
      <c r="F104" s="68"/>
      <c r="G104" s="68"/>
      <c r="H104" s="66"/>
      <c r="I104" s="22"/>
    </row>
    <row r="105" spans="1:9" ht="12.75" customHeight="1" x14ac:dyDescent="0.2">
      <c r="A105" s="22"/>
      <c r="B105" s="68"/>
      <c r="C105" s="68"/>
      <c r="D105" s="68"/>
      <c r="E105" s="68"/>
      <c r="F105" s="68"/>
      <c r="G105" s="68"/>
      <c r="H105" s="66"/>
      <c r="I105" s="22"/>
    </row>
    <row r="106" spans="1:9" ht="12.75" customHeight="1" x14ac:dyDescent="0.2">
      <c r="A106" s="22"/>
      <c r="B106" s="68"/>
      <c r="C106" s="68"/>
      <c r="D106" s="68"/>
      <c r="E106" s="68"/>
      <c r="F106" s="68"/>
      <c r="G106" s="68"/>
      <c r="H106" s="66"/>
      <c r="I106" s="22"/>
    </row>
    <row r="107" spans="1:9" ht="12.75" customHeight="1" x14ac:dyDescent="0.2">
      <c r="A107" s="22"/>
      <c r="B107" s="68"/>
      <c r="C107" s="68"/>
      <c r="D107" s="68"/>
      <c r="E107" s="68"/>
      <c r="F107" s="68"/>
      <c r="G107" s="68"/>
      <c r="H107" s="66"/>
      <c r="I107" s="22"/>
    </row>
    <row r="108" spans="1:9" ht="12.75" customHeight="1" x14ac:dyDescent="0.2">
      <c r="A108" s="22"/>
      <c r="B108" s="68"/>
      <c r="C108" s="68"/>
      <c r="D108" s="68"/>
      <c r="E108" s="68"/>
      <c r="F108" s="68"/>
      <c r="G108" s="68"/>
      <c r="H108" s="66"/>
      <c r="I108" s="22"/>
    </row>
    <row r="109" spans="1:9" ht="12.75" customHeight="1" x14ac:dyDescent="0.2">
      <c r="A109" s="22"/>
      <c r="B109" s="68"/>
      <c r="C109" s="68"/>
      <c r="D109" s="68"/>
      <c r="E109" s="68"/>
      <c r="F109" s="68"/>
      <c r="G109" s="68"/>
      <c r="H109" s="68"/>
      <c r="I109" s="22"/>
    </row>
    <row r="110" spans="1:9" ht="12.75" customHeight="1" x14ac:dyDescent="0.2">
      <c r="A110" s="22"/>
      <c r="B110" s="68"/>
      <c r="C110" s="68"/>
      <c r="D110" s="68"/>
      <c r="E110" s="68"/>
      <c r="F110" s="68"/>
      <c r="G110" s="68"/>
      <c r="H110" s="68"/>
      <c r="I110" s="22"/>
    </row>
    <row r="111" spans="1:9" ht="12.75" customHeight="1" x14ac:dyDescent="0.2">
      <c r="A111" s="22"/>
      <c r="B111" s="68"/>
      <c r="C111" s="68"/>
      <c r="D111" s="68"/>
      <c r="E111" s="68"/>
      <c r="F111" s="68"/>
      <c r="G111" s="68"/>
      <c r="H111" s="68"/>
      <c r="I111" s="22"/>
    </row>
    <row r="112" spans="1:9" ht="12.75" customHeight="1" x14ac:dyDescent="0.2">
      <c r="A112" s="22"/>
      <c r="B112" s="68"/>
      <c r="C112" s="68"/>
      <c r="D112" s="68"/>
      <c r="E112" s="68"/>
      <c r="F112" s="68"/>
      <c r="G112" s="68"/>
      <c r="H112" s="68"/>
      <c r="I112" s="22"/>
    </row>
    <row r="113" spans="1:9" ht="12.75" customHeight="1" x14ac:dyDescent="0.2">
      <c r="A113" s="22"/>
      <c r="B113" s="68"/>
      <c r="C113" s="68"/>
      <c r="D113" s="68"/>
      <c r="E113" s="68"/>
      <c r="F113" s="68"/>
      <c r="G113" s="68"/>
      <c r="H113" s="68"/>
      <c r="I113" s="22"/>
    </row>
    <row r="114" spans="1:9" ht="12.75" customHeight="1" x14ac:dyDescent="0.2">
      <c r="A114" s="22"/>
      <c r="B114" s="68"/>
      <c r="C114" s="68"/>
      <c r="D114" s="68"/>
      <c r="E114" s="68"/>
      <c r="F114" s="68"/>
      <c r="G114" s="68"/>
      <c r="H114" s="68"/>
      <c r="I114" s="22"/>
    </row>
    <row r="115" spans="1:9" ht="12.75" customHeight="1" x14ac:dyDescent="0.2">
      <c r="A115" s="22"/>
      <c r="B115" s="68"/>
      <c r="C115" s="68"/>
      <c r="D115" s="68"/>
      <c r="E115" s="68"/>
      <c r="F115" s="68"/>
      <c r="G115" s="68"/>
      <c r="H115" s="68"/>
      <c r="I115" s="22"/>
    </row>
    <row r="116" spans="1:9" ht="12.75" customHeight="1" x14ac:dyDescent="0.2">
      <c r="A116" s="66"/>
      <c r="B116" s="66"/>
      <c r="C116" s="66"/>
      <c r="D116" s="66"/>
      <c r="E116" s="66"/>
      <c r="F116" s="66"/>
      <c r="G116" s="66"/>
      <c r="H116" s="66"/>
      <c r="I116" s="22"/>
    </row>
    <row r="117" spans="1:9" ht="12.75" customHeight="1" x14ac:dyDescent="0.2">
      <c r="A117" s="66"/>
      <c r="B117" s="66"/>
      <c r="C117" s="66"/>
      <c r="D117" s="66"/>
      <c r="E117" s="66"/>
      <c r="F117" s="66"/>
      <c r="G117" s="66"/>
      <c r="H117" s="66"/>
      <c r="I117" s="22"/>
    </row>
    <row r="118" spans="1:9" ht="12.75" customHeight="1" x14ac:dyDescent="0.2">
      <c r="A118" s="66"/>
      <c r="B118" s="66"/>
      <c r="C118" s="66"/>
      <c r="D118" s="66"/>
      <c r="E118" s="66"/>
      <c r="F118" s="66"/>
      <c r="G118" s="66"/>
      <c r="H118" s="66"/>
      <c r="I118" s="22"/>
    </row>
    <row r="119" spans="1:9" ht="12.75" customHeight="1" x14ac:dyDescent="0.2">
      <c r="A119" s="66"/>
      <c r="B119" s="66"/>
      <c r="C119" s="66"/>
      <c r="D119" s="66"/>
      <c r="E119" s="66"/>
      <c r="F119" s="66"/>
      <c r="G119" s="66"/>
      <c r="H119" s="66"/>
      <c r="I119" s="22"/>
    </row>
    <row r="120" spans="1:9" ht="12.75" customHeight="1" x14ac:dyDescent="0.2">
      <c r="A120" s="22"/>
      <c r="B120" s="68"/>
      <c r="C120" s="68"/>
      <c r="D120" s="68"/>
      <c r="E120" s="68"/>
      <c r="F120" s="68"/>
      <c r="G120" s="68"/>
      <c r="H120" s="68"/>
      <c r="I120" s="22"/>
    </row>
    <row r="121" spans="1:9" ht="12.75" customHeight="1" x14ac:dyDescent="0.2">
      <c r="A121" s="22"/>
      <c r="B121" s="68"/>
      <c r="C121" s="68"/>
      <c r="D121" s="68"/>
      <c r="E121" s="68"/>
      <c r="F121" s="68"/>
      <c r="G121" s="68"/>
      <c r="H121" s="68"/>
      <c r="I121" s="22"/>
    </row>
    <row r="122" spans="1:9" ht="12.75" customHeight="1" x14ac:dyDescent="0.2">
      <c r="A122" s="22"/>
      <c r="B122" s="68"/>
      <c r="C122" s="68"/>
      <c r="D122" s="68"/>
      <c r="E122" s="68"/>
      <c r="F122" s="68"/>
      <c r="G122" s="68"/>
      <c r="H122" s="68"/>
      <c r="I122" s="22"/>
    </row>
    <row r="123" spans="1:9" ht="12.75" customHeight="1" x14ac:dyDescent="0.2">
      <c r="A123" s="22"/>
      <c r="B123" s="68"/>
      <c r="C123" s="68"/>
      <c r="D123" s="68"/>
      <c r="E123" s="68"/>
      <c r="F123" s="68"/>
      <c r="G123" s="68"/>
      <c r="H123" s="68"/>
      <c r="I123" s="22"/>
    </row>
    <row r="124" spans="1:9" ht="12.75" customHeight="1" x14ac:dyDescent="0.2">
      <c r="A124" s="22"/>
      <c r="B124" s="68"/>
      <c r="C124" s="68"/>
      <c r="D124" s="68"/>
      <c r="E124" s="68"/>
      <c r="F124" s="68"/>
      <c r="G124" s="68"/>
      <c r="H124" s="68"/>
      <c r="I124" s="22"/>
    </row>
    <row r="125" spans="1:9" ht="12.75" customHeight="1" x14ac:dyDescent="0.2">
      <c r="A125" s="22"/>
      <c r="B125" s="68"/>
      <c r="C125" s="68"/>
      <c r="D125" s="68"/>
      <c r="E125" s="68"/>
      <c r="F125" s="68"/>
      <c r="G125" s="68"/>
      <c r="H125" s="68"/>
      <c r="I125" s="22"/>
    </row>
    <row r="126" spans="1:9" ht="12.75" customHeight="1" x14ac:dyDescent="0.2">
      <c r="A126" s="22"/>
      <c r="B126" s="68"/>
      <c r="C126" s="68"/>
      <c r="D126" s="68"/>
      <c r="E126" s="68"/>
      <c r="F126" s="68"/>
      <c r="G126" s="68"/>
      <c r="H126" s="68"/>
      <c r="I126" s="22"/>
    </row>
    <row r="127" spans="1:9" ht="12.75" customHeight="1" x14ac:dyDescent="0.2">
      <c r="A127" s="22"/>
      <c r="B127" s="68"/>
      <c r="C127" s="68"/>
      <c r="D127" s="68"/>
      <c r="E127" s="68"/>
      <c r="F127" s="68"/>
      <c r="G127" s="68"/>
      <c r="H127" s="68"/>
      <c r="I127" s="22"/>
    </row>
    <row r="128" spans="1:9" ht="12.75" customHeight="1" x14ac:dyDescent="0.2">
      <c r="A128" s="22"/>
      <c r="B128" s="68"/>
      <c r="C128" s="68"/>
      <c r="D128" s="68"/>
      <c r="E128" s="68"/>
      <c r="F128" s="68"/>
      <c r="G128" s="68"/>
      <c r="H128" s="68"/>
      <c r="I128" s="22"/>
    </row>
    <row r="129" spans="1:9" ht="12.75" customHeight="1" x14ac:dyDescent="0.2">
      <c r="A129" s="22"/>
      <c r="B129" s="68"/>
      <c r="C129" s="68"/>
      <c r="D129" s="68"/>
      <c r="E129" s="68"/>
      <c r="F129" s="68"/>
      <c r="G129" s="68"/>
      <c r="H129" s="68"/>
      <c r="I129" s="22"/>
    </row>
    <row r="130" spans="1:9" ht="12.75" customHeight="1" x14ac:dyDescent="0.2">
      <c r="A130" s="22"/>
      <c r="B130" s="22"/>
      <c r="C130" s="22"/>
      <c r="D130" s="22"/>
      <c r="E130" s="22"/>
      <c r="F130" s="22"/>
      <c r="G130" s="22"/>
      <c r="H130" s="22"/>
      <c r="I130" s="22"/>
    </row>
    <row r="131" spans="1:9" ht="12.75" customHeight="1" x14ac:dyDescent="0.2">
      <c r="A131" s="22"/>
      <c r="B131" s="22"/>
      <c r="C131" s="22"/>
      <c r="D131" s="22"/>
      <c r="E131" s="22"/>
      <c r="F131" s="22"/>
      <c r="G131" s="22"/>
      <c r="H131" s="22"/>
      <c r="I131" s="22"/>
    </row>
    <row r="132" spans="1:9" ht="12.75" customHeight="1" x14ac:dyDescent="0.2">
      <c r="A132" s="22"/>
      <c r="B132" s="22"/>
      <c r="C132" s="22"/>
      <c r="D132" s="22"/>
      <c r="E132" s="22"/>
      <c r="F132" s="22"/>
      <c r="G132" s="22"/>
      <c r="H132" s="22"/>
      <c r="I132" s="22"/>
    </row>
    <row r="133" spans="1:9" ht="12.75" customHeight="1" x14ac:dyDescent="0.2">
      <c r="A133" s="22"/>
      <c r="B133" s="22"/>
      <c r="C133" s="22"/>
      <c r="D133" s="22"/>
      <c r="E133" s="22"/>
      <c r="F133" s="22"/>
      <c r="G133" s="22"/>
      <c r="H133" s="22"/>
      <c r="I133" s="22"/>
    </row>
    <row r="134" spans="1:9" ht="12.75" customHeight="1" x14ac:dyDescent="0.2">
      <c r="A134" s="22"/>
      <c r="B134" s="22"/>
      <c r="C134" s="22"/>
      <c r="D134" s="22"/>
      <c r="E134" s="22"/>
      <c r="F134" s="22"/>
      <c r="G134" s="22"/>
      <c r="H134" s="22"/>
      <c r="I134" s="22"/>
    </row>
    <row r="135" spans="1:9" ht="12.75" customHeight="1" x14ac:dyDescent="0.2">
      <c r="A135" s="22"/>
      <c r="B135" s="22"/>
      <c r="C135" s="22"/>
      <c r="D135" s="22"/>
      <c r="E135" s="22"/>
      <c r="F135" s="22"/>
      <c r="G135" s="22"/>
      <c r="H135" s="22"/>
      <c r="I135" s="22"/>
    </row>
    <row r="136" spans="1:9" ht="12.75" customHeight="1" x14ac:dyDescent="0.2">
      <c r="A136" s="22"/>
      <c r="B136" s="22"/>
      <c r="C136" s="22"/>
      <c r="D136" s="22"/>
      <c r="E136" s="22"/>
      <c r="F136" s="22"/>
      <c r="G136" s="22"/>
      <c r="H136" s="22"/>
      <c r="I136" s="22"/>
    </row>
    <row r="137" spans="1:9" ht="12.75" customHeight="1" x14ac:dyDescent="0.2">
      <c r="A137" s="22"/>
      <c r="B137" s="22"/>
      <c r="C137" s="22"/>
      <c r="D137" s="22"/>
      <c r="E137" s="22"/>
      <c r="F137" s="22"/>
      <c r="G137" s="22"/>
      <c r="H137" s="22"/>
      <c r="I137" s="22"/>
    </row>
    <row r="138" spans="1:9" ht="12.75" customHeight="1" x14ac:dyDescent="0.2">
      <c r="A138" s="22"/>
      <c r="B138" s="22"/>
      <c r="C138" s="22"/>
      <c r="D138" s="22"/>
      <c r="E138" s="22"/>
      <c r="F138" s="22"/>
      <c r="G138" s="22"/>
      <c r="H138" s="22"/>
      <c r="I138" s="22"/>
    </row>
    <row r="139" spans="1:9" ht="12.75" customHeight="1" x14ac:dyDescent="0.2">
      <c r="A139" s="22"/>
      <c r="B139" s="22"/>
      <c r="C139" s="22"/>
      <c r="D139" s="22"/>
      <c r="E139" s="22"/>
      <c r="F139" s="22"/>
      <c r="G139" s="22"/>
      <c r="H139" s="22"/>
      <c r="I139" s="22"/>
    </row>
    <row r="140" spans="1:9" ht="12.75" customHeight="1" x14ac:dyDescent="0.2">
      <c r="A140" s="22"/>
      <c r="B140" s="22"/>
      <c r="C140" s="22"/>
      <c r="D140" s="22"/>
      <c r="E140" s="22"/>
      <c r="F140" s="22"/>
      <c r="G140" s="22"/>
      <c r="H140" s="22"/>
      <c r="I140" s="22"/>
    </row>
    <row r="141" spans="1:9" ht="12.75" customHeight="1" x14ac:dyDescent="0.2">
      <c r="A141" s="22"/>
      <c r="B141" s="22"/>
      <c r="C141" s="22"/>
      <c r="D141" s="22"/>
      <c r="E141" s="22"/>
      <c r="F141" s="22"/>
      <c r="G141" s="22"/>
      <c r="H141" s="22"/>
      <c r="I141" s="22"/>
    </row>
    <row r="142" spans="1:9" ht="12.75" customHeight="1" x14ac:dyDescent="0.2">
      <c r="A142" s="22"/>
      <c r="B142" s="22"/>
      <c r="C142" s="22"/>
      <c r="D142" s="22"/>
      <c r="E142" s="22"/>
      <c r="F142" s="22"/>
      <c r="G142" s="22"/>
      <c r="H142" s="22"/>
      <c r="I142" s="22"/>
    </row>
    <row r="143" spans="1:9" ht="12.75" customHeight="1" x14ac:dyDescent="0.2">
      <c r="A143" s="22"/>
      <c r="B143" s="22"/>
      <c r="C143" s="22"/>
      <c r="D143" s="22"/>
      <c r="E143" s="22"/>
      <c r="F143" s="22"/>
      <c r="G143" s="22"/>
      <c r="H143" s="22"/>
      <c r="I143" s="22"/>
    </row>
    <row r="144" spans="1:9" ht="12.75" customHeight="1" x14ac:dyDescent="0.2">
      <c r="A144" s="66"/>
      <c r="B144" s="66"/>
      <c r="C144" s="66"/>
      <c r="D144" s="66"/>
      <c r="E144" s="66"/>
      <c r="F144" s="66"/>
      <c r="G144" s="66"/>
      <c r="H144" s="66"/>
      <c r="I144" s="22"/>
    </row>
    <row r="145" spans="1:9" ht="12.75" customHeight="1" x14ac:dyDescent="0.2">
      <c r="A145" s="66"/>
      <c r="B145" s="66"/>
      <c r="C145" s="66"/>
      <c r="D145" s="66"/>
      <c r="E145" s="66"/>
      <c r="F145" s="66"/>
      <c r="G145" s="66"/>
      <c r="H145" s="66"/>
      <c r="I145" s="22"/>
    </row>
    <row r="146" spans="1:9" ht="12.75" customHeight="1" x14ac:dyDescent="0.2">
      <c r="A146" s="22"/>
      <c r="B146" s="22"/>
      <c r="C146" s="22"/>
      <c r="D146" s="22"/>
      <c r="E146" s="22"/>
      <c r="F146" s="22"/>
      <c r="G146" s="22"/>
      <c r="H146" s="22"/>
      <c r="I146" s="22"/>
    </row>
    <row r="147" spans="1:9" ht="12.75" customHeight="1" x14ac:dyDescent="0.2">
      <c r="A147" s="22"/>
      <c r="B147" s="22"/>
      <c r="C147" s="22"/>
      <c r="D147" s="22"/>
      <c r="E147" s="22"/>
      <c r="F147" s="22"/>
      <c r="G147" s="22"/>
      <c r="H147" s="22"/>
      <c r="I147" s="22"/>
    </row>
    <row r="148" spans="1:9" ht="12.75" customHeight="1" x14ac:dyDescent="0.2">
      <c r="A148" s="22"/>
      <c r="B148" s="22"/>
      <c r="C148" s="22"/>
      <c r="D148" s="22"/>
      <c r="E148" s="22"/>
      <c r="F148" s="22"/>
      <c r="G148" s="22"/>
      <c r="H148" s="22"/>
      <c r="I148" s="22"/>
    </row>
    <row r="149" spans="1:9" ht="12.75" customHeight="1" x14ac:dyDescent="0.2">
      <c r="A149" s="22"/>
      <c r="B149" s="22"/>
      <c r="C149" s="22"/>
      <c r="D149" s="22"/>
      <c r="E149" s="22"/>
      <c r="F149" s="22"/>
      <c r="G149" s="22"/>
      <c r="H149" s="22"/>
      <c r="I149" s="22"/>
    </row>
    <row r="150" spans="1:9" ht="12.75" customHeight="1" x14ac:dyDescent="0.2">
      <c r="A150" s="22"/>
      <c r="B150" s="22"/>
      <c r="C150" s="22"/>
      <c r="D150" s="22"/>
      <c r="E150" s="22"/>
      <c r="F150" s="22"/>
      <c r="G150" s="22"/>
      <c r="H150" s="22"/>
      <c r="I150" s="22"/>
    </row>
    <row r="151" spans="1:9" ht="12.75" customHeight="1" x14ac:dyDescent="0.2">
      <c r="A151" s="22"/>
      <c r="B151" s="22"/>
      <c r="C151" s="22"/>
      <c r="D151" s="22"/>
      <c r="E151" s="22"/>
      <c r="F151" s="22"/>
      <c r="G151" s="22"/>
      <c r="H151" s="22"/>
      <c r="I151" s="22"/>
    </row>
    <row r="152" spans="1:9" ht="12.75" customHeight="1" x14ac:dyDescent="0.2">
      <c r="A152" s="22"/>
      <c r="B152" s="22"/>
      <c r="C152" s="22"/>
      <c r="D152" s="22"/>
      <c r="E152" s="22"/>
      <c r="F152" s="22"/>
      <c r="G152" s="22"/>
      <c r="H152" s="22"/>
      <c r="I152" s="22"/>
    </row>
    <row r="153" spans="1:9" ht="12.75" customHeight="1" x14ac:dyDescent="0.2">
      <c r="A153" s="22"/>
      <c r="B153" s="22"/>
      <c r="C153" s="22"/>
      <c r="D153" s="22"/>
      <c r="E153" s="22"/>
      <c r="F153" s="22"/>
      <c r="G153" s="22"/>
      <c r="H153" s="22"/>
      <c r="I153" s="22"/>
    </row>
    <row r="154" spans="1:9" ht="12.75" customHeight="1" x14ac:dyDescent="0.2">
      <c r="A154" s="22"/>
      <c r="B154" s="22"/>
      <c r="C154" s="22"/>
      <c r="D154" s="22"/>
      <c r="E154" s="22"/>
      <c r="F154" s="22"/>
      <c r="G154" s="22"/>
      <c r="H154" s="22"/>
      <c r="I154" s="22"/>
    </row>
    <row r="155" spans="1:9" ht="12.75" customHeight="1" x14ac:dyDescent="0.2">
      <c r="A155" s="22"/>
      <c r="B155" s="22"/>
      <c r="C155" s="22"/>
      <c r="D155" s="22"/>
      <c r="E155" s="22"/>
      <c r="F155" s="22"/>
      <c r="G155" s="22"/>
      <c r="H155" s="22"/>
      <c r="I155" s="22"/>
    </row>
    <row r="156" spans="1:9" ht="12.75" customHeight="1" x14ac:dyDescent="0.2">
      <c r="A156" s="22"/>
      <c r="B156" s="22"/>
      <c r="C156" s="22"/>
      <c r="D156" s="22"/>
      <c r="E156" s="22"/>
      <c r="F156" s="22"/>
      <c r="G156" s="22"/>
      <c r="H156" s="22"/>
      <c r="I156" s="22"/>
    </row>
    <row r="157" spans="1:9" ht="12.75" customHeight="1" x14ac:dyDescent="0.2">
      <c r="A157" s="22"/>
      <c r="B157" s="22"/>
      <c r="C157" s="22"/>
      <c r="D157" s="22"/>
      <c r="E157" s="22"/>
      <c r="F157" s="22"/>
      <c r="G157" s="22"/>
      <c r="H157" s="22"/>
      <c r="I157" s="22"/>
    </row>
    <row r="158" spans="1:9" ht="12.75" customHeight="1" x14ac:dyDescent="0.2">
      <c r="A158" s="22"/>
      <c r="B158" s="22"/>
      <c r="C158" s="22"/>
      <c r="D158" s="22"/>
      <c r="E158" s="22"/>
      <c r="F158" s="22"/>
      <c r="G158" s="22"/>
      <c r="H158" s="22"/>
      <c r="I158" s="22"/>
    </row>
    <row r="159" spans="1:9" ht="12.75" customHeight="1" x14ac:dyDescent="0.2">
      <c r="A159" s="22"/>
      <c r="B159" s="22"/>
      <c r="C159" s="22"/>
      <c r="D159" s="22"/>
      <c r="E159" s="22"/>
      <c r="F159" s="22"/>
      <c r="G159" s="22"/>
      <c r="H159" s="22"/>
      <c r="I159" s="22"/>
    </row>
    <row r="160" spans="1:9" ht="12.75" customHeight="1" x14ac:dyDescent="0.2">
      <c r="A160" s="22"/>
      <c r="B160" s="22"/>
      <c r="C160" s="22"/>
      <c r="D160" s="22"/>
      <c r="E160" s="22"/>
      <c r="F160" s="22"/>
      <c r="G160" s="22"/>
      <c r="H160" s="22"/>
      <c r="I160" s="22"/>
    </row>
    <row r="161" spans="1:9" ht="12.75" customHeight="1" x14ac:dyDescent="0.2">
      <c r="A161" s="22"/>
      <c r="B161" s="22"/>
      <c r="C161" s="22"/>
      <c r="D161" s="22"/>
      <c r="E161" s="22"/>
      <c r="F161" s="22"/>
      <c r="G161" s="22"/>
      <c r="H161" s="22"/>
      <c r="I161" s="22"/>
    </row>
    <row r="162" spans="1:9" ht="12.75" customHeight="1" x14ac:dyDescent="0.2">
      <c r="A162" s="22"/>
      <c r="B162" s="22"/>
      <c r="C162" s="22"/>
      <c r="D162" s="22"/>
      <c r="E162" s="22"/>
      <c r="F162" s="22"/>
      <c r="G162" s="22"/>
      <c r="H162" s="22"/>
      <c r="I162" s="22"/>
    </row>
    <row r="163" spans="1:9" ht="12.75" customHeight="1" x14ac:dyDescent="0.2">
      <c r="A163" s="22"/>
      <c r="B163" s="22"/>
      <c r="C163" s="22"/>
      <c r="D163" s="22"/>
      <c r="E163" s="22"/>
      <c r="F163" s="22"/>
      <c r="G163" s="22"/>
      <c r="H163" s="22"/>
      <c r="I163" s="22"/>
    </row>
    <row r="164" spans="1:9" ht="12.75" customHeight="1" x14ac:dyDescent="0.2">
      <c r="A164" s="22"/>
      <c r="B164" s="22"/>
      <c r="C164" s="22"/>
      <c r="D164" s="22"/>
      <c r="E164" s="22"/>
      <c r="F164" s="22"/>
      <c r="G164" s="22"/>
      <c r="H164" s="22"/>
      <c r="I164" s="22"/>
    </row>
    <row r="165" spans="1:9" ht="12.75" customHeight="1" x14ac:dyDescent="0.2">
      <c r="A165" s="22"/>
      <c r="B165" s="22"/>
      <c r="C165" s="22"/>
      <c r="D165" s="22"/>
      <c r="E165" s="22"/>
      <c r="F165" s="22"/>
      <c r="G165" s="22"/>
      <c r="H165" s="22"/>
      <c r="I165" s="22"/>
    </row>
    <row r="166" spans="1:9" ht="12.75" customHeight="1" x14ac:dyDescent="0.2">
      <c r="A166" s="22"/>
      <c r="B166" s="22"/>
      <c r="C166" s="22"/>
      <c r="D166" s="22"/>
      <c r="E166" s="22"/>
      <c r="F166" s="22"/>
      <c r="G166" s="22"/>
      <c r="H166" s="22"/>
      <c r="I166" s="22"/>
    </row>
    <row r="167" spans="1:9" ht="12.75" customHeight="1" x14ac:dyDescent="0.2">
      <c r="A167" s="22"/>
      <c r="B167" s="22"/>
      <c r="C167" s="22"/>
      <c r="D167" s="22"/>
      <c r="E167" s="22"/>
      <c r="F167" s="22"/>
      <c r="G167" s="22"/>
      <c r="H167" s="22"/>
      <c r="I167" s="22"/>
    </row>
    <row r="168" spans="1:9" ht="12.75" customHeight="1" x14ac:dyDescent="0.2">
      <c r="A168" s="22"/>
      <c r="B168" s="22"/>
      <c r="C168" s="22"/>
      <c r="D168" s="22"/>
      <c r="E168" s="22"/>
      <c r="F168" s="22"/>
      <c r="G168" s="22"/>
      <c r="H168" s="22"/>
      <c r="I168" s="22"/>
    </row>
    <row r="169" spans="1:9" ht="12.75" customHeight="1" x14ac:dyDescent="0.2">
      <c r="A169" s="22"/>
      <c r="B169" s="22"/>
      <c r="C169" s="22"/>
      <c r="D169" s="22"/>
      <c r="E169" s="22"/>
      <c r="F169" s="22"/>
      <c r="G169" s="22"/>
      <c r="H169" s="22"/>
      <c r="I169" s="22"/>
    </row>
    <row r="170" spans="1:9" ht="12.75" customHeight="1" x14ac:dyDescent="0.2">
      <c r="A170" s="22"/>
      <c r="B170" s="22"/>
      <c r="C170" s="22"/>
      <c r="D170" s="22"/>
      <c r="E170" s="22"/>
      <c r="F170" s="22"/>
      <c r="G170" s="22"/>
      <c r="H170" s="22"/>
      <c r="I170" s="22"/>
    </row>
    <row r="171" spans="1:9" ht="12.75" customHeight="1" x14ac:dyDescent="0.2">
      <c r="A171" s="22"/>
      <c r="B171" s="22"/>
      <c r="C171" s="22"/>
      <c r="D171" s="22"/>
      <c r="E171" s="22"/>
      <c r="F171" s="22"/>
      <c r="G171" s="22"/>
      <c r="H171" s="22"/>
      <c r="I171" s="22"/>
    </row>
    <row r="172" spans="1:9" ht="12.75" customHeight="1" x14ac:dyDescent="0.2">
      <c r="A172" s="22"/>
      <c r="B172" s="22"/>
      <c r="C172" s="22"/>
      <c r="D172" s="22"/>
      <c r="E172" s="22"/>
      <c r="F172" s="22"/>
      <c r="G172" s="22"/>
      <c r="H172" s="22"/>
      <c r="I172" s="22"/>
    </row>
    <row r="173" spans="1:9" ht="12.75" customHeight="1" x14ac:dyDescent="0.2">
      <c r="A173" s="22"/>
      <c r="B173" s="22"/>
      <c r="C173" s="22"/>
      <c r="D173" s="22"/>
      <c r="E173" s="22"/>
      <c r="F173" s="22"/>
      <c r="G173" s="22"/>
      <c r="H173" s="22"/>
      <c r="I173" s="22"/>
    </row>
    <row r="174" spans="1:9" ht="12.75" customHeight="1" x14ac:dyDescent="0.2">
      <c r="A174" s="22"/>
      <c r="B174" s="22"/>
      <c r="C174" s="22"/>
      <c r="D174" s="22"/>
      <c r="E174" s="22"/>
      <c r="F174" s="22"/>
      <c r="G174" s="22"/>
      <c r="H174" s="22"/>
      <c r="I174" s="22"/>
    </row>
    <row r="175" spans="1:9" ht="12.75" customHeight="1" x14ac:dyDescent="0.2">
      <c r="A175" s="22"/>
      <c r="B175" s="22"/>
      <c r="C175" s="22"/>
      <c r="D175" s="22"/>
      <c r="E175" s="22"/>
      <c r="F175" s="22"/>
      <c r="G175" s="22"/>
      <c r="H175" s="22"/>
      <c r="I175" s="22"/>
    </row>
    <row r="176" spans="1:9" ht="12.75" customHeight="1" x14ac:dyDescent="0.2">
      <c r="A176" s="22"/>
      <c r="B176" s="22"/>
      <c r="C176" s="22"/>
      <c r="D176" s="22"/>
      <c r="E176" s="22"/>
      <c r="F176" s="22"/>
      <c r="G176" s="22"/>
      <c r="H176" s="22"/>
      <c r="I176" s="22"/>
    </row>
    <row r="177" spans="1:9" ht="12.75" customHeight="1" x14ac:dyDescent="0.2">
      <c r="A177" s="22"/>
      <c r="B177" s="22"/>
      <c r="C177" s="22"/>
      <c r="D177" s="22"/>
      <c r="E177" s="22"/>
      <c r="F177" s="22"/>
      <c r="G177" s="22"/>
      <c r="H177" s="22"/>
      <c r="I177" s="22"/>
    </row>
    <row r="178" spans="1:9" ht="12.75" customHeight="1" x14ac:dyDescent="0.2">
      <c r="A178" s="22"/>
      <c r="B178" s="22"/>
      <c r="C178" s="22"/>
      <c r="D178" s="22"/>
      <c r="E178" s="22"/>
      <c r="F178" s="22"/>
      <c r="G178" s="22"/>
      <c r="H178" s="22"/>
      <c r="I178" s="22"/>
    </row>
    <row r="179" spans="1:9" ht="12.75" customHeight="1" x14ac:dyDescent="0.2">
      <c r="A179" s="22"/>
      <c r="B179" s="22"/>
      <c r="C179" s="22"/>
      <c r="D179" s="22"/>
      <c r="E179" s="22"/>
      <c r="F179" s="22"/>
      <c r="G179" s="22"/>
      <c r="H179" s="22"/>
      <c r="I179" s="22"/>
    </row>
    <row r="180" spans="1:9" ht="12.75" customHeight="1" x14ac:dyDescent="0.2">
      <c r="A180" s="22"/>
      <c r="B180" s="22"/>
      <c r="C180" s="22"/>
      <c r="D180" s="22"/>
      <c r="E180" s="22"/>
      <c r="F180" s="22"/>
      <c r="G180" s="22"/>
      <c r="H180" s="22"/>
      <c r="I180" s="22"/>
    </row>
    <row r="181" spans="1:9" ht="12.75" customHeight="1" x14ac:dyDescent="0.2">
      <c r="A181" s="22"/>
      <c r="B181" s="22"/>
      <c r="C181" s="22"/>
      <c r="D181" s="22"/>
      <c r="E181" s="22"/>
      <c r="F181" s="22"/>
      <c r="G181" s="22"/>
      <c r="H181" s="22"/>
      <c r="I181" s="22"/>
    </row>
    <row r="182" spans="1:9" ht="12.75" customHeight="1" x14ac:dyDescent="0.2">
      <c r="A182" s="22"/>
      <c r="B182" s="22"/>
      <c r="C182" s="22"/>
      <c r="D182" s="22"/>
      <c r="E182" s="22"/>
      <c r="F182" s="22"/>
      <c r="G182" s="22"/>
      <c r="H182" s="22"/>
      <c r="I182" s="22"/>
    </row>
    <row r="183" spans="1:9" ht="12.75" customHeight="1" x14ac:dyDescent="0.2">
      <c r="A183" s="22"/>
      <c r="B183" s="22"/>
      <c r="C183" s="22"/>
      <c r="D183" s="22"/>
      <c r="E183" s="22"/>
      <c r="F183" s="22"/>
      <c r="G183" s="22"/>
      <c r="H183" s="22"/>
      <c r="I183" s="22"/>
    </row>
    <row r="184" spans="1:9" ht="12.75" customHeight="1" x14ac:dyDescent="0.2">
      <c r="A184" s="22"/>
      <c r="B184" s="22"/>
      <c r="C184" s="22"/>
      <c r="D184" s="22"/>
      <c r="E184" s="22"/>
      <c r="F184" s="22"/>
      <c r="G184" s="22"/>
      <c r="H184" s="22"/>
      <c r="I184" s="22"/>
    </row>
    <row r="185" spans="1:9" ht="12.75" customHeight="1" x14ac:dyDescent="0.2">
      <c r="A185" s="22"/>
      <c r="B185" s="22"/>
      <c r="C185" s="22"/>
      <c r="D185" s="22"/>
      <c r="E185" s="22"/>
      <c r="F185" s="22"/>
      <c r="G185" s="22"/>
      <c r="H185" s="22"/>
      <c r="I185" s="22"/>
    </row>
    <row r="186" spans="1:9" ht="12.75" customHeight="1" x14ac:dyDescent="0.2">
      <c r="A186" s="22"/>
      <c r="B186" s="22"/>
      <c r="C186" s="22"/>
      <c r="D186" s="22"/>
      <c r="E186" s="22"/>
      <c r="F186" s="22"/>
      <c r="G186" s="22"/>
      <c r="H186" s="22"/>
      <c r="I186" s="22"/>
    </row>
    <row r="187" spans="1:9" ht="12.75" customHeight="1" x14ac:dyDescent="0.2">
      <c r="A187" s="22"/>
      <c r="B187" s="22"/>
      <c r="C187" s="22"/>
      <c r="D187" s="22"/>
      <c r="E187" s="22"/>
      <c r="F187" s="22"/>
      <c r="G187" s="22"/>
      <c r="H187" s="22"/>
      <c r="I187" s="22"/>
    </row>
    <row r="188" spans="1:9" ht="12.75" customHeight="1" x14ac:dyDescent="0.2">
      <c r="A188" s="22"/>
      <c r="B188" s="22"/>
      <c r="C188" s="22"/>
      <c r="D188" s="22"/>
      <c r="E188" s="22"/>
      <c r="F188" s="22"/>
      <c r="G188" s="22"/>
      <c r="H188" s="22"/>
      <c r="I188" s="22"/>
    </row>
    <row r="189" spans="1:9" ht="12.75" customHeight="1" x14ac:dyDescent="0.2">
      <c r="A189" s="22"/>
      <c r="B189" s="22"/>
      <c r="C189" s="22"/>
      <c r="D189" s="22"/>
      <c r="E189" s="22"/>
      <c r="F189" s="22"/>
      <c r="G189" s="22"/>
      <c r="H189" s="22"/>
      <c r="I189" s="22"/>
    </row>
    <row r="190" spans="1:9" ht="12.75" customHeight="1" x14ac:dyDescent="0.2">
      <c r="A190" s="22"/>
      <c r="B190" s="22"/>
      <c r="C190" s="22"/>
      <c r="D190" s="22"/>
      <c r="E190" s="22"/>
      <c r="F190" s="22"/>
      <c r="G190" s="22"/>
      <c r="H190" s="22"/>
      <c r="I190" s="22"/>
    </row>
    <row r="191" spans="1:9" ht="12.75" customHeight="1" x14ac:dyDescent="0.2">
      <c r="A191" s="22"/>
      <c r="B191" s="22"/>
      <c r="C191" s="22"/>
      <c r="D191" s="22"/>
      <c r="E191" s="22"/>
      <c r="F191" s="22"/>
      <c r="G191" s="22"/>
      <c r="H191" s="22"/>
      <c r="I191" s="22"/>
    </row>
    <row r="192" spans="1:9" ht="12.75" customHeight="1" x14ac:dyDescent="0.2">
      <c r="A192" s="22"/>
      <c r="B192" s="22"/>
      <c r="C192" s="22"/>
      <c r="D192" s="22"/>
      <c r="E192" s="22"/>
      <c r="F192" s="22"/>
      <c r="G192" s="22"/>
      <c r="H192" s="22"/>
      <c r="I192" s="22"/>
    </row>
    <row r="193" spans="1:9" ht="12.75" customHeight="1" x14ac:dyDescent="0.2">
      <c r="A193" s="22"/>
      <c r="B193" s="22"/>
      <c r="C193" s="22"/>
      <c r="D193" s="22"/>
      <c r="E193" s="22"/>
      <c r="F193" s="22"/>
      <c r="G193" s="22"/>
      <c r="H193" s="22"/>
      <c r="I193" s="22"/>
    </row>
    <row r="194" spans="1:9" ht="12.75" customHeight="1" x14ac:dyDescent="0.2">
      <c r="A194" s="22"/>
      <c r="B194" s="22"/>
      <c r="C194" s="22"/>
      <c r="D194" s="22"/>
      <c r="E194" s="22"/>
      <c r="F194" s="22"/>
      <c r="G194" s="22"/>
      <c r="H194" s="22"/>
      <c r="I194" s="22"/>
    </row>
    <row r="195" spans="1:9" ht="12.75" customHeight="1" x14ac:dyDescent="0.2">
      <c r="A195" s="22"/>
      <c r="B195" s="22"/>
      <c r="C195" s="22"/>
      <c r="D195" s="22"/>
      <c r="E195" s="22"/>
      <c r="F195" s="22"/>
      <c r="G195" s="22"/>
      <c r="H195" s="22"/>
      <c r="I195" s="22"/>
    </row>
    <row r="196" spans="1:9" ht="12.75" customHeight="1" x14ac:dyDescent="0.2">
      <c r="A196" s="22"/>
      <c r="B196" s="22"/>
      <c r="C196" s="22"/>
      <c r="D196" s="22"/>
      <c r="E196" s="22"/>
      <c r="F196" s="22"/>
      <c r="G196" s="22"/>
      <c r="H196" s="22"/>
      <c r="I196" s="22"/>
    </row>
    <row r="197" spans="1:9" ht="12.75" customHeight="1" x14ac:dyDescent="0.2">
      <c r="A197" s="22"/>
      <c r="B197" s="22"/>
      <c r="C197" s="22"/>
      <c r="D197" s="22"/>
      <c r="E197" s="22"/>
      <c r="F197" s="22"/>
      <c r="G197" s="22"/>
      <c r="H197" s="22"/>
      <c r="I197" s="22"/>
    </row>
    <row r="198" spans="1:9" ht="12.75" customHeight="1" x14ac:dyDescent="0.2">
      <c r="A198" s="22"/>
      <c r="B198" s="22"/>
      <c r="C198" s="22"/>
      <c r="D198" s="22"/>
      <c r="E198" s="22"/>
      <c r="F198" s="22"/>
      <c r="G198" s="22"/>
      <c r="H198" s="22"/>
      <c r="I198" s="22"/>
    </row>
    <row r="199" spans="1:9" ht="12.75" customHeight="1" x14ac:dyDescent="0.2">
      <c r="A199" s="22"/>
      <c r="B199" s="22"/>
      <c r="C199" s="22"/>
      <c r="D199" s="22"/>
      <c r="E199" s="22"/>
      <c r="F199" s="22"/>
      <c r="G199" s="22"/>
      <c r="H199" s="22"/>
      <c r="I199" s="22"/>
    </row>
    <row r="200" spans="1:9" ht="12.75" customHeight="1" x14ac:dyDescent="0.2">
      <c r="A200" s="22"/>
      <c r="B200" s="22"/>
      <c r="C200" s="22"/>
      <c r="D200" s="22"/>
      <c r="E200" s="22"/>
      <c r="F200" s="22"/>
      <c r="G200" s="22"/>
      <c r="H200" s="22"/>
      <c r="I200" s="22"/>
    </row>
    <row r="201" spans="1:9" ht="12.75" customHeight="1" x14ac:dyDescent="0.2">
      <c r="A201" s="22"/>
      <c r="B201" s="22"/>
      <c r="C201" s="22"/>
      <c r="D201" s="22"/>
      <c r="E201" s="22"/>
      <c r="F201" s="22"/>
      <c r="G201" s="22"/>
      <c r="H201" s="22"/>
      <c r="I201" s="22"/>
    </row>
    <row r="202" spans="1:9" ht="12.75" customHeight="1" x14ac:dyDescent="0.2">
      <c r="A202" s="22"/>
      <c r="B202" s="22"/>
      <c r="C202" s="22"/>
      <c r="D202" s="22"/>
      <c r="E202" s="22"/>
      <c r="F202" s="22"/>
      <c r="G202" s="22"/>
      <c r="H202" s="22"/>
      <c r="I202" s="22"/>
    </row>
    <row r="203" spans="1:9" ht="12.75" customHeight="1" x14ac:dyDescent="0.2">
      <c r="A203" s="22"/>
      <c r="B203" s="22"/>
      <c r="C203" s="22"/>
      <c r="D203" s="22"/>
      <c r="E203" s="22"/>
      <c r="F203" s="22"/>
      <c r="G203" s="22"/>
      <c r="H203" s="22"/>
      <c r="I203" s="22"/>
    </row>
    <row r="204" spans="1:9" ht="12.75" customHeight="1" x14ac:dyDescent="0.2">
      <c r="A204" s="22"/>
      <c r="B204" s="22"/>
      <c r="C204" s="22"/>
      <c r="D204" s="22"/>
      <c r="E204" s="22"/>
      <c r="F204" s="22"/>
      <c r="G204" s="22"/>
      <c r="H204" s="22"/>
      <c r="I204" s="22"/>
    </row>
    <row r="205" spans="1:9" ht="12.75" customHeight="1" x14ac:dyDescent="0.2">
      <c r="A205" s="22"/>
      <c r="B205" s="22"/>
      <c r="C205" s="22"/>
      <c r="D205" s="22"/>
      <c r="E205" s="22"/>
      <c r="F205" s="22"/>
      <c r="G205" s="22"/>
      <c r="H205" s="22"/>
      <c r="I205" s="22"/>
    </row>
    <row r="206" spans="1:9" ht="12.75" customHeight="1" x14ac:dyDescent="0.2">
      <c r="A206" s="22"/>
      <c r="B206" s="22"/>
      <c r="C206" s="22"/>
      <c r="D206" s="22"/>
      <c r="E206" s="22"/>
      <c r="F206" s="22"/>
      <c r="G206" s="22"/>
      <c r="H206" s="22"/>
      <c r="I206" s="22"/>
    </row>
    <row r="207" spans="1:9" ht="12.75" customHeight="1" x14ac:dyDescent="0.2">
      <c r="A207" s="22"/>
      <c r="B207" s="22"/>
      <c r="C207" s="22"/>
      <c r="D207" s="22"/>
      <c r="E207" s="22"/>
      <c r="F207" s="22"/>
      <c r="G207" s="22"/>
      <c r="H207" s="22"/>
      <c r="I207" s="22"/>
    </row>
    <row r="208" spans="1:9" ht="12.75" customHeight="1" x14ac:dyDescent="0.2">
      <c r="A208" s="22"/>
      <c r="B208" s="22"/>
      <c r="C208" s="22"/>
      <c r="D208" s="22"/>
      <c r="E208" s="22"/>
      <c r="F208" s="22"/>
      <c r="G208" s="22"/>
      <c r="H208" s="22"/>
      <c r="I208" s="22"/>
    </row>
    <row r="209" spans="1:9" ht="12.75" customHeight="1" x14ac:dyDescent="0.2">
      <c r="A209" s="22"/>
      <c r="B209" s="22"/>
      <c r="C209" s="22"/>
      <c r="D209" s="22"/>
      <c r="E209" s="22"/>
      <c r="F209" s="22"/>
      <c r="G209" s="22"/>
      <c r="H209" s="22"/>
      <c r="I209" s="22"/>
    </row>
    <row r="210" spans="1:9" ht="12.75" customHeight="1" x14ac:dyDescent="0.2">
      <c r="A210" s="22"/>
      <c r="B210" s="22"/>
      <c r="C210" s="22"/>
      <c r="D210" s="22"/>
      <c r="E210" s="22"/>
      <c r="F210" s="22"/>
      <c r="G210" s="22"/>
      <c r="H210" s="22"/>
      <c r="I210" s="22"/>
    </row>
    <row r="211" spans="1:9" ht="12.75" customHeight="1" x14ac:dyDescent="0.2">
      <c r="A211" s="22"/>
      <c r="B211" s="22"/>
      <c r="C211" s="22"/>
      <c r="D211" s="22"/>
      <c r="E211" s="22"/>
      <c r="F211" s="22"/>
      <c r="G211" s="22"/>
      <c r="H211" s="22"/>
      <c r="I211" s="22"/>
    </row>
    <row r="212" spans="1:9" ht="12.75" customHeight="1" x14ac:dyDescent="0.2">
      <c r="A212" s="22"/>
      <c r="B212" s="22"/>
      <c r="C212" s="22"/>
      <c r="D212" s="22"/>
      <c r="E212" s="22"/>
      <c r="F212" s="22"/>
      <c r="G212" s="22"/>
      <c r="H212" s="22"/>
      <c r="I212" s="22"/>
    </row>
    <row r="213" spans="1:9" ht="12.75" customHeight="1" x14ac:dyDescent="0.2">
      <c r="A213" s="22"/>
      <c r="B213" s="22"/>
      <c r="C213" s="22"/>
      <c r="D213" s="22"/>
      <c r="E213" s="22"/>
      <c r="F213" s="22"/>
      <c r="G213" s="22"/>
      <c r="H213" s="22"/>
      <c r="I213" s="22"/>
    </row>
    <row r="214" spans="1:9" ht="12.75" customHeight="1" x14ac:dyDescent="0.2">
      <c r="A214" s="22"/>
      <c r="B214" s="22"/>
      <c r="C214" s="22"/>
      <c r="D214" s="22"/>
      <c r="E214" s="22"/>
      <c r="F214" s="22"/>
      <c r="G214" s="22"/>
      <c r="H214" s="22"/>
      <c r="I214" s="22"/>
    </row>
    <row r="215" spans="1:9" ht="12.75" customHeight="1" x14ac:dyDescent="0.2">
      <c r="A215" s="22"/>
      <c r="B215" s="22"/>
      <c r="C215" s="22"/>
      <c r="D215" s="22"/>
      <c r="E215" s="22"/>
      <c r="F215" s="22"/>
      <c r="G215" s="22"/>
      <c r="H215" s="22"/>
      <c r="I215" s="22"/>
    </row>
    <row r="216" spans="1:9" ht="12.75" customHeight="1" x14ac:dyDescent="0.2">
      <c r="A216" s="22"/>
      <c r="B216" s="22"/>
      <c r="C216" s="22"/>
      <c r="D216" s="22"/>
      <c r="E216" s="22"/>
      <c r="F216" s="22"/>
      <c r="G216" s="22"/>
      <c r="H216" s="22"/>
      <c r="I216" s="22"/>
    </row>
    <row r="217" spans="1:9" ht="12.75" customHeight="1" x14ac:dyDescent="0.2">
      <c r="A217" s="22"/>
      <c r="B217" s="22"/>
      <c r="C217" s="22"/>
      <c r="D217" s="22"/>
      <c r="E217" s="22"/>
      <c r="F217" s="22"/>
      <c r="G217" s="22"/>
      <c r="H217" s="22"/>
      <c r="I217" s="22"/>
    </row>
    <row r="218" spans="1:9" ht="12.75" customHeight="1" x14ac:dyDescent="0.2">
      <c r="A218" s="22"/>
      <c r="B218" s="22"/>
      <c r="C218" s="22"/>
      <c r="D218" s="22"/>
      <c r="E218" s="22"/>
      <c r="F218" s="22"/>
      <c r="G218" s="22"/>
      <c r="H218" s="22"/>
      <c r="I218" s="22"/>
    </row>
    <row r="219" spans="1:9" ht="12.75" customHeight="1" x14ac:dyDescent="0.2">
      <c r="A219" s="22"/>
      <c r="B219" s="22"/>
      <c r="C219" s="22"/>
      <c r="D219" s="22"/>
      <c r="E219" s="22"/>
      <c r="F219" s="22"/>
      <c r="G219" s="22"/>
      <c r="H219" s="22"/>
      <c r="I219" s="22"/>
    </row>
    <row r="220" spans="1:9" ht="12.75" customHeight="1" x14ac:dyDescent="0.2">
      <c r="A220" s="22"/>
      <c r="B220" s="22"/>
      <c r="C220" s="22"/>
      <c r="D220" s="22"/>
      <c r="E220" s="22"/>
      <c r="F220" s="22"/>
      <c r="G220" s="22"/>
      <c r="H220" s="22"/>
      <c r="I220" s="22"/>
    </row>
    <row r="221" spans="1:9" ht="12.75" customHeight="1" x14ac:dyDescent="0.2">
      <c r="A221" s="22"/>
      <c r="B221" s="22"/>
      <c r="C221" s="22"/>
      <c r="D221" s="22"/>
      <c r="E221" s="22"/>
      <c r="F221" s="22"/>
      <c r="G221" s="22"/>
      <c r="H221" s="22"/>
      <c r="I221" s="22"/>
    </row>
    <row r="222" spans="1:9" ht="12.75" customHeight="1" x14ac:dyDescent="0.2">
      <c r="A222" s="22"/>
      <c r="B222" s="22"/>
      <c r="C222" s="22"/>
      <c r="D222" s="22"/>
      <c r="E222" s="22"/>
      <c r="F222" s="22"/>
      <c r="G222" s="22"/>
      <c r="H222" s="22"/>
      <c r="I222" s="22"/>
    </row>
    <row r="223" spans="1:9" ht="12.75" customHeight="1" x14ac:dyDescent="0.2">
      <c r="A223" s="22"/>
      <c r="B223" s="22"/>
      <c r="C223" s="22"/>
      <c r="D223" s="22"/>
      <c r="E223" s="22"/>
      <c r="F223" s="22"/>
      <c r="G223" s="22"/>
      <c r="H223" s="22"/>
      <c r="I223" s="22"/>
    </row>
    <row r="224" spans="1:9" ht="12.75" customHeight="1" x14ac:dyDescent="0.2">
      <c r="A224" s="22"/>
      <c r="B224" s="22"/>
      <c r="C224" s="22"/>
      <c r="D224" s="22"/>
      <c r="E224" s="22"/>
      <c r="F224" s="22"/>
      <c r="G224" s="22"/>
      <c r="H224" s="22"/>
      <c r="I224" s="22"/>
    </row>
    <row r="225" spans="1:9" ht="12.75" customHeight="1" x14ac:dyDescent="0.2">
      <c r="A225" s="22"/>
      <c r="B225" s="22"/>
      <c r="C225" s="22"/>
      <c r="D225" s="22"/>
      <c r="E225" s="22"/>
      <c r="F225" s="22"/>
      <c r="G225" s="22"/>
      <c r="H225" s="22"/>
      <c r="I225" s="22"/>
    </row>
    <row r="226" spans="1:9" ht="12.75" customHeight="1" x14ac:dyDescent="0.2">
      <c r="A226" s="22"/>
      <c r="B226" s="22"/>
      <c r="C226" s="22"/>
      <c r="D226" s="22"/>
      <c r="E226" s="22"/>
      <c r="F226" s="22"/>
      <c r="G226" s="22"/>
      <c r="H226" s="22"/>
      <c r="I226" s="22"/>
    </row>
    <row r="227" spans="1:9" ht="12.75" customHeight="1" x14ac:dyDescent="0.2">
      <c r="A227" s="22"/>
      <c r="B227" s="22"/>
      <c r="C227" s="22"/>
      <c r="D227" s="22"/>
      <c r="E227" s="22"/>
      <c r="F227" s="22"/>
      <c r="G227" s="22"/>
      <c r="H227" s="22"/>
      <c r="I227" s="22"/>
    </row>
    <row r="228" spans="1:9" ht="12.75" customHeight="1" x14ac:dyDescent="0.2">
      <c r="A228" s="22"/>
      <c r="B228" s="22"/>
      <c r="C228" s="22"/>
      <c r="D228" s="22"/>
      <c r="E228" s="22"/>
      <c r="F228" s="22"/>
      <c r="G228" s="22"/>
      <c r="H228" s="22"/>
      <c r="I228" s="22"/>
    </row>
    <row r="229" spans="1:9" ht="12.75" customHeight="1" x14ac:dyDescent="0.2">
      <c r="A229" s="22"/>
      <c r="B229" s="22"/>
      <c r="C229" s="22"/>
      <c r="D229" s="22"/>
      <c r="E229" s="22"/>
      <c r="F229" s="22"/>
      <c r="G229" s="22"/>
      <c r="H229" s="22"/>
      <c r="I229" s="22"/>
    </row>
    <row r="230" spans="1:9" ht="12.75" customHeight="1" x14ac:dyDescent="0.2">
      <c r="A230" s="22"/>
      <c r="B230" s="22"/>
      <c r="C230" s="22"/>
      <c r="D230" s="22"/>
      <c r="E230" s="22"/>
      <c r="F230" s="22"/>
      <c r="G230" s="22"/>
      <c r="H230" s="22"/>
      <c r="I230" s="22"/>
    </row>
    <row r="231" spans="1:9" ht="12.75" customHeight="1" x14ac:dyDescent="0.2">
      <c r="A231" s="22"/>
      <c r="B231" s="22"/>
      <c r="C231" s="22"/>
      <c r="D231" s="22"/>
      <c r="E231" s="22"/>
      <c r="F231" s="22"/>
      <c r="G231" s="22"/>
      <c r="H231" s="22"/>
      <c r="I231" s="22"/>
    </row>
    <row r="232" spans="1:9" ht="12.75" customHeight="1" x14ac:dyDescent="0.2">
      <c r="A232" s="22"/>
      <c r="B232" s="22"/>
      <c r="C232" s="22"/>
      <c r="D232" s="22"/>
      <c r="E232" s="22"/>
      <c r="F232" s="22"/>
      <c r="G232" s="22"/>
      <c r="H232" s="22"/>
      <c r="I232" s="22"/>
    </row>
    <row r="233" spans="1:9" ht="12.75" customHeight="1" x14ac:dyDescent="0.2">
      <c r="A233" s="22"/>
      <c r="B233" s="22"/>
      <c r="C233" s="22"/>
      <c r="D233" s="22"/>
      <c r="E233" s="22"/>
      <c r="F233" s="22"/>
      <c r="G233" s="22"/>
      <c r="H233" s="22"/>
      <c r="I233" s="22"/>
    </row>
    <row r="234" spans="1:9" ht="12.75" customHeight="1" x14ac:dyDescent="0.2">
      <c r="A234" s="22"/>
      <c r="B234" s="22"/>
      <c r="C234" s="22"/>
      <c r="D234" s="22"/>
      <c r="E234" s="22"/>
      <c r="F234" s="22"/>
      <c r="G234" s="22"/>
      <c r="H234" s="22"/>
      <c r="I234" s="22"/>
    </row>
    <row r="235" spans="1:9" ht="12.75" customHeight="1" x14ac:dyDescent="0.2">
      <c r="A235" s="22"/>
      <c r="B235" s="22"/>
      <c r="C235" s="22"/>
      <c r="D235" s="22"/>
      <c r="E235" s="22"/>
      <c r="F235" s="22"/>
      <c r="G235" s="22"/>
      <c r="H235" s="22"/>
      <c r="I235" s="22"/>
    </row>
    <row r="236" spans="1:9" ht="12.75" customHeight="1" x14ac:dyDescent="0.2">
      <c r="A236" s="22"/>
      <c r="B236" s="22"/>
      <c r="C236" s="22"/>
      <c r="D236" s="22"/>
      <c r="E236" s="22"/>
      <c r="F236" s="22"/>
      <c r="G236" s="22"/>
      <c r="H236" s="22"/>
      <c r="I236" s="22"/>
    </row>
    <row r="237" spans="1:9" ht="12.75" customHeight="1" x14ac:dyDescent="0.2">
      <c r="A237" s="22"/>
      <c r="B237" s="22"/>
      <c r="C237" s="22"/>
      <c r="D237" s="22"/>
      <c r="E237" s="22"/>
      <c r="F237" s="22"/>
      <c r="G237" s="22"/>
      <c r="H237" s="22"/>
      <c r="I237" s="22"/>
    </row>
    <row r="238" spans="1:9" ht="12.75" customHeight="1" x14ac:dyDescent="0.2">
      <c r="A238" s="22"/>
      <c r="B238" s="22"/>
      <c r="C238" s="22"/>
      <c r="D238" s="22"/>
      <c r="E238" s="22"/>
      <c r="F238" s="22"/>
      <c r="G238" s="22"/>
      <c r="H238" s="22"/>
      <c r="I238" s="22"/>
    </row>
    <row r="239" spans="1:9" ht="12.75" customHeight="1" x14ac:dyDescent="0.2">
      <c r="A239" s="22"/>
      <c r="B239" s="22"/>
      <c r="C239" s="22"/>
      <c r="D239" s="22"/>
      <c r="E239" s="22"/>
      <c r="F239" s="22"/>
      <c r="G239" s="22"/>
      <c r="H239" s="22"/>
      <c r="I239" s="22"/>
    </row>
    <row r="240" spans="1:9" ht="12.75" customHeight="1" x14ac:dyDescent="0.2">
      <c r="A240" s="22"/>
      <c r="B240" s="22"/>
      <c r="C240" s="22"/>
      <c r="D240" s="22"/>
      <c r="E240" s="22"/>
      <c r="F240" s="22"/>
      <c r="G240" s="22"/>
      <c r="H240" s="22"/>
      <c r="I240" s="22"/>
    </row>
    <row r="241" spans="1:9" ht="12.75" customHeight="1" x14ac:dyDescent="0.2">
      <c r="A241" s="22"/>
      <c r="B241" s="22"/>
      <c r="C241" s="22"/>
      <c r="D241" s="22"/>
      <c r="E241" s="22"/>
      <c r="F241" s="22"/>
      <c r="G241" s="22"/>
      <c r="H241" s="22"/>
      <c r="I241" s="22"/>
    </row>
    <row r="242" spans="1:9" ht="12.75" customHeight="1" x14ac:dyDescent="0.2">
      <c r="A242" s="22"/>
      <c r="B242" s="22"/>
      <c r="C242" s="22"/>
      <c r="D242" s="22"/>
      <c r="E242" s="22"/>
      <c r="F242" s="22"/>
      <c r="G242" s="22"/>
      <c r="H242" s="22"/>
      <c r="I242" s="22"/>
    </row>
    <row r="243" spans="1:9" ht="12.75" customHeight="1" x14ac:dyDescent="0.2">
      <c r="A243" s="22"/>
      <c r="B243" s="22"/>
      <c r="C243" s="22"/>
      <c r="D243" s="22"/>
      <c r="E243" s="22"/>
      <c r="F243" s="22"/>
      <c r="G243" s="22"/>
      <c r="H243" s="22"/>
      <c r="I243" s="22"/>
    </row>
    <row r="244" spans="1:9" ht="12.75" customHeight="1" x14ac:dyDescent="0.2">
      <c r="A244" s="22"/>
      <c r="B244" s="22"/>
      <c r="C244" s="22"/>
      <c r="D244" s="22"/>
      <c r="E244" s="22"/>
      <c r="F244" s="22"/>
      <c r="G244" s="22"/>
      <c r="H244" s="22"/>
      <c r="I244" s="22"/>
    </row>
    <row r="245" spans="1:9" ht="12.75" customHeight="1" x14ac:dyDescent="0.2">
      <c r="A245" s="22"/>
      <c r="B245" s="22"/>
      <c r="C245" s="22"/>
      <c r="D245" s="22"/>
      <c r="E245" s="22"/>
      <c r="F245" s="22"/>
      <c r="G245" s="22"/>
      <c r="H245" s="22"/>
      <c r="I245" s="22"/>
    </row>
    <row r="246" spans="1:9" ht="12.75" customHeight="1" x14ac:dyDescent="0.2">
      <c r="A246" s="22"/>
      <c r="B246" s="22"/>
      <c r="C246" s="22"/>
      <c r="D246" s="22"/>
      <c r="E246" s="22"/>
      <c r="F246" s="22"/>
      <c r="G246" s="22"/>
      <c r="H246" s="22"/>
      <c r="I246" s="22"/>
    </row>
    <row r="247" spans="1:9" ht="12.75" customHeight="1" x14ac:dyDescent="0.2">
      <c r="A247" s="22"/>
      <c r="B247" s="22"/>
      <c r="C247" s="22"/>
      <c r="D247" s="22"/>
      <c r="E247" s="22"/>
      <c r="F247" s="22"/>
      <c r="G247" s="22"/>
      <c r="H247" s="22"/>
      <c r="I247" s="22"/>
    </row>
    <row r="248" spans="1:9" ht="12.75" customHeight="1" x14ac:dyDescent="0.2">
      <c r="A248" s="22"/>
      <c r="B248" s="22"/>
      <c r="C248" s="22"/>
      <c r="D248" s="22"/>
      <c r="E248" s="22"/>
      <c r="F248" s="22"/>
      <c r="G248" s="22"/>
      <c r="H248" s="22"/>
      <c r="I248" s="22"/>
    </row>
    <row r="249" spans="1:9" ht="12.75" customHeight="1" x14ac:dyDescent="0.2">
      <c r="A249" s="22"/>
      <c r="B249" s="22"/>
      <c r="C249" s="22"/>
      <c r="D249" s="22"/>
      <c r="E249" s="22"/>
      <c r="F249" s="22"/>
      <c r="G249" s="22"/>
      <c r="H249" s="22"/>
      <c r="I249" s="22"/>
    </row>
    <row r="250" spans="1:9" ht="12.75" customHeight="1" x14ac:dyDescent="0.2">
      <c r="A250" s="22"/>
      <c r="B250" s="22"/>
      <c r="C250" s="22"/>
      <c r="D250" s="22"/>
      <c r="E250" s="22"/>
      <c r="F250" s="22"/>
      <c r="G250" s="22"/>
      <c r="H250" s="22"/>
      <c r="I250" s="22"/>
    </row>
    <row r="251" spans="1:9" ht="12.75" customHeight="1" x14ac:dyDescent="0.2">
      <c r="A251" s="22"/>
      <c r="B251" s="22"/>
      <c r="C251" s="22"/>
      <c r="D251" s="22"/>
      <c r="E251" s="22"/>
      <c r="F251" s="22"/>
      <c r="G251" s="22"/>
      <c r="H251" s="22"/>
      <c r="I251" s="22"/>
    </row>
    <row r="252" spans="1:9" ht="12.75" customHeight="1" x14ac:dyDescent="0.2">
      <c r="A252" s="22"/>
      <c r="B252" s="22"/>
      <c r="C252" s="22"/>
      <c r="D252" s="22"/>
      <c r="E252" s="22"/>
      <c r="F252" s="22"/>
      <c r="G252" s="22"/>
      <c r="H252" s="22"/>
      <c r="I252" s="22"/>
    </row>
    <row r="253" spans="1:9" ht="12.75" customHeight="1" x14ac:dyDescent="0.2">
      <c r="A253" s="22"/>
      <c r="B253" s="22"/>
      <c r="C253" s="22"/>
      <c r="D253" s="22"/>
      <c r="E253" s="22"/>
      <c r="F253" s="22"/>
      <c r="G253" s="22"/>
      <c r="H253" s="22"/>
      <c r="I253" s="22"/>
    </row>
    <row r="254" spans="1:9" ht="12.75" customHeight="1" x14ac:dyDescent="0.2">
      <c r="A254" s="22"/>
      <c r="B254" s="22"/>
      <c r="C254" s="22"/>
      <c r="D254" s="22"/>
      <c r="E254" s="22"/>
      <c r="F254" s="22"/>
      <c r="G254" s="22"/>
      <c r="H254" s="22"/>
      <c r="I254" s="22"/>
    </row>
    <row r="255" spans="1:9" ht="12.75" customHeight="1" x14ac:dyDescent="0.2">
      <c r="A255" s="22"/>
      <c r="B255" s="22"/>
      <c r="C255" s="22"/>
      <c r="D255" s="22"/>
      <c r="E255" s="22"/>
      <c r="F255" s="22"/>
      <c r="G255" s="22"/>
      <c r="H255" s="22"/>
      <c r="I255" s="22"/>
    </row>
    <row r="256" spans="1:9" ht="12.75" customHeight="1" x14ac:dyDescent="0.2">
      <c r="A256" s="22"/>
      <c r="B256" s="22"/>
      <c r="C256" s="22"/>
      <c r="D256" s="22"/>
      <c r="E256" s="22"/>
      <c r="F256" s="22"/>
      <c r="G256" s="22"/>
      <c r="H256" s="22"/>
      <c r="I256" s="22"/>
    </row>
    <row r="257" spans="1:9" ht="12.75" customHeight="1" x14ac:dyDescent="0.2">
      <c r="A257" s="22"/>
      <c r="B257" s="22"/>
      <c r="C257" s="22"/>
      <c r="D257" s="22"/>
      <c r="E257" s="22"/>
      <c r="F257" s="22"/>
      <c r="G257" s="22"/>
      <c r="H257" s="22"/>
      <c r="I257" s="22"/>
    </row>
    <row r="258" spans="1:9" ht="12.75" customHeight="1" x14ac:dyDescent="0.2">
      <c r="A258" s="22"/>
      <c r="B258" s="22"/>
      <c r="C258" s="22"/>
      <c r="D258" s="22"/>
      <c r="E258" s="22"/>
      <c r="F258" s="22"/>
      <c r="G258" s="22"/>
      <c r="H258" s="22"/>
      <c r="I258" s="22"/>
    </row>
    <row r="259" spans="1:9" ht="12.75" customHeight="1" x14ac:dyDescent="0.2">
      <c r="A259" s="22"/>
      <c r="B259" s="22"/>
      <c r="C259" s="22"/>
      <c r="D259" s="22"/>
      <c r="E259" s="22"/>
      <c r="F259" s="22"/>
      <c r="G259" s="22"/>
      <c r="H259" s="22"/>
      <c r="I259" s="22"/>
    </row>
    <row r="260" spans="1:9" ht="12.75" customHeight="1" x14ac:dyDescent="0.2">
      <c r="A260" s="22"/>
      <c r="B260" s="22"/>
      <c r="C260" s="22"/>
      <c r="D260" s="22"/>
      <c r="E260" s="22"/>
      <c r="F260" s="22"/>
      <c r="G260" s="22"/>
      <c r="H260" s="22"/>
      <c r="I260" s="22"/>
    </row>
    <row r="261" spans="1:9" ht="12.75" customHeight="1" x14ac:dyDescent="0.2">
      <c r="A261" s="22"/>
      <c r="B261" s="22"/>
      <c r="C261" s="22"/>
      <c r="D261" s="22"/>
      <c r="E261" s="22"/>
      <c r="F261" s="22"/>
      <c r="G261" s="22"/>
      <c r="H261" s="22"/>
      <c r="I261" s="22"/>
    </row>
    <row r="262" spans="1:9" ht="12.75" customHeight="1" x14ac:dyDescent="0.2">
      <c r="A262" s="22"/>
      <c r="B262" s="22"/>
      <c r="C262" s="22"/>
      <c r="D262" s="22"/>
      <c r="E262" s="22"/>
      <c r="F262" s="22"/>
      <c r="G262" s="22"/>
      <c r="H262" s="22"/>
      <c r="I262" s="22"/>
    </row>
    <row r="263" spans="1:9" ht="12.75" customHeight="1" x14ac:dyDescent="0.2">
      <c r="A263" s="22"/>
      <c r="B263" s="22"/>
      <c r="C263" s="22"/>
      <c r="D263" s="22"/>
      <c r="E263" s="22"/>
      <c r="F263" s="22"/>
      <c r="G263" s="22"/>
      <c r="H263" s="22"/>
      <c r="I263" s="22"/>
    </row>
    <row r="264" spans="1:9" ht="12.75" customHeight="1" x14ac:dyDescent="0.2">
      <c r="A264" s="22"/>
      <c r="B264" s="22"/>
      <c r="C264" s="22"/>
      <c r="D264" s="22"/>
      <c r="E264" s="22"/>
      <c r="F264" s="22"/>
      <c r="G264" s="22"/>
      <c r="H264" s="22"/>
      <c r="I264" s="22"/>
    </row>
    <row r="265" spans="1:9" ht="12.75" customHeight="1" x14ac:dyDescent="0.2">
      <c r="A265" s="22"/>
      <c r="B265" s="22"/>
      <c r="C265" s="22"/>
      <c r="D265" s="22"/>
      <c r="E265" s="22"/>
      <c r="F265" s="22"/>
      <c r="G265" s="22"/>
      <c r="H265" s="22"/>
      <c r="I265" s="22"/>
    </row>
    <row r="266" spans="1:9" ht="12.75" customHeight="1" x14ac:dyDescent="0.2">
      <c r="A266" s="22"/>
      <c r="B266" s="22"/>
      <c r="C266" s="22"/>
      <c r="D266" s="22"/>
      <c r="E266" s="22"/>
      <c r="F266" s="22"/>
      <c r="G266" s="22"/>
      <c r="H266" s="22"/>
      <c r="I266" s="22"/>
    </row>
    <row r="267" spans="1:9" ht="12.75" customHeight="1" x14ac:dyDescent="0.2">
      <c r="A267" s="22"/>
      <c r="B267" s="22"/>
      <c r="C267" s="22"/>
      <c r="D267" s="22"/>
      <c r="E267" s="22"/>
      <c r="F267" s="22"/>
      <c r="G267" s="22"/>
      <c r="H267" s="22"/>
      <c r="I267" s="22"/>
    </row>
    <row r="268" spans="1:9" ht="12.75" customHeight="1" x14ac:dyDescent="0.2">
      <c r="A268" s="22"/>
      <c r="B268" s="22"/>
      <c r="C268" s="22"/>
      <c r="D268" s="22"/>
      <c r="E268" s="22"/>
      <c r="F268" s="22"/>
      <c r="G268" s="22"/>
      <c r="H268" s="22"/>
      <c r="I268" s="22"/>
    </row>
    <row r="269" spans="1:9" ht="12.75" customHeight="1" x14ac:dyDescent="0.2">
      <c r="A269" s="22"/>
      <c r="B269" s="22"/>
      <c r="C269" s="22"/>
      <c r="D269" s="22"/>
      <c r="E269" s="22"/>
      <c r="F269" s="22"/>
      <c r="G269" s="22"/>
      <c r="H269" s="22"/>
      <c r="I269" s="22"/>
    </row>
    <row r="270" spans="1:9" ht="12.75" customHeight="1" x14ac:dyDescent="0.2">
      <c r="A270" s="22"/>
      <c r="B270" s="22"/>
      <c r="C270" s="22"/>
      <c r="D270" s="22"/>
      <c r="E270" s="22"/>
      <c r="F270" s="22"/>
      <c r="G270" s="22"/>
      <c r="H270" s="22"/>
      <c r="I270" s="22"/>
    </row>
    <row r="271" spans="1:9" ht="12.75" customHeight="1" x14ac:dyDescent="0.2">
      <c r="A271" s="22"/>
      <c r="B271" s="22"/>
      <c r="C271" s="22"/>
      <c r="D271" s="22"/>
      <c r="E271" s="22"/>
      <c r="F271" s="22"/>
      <c r="G271" s="22"/>
      <c r="H271" s="22"/>
      <c r="I271" s="22"/>
    </row>
    <row r="272" spans="1:9" ht="12.75" customHeight="1" x14ac:dyDescent="0.2">
      <c r="A272" s="22"/>
      <c r="B272" s="22"/>
      <c r="C272" s="22"/>
      <c r="D272" s="22"/>
      <c r="E272" s="22"/>
      <c r="F272" s="22"/>
      <c r="G272" s="22"/>
      <c r="H272" s="22"/>
      <c r="I272" s="22"/>
    </row>
    <row r="273" spans="1:9" ht="12.75" customHeight="1" x14ac:dyDescent="0.2">
      <c r="A273" s="22"/>
      <c r="B273" s="22"/>
      <c r="C273" s="22"/>
      <c r="D273" s="22"/>
      <c r="E273" s="22"/>
      <c r="F273" s="22"/>
      <c r="G273" s="22"/>
      <c r="H273" s="22"/>
      <c r="I273" s="22"/>
    </row>
    <row r="274" spans="1:9" ht="12.75" customHeight="1" x14ac:dyDescent="0.2">
      <c r="A274" s="22"/>
      <c r="B274" s="22"/>
      <c r="C274" s="22"/>
      <c r="D274" s="22"/>
      <c r="E274" s="22"/>
      <c r="F274" s="22"/>
      <c r="G274" s="22"/>
      <c r="H274" s="22"/>
      <c r="I274" s="22"/>
    </row>
    <row r="275" spans="1:9" ht="12.75" customHeight="1" x14ac:dyDescent="0.2">
      <c r="A275" s="22"/>
      <c r="B275" s="22"/>
      <c r="C275" s="22"/>
      <c r="D275" s="22"/>
      <c r="E275" s="22"/>
      <c r="F275" s="22"/>
      <c r="G275" s="22"/>
      <c r="H275" s="22"/>
      <c r="I275" s="22"/>
    </row>
    <row r="276" spans="1:9" ht="12.75" customHeight="1" x14ac:dyDescent="0.2">
      <c r="A276" s="22"/>
      <c r="B276" s="22"/>
      <c r="C276" s="22"/>
      <c r="D276" s="22"/>
      <c r="E276" s="22"/>
      <c r="F276" s="22"/>
      <c r="G276" s="22"/>
      <c r="H276" s="22"/>
      <c r="I276" s="22"/>
    </row>
    <row r="277" spans="1:9" ht="12.75" customHeight="1" x14ac:dyDescent="0.2">
      <c r="A277" s="22"/>
      <c r="B277" s="22"/>
      <c r="C277" s="22"/>
      <c r="D277" s="22"/>
      <c r="E277" s="22"/>
      <c r="F277" s="22"/>
      <c r="G277" s="22"/>
      <c r="H277" s="22"/>
      <c r="I277" s="22"/>
    </row>
    <row r="278" spans="1:9" ht="12.75" customHeight="1" x14ac:dyDescent="0.2">
      <c r="A278" s="22"/>
      <c r="B278" s="22"/>
      <c r="C278" s="22"/>
      <c r="D278" s="22"/>
      <c r="E278" s="22"/>
      <c r="F278" s="22"/>
      <c r="G278" s="22"/>
      <c r="H278" s="22"/>
      <c r="I278" s="22"/>
    </row>
    <row r="279" spans="1:9" ht="12.75" customHeight="1" x14ac:dyDescent="0.2">
      <c r="A279" s="22"/>
      <c r="B279" s="22"/>
      <c r="C279" s="22"/>
      <c r="D279" s="22"/>
      <c r="E279" s="22"/>
      <c r="F279" s="22"/>
      <c r="G279" s="22"/>
      <c r="H279" s="22"/>
      <c r="I279" s="22"/>
    </row>
    <row r="280" spans="1:9" ht="12.75" customHeight="1" x14ac:dyDescent="0.2">
      <c r="A280" s="22"/>
      <c r="B280" s="22"/>
      <c r="C280" s="22"/>
      <c r="D280" s="22"/>
      <c r="E280" s="22"/>
      <c r="F280" s="22"/>
      <c r="G280" s="22"/>
      <c r="H280" s="22"/>
      <c r="I280" s="22"/>
    </row>
    <row r="281" spans="1:9" ht="12.75" customHeight="1" x14ac:dyDescent="0.2">
      <c r="A281" s="22"/>
      <c r="B281" s="22"/>
      <c r="C281" s="22"/>
      <c r="D281" s="22"/>
      <c r="E281" s="22"/>
      <c r="F281" s="22"/>
      <c r="G281" s="22"/>
      <c r="H281" s="22"/>
      <c r="I281" s="22"/>
    </row>
    <row r="282" spans="1:9" ht="12.75" customHeight="1" x14ac:dyDescent="0.2">
      <c r="A282" s="22"/>
      <c r="B282" s="22"/>
      <c r="C282" s="22"/>
      <c r="D282" s="22"/>
      <c r="E282" s="22"/>
      <c r="F282" s="22"/>
      <c r="G282" s="22"/>
      <c r="H282" s="22"/>
      <c r="I282" s="22"/>
    </row>
    <row r="283" spans="1:9" ht="12.75" customHeight="1" x14ac:dyDescent="0.2">
      <c r="A283" s="22"/>
      <c r="B283" s="22"/>
      <c r="C283" s="22"/>
      <c r="D283" s="22"/>
      <c r="E283" s="22"/>
      <c r="F283" s="22"/>
      <c r="G283" s="22"/>
      <c r="H283" s="22"/>
      <c r="I283" s="22"/>
    </row>
    <row r="284" spans="1:9" ht="12.75" customHeight="1" x14ac:dyDescent="0.2">
      <c r="A284" s="22"/>
      <c r="B284" s="22"/>
      <c r="C284" s="22"/>
      <c r="D284" s="22"/>
      <c r="E284" s="22"/>
      <c r="F284" s="22"/>
      <c r="G284" s="22"/>
      <c r="H284" s="22"/>
      <c r="I284" s="22"/>
    </row>
    <row r="285" spans="1:9" ht="12.75" customHeight="1" x14ac:dyDescent="0.2">
      <c r="A285" s="22"/>
      <c r="B285" s="22"/>
      <c r="C285" s="22"/>
      <c r="D285" s="22"/>
      <c r="E285" s="22"/>
      <c r="F285" s="22"/>
      <c r="G285" s="22"/>
      <c r="H285" s="22"/>
      <c r="I285" s="22"/>
    </row>
    <row r="286" spans="1:9" ht="12.75" customHeight="1" x14ac:dyDescent="0.2">
      <c r="A286" s="22"/>
      <c r="B286" s="22"/>
      <c r="C286" s="22"/>
      <c r="D286" s="22"/>
      <c r="E286" s="22"/>
      <c r="F286" s="22"/>
      <c r="G286" s="22"/>
      <c r="H286" s="22"/>
      <c r="I286" s="22"/>
    </row>
    <row r="287" spans="1:9" ht="12.75" customHeight="1" x14ac:dyDescent="0.2">
      <c r="A287" s="22"/>
      <c r="B287" s="22"/>
      <c r="C287" s="22"/>
      <c r="D287" s="22"/>
      <c r="E287" s="22"/>
      <c r="F287" s="22"/>
      <c r="G287" s="22"/>
      <c r="H287" s="22"/>
      <c r="I287" s="22"/>
    </row>
    <row r="288" spans="1:9" ht="12.75" customHeight="1" x14ac:dyDescent="0.2">
      <c r="A288" s="22"/>
      <c r="B288" s="22"/>
      <c r="C288" s="22"/>
      <c r="D288" s="22"/>
      <c r="E288" s="22"/>
      <c r="F288" s="22"/>
      <c r="G288" s="22"/>
      <c r="H288" s="22"/>
      <c r="I288" s="22"/>
    </row>
    <row r="289" spans="1:9" ht="12.75" customHeight="1" x14ac:dyDescent="0.2">
      <c r="A289" s="22"/>
      <c r="B289" s="22"/>
      <c r="C289" s="22"/>
      <c r="D289" s="22"/>
      <c r="E289" s="22"/>
      <c r="F289" s="22"/>
      <c r="G289" s="22"/>
      <c r="H289" s="22"/>
      <c r="I289" s="22"/>
    </row>
    <row r="290" spans="1:9" ht="12.75" customHeight="1" x14ac:dyDescent="0.2">
      <c r="A290" s="22"/>
      <c r="B290" s="22"/>
      <c r="C290" s="22"/>
      <c r="D290" s="22"/>
      <c r="E290" s="22"/>
      <c r="F290" s="22"/>
      <c r="G290" s="22"/>
      <c r="H290" s="22"/>
      <c r="I290" s="22"/>
    </row>
    <row r="291" spans="1:9" ht="12.75" customHeight="1" x14ac:dyDescent="0.2">
      <c r="A291" s="22"/>
      <c r="B291" s="22"/>
      <c r="C291" s="22"/>
      <c r="D291" s="22"/>
      <c r="E291" s="22"/>
      <c r="F291" s="22"/>
      <c r="G291" s="22"/>
      <c r="H291" s="22"/>
      <c r="I291" s="22"/>
    </row>
    <row r="292" spans="1:9" ht="12.75" customHeight="1" x14ac:dyDescent="0.2">
      <c r="A292" s="22"/>
      <c r="B292" s="22"/>
      <c r="C292" s="22"/>
      <c r="D292" s="22"/>
      <c r="E292" s="22"/>
      <c r="F292" s="22"/>
      <c r="G292" s="22"/>
      <c r="H292" s="22"/>
      <c r="I292" s="22"/>
    </row>
    <row r="293" spans="1:9" ht="12.75" customHeight="1" x14ac:dyDescent="0.2">
      <c r="A293" s="22"/>
      <c r="B293" s="22"/>
      <c r="C293" s="22"/>
      <c r="D293" s="22"/>
      <c r="E293" s="22"/>
      <c r="F293" s="22"/>
      <c r="G293" s="22"/>
      <c r="H293" s="22"/>
      <c r="I293" s="22"/>
    </row>
    <row r="294" spans="1:9" ht="12.75" customHeight="1" x14ac:dyDescent="0.2">
      <c r="A294" s="22"/>
      <c r="B294" s="22"/>
      <c r="C294" s="22"/>
      <c r="D294" s="22"/>
      <c r="E294" s="22"/>
      <c r="F294" s="22"/>
      <c r="G294" s="22"/>
      <c r="H294" s="22"/>
      <c r="I294" s="22"/>
    </row>
    <row r="295" spans="1:9" ht="12.75" customHeight="1" x14ac:dyDescent="0.2">
      <c r="A295" s="22"/>
      <c r="B295" s="22"/>
      <c r="C295" s="22"/>
      <c r="D295" s="22"/>
      <c r="E295" s="22"/>
      <c r="F295" s="22"/>
      <c r="G295" s="22"/>
      <c r="H295" s="22"/>
      <c r="I295" s="22"/>
    </row>
    <row r="296" spans="1:9" ht="12.75" customHeight="1" x14ac:dyDescent="0.2">
      <c r="A296" s="22"/>
      <c r="B296" s="22"/>
      <c r="C296" s="22"/>
      <c r="D296" s="22"/>
      <c r="E296" s="22"/>
      <c r="F296" s="22"/>
      <c r="G296" s="22"/>
      <c r="H296" s="22"/>
      <c r="I296" s="22"/>
    </row>
    <row r="297" spans="1:9" ht="12.75" customHeight="1" x14ac:dyDescent="0.2">
      <c r="A297" s="22"/>
      <c r="B297" s="22"/>
      <c r="C297" s="22"/>
      <c r="D297" s="22"/>
      <c r="E297" s="22"/>
      <c r="F297" s="22"/>
      <c r="G297" s="22"/>
      <c r="H297" s="22"/>
      <c r="I297" s="22"/>
    </row>
    <row r="298" spans="1:9" ht="12.75" customHeight="1" x14ac:dyDescent="0.2">
      <c r="A298" s="22"/>
      <c r="B298" s="22"/>
      <c r="C298" s="22"/>
      <c r="D298" s="22"/>
      <c r="E298" s="22"/>
      <c r="F298" s="22"/>
      <c r="G298" s="22"/>
      <c r="H298" s="22"/>
      <c r="I298" s="22"/>
    </row>
    <row r="299" spans="1:9" ht="12.75" customHeight="1" x14ac:dyDescent="0.2">
      <c r="A299" s="22"/>
      <c r="B299" s="22"/>
      <c r="C299" s="22"/>
      <c r="D299" s="22"/>
      <c r="E299" s="22"/>
      <c r="F299" s="22"/>
      <c r="G299" s="22"/>
      <c r="H299" s="22"/>
      <c r="I299" s="22"/>
    </row>
    <row r="300" spans="1:9" ht="12.75" customHeight="1" x14ac:dyDescent="0.2">
      <c r="A300" s="22"/>
      <c r="B300" s="22"/>
      <c r="C300" s="22"/>
      <c r="D300" s="22"/>
      <c r="E300" s="22"/>
      <c r="F300" s="22"/>
      <c r="G300" s="22"/>
      <c r="H300" s="22"/>
      <c r="I300" s="22"/>
    </row>
    <row r="301" spans="1:9" ht="12.75" customHeight="1" x14ac:dyDescent="0.2">
      <c r="A301" s="22"/>
      <c r="B301" s="22"/>
      <c r="C301" s="22"/>
      <c r="D301" s="22"/>
      <c r="E301" s="22"/>
      <c r="F301" s="22"/>
      <c r="G301" s="22"/>
      <c r="H301" s="22"/>
      <c r="I301" s="22"/>
    </row>
    <row r="302" spans="1:9" ht="12.75" customHeight="1" x14ac:dyDescent="0.2">
      <c r="A302" s="22"/>
      <c r="B302" s="22"/>
      <c r="C302" s="22"/>
      <c r="D302" s="22"/>
      <c r="E302" s="22"/>
      <c r="F302" s="22"/>
      <c r="G302" s="22"/>
      <c r="H302" s="22"/>
      <c r="I302" s="22"/>
    </row>
    <row r="303" spans="1:9" ht="12.75" customHeight="1" x14ac:dyDescent="0.2">
      <c r="A303" s="22"/>
      <c r="B303" s="22"/>
      <c r="C303" s="22"/>
      <c r="D303" s="22"/>
      <c r="E303" s="22"/>
      <c r="F303" s="22"/>
      <c r="G303" s="22"/>
      <c r="H303" s="22"/>
      <c r="I303" s="22"/>
    </row>
    <row r="304" spans="1:9" ht="12.75" customHeight="1" x14ac:dyDescent="0.2">
      <c r="A304" s="22"/>
      <c r="B304" s="22"/>
      <c r="C304" s="22"/>
      <c r="D304" s="22"/>
      <c r="E304" s="22"/>
      <c r="F304" s="22"/>
      <c r="G304" s="22"/>
      <c r="H304" s="22"/>
      <c r="I304" s="22"/>
    </row>
    <row r="305" spans="1:9" ht="12.75" customHeight="1" x14ac:dyDescent="0.2">
      <c r="A305" s="22"/>
      <c r="B305" s="22"/>
      <c r="C305" s="22"/>
      <c r="D305" s="22"/>
      <c r="E305" s="22"/>
      <c r="F305" s="22"/>
      <c r="G305" s="22"/>
      <c r="H305" s="22"/>
      <c r="I305" s="22"/>
    </row>
    <row r="306" spans="1:9" ht="12.75" customHeight="1" x14ac:dyDescent="0.2">
      <c r="A306" s="22"/>
      <c r="B306" s="22"/>
      <c r="C306" s="22"/>
      <c r="D306" s="22"/>
      <c r="E306" s="22"/>
      <c r="F306" s="22"/>
      <c r="G306" s="22"/>
      <c r="H306" s="22"/>
      <c r="I306" s="22"/>
    </row>
    <row r="307" spans="1:9" ht="12.75" customHeight="1" x14ac:dyDescent="0.2">
      <c r="A307" s="22"/>
      <c r="B307" s="22"/>
      <c r="C307" s="22"/>
      <c r="D307" s="22"/>
      <c r="E307" s="22"/>
      <c r="F307" s="22"/>
      <c r="G307" s="22"/>
      <c r="H307" s="22"/>
      <c r="I307" s="22"/>
    </row>
    <row r="308" spans="1:9" ht="12.75" customHeight="1" x14ac:dyDescent="0.2">
      <c r="A308" s="22"/>
      <c r="B308" s="22"/>
      <c r="C308" s="22"/>
      <c r="D308" s="22"/>
      <c r="E308" s="22"/>
      <c r="F308" s="22"/>
      <c r="G308" s="22"/>
      <c r="H308" s="22"/>
      <c r="I308" s="22"/>
    </row>
    <row r="309" spans="1:9" ht="12.75" customHeight="1" x14ac:dyDescent="0.2">
      <c r="A309" s="22"/>
      <c r="B309" s="22"/>
      <c r="C309" s="22"/>
      <c r="D309" s="22"/>
      <c r="E309" s="22"/>
      <c r="F309" s="22"/>
      <c r="G309" s="22"/>
      <c r="H309" s="22"/>
      <c r="I309" s="22"/>
    </row>
    <row r="310" spans="1:9" ht="12.75" customHeight="1" x14ac:dyDescent="0.2">
      <c r="A310" s="22"/>
      <c r="B310" s="22"/>
      <c r="C310" s="22"/>
      <c r="D310" s="22"/>
      <c r="E310" s="22"/>
      <c r="F310" s="22"/>
      <c r="G310" s="22"/>
      <c r="H310" s="22"/>
      <c r="I310" s="22"/>
    </row>
    <row r="311" spans="1:9" ht="12.75" customHeight="1" x14ac:dyDescent="0.2">
      <c r="A311" s="22"/>
      <c r="B311" s="22"/>
      <c r="C311" s="22"/>
      <c r="D311" s="22"/>
      <c r="E311" s="22"/>
      <c r="F311" s="22"/>
      <c r="G311" s="22"/>
      <c r="H311" s="22"/>
      <c r="I311" s="22"/>
    </row>
    <row r="312" spans="1:9" ht="12.75" customHeight="1" x14ac:dyDescent="0.2">
      <c r="A312" s="22"/>
      <c r="B312" s="22"/>
      <c r="C312" s="22"/>
      <c r="D312" s="22"/>
      <c r="E312" s="22"/>
      <c r="F312" s="22"/>
      <c r="G312" s="22"/>
      <c r="H312" s="22"/>
      <c r="I312" s="22"/>
    </row>
    <row r="313" spans="1:9" ht="12.75" customHeight="1" x14ac:dyDescent="0.2">
      <c r="A313" s="22"/>
      <c r="B313" s="22"/>
      <c r="C313" s="22"/>
      <c r="D313" s="22"/>
      <c r="E313" s="22"/>
      <c r="F313" s="22"/>
      <c r="G313" s="22"/>
      <c r="H313" s="22"/>
      <c r="I313" s="22"/>
    </row>
    <row r="314" spans="1:9" ht="12.75" customHeight="1" x14ac:dyDescent="0.2">
      <c r="A314" s="22"/>
      <c r="B314" s="22"/>
      <c r="C314" s="22"/>
      <c r="D314" s="22"/>
      <c r="E314" s="22"/>
      <c r="F314" s="22"/>
      <c r="G314" s="22"/>
      <c r="H314" s="22"/>
      <c r="I314" s="22"/>
    </row>
    <row r="315" spans="1:9" ht="12.75" customHeight="1" x14ac:dyDescent="0.2">
      <c r="A315" s="22"/>
      <c r="B315" s="22"/>
      <c r="C315" s="22"/>
      <c r="D315" s="22"/>
      <c r="E315" s="22"/>
      <c r="F315" s="22"/>
      <c r="G315" s="22"/>
      <c r="H315" s="22"/>
      <c r="I315" s="22"/>
    </row>
    <row r="316" spans="1:9" ht="12.75" customHeight="1" x14ac:dyDescent="0.2">
      <c r="A316" s="22"/>
      <c r="B316" s="22"/>
      <c r="C316" s="22"/>
      <c r="D316" s="22"/>
      <c r="E316" s="22"/>
      <c r="F316" s="22"/>
      <c r="G316" s="22"/>
      <c r="H316" s="22"/>
      <c r="I316" s="22"/>
    </row>
    <row r="317" spans="1:9" ht="12.75" customHeight="1" x14ac:dyDescent="0.2">
      <c r="A317" s="22"/>
      <c r="B317" s="22"/>
      <c r="C317" s="22"/>
      <c r="D317" s="22"/>
      <c r="E317" s="22"/>
      <c r="F317" s="22"/>
      <c r="G317" s="22"/>
      <c r="H317" s="22"/>
      <c r="I317" s="22"/>
    </row>
    <row r="318" spans="1:9" ht="12.75" customHeight="1" x14ac:dyDescent="0.2">
      <c r="A318" s="22"/>
      <c r="B318" s="22"/>
      <c r="C318" s="22"/>
      <c r="D318" s="22"/>
      <c r="E318" s="22"/>
      <c r="F318" s="22"/>
      <c r="G318" s="22"/>
      <c r="H318" s="22"/>
      <c r="I318" s="22"/>
    </row>
    <row r="319" spans="1:9" ht="12.75" customHeight="1" x14ac:dyDescent="0.2">
      <c r="A319" s="22"/>
      <c r="B319" s="22"/>
      <c r="C319" s="22"/>
      <c r="D319" s="22"/>
      <c r="E319" s="22"/>
      <c r="F319" s="22"/>
      <c r="G319" s="22"/>
      <c r="H319" s="22"/>
      <c r="I319" s="22"/>
    </row>
    <row r="320" spans="1:9" ht="12.75" customHeight="1" x14ac:dyDescent="0.2">
      <c r="A320" s="22"/>
      <c r="B320" s="22"/>
      <c r="C320" s="22"/>
      <c r="D320" s="22"/>
      <c r="E320" s="22"/>
      <c r="F320" s="22"/>
      <c r="G320" s="22"/>
      <c r="H320" s="22"/>
      <c r="I320" s="22"/>
    </row>
    <row r="321" spans="1:9" ht="12.75" customHeight="1" x14ac:dyDescent="0.2">
      <c r="A321" s="22"/>
      <c r="B321" s="22"/>
      <c r="C321" s="22"/>
      <c r="D321" s="22"/>
      <c r="E321" s="22"/>
      <c r="F321" s="22"/>
      <c r="G321" s="22"/>
      <c r="H321" s="22"/>
      <c r="I321" s="22"/>
    </row>
    <row r="322" spans="1:9" ht="12.75" customHeight="1" x14ac:dyDescent="0.2">
      <c r="A322" s="22"/>
      <c r="B322" s="22"/>
      <c r="C322" s="22"/>
      <c r="D322" s="22"/>
      <c r="E322" s="22"/>
      <c r="F322" s="22"/>
      <c r="G322" s="22"/>
      <c r="H322" s="22"/>
      <c r="I322" s="22"/>
    </row>
    <row r="323" spans="1:9" ht="12.75" customHeight="1" x14ac:dyDescent="0.2">
      <c r="A323" s="22"/>
      <c r="B323" s="22"/>
      <c r="C323" s="22"/>
      <c r="D323" s="22"/>
      <c r="E323" s="22"/>
      <c r="F323" s="22"/>
      <c r="G323" s="22"/>
      <c r="H323" s="22"/>
      <c r="I323" s="22"/>
    </row>
    <row r="324" spans="1:9" ht="12.75" customHeight="1" x14ac:dyDescent="0.2">
      <c r="A324" s="22"/>
      <c r="B324" s="22"/>
      <c r="C324" s="22"/>
      <c r="D324" s="22"/>
      <c r="E324" s="22"/>
      <c r="F324" s="22"/>
      <c r="G324" s="22"/>
      <c r="H324" s="22"/>
      <c r="I324" s="22"/>
    </row>
    <row r="325" spans="1:9" ht="12.75" customHeight="1" x14ac:dyDescent="0.2">
      <c r="A325" s="22"/>
      <c r="B325" s="22"/>
      <c r="C325" s="22"/>
      <c r="D325" s="22"/>
      <c r="E325" s="22"/>
      <c r="F325" s="22"/>
      <c r="G325" s="22"/>
      <c r="H325" s="22"/>
      <c r="I325" s="22"/>
    </row>
    <row r="326" spans="1:9" ht="12.75" customHeight="1" x14ac:dyDescent="0.2">
      <c r="A326" s="22"/>
      <c r="B326" s="22"/>
      <c r="C326" s="22"/>
      <c r="D326" s="22"/>
      <c r="E326" s="22"/>
      <c r="F326" s="22"/>
      <c r="G326" s="22"/>
      <c r="H326" s="22"/>
      <c r="I326" s="22"/>
    </row>
    <row r="327" spans="1:9" ht="12.75" customHeight="1" x14ac:dyDescent="0.2">
      <c r="A327" s="22"/>
      <c r="B327" s="22"/>
      <c r="C327" s="22"/>
      <c r="D327" s="22"/>
      <c r="E327" s="22"/>
      <c r="F327" s="22"/>
      <c r="G327" s="22"/>
      <c r="H327" s="22"/>
      <c r="I327" s="22"/>
    </row>
    <row r="328" spans="1:9" ht="12.75" customHeight="1" x14ac:dyDescent="0.2">
      <c r="A328" s="22"/>
      <c r="B328" s="22"/>
      <c r="C328" s="22"/>
      <c r="D328" s="22"/>
      <c r="E328" s="22"/>
      <c r="F328" s="22"/>
      <c r="G328" s="22"/>
      <c r="H328" s="22"/>
      <c r="I328" s="22"/>
    </row>
    <row r="329" spans="1:9" ht="12.75" customHeight="1" x14ac:dyDescent="0.2">
      <c r="A329" s="22"/>
      <c r="B329" s="22"/>
      <c r="C329" s="22"/>
      <c r="D329" s="22"/>
      <c r="E329" s="22"/>
      <c r="F329" s="22"/>
      <c r="G329" s="22"/>
      <c r="H329" s="22"/>
      <c r="I329" s="22"/>
    </row>
    <row r="330" spans="1:9" ht="12.75" customHeight="1" x14ac:dyDescent="0.2">
      <c r="A330" s="22"/>
      <c r="B330" s="22"/>
      <c r="C330" s="22"/>
      <c r="D330" s="22"/>
      <c r="E330" s="22"/>
      <c r="F330" s="22"/>
      <c r="G330" s="22"/>
      <c r="H330" s="22"/>
      <c r="I330" s="22"/>
    </row>
    <row r="331" spans="1:9" ht="12.75" customHeight="1" x14ac:dyDescent="0.2">
      <c r="A331" s="22"/>
      <c r="B331" s="22"/>
      <c r="C331" s="22"/>
      <c r="D331" s="22"/>
      <c r="E331" s="22"/>
      <c r="F331" s="22"/>
      <c r="G331" s="22"/>
      <c r="H331" s="22"/>
      <c r="I331" s="22"/>
    </row>
    <row r="332" spans="1:9" ht="12.75" customHeight="1" x14ac:dyDescent="0.2">
      <c r="A332" s="22"/>
      <c r="B332" s="22"/>
      <c r="C332" s="22"/>
      <c r="D332" s="22"/>
      <c r="E332" s="22"/>
      <c r="F332" s="22"/>
      <c r="G332" s="22"/>
      <c r="H332" s="22"/>
      <c r="I332" s="22"/>
    </row>
    <row r="333" spans="1:9" ht="12.75" customHeight="1" x14ac:dyDescent="0.2">
      <c r="A333" s="22"/>
      <c r="B333" s="22"/>
      <c r="C333" s="22"/>
      <c r="D333" s="22"/>
      <c r="E333" s="22"/>
      <c r="F333" s="22"/>
      <c r="G333" s="22"/>
      <c r="H333" s="22"/>
      <c r="I333" s="22"/>
    </row>
    <row r="334" spans="1:9" ht="12.75" customHeight="1" x14ac:dyDescent="0.2">
      <c r="A334" s="22"/>
      <c r="B334" s="22"/>
      <c r="C334" s="22"/>
      <c r="D334" s="22"/>
      <c r="E334" s="22"/>
      <c r="F334" s="22"/>
      <c r="G334" s="22"/>
      <c r="H334" s="22"/>
      <c r="I334" s="22"/>
    </row>
    <row r="335" spans="1:9" ht="12.75" customHeight="1" x14ac:dyDescent="0.2">
      <c r="A335" s="22"/>
      <c r="B335" s="22"/>
      <c r="C335" s="22"/>
      <c r="D335" s="22"/>
      <c r="E335" s="22"/>
      <c r="F335" s="22"/>
      <c r="G335" s="22"/>
      <c r="H335" s="22"/>
      <c r="I335" s="22"/>
    </row>
    <row r="336" spans="1:9" ht="12.75" customHeight="1" x14ac:dyDescent="0.2">
      <c r="A336" s="22"/>
      <c r="B336" s="22"/>
      <c r="C336" s="22"/>
      <c r="D336" s="22"/>
      <c r="E336" s="22"/>
      <c r="F336" s="22"/>
      <c r="G336" s="22"/>
      <c r="H336" s="22"/>
      <c r="I336" s="22"/>
    </row>
    <row r="337" spans="1:9" ht="12.75" customHeight="1" x14ac:dyDescent="0.2">
      <c r="A337" s="22"/>
      <c r="B337" s="22"/>
      <c r="C337" s="22"/>
      <c r="D337" s="22"/>
      <c r="E337" s="22"/>
      <c r="F337" s="22"/>
      <c r="G337" s="22"/>
      <c r="H337" s="22"/>
      <c r="I337" s="22"/>
    </row>
    <row r="338" spans="1:9" ht="12.75" customHeight="1" x14ac:dyDescent="0.2">
      <c r="A338" s="22"/>
      <c r="B338" s="22"/>
      <c r="C338" s="22"/>
      <c r="D338" s="22"/>
      <c r="E338" s="22"/>
      <c r="F338" s="22"/>
      <c r="G338" s="22"/>
      <c r="H338" s="22"/>
      <c r="I338" s="22"/>
    </row>
    <row r="339" spans="1:9" ht="12.75" customHeight="1" x14ac:dyDescent="0.2">
      <c r="A339" s="22"/>
      <c r="B339" s="22"/>
      <c r="C339" s="22"/>
      <c r="D339" s="22"/>
      <c r="E339" s="22"/>
      <c r="F339" s="22"/>
      <c r="G339" s="22"/>
      <c r="H339" s="22"/>
      <c r="I339" s="22"/>
    </row>
    <row r="340" spans="1:9" ht="12.75" customHeight="1" x14ac:dyDescent="0.2">
      <c r="A340" s="22"/>
      <c r="B340" s="22"/>
      <c r="C340" s="22"/>
      <c r="D340" s="22"/>
      <c r="E340" s="22"/>
      <c r="F340" s="22"/>
      <c r="G340" s="22"/>
      <c r="H340" s="22"/>
      <c r="I340" s="22"/>
    </row>
    <row r="341" spans="1:9" ht="12.75" customHeight="1" x14ac:dyDescent="0.2">
      <c r="A341" s="22"/>
      <c r="B341" s="22"/>
      <c r="C341" s="22"/>
      <c r="D341" s="22"/>
      <c r="E341" s="22"/>
      <c r="F341" s="22"/>
      <c r="G341" s="22"/>
      <c r="H341" s="22"/>
      <c r="I341" s="22"/>
    </row>
    <row r="342" spans="1:9" ht="12.75" customHeight="1" x14ac:dyDescent="0.2">
      <c r="A342" s="22"/>
      <c r="B342" s="22"/>
      <c r="C342" s="22"/>
      <c r="D342" s="22"/>
      <c r="E342" s="22"/>
      <c r="F342" s="22"/>
      <c r="G342" s="22"/>
      <c r="H342" s="22"/>
      <c r="I342" s="22"/>
    </row>
    <row r="343" spans="1:9" ht="12.75" customHeight="1" x14ac:dyDescent="0.2">
      <c r="A343" s="22"/>
      <c r="B343" s="22"/>
      <c r="C343" s="22"/>
      <c r="D343" s="22"/>
      <c r="E343" s="22"/>
      <c r="F343" s="22"/>
      <c r="G343" s="22"/>
      <c r="H343" s="22"/>
      <c r="I343" s="22"/>
    </row>
    <row r="344" spans="1:9" ht="12.75" customHeight="1" x14ac:dyDescent="0.2">
      <c r="A344" s="22"/>
      <c r="B344" s="22"/>
      <c r="C344" s="22"/>
      <c r="D344" s="22"/>
      <c r="E344" s="22"/>
      <c r="F344" s="22"/>
      <c r="G344" s="22"/>
      <c r="H344" s="22"/>
      <c r="I344" s="22"/>
    </row>
    <row r="345" spans="1:9" ht="12.75" customHeight="1" x14ac:dyDescent="0.2">
      <c r="A345" s="22"/>
      <c r="B345" s="22"/>
      <c r="C345" s="22"/>
      <c r="D345" s="22"/>
      <c r="E345" s="22"/>
      <c r="F345" s="22"/>
      <c r="G345" s="22"/>
      <c r="H345" s="22"/>
      <c r="I345" s="22"/>
    </row>
    <row r="346" spans="1:9" ht="12.75" customHeight="1" x14ac:dyDescent="0.2">
      <c r="A346" s="22"/>
      <c r="B346" s="22"/>
      <c r="C346" s="22"/>
      <c r="D346" s="22"/>
      <c r="E346" s="22"/>
      <c r="F346" s="22"/>
      <c r="G346" s="22"/>
      <c r="H346" s="22"/>
      <c r="I346" s="22"/>
    </row>
    <row r="347" spans="1:9" ht="12.75" customHeight="1" x14ac:dyDescent="0.2">
      <c r="A347" s="22"/>
      <c r="B347" s="22"/>
      <c r="C347" s="22"/>
      <c r="D347" s="22"/>
      <c r="E347" s="22"/>
      <c r="F347" s="22"/>
      <c r="G347" s="22"/>
      <c r="H347" s="22"/>
      <c r="I347" s="22"/>
    </row>
    <row r="348" spans="1:9" ht="12.75" customHeight="1" x14ac:dyDescent="0.2">
      <c r="A348" s="22"/>
      <c r="B348" s="22"/>
      <c r="C348" s="22"/>
      <c r="D348" s="22"/>
      <c r="E348" s="22"/>
      <c r="F348" s="22"/>
      <c r="G348" s="22"/>
      <c r="H348" s="22"/>
      <c r="I348" s="22"/>
    </row>
    <row r="349" spans="1:9" ht="12.75" customHeight="1" x14ac:dyDescent="0.2">
      <c r="A349" s="22"/>
      <c r="B349" s="22"/>
      <c r="C349" s="22"/>
      <c r="D349" s="22"/>
      <c r="E349" s="22"/>
      <c r="F349" s="22"/>
      <c r="G349" s="22"/>
      <c r="H349" s="22"/>
      <c r="I349" s="22"/>
    </row>
    <row r="350" spans="1:9" ht="12.75" customHeight="1" x14ac:dyDescent="0.2">
      <c r="A350" s="22"/>
      <c r="B350" s="22"/>
      <c r="C350" s="22"/>
      <c r="D350" s="22"/>
      <c r="E350" s="22"/>
      <c r="F350" s="22"/>
      <c r="G350" s="22"/>
      <c r="H350" s="22"/>
      <c r="I350" s="22"/>
    </row>
    <row r="351" spans="1:9" ht="12.75" customHeight="1" x14ac:dyDescent="0.2">
      <c r="A351" s="22"/>
      <c r="B351" s="22"/>
      <c r="C351" s="22"/>
      <c r="D351" s="22"/>
      <c r="E351" s="22"/>
      <c r="F351" s="22"/>
      <c r="G351" s="22"/>
      <c r="H351" s="22"/>
      <c r="I351" s="22"/>
    </row>
    <row r="352" spans="1:9" ht="12.75" customHeight="1" x14ac:dyDescent="0.2">
      <c r="A352" s="22"/>
      <c r="B352" s="22"/>
      <c r="C352" s="22"/>
      <c r="D352" s="22"/>
      <c r="E352" s="22"/>
      <c r="F352" s="22"/>
      <c r="G352" s="22"/>
      <c r="H352" s="22"/>
      <c r="I352" s="22"/>
    </row>
    <row r="353" spans="1:9" ht="12.75" customHeight="1" x14ac:dyDescent="0.2">
      <c r="A353" s="22"/>
      <c r="B353" s="22"/>
      <c r="C353" s="22"/>
      <c r="D353" s="22"/>
      <c r="E353" s="22"/>
      <c r="F353" s="22"/>
      <c r="G353" s="22"/>
      <c r="H353" s="22"/>
      <c r="I353" s="22"/>
    </row>
    <row r="354" spans="1:9" ht="12.75" customHeight="1" x14ac:dyDescent="0.2">
      <c r="A354" s="22"/>
      <c r="B354" s="22"/>
      <c r="C354" s="22"/>
      <c r="D354" s="22"/>
      <c r="E354" s="22"/>
      <c r="F354" s="22"/>
      <c r="G354" s="22"/>
      <c r="H354" s="22"/>
      <c r="I354" s="22"/>
    </row>
    <row r="355" spans="1:9" ht="12.75" customHeight="1" x14ac:dyDescent="0.2">
      <c r="A355" s="22"/>
      <c r="B355" s="22"/>
      <c r="C355" s="22"/>
      <c r="D355" s="22"/>
      <c r="E355" s="22"/>
      <c r="F355" s="22"/>
      <c r="G355" s="22"/>
      <c r="H355" s="22"/>
      <c r="I355" s="22"/>
    </row>
    <row r="356" spans="1:9" ht="12.75" customHeight="1" x14ac:dyDescent="0.2">
      <c r="A356" s="22"/>
      <c r="B356" s="22"/>
      <c r="C356" s="22"/>
      <c r="D356" s="22"/>
      <c r="E356" s="22"/>
      <c r="F356" s="22"/>
      <c r="G356" s="22"/>
      <c r="H356" s="22"/>
      <c r="I356" s="22"/>
    </row>
    <row r="357" spans="1:9" ht="12.75" customHeight="1" x14ac:dyDescent="0.2">
      <c r="A357" s="22"/>
      <c r="B357" s="22"/>
      <c r="C357" s="22"/>
      <c r="D357" s="22"/>
      <c r="E357" s="22"/>
      <c r="F357" s="22"/>
      <c r="G357" s="22"/>
      <c r="H357" s="22"/>
      <c r="I357" s="22"/>
    </row>
    <row r="358" spans="1:9" ht="12.75" customHeight="1" x14ac:dyDescent="0.2">
      <c r="A358" s="22"/>
      <c r="B358" s="22"/>
      <c r="C358" s="22"/>
      <c r="D358" s="22"/>
      <c r="E358" s="22"/>
      <c r="F358" s="22"/>
      <c r="G358" s="22"/>
      <c r="H358" s="22"/>
      <c r="I358" s="22"/>
    </row>
    <row r="359" spans="1:9" ht="12.75" customHeight="1" x14ac:dyDescent="0.2">
      <c r="A359" s="22"/>
      <c r="B359" s="22"/>
      <c r="C359" s="22"/>
      <c r="D359" s="22"/>
      <c r="E359" s="22"/>
      <c r="F359" s="22"/>
      <c r="G359" s="22"/>
      <c r="H359" s="22"/>
      <c r="I359" s="22"/>
    </row>
    <row r="360" spans="1:9" ht="12.75" customHeight="1" x14ac:dyDescent="0.2">
      <c r="A360" s="22"/>
      <c r="B360" s="22"/>
      <c r="C360" s="22"/>
      <c r="D360" s="22"/>
      <c r="E360" s="22"/>
      <c r="F360" s="22"/>
      <c r="G360" s="22"/>
      <c r="H360" s="22"/>
      <c r="I360" s="22"/>
    </row>
    <row r="361" spans="1:9" ht="12.75" customHeight="1" x14ac:dyDescent="0.2">
      <c r="A361" s="22"/>
      <c r="B361" s="22"/>
      <c r="C361" s="22"/>
      <c r="D361" s="22"/>
      <c r="E361" s="22"/>
      <c r="F361" s="22"/>
      <c r="G361" s="22"/>
      <c r="H361" s="22"/>
      <c r="I361" s="22"/>
    </row>
    <row r="362" spans="1:9" ht="12.75" customHeight="1" x14ac:dyDescent="0.2">
      <c r="A362" s="22"/>
      <c r="B362" s="22"/>
      <c r="C362" s="22"/>
      <c r="D362" s="22"/>
      <c r="E362" s="22"/>
      <c r="F362" s="22"/>
      <c r="G362" s="22"/>
      <c r="H362" s="22"/>
      <c r="I362" s="22"/>
    </row>
    <row r="363" spans="1:9" ht="12.75" customHeight="1" x14ac:dyDescent="0.2">
      <c r="A363" s="22"/>
      <c r="B363" s="22"/>
      <c r="C363" s="22"/>
      <c r="D363" s="22"/>
      <c r="E363" s="22"/>
      <c r="F363" s="22"/>
      <c r="G363" s="22"/>
      <c r="H363" s="22"/>
      <c r="I363" s="22"/>
    </row>
    <row r="364" spans="1:9" ht="12.75" customHeight="1" x14ac:dyDescent="0.2">
      <c r="A364" s="22"/>
      <c r="B364" s="22"/>
      <c r="C364" s="22"/>
      <c r="D364" s="22"/>
      <c r="E364" s="22"/>
      <c r="F364" s="22"/>
      <c r="G364" s="22"/>
      <c r="H364" s="22"/>
      <c r="I364" s="22"/>
    </row>
    <row r="365" spans="1:9" ht="12.75" customHeight="1" x14ac:dyDescent="0.2">
      <c r="A365" s="22"/>
      <c r="B365" s="22"/>
      <c r="C365" s="22"/>
      <c r="D365" s="22"/>
      <c r="E365" s="22"/>
      <c r="F365" s="22"/>
      <c r="G365" s="22"/>
      <c r="H365" s="22"/>
      <c r="I365" s="22"/>
    </row>
    <row r="366" spans="1:9" ht="12.75" customHeight="1" x14ac:dyDescent="0.2">
      <c r="A366" s="22"/>
      <c r="B366" s="22"/>
      <c r="C366" s="22"/>
      <c r="D366" s="22"/>
      <c r="E366" s="22"/>
      <c r="F366" s="22"/>
      <c r="G366" s="22"/>
      <c r="H366" s="22"/>
      <c r="I366" s="22"/>
    </row>
    <row r="367" spans="1:9" ht="12.75" customHeight="1" x14ac:dyDescent="0.2">
      <c r="A367" s="22"/>
      <c r="B367" s="22"/>
      <c r="C367" s="22"/>
      <c r="D367" s="22"/>
      <c r="E367" s="22"/>
      <c r="F367" s="22"/>
      <c r="G367" s="22"/>
      <c r="H367" s="22"/>
      <c r="I367" s="22"/>
    </row>
    <row r="368" spans="1:9" ht="12.75" customHeight="1" x14ac:dyDescent="0.2">
      <c r="A368" s="22"/>
      <c r="B368" s="22"/>
      <c r="C368" s="22"/>
      <c r="D368" s="22"/>
      <c r="E368" s="22"/>
      <c r="F368" s="22"/>
      <c r="G368" s="22"/>
      <c r="H368" s="22"/>
      <c r="I368" s="22"/>
    </row>
    <row r="369" spans="1:9" ht="12.75" customHeight="1" x14ac:dyDescent="0.2">
      <c r="A369" s="22"/>
      <c r="B369" s="22"/>
      <c r="C369" s="22"/>
      <c r="D369" s="22"/>
      <c r="E369" s="22"/>
      <c r="F369" s="22"/>
      <c r="G369" s="22"/>
      <c r="H369" s="22"/>
      <c r="I369" s="22"/>
    </row>
    <row r="370" spans="1:9" ht="12.75" customHeight="1" x14ac:dyDescent="0.2">
      <c r="A370" s="22"/>
      <c r="B370" s="22"/>
      <c r="C370" s="22"/>
      <c r="D370" s="22"/>
      <c r="E370" s="22"/>
      <c r="F370" s="22"/>
      <c r="G370" s="22"/>
      <c r="H370" s="22"/>
      <c r="I370" s="22"/>
    </row>
    <row r="371" spans="1:9" ht="12.75" customHeight="1" x14ac:dyDescent="0.2">
      <c r="A371" s="22"/>
      <c r="B371" s="22"/>
      <c r="C371" s="22"/>
      <c r="D371" s="22"/>
      <c r="E371" s="22"/>
      <c r="F371" s="22"/>
      <c r="G371" s="22"/>
      <c r="H371" s="22"/>
      <c r="I371" s="22"/>
    </row>
    <row r="372" spans="1:9" ht="12.75" customHeight="1" x14ac:dyDescent="0.2">
      <c r="A372" s="22"/>
      <c r="B372" s="22"/>
      <c r="C372" s="22"/>
      <c r="D372" s="22"/>
      <c r="E372" s="22"/>
      <c r="F372" s="22"/>
      <c r="G372" s="22"/>
      <c r="H372" s="22"/>
      <c r="I372" s="22"/>
    </row>
    <row r="373" spans="1:9" ht="12.75" customHeight="1" x14ac:dyDescent="0.2">
      <c r="A373" s="22"/>
      <c r="B373" s="22"/>
      <c r="C373" s="22"/>
      <c r="D373" s="22"/>
      <c r="E373" s="22"/>
      <c r="F373" s="22"/>
      <c r="G373" s="22"/>
      <c r="H373" s="22"/>
      <c r="I373" s="22"/>
    </row>
    <row r="374" spans="1:9" ht="12.75" customHeight="1" x14ac:dyDescent="0.2">
      <c r="A374" s="22"/>
      <c r="B374" s="22"/>
      <c r="C374" s="22"/>
      <c r="D374" s="22"/>
      <c r="E374" s="22"/>
      <c r="F374" s="22"/>
      <c r="G374" s="22"/>
      <c r="H374" s="22"/>
      <c r="I374" s="22"/>
    </row>
    <row r="375" spans="1:9" ht="12.75" customHeight="1" x14ac:dyDescent="0.2">
      <c r="A375" s="22"/>
      <c r="B375" s="22"/>
      <c r="C375" s="22"/>
      <c r="D375" s="22"/>
      <c r="E375" s="22"/>
      <c r="F375" s="22"/>
      <c r="G375" s="22"/>
      <c r="H375" s="22"/>
      <c r="I375" s="22"/>
    </row>
    <row r="376" spans="1:9" ht="12.75" customHeight="1" x14ac:dyDescent="0.2">
      <c r="A376" s="22"/>
      <c r="B376" s="22"/>
      <c r="C376" s="22"/>
      <c r="D376" s="22"/>
      <c r="E376" s="22"/>
      <c r="F376" s="22"/>
      <c r="G376" s="22"/>
      <c r="H376" s="22"/>
      <c r="I376" s="22"/>
    </row>
    <row r="377" spans="1:9" ht="12.75" customHeight="1" x14ac:dyDescent="0.2">
      <c r="A377" s="22"/>
      <c r="B377" s="22"/>
      <c r="C377" s="22"/>
      <c r="D377" s="22"/>
      <c r="E377" s="22"/>
      <c r="F377" s="22"/>
      <c r="G377" s="22"/>
      <c r="H377" s="22"/>
      <c r="I377" s="22"/>
    </row>
    <row r="378" spans="1:9" ht="12.75" customHeight="1" x14ac:dyDescent="0.2">
      <c r="A378" s="22"/>
      <c r="B378" s="22"/>
      <c r="C378" s="22"/>
      <c r="D378" s="22"/>
      <c r="E378" s="22"/>
      <c r="F378" s="22"/>
      <c r="G378" s="22"/>
      <c r="H378" s="22"/>
      <c r="I378" s="22"/>
    </row>
    <row r="379" spans="1:9" x14ac:dyDescent="0.2">
      <c r="A379" s="22"/>
      <c r="B379" s="22"/>
      <c r="C379" s="22"/>
      <c r="D379" s="22"/>
      <c r="E379" s="22"/>
      <c r="F379" s="22"/>
      <c r="G379" s="22"/>
      <c r="H379" s="22"/>
      <c r="I379" s="22"/>
    </row>
    <row r="380" spans="1:9" x14ac:dyDescent="0.2">
      <c r="A380" s="22"/>
      <c r="B380" s="22"/>
      <c r="C380" s="22"/>
      <c r="D380" s="22"/>
      <c r="E380" s="22"/>
      <c r="F380" s="22"/>
      <c r="G380" s="22"/>
      <c r="H380" s="22"/>
      <c r="I380" s="22"/>
    </row>
    <row r="381" spans="1:9" x14ac:dyDescent="0.2">
      <c r="A381" s="22"/>
      <c r="B381" s="22"/>
      <c r="C381" s="22"/>
      <c r="D381" s="22"/>
      <c r="E381" s="22"/>
      <c r="F381" s="22"/>
      <c r="G381" s="22"/>
      <c r="H381" s="22"/>
      <c r="I381" s="22"/>
    </row>
    <row r="382" spans="1:9" x14ac:dyDescent="0.2">
      <c r="A382" s="22"/>
      <c r="B382" s="22"/>
      <c r="C382" s="22"/>
      <c r="D382" s="22"/>
      <c r="E382" s="22"/>
      <c r="F382" s="22"/>
      <c r="G382" s="22"/>
      <c r="H382" s="22"/>
      <c r="I382" s="22"/>
    </row>
    <row r="383" spans="1:9" x14ac:dyDescent="0.2">
      <c r="A383" s="22"/>
      <c r="B383" s="22"/>
      <c r="C383" s="22"/>
      <c r="D383" s="22"/>
      <c r="E383" s="22"/>
      <c r="F383" s="22"/>
      <c r="G383" s="22"/>
      <c r="H383" s="22"/>
      <c r="I383" s="22"/>
    </row>
    <row r="384" spans="1:9" x14ac:dyDescent="0.2">
      <c r="A384" s="22"/>
      <c r="B384" s="22"/>
      <c r="C384" s="22"/>
      <c r="D384" s="22"/>
      <c r="E384" s="22"/>
      <c r="F384" s="22"/>
      <c r="G384" s="22"/>
      <c r="H384" s="22"/>
      <c r="I384" s="22"/>
    </row>
    <row r="385" spans="1:9" x14ac:dyDescent="0.2">
      <c r="A385" s="22"/>
      <c r="B385" s="22"/>
      <c r="C385" s="22"/>
      <c r="D385" s="22"/>
      <c r="E385" s="22"/>
      <c r="F385" s="22"/>
      <c r="G385" s="22"/>
      <c r="H385" s="22"/>
      <c r="I385" s="22"/>
    </row>
    <row r="386" spans="1:9" x14ac:dyDescent="0.2">
      <c r="A386" s="22"/>
      <c r="B386" s="22"/>
      <c r="C386" s="22"/>
      <c r="D386" s="22"/>
      <c r="E386" s="22"/>
      <c r="F386" s="22"/>
      <c r="G386" s="22"/>
      <c r="H386" s="22"/>
      <c r="I386" s="22"/>
    </row>
    <row r="387" spans="1:9" x14ac:dyDescent="0.2">
      <c r="A387" s="22"/>
      <c r="B387" s="22"/>
      <c r="C387" s="22"/>
      <c r="D387" s="22"/>
      <c r="E387" s="22"/>
      <c r="F387" s="22"/>
      <c r="G387" s="22"/>
      <c r="H387" s="22"/>
      <c r="I387" s="22"/>
    </row>
    <row r="388" spans="1:9" x14ac:dyDescent="0.2">
      <c r="A388" s="22"/>
      <c r="B388" s="22"/>
      <c r="C388" s="22"/>
      <c r="D388" s="22"/>
      <c r="E388" s="22"/>
      <c r="F388" s="22"/>
      <c r="G388" s="22"/>
      <c r="H388" s="22"/>
      <c r="I388" s="22"/>
    </row>
    <row r="389" spans="1:9" x14ac:dyDescent="0.2">
      <c r="A389" s="22"/>
      <c r="B389" s="22"/>
      <c r="C389" s="22"/>
      <c r="D389" s="22"/>
      <c r="E389" s="22"/>
      <c r="F389" s="22"/>
      <c r="G389" s="22"/>
      <c r="H389" s="22"/>
      <c r="I389" s="22"/>
    </row>
    <row r="390" spans="1:9" x14ac:dyDescent="0.2">
      <c r="A390" s="22"/>
      <c r="B390" s="22"/>
      <c r="C390" s="22"/>
      <c r="D390" s="22"/>
      <c r="E390" s="22"/>
      <c r="F390" s="22"/>
      <c r="G390" s="22"/>
      <c r="H390" s="22"/>
      <c r="I390" s="22"/>
    </row>
    <row r="391" spans="1:9" x14ac:dyDescent="0.2">
      <c r="A391" s="22"/>
      <c r="B391" s="22"/>
      <c r="C391" s="22"/>
      <c r="D391" s="22"/>
      <c r="E391" s="22"/>
      <c r="F391" s="22"/>
      <c r="G391" s="22"/>
      <c r="H391" s="22"/>
      <c r="I391" s="22"/>
    </row>
    <row r="392" spans="1:9" x14ac:dyDescent="0.2">
      <c r="A392" s="22"/>
      <c r="B392" s="22"/>
      <c r="C392" s="22"/>
      <c r="D392" s="22"/>
      <c r="E392" s="22"/>
      <c r="F392" s="22"/>
      <c r="G392" s="22"/>
      <c r="H392" s="22"/>
      <c r="I392" s="22"/>
    </row>
    <row r="393" spans="1:9" x14ac:dyDescent="0.2">
      <c r="A393" s="22"/>
      <c r="B393" s="22"/>
      <c r="C393" s="22"/>
      <c r="D393" s="22"/>
      <c r="E393" s="22"/>
      <c r="F393" s="22"/>
      <c r="G393" s="22"/>
      <c r="H393" s="22"/>
      <c r="I393" s="22"/>
    </row>
    <row r="394" spans="1:9" x14ac:dyDescent="0.2">
      <c r="A394" s="22"/>
      <c r="B394" s="22"/>
      <c r="C394" s="22"/>
      <c r="D394" s="22"/>
      <c r="E394" s="22"/>
      <c r="F394" s="22"/>
      <c r="G394" s="22"/>
      <c r="H394" s="22"/>
      <c r="I394" s="22"/>
    </row>
    <row r="395" spans="1:9" x14ac:dyDescent="0.2">
      <c r="A395" s="22"/>
      <c r="B395" s="22"/>
      <c r="C395" s="22"/>
      <c r="D395" s="22"/>
      <c r="E395" s="22"/>
      <c r="F395" s="22"/>
      <c r="G395" s="22"/>
      <c r="H395" s="22"/>
      <c r="I395" s="22"/>
    </row>
    <row r="396" spans="1:9" x14ac:dyDescent="0.2">
      <c r="A396" s="22"/>
      <c r="B396" s="22"/>
      <c r="C396" s="22"/>
      <c r="D396" s="22"/>
      <c r="E396" s="22"/>
      <c r="F396" s="22"/>
      <c r="G396" s="22"/>
      <c r="H396" s="22"/>
      <c r="I396" s="22"/>
    </row>
    <row r="397" spans="1:9" x14ac:dyDescent="0.2">
      <c r="A397" s="22"/>
      <c r="B397" s="22"/>
      <c r="C397" s="22"/>
      <c r="D397" s="22"/>
      <c r="E397" s="22"/>
      <c r="F397" s="22"/>
      <c r="G397" s="22"/>
      <c r="H397" s="22"/>
      <c r="I397" s="22"/>
    </row>
    <row r="398" spans="1:9" x14ac:dyDescent="0.2">
      <c r="A398" s="22"/>
      <c r="B398" s="22"/>
      <c r="C398" s="22"/>
      <c r="D398" s="22"/>
      <c r="E398" s="22"/>
      <c r="F398" s="22"/>
      <c r="G398" s="22"/>
      <c r="H398" s="22"/>
      <c r="I398" s="22"/>
    </row>
    <row r="399" spans="1:9" x14ac:dyDescent="0.2">
      <c r="A399" s="22"/>
      <c r="B399" s="22"/>
      <c r="C399" s="22"/>
      <c r="D399" s="22"/>
      <c r="E399" s="22"/>
      <c r="F399" s="22"/>
      <c r="G399" s="22"/>
      <c r="H399" s="22"/>
      <c r="I399" s="22"/>
    </row>
    <row r="400" spans="1:9" x14ac:dyDescent="0.2">
      <c r="A400" s="22"/>
      <c r="B400" s="22"/>
      <c r="C400" s="22"/>
      <c r="D400" s="22"/>
      <c r="E400" s="22"/>
      <c r="F400" s="22"/>
      <c r="G400" s="22"/>
      <c r="H400" s="22"/>
      <c r="I400" s="22"/>
    </row>
    <row r="401" spans="1:9" x14ac:dyDescent="0.2">
      <c r="A401" s="22"/>
      <c r="B401" s="22"/>
      <c r="C401" s="22"/>
      <c r="D401" s="22"/>
      <c r="E401" s="22"/>
      <c r="F401" s="22"/>
      <c r="G401" s="22"/>
      <c r="H401" s="22"/>
      <c r="I401" s="22"/>
    </row>
    <row r="402" spans="1:9" x14ac:dyDescent="0.2">
      <c r="A402" s="22"/>
      <c r="B402" s="22"/>
      <c r="C402" s="22"/>
      <c r="D402" s="22"/>
      <c r="E402" s="22"/>
      <c r="F402" s="22"/>
      <c r="G402" s="22"/>
      <c r="H402" s="22"/>
      <c r="I402" s="22"/>
    </row>
    <row r="403" spans="1:9" x14ac:dyDescent="0.2">
      <c r="A403" s="22"/>
      <c r="B403" s="22"/>
      <c r="C403" s="22"/>
      <c r="D403" s="22"/>
      <c r="E403" s="22"/>
      <c r="F403" s="22"/>
      <c r="G403" s="22"/>
      <c r="H403" s="22"/>
      <c r="I403" s="22"/>
    </row>
    <row r="404" spans="1:9" x14ac:dyDescent="0.2">
      <c r="A404" s="22"/>
      <c r="B404" s="22"/>
      <c r="C404" s="22"/>
      <c r="D404" s="22"/>
      <c r="E404" s="22"/>
      <c r="F404" s="22"/>
      <c r="G404" s="22"/>
      <c r="H404" s="22"/>
      <c r="I404" s="22"/>
    </row>
    <row r="405" spans="1:9" x14ac:dyDescent="0.2">
      <c r="A405" s="22"/>
      <c r="B405" s="22"/>
      <c r="C405" s="22"/>
      <c r="D405" s="22"/>
      <c r="E405" s="22"/>
      <c r="F405" s="22"/>
      <c r="G405" s="22"/>
      <c r="H405" s="22"/>
      <c r="I405" s="22"/>
    </row>
    <row r="406" spans="1:9" x14ac:dyDescent="0.2">
      <c r="A406" s="22"/>
      <c r="B406" s="22"/>
      <c r="C406" s="22"/>
      <c r="D406" s="22"/>
      <c r="E406" s="22"/>
      <c r="F406" s="22"/>
      <c r="G406" s="22"/>
      <c r="H406" s="22"/>
      <c r="I406" s="22"/>
    </row>
    <row r="407" spans="1:9" x14ac:dyDescent="0.2">
      <c r="A407" s="22"/>
      <c r="B407" s="22"/>
      <c r="C407" s="22"/>
      <c r="D407" s="22"/>
      <c r="E407" s="22"/>
      <c r="F407" s="22"/>
      <c r="G407" s="22"/>
      <c r="H407" s="22"/>
      <c r="I407" s="22"/>
    </row>
    <row r="408" spans="1:9" x14ac:dyDescent="0.2">
      <c r="A408" s="22"/>
      <c r="B408" s="22"/>
      <c r="C408" s="22"/>
      <c r="D408" s="22"/>
      <c r="E408" s="22"/>
      <c r="F408" s="22"/>
      <c r="G408" s="22"/>
      <c r="H408" s="22"/>
      <c r="I408" s="22"/>
    </row>
    <row r="409" spans="1:9" x14ac:dyDescent="0.2">
      <c r="A409" s="22"/>
      <c r="B409" s="22"/>
      <c r="C409" s="22"/>
      <c r="D409" s="22"/>
      <c r="E409" s="22"/>
      <c r="F409" s="22"/>
      <c r="G409" s="22"/>
      <c r="H409" s="22"/>
      <c r="I409" s="22"/>
    </row>
    <row r="410" spans="1:9" x14ac:dyDescent="0.2">
      <c r="A410" s="22"/>
      <c r="B410" s="22"/>
      <c r="C410" s="22"/>
      <c r="D410" s="22"/>
      <c r="E410" s="22"/>
      <c r="F410" s="22"/>
      <c r="G410" s="22"/>
      <c r="H410" s="22"/>
      <c r="I410" s="22"/>
    </row>
    <row r="411" spans="1:9" x14ac:dyDescent="0.2">
      <c r="A411" s="22"/>
      <c r="B411" s="22"/>
      <c r="C411" s="22"/>
      <c r="D411" s="22"/>
      <c r="E411" s="22"/>
      <c r="F411" s="22"/>
      <c r="G411" s="22"/>
      <c r="H411" s="22"/>
      <c r="I411" s="22"/>
    </row>
    <row r="412" spans="1:9" x14ac:dyDescent="0.2">
      <c r="A412" s="22"/>
      <c r="B412" s="22"/>
      <c r="C412" s="22"/>
      <c r="D412" s="22"/>
      <c r="E412" s="22"/>
      <c r="F412" s="22"/>
      <c r="G412" s="22"/>
      <c r="H412" s="22"/>
      <c r="I412" s="22"/>
    </row>
    <row r="413" spans="1:9" x14ac:dyDescent="0.2">
      <c r="A413" s="22"/>
      <c r="B413" s="22"/>
      <c r="C413" s="22"/>
      <c r="D413" s="22"/>
      <c r="E413" s="22"/>
      <c r="F413" s="22"/>
      <c r="G413" s="22"/>
      <c r="H413" s="22"/>
      <c r="I413" s="22"/>
    </row>
    <row r="414" spans="1:9" x14ac:dyDescent="0.2">
      <c r="A414" s="22"/>
      <c r="B414" s="22"/>
      <c r="C414" s="22"/>
      <c r="D414" s="22"/>
      <c r="E414" s="22"/>
      <c r="F414" s="22"/>
      <c r="G414" s="22"/>
      <c r="H414" s="22"/>
      <c r="I414" s="22"/>
    </row>
    <row r="415" spans="1:9" x14ac:dyDescent="0.2">
      <c r="A415" s="22"/>
      <c r="B415" s="22"/>
      <c r="C415" s="22"/>
      <c r="D415" s="22"/>
      <c r="E415" s="22"/>
      <c r="F415" s="22"/>
      <c r="G415" s="22"/>
      <c r="H415" s="22"/>
      <c r="I415" s="22"/>
    </row>
    <row r="416" spans="1:9" x14ac:dyDescent="0.2">
      <c r="A416" s="22"/>
      <c r="B416" s="22"/>
      <c r="C416" s="22"/>
      <c r="D416" s="22"/>
      <c r="E416" s="22"/>
      <c r="F416" s="22"/>
      <c r="G416" s="22"/>
      <c r="H416" s="22"/>
      <c r="I416" s="22"/>
    </row>
    <row r="417" spans="1:9" x14ac:dyDescent="0.2">
      <c r="A417" s="22"/>
      <c r="B417" s="22"/>
      <c r="C417" s="22"/>
      <c r="D417" s="22"/>
      <c r="E417" s="22"/>
      <c r="F417" s="22"/>
      <c r="G417" s="22"/>
      <c r="H417" s="22"/>
      <c r="I417" s="22"/>
    </row>
    <row r="418" spans="1:9" x14ac:dyDescent="0.2">
      <c r="A418" s="22"/>
      <c r="B418" s="22"/>
      <c r="C418" s="22"/>
      <c r="D418" s="22"/>
      <c r="E418" s="22"/>
      <c r="F418" s="22"/>
      <c r="G418" s="22"/>
      <c r="H418" s="22"/>
      <c r="I418" s="22"/>
    </row>
    <row r="419" spans="1:9" x14ac:dyDescent="0.2">
      <c r="A419" s="22"/>
      <c r="B419" s="22"/>
      <c r="C419" s="22"/>
      <c r="D419" s="22"/>
      <c r="E419" s="22"/>
      <c r="F419" s="22"/>
      <c r="G419" s="22"/>
      <c r="H419" s="22"/>
      <c r="I419" s="22"/>
    </row>
    <row r="420" spans="1:9" x14ac:dyDescent="0.2">
      <c r="A420" s="22"/>
      <c r="B420" s="22"/>
      <c r="C420" s="22"/>
      <c r="D420" s="22"/>
      <c r="E420" s="22"/>
      <c r="F420" s="22"/>
      <c r="G420" s="22"/>
      <c r="H420" s="22"/>
      <c r="I420" s="22"/>
    </row>
    <row r="421" spans="1:9" x14ac:dyDescent="0.2">
      <c r="A421" s="22"/>
      <c r="B421" s="22"/>
      <c r="C421" s="22"/>
      <c r="D421" s="22"/>
      <c r="E421" s="22"/>
      <c r="F421" s="22"/>
      <c r="G421" s="22"/>
      <c r="H421" s="22"/>
      <c r="I421" s="22"/>
    </row>
    <row r="422" spans="1:9" x14ac:dyDescent="0.2">
      <c r="A422" s="22"/>
      <c r="B422" s="22"/>
      <c r="C422" s="22"/>
      <c r="D422" s="22"/>
      <c r="E422" s="22"/>
      <c r="F422" s="22"/>
      <c r="G422" s="22"/>
      <c r="H422" s="22"/>
      <c r="I422" s="22"/>
    </row>
    <row r="423" spans="1:9" x14ac:dyDescent="0.2">
      <c r="A423" s="22"/>
      <c r="B423" s="22"/>
      <c r="C423" s="22"/>
      <c r="D423" s="22"/>
      <c r="E423" s="22"/>
      <c r="F423" s="22"/>
      <c r="G423" s="22"/>
      <c r="H423" s="22"/>
      <c r="I423" s="22"/>
    </row>
    <row r="424" spans="1:9" x14ac:dyDescent="0.2">
      <c r="A424" s="22"/>
      <c r="B424" s="22"/>
      <c r="C424" s="22"/>
      <c r="D424" s="22"/>
      <c r="E424" s="22"/>
      <c r="F424" s="22"/>
      <c r="G424" s="22"/>
      <c r="H424" s="22"/>
      <c r="I424" s="22"/>
    </row>
    <row r="425" spans="1:9" x14ac:dyDescent="0.2">
      <c r="A425" s="22"/>
      <c r="B425" s="22"/>
      <c r="C425" s="22"/>
      <c r="D425" s="22"/>
      <c r="E425" s="22"/>
      <c r="F425" s="22"/>
      <c r="G425" s="22"/>
      <c r="H425" s="22"/>
      <c r="I425" s="22"/>
    </row>
    <row r="426" spans="1:9" x14ac:dyDescent="0.2">
      <c r="A426" s="22"/>
      <c r="B426" s="22"/>
      <c r="C426" s="22"/>
      <c r="D426" s="22"/>
      <c r="E426" s="22"/>
      <c r="F426" s="22"/>
      <c r="G426" s="22"/>
      <c r="H426" s="22"/>
      <c r="I426" s="22"/>
    </row>
    <row r="427" spans="1:9" x14ac:dyDescent="0.2">
      <c r="A427" s="22"/>
      <c r="B427" s="22"/>
      <c r="C427" s="22"/>
      <c r="D427" s="22"/>
      <c r="E427" s="22"/>
      <c r="F427" s="22"/>
      <c r="G427" s="22"/>
      <c r="H427" s="22"/>
      <c r="I427" s="22"/>
    </row>
    <row r="428" spans="1:9" x14ac:dyDescent="0.2">
      <c r="A428" s="22"/>
      <c r="B428" s="22"/>
      <c r="C428" s="22"/>
      <c r="D428" s="22"/>
      <c r="E428" s="22"/>
      <c r="F428" s="22"/>
      <c r="G428" s="22"/>
      <c r="H428" s="22"/>
      <c r="I428" s="22"/>
    </row>
    <row r="429" spans="1:9" x14ac:dyDescent="0.2">
      <c r="A429" s="22"/>
      <c r="B429" s="22"/>
      <c r="C429" s="22"/>
      <c r="D429" s="22"/>
      <c r="E429" s="22"/>
      <c r="F429" s="22"/>
      <c r="G429" s="22"/>
      <c r="H429" s="22"/>
      <c r="I429" s="22"/>
    </row>
    <row r="430" spans="1:9" x14ac:dyDescent="0.2">
      <c r="A430" s="22"/>
      <c r="B430" s="22"/>
      <c r="C430" s="22"/>
      <c r="D430" s="22"/>
      <c r="E430" s="22"/>
      <c r="F430" s="22"/>
      <c r="G430" s="22"/>
      <c r="H430" s="22"/>
      <c r="I430" s="22"/>
    </row>
    <row r="431" spans="1:9" x14ac:dyDescent="0.2">
      <c r="A431" s="22"/>
      <c r="B431" s="22"/>
      <c r="C431" s="22"/>
      <c r="D431" s="22"/>
      <c r="E431" s="22"/>
      <c r="F431" s="22"/>
      <c r="G431" s="22"/>
      <c r="H431" s="22"/>
      <c r="I431" s="22"/>
    </row>
    <row r="432" spans="1:9" x14ac:dyDescent="0.2">
      <c r="A432" s="22"/>
      <c r="B432" s="22"/>
      <c r="C432" s="22"/>
      <c r="D432" s="22"/>
      <c r="E432" s="22"/>
      <c r="F432" s="22"/>
      <c r="G432" s="22"/>
      <c r="H432" s="22"/>
      <c r="I432" s="22"/>
    </row>
    <row r="433" spans="1:9" x14ac:dyDescent="0.2">
      <c r="A433" s="22"/>
      <c r="B433" s="22"/>
      <c r="C433" s="22"/>
      <c r="D433" s="22"/>
      <c r="E433" s="22"/>
      <c r="F433" s="22"/>
      <c r="G433" s="22"/>
      <c r="H433" s="22"/>
      <c r="I433" s="22"/>
    </row>
    <row r="434" spans="1:9" x14ac:dyDescent="0.2">
      <c r="A434" s="22"/>
      <c r="B434" s="22"/>
      <c r="C434" s="22"/>
      <c r="D434" s="22"/>
      <c r="E434" s="22"/>
      <c r="F434" s="22"/>
      <c r="G434" s="22"/>
      <c r="H434" s="22"/>
      <c r="I434" s="22"/>
    </row>
    <row r="435" spans="1:9" x14ac:dyDescent="0.2">
      <c r="A435" s="22"/>
      <c r="B435" s="22"/>
      <c r="C435" s="22"/>
      <c r="D435" s="22"/>
      <c r="E435" s="22"/>
      <c r="F435" s="22"/>
      <c r="G435" s="22"/>
      <c r="H435" s="22"/>
      <c r="I435" s="22"/>
    </row>
    <row r="436" spans="1:9" x14ac:dyDescent="0.2">
      <c r="A436" s="22"/>
      <c r="B436" s="22"/>
      <c r="C436" s="22"/>
      <c r="D436" s="22"/>
      <c r="E436" s="22"/>
      <c r="F436" s="22"/>
      <c r="G436" s="22"/>
      <c r="H436" s="22"/>
      <c r="I436" s="22"/>
    </row>
    <row r="437" spans="1:9" x14ac:dyDescent="0.2">
      <c r="A437" s="22"/>
      <c r="B437" s="22"/>
      <c r="C437" s="22"/>
      <c r="D437" s="22"/>
      <c r="E437" s="22"/>
      <c r="F437" s="22"/>
      <c r="G437" s="22"/>
      <c r="H437" s="22"/>
      <c r="I437" s="22"/>
    </row>
    <row r="438" spans="1:9" x14ac:dyDescent="0.2">
      <c r="A438" s="22"/>
      <c r="B438" s="22"/>
      <c r="C438" s="22"/>
      <c r="D438" s="22"/>
      <c r="E438" s="22"/>
      <c r="F438" s="22"/>
      <c r="G438" s="22"/>
      <c r="H438" s="22"/>
      <c r="I438" s="22"/>
    </row>
    <row r="439" spans="1:9" x14ac:dyDescent="0.2">
      <c r="A439" s="22"/>
      <c r="B439" s="22"/>
      <c r="C439" s="22"/>
      <c r="D439" s="22"/>
      <c r="E439" s="22"/>
      <c r="F439" s="22"/>
      <c r="G439" s="22"/>
      <c r="H439" s="22"/>
      <c r="I439" s="22"/>
    </row>
    <row r="440" spans="1:9" x14ac:dyDescent="0.2">
      <c r="A440" s="22"/>
      <c r="B440" s="22"/>
      <c r="C440" s="22"/>
      <c r="D440" s="22"/>
      <c r="E440" s="22"/>
      <c r="F440" s="22"/>
      <c r="G440" s="22"/>
      <c r="H440" s="22"/>
      <c r="I440" s="22"/>
    </row>
    <row r="441" spans="1:9" x14ac:dyDescent="0.2">
      <c r="A441" s="22"/>
      <c r="B441" s="22"/>
      <c r="C441" s="22"/>
      <c r="D441" s="22"/>
      <c r="E441" s="22"/>
      <c r="F441" s="22"/>
      <c r="G441" s="22"/>
      <c r="H441" s="22"/>
      <c r="I441" s="22"/>
    </row>
    <row r="442" spans="1:9" x14ac:dyDescent="0.2">
      <c r="A442" s="22"/>
      <c r="B442" s="22"/>
      <c r="C442" s="22"/>
      <c r="D442" s="22"/>
      <c r="E442" s="22"/>
      <c r="F442" s="22"/>
      <c r="G442" s="22"/>
      <c r="H442" s="22"/>
      <c r="I442" s="22"/>
    </row>
    <row r="443" spans="1:9" x14ac:dyDescent="0.2">
      <c r="A443" s="22"/>
      <c r="B443" s="22"/>
      <c r="C443" s="22"/>
      <c r="D443" s="22"/>
      <c r="E443" s="22"/>
      <c r="F443" s="22"/>
      <c r="G443" s="22"/>
      <c r="H443" s="22"/>
      <c r="I443" s="22"/>
    </row>
    <row r="444" spans="1:9" x14ac:dyDescent="0.2">
      <c r="A444" s="22"/>
      <c r="B444" s="22"/>
      <c r="C444" s="22"/>
      <c r="D444" s="22"/>
      <c r="E444" s="22"/>
      <c r="F444" s="22"/>
      <c r="G444" s="22"/>
      <c r="H444" s="22"/>
      <c r="I444" s="22"/>
    </row>
    <row r="445" spans="1:9" x14ac:dyDescent="0.2">
      <c r="A445" s="22"/>
      <c r="B445" s="22"/>
      <c r="C445" s="22"/>
      <c r="D445" s="22"/>
      <c r="E445" s="22"/>
      <c r="F445" s="22"/>
      <c r="G445" s="22"/>
      <c r="H445" s="22"/>
      <c r="I445" s="22"/>
    </row>
    <row r="446" spans="1:9" x14ac:dyDescent="0.2">
      <c r="A446" s="22"/>
      <c r="B446" s="22"/>
      <c r="C446" s="22"/>
      <c r="D446" s="22"/>
      <c r="E446" s="22"/>
      <c r="F446" s="22"/>
      <c r="G446" s="22"/>
      <c r="H446" s="22"/>
      <c r="I446" s="22"/>
    </row>
    <row r="447" spans="1:9" x14ac:dyDescent="0.2">
      <c r="A447" s="22"/>
      <c r="B447" s="22"/>
      <c r="C447" s="22"/>
      <c r="D447" s="22"/>
      <c r="E447" s="22"/>
      <c r="F447" s="22"/>
      <c r="G447" s="22"/>
      <c r="H447" s="22"/>
      <c r="I447" s="22"/>
    </row>
    <row r="448" spans="1:9" x14ac:dyDescent="0.2">
      <c r="A448" s="22"/>
      <c r="B448" s="22"/>
      <c r="C448" s="22"/>
      <c r="D448" s="22"/>
      <c r="E448" s="22"/>
      <c r="F448" s="22"/>
      <c r="G448" s="22"/>
      <c r="H448" s="22"/>
      <c r="I448" s="22"/>
    </row>
    <row r="449" spans="1:9" x14ac:dyDescent="0.2">
      <c r="A449" s="22"/>
      <c r="B449" s="22"/>
      <c r="C449" s="22"/>
      <c r="D449" s="22"/>
      <c r="E449" s="22"/>
      <c r="F449" s="22"/>
      <c r="G449" s="22"/>
      <c r="H449" s="22"/>
      <c r="I449" s="22"/>
    </row>
    <row r="450" spans="1:9" x14ac:dyDescent="0.2">
      <c r="A450" s="22"/>
      <c r="B450" s="22"/>
      <c r="C450" s="22"/>
      <c r="D450" s="22"/>
      <c r="E450" s="22"/>
      <c r="F450" s="22"/>
      <c r="G450" s="22"/>
      <c r="H450" s="22"/>
      <c r="I450" s="22"/>
    </row>
    <row r="451" spans="1:9" x14ac:dyDescent="0.2">
      <c r="A451" s="22"/>
      <c r="B451" s="22"/>
      <c r="C451" s="22"/>
      <c r="D451" s="22"/>
      <c r="E451" s="22"/>
      <c r="F451" s="22"/>
      <c r="G451" s="22"/>
      <c r="H451" s="22"/>
      <c r="I451" s="22"/>
    </row>
    <row r="452" spans="1:9" x14ac:dyDescent="0.2">
      <c r="A452" s="22"/>
      <c r="B452" s="22"/>
      <c r="C452" s="22"/>
      <c r="D452" s="22"/>
      <c r="E452" s="22"/>
      <c r="F452" s="22"/>
      <c r="G452" s="22"/>
      <c r="H452" s="22"/>
      <c r="I452" s="22"/>
    </row>
    <row r="453" spans="1:9" x14ac:dyDescent="0.2">
      <c r="A453" s="22"/>
      <c r="B453" s="22"/>
      <c r="C453" s="22"/>
      <c r="D453" s="22"/>
      <c r="E453" s="22"/>
      <c r="F453" s="22"/>
      <c r="G453" s="22"/>
      <c r="H453" s="22"/>
      <c r="I453" s="22"/>
    </row>
    <row r="454" spans="1:9" x14ac:dyDescent="0.2">
      <c r="A454" s="22"/>
      <c r="B454" s="22"/>
      <c r="C454" s="22"/>
      <c r="D454" s="22"/>
      <c r="E454" s="22"/>
      <c r="F454" s="22"/>
      <c r="G454" s="22"/>
      <c r="H454" s="22"/>
      <c r="I454" s="22"/>
    </row>
    <row r="455" spans="1:9" x14ac:dyDescent="0.2">
      <c r="A455" s="22"/>
      <c r="B455" s="22"/>
      <c r="C455" s="22"/>
      <c r="D455" s="22"/>
      <c r="E455" s="22"/>
      <c r="F455" s="22"/>
      <c r="G455" s="22"/>
      <c r="H455" s="22"/>
      <c r="I455" s="22"/>
    </row>
    <row r="456" spans="1:9" x14ac:dyDescent="0.2">
      <c r="A456" s="22"/>
      <c r="B456" s="22"/>
      <c r="C456" s="22"/>
      <c r="D456" s="22"/>
      <c r="E456" s="22"/>
      <c r="F456" s="22"/>
      <c r="G456" s="22"/>
      <c r="H456" s="22"/>
      <c r="I456" s="22"/>
    </row>
    <row r="457" spans="1:9" x14ac:dyDescent="0.2">
      <c r="A457" s="22"/>
      <c r="B457" s="22"/>
      <c r="C457" s="22"/>
      <c r="D457" s="22"/>
      <c r="E457" s="22"/>
      <c r="F457" s="22"/>
      <c r="G457" s="22"/>
      <c r="H457" s="22"/>
      <c r="I457" s="22"/>
    </row>
    <row r="458" spans="1:9" x14ac:dyDescent="0.2">
      <c r="A458" s="22"/>
      <c r="B458" s="22"/>
      <c r="C458" s="22"/>
      <c r="D458" s="22"/>
      <c r="E458" s="22"/>
      <c r="F458" s="22"/>
      <c r="G458" s="22"/>
      <c r="H458" s="22"/>
      <c r="I458" s="22"/>
    </row>
    <row r="459" spans="1:9" x14ac:dyDescent="0.2">
      <c r="A459" s="22"/>
      <c r="B459" s="22"/>
      <c r="C459" s="22"/>
      <c r="D459" s="22"/>
      <c r="E459" s="22"/>
      <c r="F459" s="22"/>
      <c r="G459" s="22"/>
      <c r="H459" s="22"/>
      <c r="I459" s="22"/>
    </row>
    <row r="460" spans="1:9" x14ac:dyDescent="0.2">
      <c r="A460" s="22"/>
      <c r="B460" s="22"/>
      <c r="C460" s="22"/>
      <c r="D460" s="22"/>
      <c r="E460" s="22"/>
      <c r="F460" s="22"/>
      <c r="G460" s="22"/>
      <c r="H460" s="22"/>
      <c r="I460" s="22"/>
    </row>
    <row r="461" spans="1:9" x14ac:dyDescent="0.2">
      <c r="A461" s="22"/>
      <c r="B461" s="22"/>
      <c r="C461" s="22"/>
      <c r="D461" s="22"/>
      <c r="E461" s="22"/>
      <c r="F461" s="22"/>
      <c r="G461" s="22"/>
      <c r="H461" s="22"/>
      <c r="I461" s="22"/>
    </row>
    <row r="462" spans="1:9" x14ac:dyDescent="0.2">
      <c r="A462" s="22"/>
      <c r="B462" s="22"/>
      <c r="C462" s="22"/>
      <c r="D462" s="22"/>
      <c r="E462" s="22"/>
      <c r="F462" s="22"/>
      <c r="G462" s="22"/>
      <c r="H462" s="22"/>
      <c r="I462" s="22"/>
    </row>
    <row r="463" spans="1:9" x14ac:dyDescent="0.2">
      <c r="A463" s="22"/>
      <c r="B463" s="22"/>
      <c r="C463" s="22"/>
      <c r="D463" s="22"/>
      <c r="E463" s="22"/>
      <c r="F463" s="22"/>
      <c r="G463" s="22"/>
      <c r="H463" s="22"/>
      <c r="I463" s="22"/>
    </row>
    <row r="464" spans="1:9" x14ac:dyDescent="0.2">
      <c r="A464" s="22"/>
      <c r="B464" s="22"/>
      <c r="C464" s="22"/>
      <c r="D464" s="22"/>
      <c r="E464" s="22"/>
      <c r="F464" s="22"/>
      <c r="G464" s="22"/>
      <c r="H464" s="22"/>
      <c r="I464" s="22"/>
    </row>
    <row r="465" spans="1:9" x14ac:dyDescent="0.2">
      <c r="A465" s="22"/>
      <c r="B465" s="22"/>
      <c r="C465" s="22"/>
      <c r="D465" s="22"/>
      <c r="E465" s="22"/>
      <c r="F465" s="22"/>
      <c r="G465" s="22"/>
      <c r="H465" s="22"/>
      <c r="I465" s="22"/>
    </row>
    <row r="466" spans="1:9" x14ac:dyDescent="0.2">
      <c r="A466" s="22"/>
      <c r="B466" s="22"/>
      <c r="C466" s="22"/>
      <c r="D466" s="22"/>
      <c r="E466" s="22"/>
      <c r="F466" s="22"/>
      <c r="G466" s="22"/>
      <c r="H466" s="22"/>
      <c r="I466" s="22"/>
    </row>
    <row r="467" spans="1:9" x14ac:dyDescent="0.2">
      <c r="A467" s="22"/>
      <c r="B467" s="22"/>
      <c r="C467" s="22"/>
      <c r="D467" s="22"/>
      <c r="E467" s="22"/>
      <c r="F467" s="22"/>
      <c r="G467" s="22"/>
      <c r="H467" s="22"/>
      <c r="I467" s="22"/>
    </row>
    <row r="468" spans="1:9" x14ac:dyDescent="0.2">
      <c r="A468" s="22"/>
      <c r="B468" s="22"/>
      <c r="C468" s="22"/>
      <c r="D468" s="22"/>
      <c r="E468" s="22"/>
      <c r="F468" s="22"/>
      <c r="G468" s="22"/>
      <c r="H468" s="22"/>
      <c r="I468" s="22"/>
    </row>
    <row r="469" spans="1:9" x14ac:dyDescent="0.2">
      <c r="A469" s="22"/>
      <c r="B469" s="22"/>
      <c r="C469" s="22"/>
      <c r="D469" s="22"/>
      <c r="E469" s="22"/>
      <c r="F469" s="22"/>
      <c r="G469" s="22"/>
      <c r="H469" s="22"/>
      <c r="I469" s="22"/>
    </row>
    <row r="470" spans="1:9" x14ac:dyDescent="0.2">
      <c r="A470" s="22"/>
      <c r="B470" s="22"/>
      <c r="C470" s="22"/>
      <c r="D470" s="22"/>
      <c r="E470" s="22"/>
      <c r="F470" s="22"/>
      <c r="G470" s="22"/>
      <c r="H470" s="22"/>
      <c r="I470" s="22"/>
    </row>
    <row r="471" spans="1:9" x14ac:dyDescent="0.2">
      <c r="A471" s="22"/>
      <c r="B471" s="22"/>
      <c r="C471" s="22"/>
      <c r="D471" s="22"/>
      <c r="E471" s="22"/>
      <c r="F471" s="22"/>
      <c r="G471" s="22"/>
      <c r="H471" s="22"/>
      <c r="I471" s="22"/>
    </row>
    <row r="472" spans="1:9" x14ac:dyDescent="0.2">
      <c r="A472" s="22"/>
      <c r="B472" s="22"/>
      <c r="C472" s="22"/>
      <c r="D472" s="22"/>
      <c r="E472" s="22"/>
      <c r="F472" s="22"/>
      <c r="G472" s="22"/>
      <c r="H472" s="22"/>
      <c r="I472" s="22"/>
    </row>
    <row r="473" spans="1:9" x14ac:dyDescent="0.2">
      <c r="A473" s="22"/>
      <c r="B473" s="22"/>
      <c r="C473" s="22"/>
      <c r="D473" s="22"/>
      <c r="E473" s="22"/>
      <c r="F473" s="22"/>
      <c r="G473" s="22"/>
      <c r="H473" s="22"/>
      <c r="I473" s="22"/>
    </row>
    <row r="474" spans="1:9" x14ac:dyDescent="0.2">
      <c r="A474" s="22"/>
      <c r="B474" s="22"/>
      <c r="C474" s="22"/>
      <c r="D474" s="22"/>
      <c r="E474" s="22"/>
      <c r="F474" s="22"/>
      <c r="G474" s="22"/>
      <c r="H474" s="22"/>
      <c r="I474" s="22"/>
    </row>
    <row r="475" spans="1:9" x14ac:dyDescent="0.2">
      <c r="A475" s="22"/>
      <c r="B475" s="22"/>
      <c r="C475" s="22"/>
      <c r="D475" s="22"/>
      <c r="E475" s="22"/>
      <c r="F475" s="22"/>
      <c r="G475" s="22"/>
      <c r="H475" s="22"/>
      <c r="I475" s="22"/>
    </row>
    <row r="476" spans="1:9" x14ac:dyDescent="0.2">
      <c r="A476" s="22"/>
      <c r="B476" s="22"/>
      <c r="C476" s="22"/>
      <c r="D476" s="22"/>
      <c r="E476" s="22"/>
      <c r="F476" s="22"/>
      <c r="G476" s="22"/>
      <c r="H476" s="22"/>
      <c r="I476" s="22"/>
    </row>
    <row r="477" spans="1:9" x14ac:dyDescent="0.2">
      <c r="A477" s="22"/>
      <c r="B477" s="22"/>
      <c r="C477" s="22"/>
      <c r="D477" s="22"/>
      <c r="E477" s="22"/>
      <c r="F477" s="22"/>
      <c r="G477" s="22"/>
      <c r="H477" s="22"/>
      <c r="I477" s="22"/>
    </row>
    <row r="478" spans="1:9" x14ac:dyDescent="0.2">
      <c r="A478" s="22"/>
      <c r="B478" s="22"/>
      <c r="C478" s="22"/>
      <c r="D478" s="22"/>
      <c r="E478" s="22"/>
      <c r="F478" s="22"/>
      <c r="G478" s="22"/>
      <c r="H478" s="22"/>
      <c r="I478" s="22"/>
    </row>
    <row r="479" spans="1:9" x14ac:dyDescent="0.2">
      <c r="A479" s="22"/>
      <c r="B479" s="22"/>
      <c r="C479" s="22"/>
      <c r="D479" s="22"/>
      <c r="E479" s="22"/>
      <c r="F479" s="22"/>
      <c r="G479" s="22"/>
      <c r="H479" s="22"/>
      <c r="I479" s="22"/>
    </row>
    <row r="480" spans="1:9" x14ac:dyDescent="0.2">
      <c r="A480" s="22"/>
      <c r="B480" s="22"/>
      <c r="C480" s="22"/>
      <c r="D480" s="22"/>
      <c r="E480" s="22"/>
      <c r="F480" s="22"/>
      <c r="G480" s="22"/>
      <c r="H480" s="22"/>
      <c r="I480" s="22"/>
    </row>
    <row r="481" spans="1:9" x14ac:dyDescent="0.2">
      <c r="A481" s="22"/>
      <c r="B481" s="22"/>
      <c r="C481" s="22"/>
      <c r="D481" s="22"/>
      <c r="E481" s="22"/>
      <c r="F481" s="22"/>
      <c r="G481" s="22"/>
      <c r="H481" s="22"/>
      <c r="I481" s="22"/>
    </row>
    <row r="482" spans="1:9" x14ac:dyDescent="0.2">
      <c r="A482" s="22"/>
      <c r="B482" s="22"/>
      <c r="C482" s="22"/>
      <c r="D482" s="22"/>
      <c r="E482" s="22"/>
      <c r="F482" s="22"/>
      <c r="G482" s="22"/>
      <c r="H482" s="22"/>
      <c r="I482" s="22"/>
    </row>
    <row r="483" spans="1:9" x14ac:dyDescent="0.2">
      <c r="A483" s="22"/>
      <c r="B483" s="22"/>
      <c r="C483" s="22"/>
      <c r="D483" s="22"/>
      <c r="E483" s="22"/>
      <c r="F483" s="22"/>
      <c r="G483" s="22"/>
      <c r="H483" s="22"/>
      <c r="I483" s="22"/>
    </row>
    <row r="484" spans="1:9" x14ac:dyDescent="0.2">
      <c r="A484" s="22"/>
      <c r="B484" s="22"/>
      <c r="C484" s="22"/>
      <c r="D484" s="22"/>
      <c r="E484" s="22"/>
      <c r="F484" s="22"/>
      <c r="G484" s="22"/>
      <c r="H484" s="22"/>
      <c r="I484" s="22"/>
    </row>
    <row r="485" spans="1:9" x14ac:dyDescent="0.2">
      <c r="A485" s="22"/>
      <c r="B485" s="22"/>
      <c r="C485" s="22"/>
      <c r="D485" s="22"/>
      <c r="E485" s="22"/>
      <c r="F485" s="22"/>
      <c r="G485" s="22"/>
      <c r="H485" s="22"/>
      <c r="I485" s="22"/>
    </row>
    <row r="486" spans="1:9" x14ac:dyDescent="0.2">
      <c r="A486" s="22"/>
      <c r="B486" s="22"/>
      <c r="C486" s="22"/>
      <c r="D486" s="22"/>
      <c r="E486" s="22"/>
      <c r="F486" s="22"/>
      <c r="G486" s="22"/>
      <c r="H486" s="22"/>
      <c r="I486" s="22"/>
    </row>
    <row r="487" spans="1:9" x14ac:dyDescent="0.2">
      <c r="A487" s="22"/>
      <c r="B487" s="22"/>
      <c r="C487" s="22"/>
      <c r="D487" s="22"/>
      <c r="E487" s="22"/>
      <c r="F487" s="22"/>
      <c r="G487" s="22"/>
      <c r="H487" s="22"/>
      <c r="I487" s="22"/>
    </row>
    <row r="488" spans="1:9" x14ac:dyDescent="0.2">
      <c r="A488" s="22"/>
      <c r="B488" s="22"/>
      <c r="C488" s="22"/>
      <c r="D488" s="22"/>
      <c r="E488" s="22"/>
      <c r="F488" s="22"/>
      <c r="G488" s="22"/>
      <c r="H488" s="22"/>
      <c r="I488" s="22"/>
    </row>
    <row r="489" spans="1:9" x14ac:dyDescent="0.2">
      <c r="A489" s="22"/>
      <c r="B489" s="22"/>
      <c r="C489" s="22"/>
      <c r="D489" s="22"/>
      <c r="E489" s="22"/>
      <c r="F489" s="22"/>
      <c r="G489" s="22"/>
      <c r="H489" s="22"/>
      <c r="I489" s="22"/>
    </row>
    <row r="490" spans="1:9" x14ac:dyDescent="0.2">
      <c r="A490" s="22"/>
      <c r="B490" s="22"/>
      <c r="C490" s="22"/>
      <c r="D490" s="22"/>
      <c r="E490" s="22"/>
      <c r="F490" s="22"/>
      <c r="G490" s="22"/>
      <c r="H490" s="22"/>
      <c r="I490" s="22"/>
    </row>
    <row r="491" spans="1:9" x14ac:dyDescent="0.2">
      <c r="A491" s="22"/>
      <c r="B491" s="22"/>
      <c r="C491" s="22"/>
      <c r="D491" s="22"/>
      <c r="E491" s="22"/>
      <c r="F491" s="22"/>
      <c r="G491" s="22"/>
      <c r="H491" s="22"/>
      <c r="I491" s="22"/>
    </row>
    <row r="492" spans="1:9" x14ac:dyDescent="0.2">
      <c r="A492" s="22"/>
      <c r="B492" s="22"/>
      <c r="C492" s="22"/>
      <c r="D492" s="22"/>
      <c r="E492" s="22"/>
      <c r="F492" s="22"/>
      <c r="G492" s="22"/>
      <c r="H492" s="22"/>
      <c r="I492" s="22"/>
    </row>
    <row r="493" spans="1:9" x14ac:dyDescent="0.2">
      <c r="A493" s="22"/>
      <c r="B493" s="22"/>
      <c r="C493" s="22"/>
      <c r="D493" s="22"/>
      <c r="E493" s="22"/>
      <c r="F493" s="22"/>
      <c r="G493" s="22"/>
      <c r="H493" s="22"/>
      <c r="I493" s="22"/>
    </row>
    <row r="494" spans="1:9" x14ac:dyDescent="0.2">
      <c r="A494" s="22"/>
      <c r="B494" s="22"/>
      <c r="C494" s="22"/>
      <c r="D494" s="22"/>
      <c r="E494" s="22"/>
      <c r="F494" s="22"/>
      <c r="G494" s="22"/>
      <c r="H494" s="22"/>
      <c r="I494" s="22"/>
    </row>
    <row r="495" spans="1:9" x14ac:dyDescent="0.2">
      <c r="A495" s="22"/>
      <c r="B495" s="22"/>
      <c r="C495" s="22"/>
      <c r="D495" s="22"/>
      <c r="E495" s="22"/>
      <c r="F495" s="22"/>
      <c r="G495" s="22"/>
      <c r="H495" s="22"/>
      <c r="I495" s="22"/>
    </row>
    <row r="496" spans="1:9" x14ac:dyDescent="0.2">
      <c r="A496" s="22"/>
      <c r="B496" s="22"/>
      <c r="C496" s="22"/>
      <c r="D496" s="22"/>
      <c r="E496" s="22"/>
      <c r="F496" s="22"/>
      <c r="G496" s="22"/>
      <c r="H496" s="22"/>
      <c r="I496" s="22"/>
    </row>
    <row r="497" spans="1:9" x14ac:dyDescent="0.2">
      <c r="A497" s="22"/>
      <c r="B497" s="22"/>
      <c r="C497" s="22"/>
      <c r="D497" s="22"/>
      <c r="E497" s="22"/>
      <c r="F497" s="22"/>
      <c r="G497" s="22"/>
      <c r="H497" s="22"/>
      <c r="I497" s="22"/>
    </row>
    <row r="498" spans="1:9" x14ac:dyDescent="0.2">
      <c r="A498" s="22"/>
      <c r="B498" s="22"/>
      <c r="C498" s="22"/>
      <c r="D498" s="22"/>
      <c r="E498" s="22"/>
      <c r="F498" s="22"/>
      <c r="G498" s="22"/>
      <c r="H498" s="22"/>
      <c r="I498" s="22"/>
    </row>
    <row r="499" spans="1:9" x14ac:dyDescent="0.2">
      <c r="A499" s="22"/>
      <c r="B499" s="22"/>
      <c r="C499" s="22"/>
      <c r="D499" s="22"/>
      <c r="E499" s="22"/>
      <c r="F499" s="22"/>
      <c r="G499" s="22"/>
      <c r="H499" s="22"/>
      <c r="I499" s="22"/>
    </row>
    <row r="500" spans="1:9" x14ac:dyDescent="0.2">
      <c r="A500" s="22"/>
      <c r="B500" s="22"/>
      <c r="C500" s="22"/>
      <c r="D500" s="22"/>
      <c r="E500" s="22"/>
      <c r="F500" s="22"/>
      <c r="G500" s="22"/>
      <c r="H500" s="22"/>
      <c r="I500" s="22"/>
    </row>
    <row r="501" spans="1:9" x14ac:dyDescent="0.2">
      <c r="A501" s="22"/>
      <c r="B501" s="22"/>
      <c r="C501" s="22"/>
      <c r="D501" s="22"/>
      <c r="E501" s="22"/>
      <c r="F501" s="22"/>
      <c r="G501" s="22"/>
      <c r="H501" s="22"/>
      <c r="I501" s="22"/>
    </row>
    <row r="502" spans="1:9" x14ac:dyDescent="0.2">
      <c r="A502" s="22"/>
      <c r="B502" s="22"/>
      <c r="C502" s="22"/>
      <c r="D502" s="22"/>
      <c r="E502" s="22"/>
      <c r="F502" s="22"/>
      <c r="G502" s="22"/>
      <c r="H502" s="22"/>
      <c r="I502" s="22"/>
    </row>
    <row r="503" spans="1:9" x14ac:dyDescent="0.2">
      <c r="A503" s="22"/>
      <c r="B503" s="22"/>
      <c r="C503" s="22"/>
      <c r="D503" s="22"/>
      <c r="E503" s="22"/>
      <c r="F503" s="22"/>
      <c r="G503" s="22"/>
      <c r="H503" s="22"/>
      <c r="I503" s="22"/>
    </row>
    <row r="504" spans="1:9" x14ac:dyDescent="0.2">
      <c r="A504" s="22"/>
      <c r="B504" s="22"/>
      <c r="C504" s="22"/>
      <c r="D504" s="22"/>
      <c r="E504" s="22"/>
      <c r="F504" s="22"/>
      <c r="G504" s="22"/>
      <c r="H504" s="22"/>
      <c r="I504" s="22"/>
    </row>
    <row r="505" spans="1:9" x14ac:dyDescent="0.2">
      <c r="A505" s="22"/>
      <c r="B505" s="22"/>
      <c r="C505" s="22"/>
      <c r="D505" s="22"/>
      <c r="E505" s="22"/>
      <c r="F505" s="22"/>
      <c r="G505" s="22"/>
      <c r="H505" s="22"/>
      <c r="I505" s="22"/>
    </row>
    <row r="506" spans="1:9" x14ac:dyDescent="0.2">
      <c r="A506" s="22"/>
      <c r="B506" s="22"/>
      <c r="C506" s="22"/>
      <c r="D506" s="22"/>
      <c r="E506" s="22"/>
      <c r="F506" s="22"/>
      <c r="G506" s="22"/>
      <c r="H506" s="22"/>
      <c r="I506" s="22"/>
    </row>
    <row r="507" spans="1:9" x14ac:dyDescent="0.2">
      <c r="A507" s="22"/>
      <c r="B507" s="22"/>
      <c r="C507" s="22"/>
      <c r="D507" s="22"/>
      <c r="E507" s="22"/>
      <c r="F507" s="22"/>
      <c r="G507" s="22"/>
      <c r="H507" s="22"/>
      <c r="I507" s="22"/>
    </row>
    <row r="508" spans="1:9" x14ac:dyDescent="0.2">
      <c r="A508" s="22"/>
      <c r="B508" s="22"/>
      <c r="C508" s="22"/>
      <c r="D508" s="22"/>
      <c r="E508" s="22"/>
      <c r="F508" s="22"/>
      <c r="G508" s="22"/>
      <c r="H508" s="22"/>
      <c r="I508" s="22"/>
    </row>
    <row r="509" spans="1:9" x14ac:dyDescent="0.2">
      <c r="A509" s="22"/>
      <c r="B509" s="22"/>
      <c r="C509" s="22"/>
      <c r="D509" s="22"/>
      <c r="E509" s="22"/>
      <c r="F509" s="22"/>
      <c r="G509" s="22"/>
      <c r="H509" s="22"/>
      <c r="I509" s="22"/>
    </row>
    <row r="510" spans="1:9" x14ac:dyDescent="0.2">
      <c r="A510" s="22"/>
      <c r="B510" s="22"/>
      <c r="C510" s="22"/>
      <c r="D510" s="22"/>
      <c r="E510" s="22"/>
      <c r="F510" s="22"/>
      <c r="G510" s="22"/>
      <c r="H510" s="22"/>
      <c r="I510" s="22"/>
    </row>
    <row r="511" spans="1:9" x14ac:dyDescent="0.2">
      <c r="A511" s="22"/>
      <c r="B511" s="22"/>
      <c r="C511" s="22"/>
      <c r="D511" s="22"/>
      <c r="E511" s="22"/>
      <c r="F511" s="22"/>
      <c r="G511" s="22"/>
      <c r="H511" s="22"/>
      <c r="I511" s="22"/>
    </row>
    <row r="512" spans="1:9" x14ac:dyDescent="0.2">
      <c r="A512" s="22"/>
      <c r="B512" s="22"/>
      <c r="C512" s="22"/>
      <c r="D512" s="22"/>
      <c r="E512" s="22"/>
      <c r="F512" s="22"/>
      <c r="G512" s="22"/>
      <c r="H512" s="22"/>
      <c r="I512" s="22"/>
    </row>
    <row r="513" spans="1:9" x14ac:dyDescent="0.2">
      <c r="A513" s="22"/>
      <c r="B513" s="22"/>
      <c r="C513" s="22"/>
      <c r="D513" s="22"/>
      <c r="E513" s="22"/>
      <c r="F513" s="22"/>
      <c r="G513" s="22"/>
      <c r="H513" s="22"/>
      <c r="I513" s="22"/>
    </row>
    <row r="514" spans="1:9" x14ac:dyDescent="0.2">
      <c r="A514" s="22"/>
      <c r="B514" s="22"/>
      <c r="C514" s="22"/>
      <c r="D514" s="22"/>
      <c r="E514" s="22"/>
      <c r="F514" s="22"/>
      <c r="G514" s="22"/>
      <c r="H514" s="22"/>
      <c r="I514" s="22"/>
    </row>
    <row r="515" spans="1:9" x14ac:dyDescent="0.2">
      <c r="A515" s="22"/>
      <c r="B515" s="22"/>
      <c r="C515" s="22"/>
      <c r="D515" s="22"/>
      <c r="E515" s="22"/>
      <c r="F515" s="22"/>
      <c r="G515" s="22"/>
      <c r="H515" s="22"/>
      <c r="I515" s="22"/>
    </row>
    <row r="516" spans="1:9" x14ac:dyDescent="0.2">
      <c r="A516" s="22"/>
      <c r="B516" s="22"/>
      <c r="C516" s="22"/>
      <c r="D516" s="22"/>
      <c r="E516" s="22"/>
      <c r="F516" s="22"/>
      <c r="G516" s="22"/>
      <c r="H516" s="22"/>
      <c r="I516" s="22"/>
    </row>
    <row r="517" spans="1:9" x14ac:dyDescent="0.2">
      <c r="A517" s="22"/>
      <c r="B517" s="22"/>
      <c r="C517" s="22"/>
      <c r="D517" s="22"/>
      <c r="E517" s="22"/>
      <c r="F517" s="22"/>
      <c r="G517" s="22"/>
      <c r="H517" s="22"/>
      <c r="I517" s="22"/>
    </row>
    <row r="518" spans="1:9" x14ac:dyDescent="0.2">
      <c r="A518" s="22"/>
      <c r="B518" s="22"/>
      <c r="C518" s="22"/>
      <c r="D518" s="22"/>
      <c r="E518" s="22"/>
      <c r="F518" s="22"/>
      <c r="G518" s="22"/>
      <c r="H518" s="22"/>
      <c r="I518" s="22"/>
    </row>
    <row r="519" spans="1:9" x14ac:dyDescent="0.2">
      <c r="A519" s="22"/>
      <c r="B519" s="22"/>
      <c r="C519" s="22"/>
      <c r="D519" s="22"/>
      <c r="E519" s="22"/>
      <c r="F519" s="22"/>
      <c r="G519" s="22"/>
      <c r="H519" s="22"/>
      <c r="I519" s="22"/>
    </row>
    <row r="520" spans="1:9" x14ac:dyDescent="0.2">
      <c r="A520" s="22"/>
      <c r="B520" s="22"/>
      <c r="C520" s="22"/>
      <c r="D520" s="22"/>
      <c r="E520" s="22"/>
      <c r="F520" s="22"/>
      <c r="G520" s="22"/>
      <c r="H520" s="22"/>
      <c r="I520" s="22"/>
    </row>
    <row r="521" spans="1:9" x14ac:dyDescent="0.2">
      <c r="A521" s="22"/>
      <c r="B521" s="22"/>
      <c r="C521" s="22"/>
      <c r="D521" s="22"/>
      <c r="E521" s="22"/>
      <c r="F521" s="22"/>
      <c r="G521" s="22"/>
      <c r="H521" s="22"/>
      <c r="I521" s="22"/>
    </row>
    <row r="522" spans="1:9" x14ac:dyDescent="0.2">
      <c r="A522" s="22"/>
      <c r="B522" s="22"/>
      <c r="C522" s="22"/>
      <c r="D522" s="22"/>
      <c r="E522" s="22"/>
      <c r="F522" s="22"/>
      <c r="G522" s="22"/>
      <c r="H522" s="22"/>
      <c r="I522" s="22"/>
    </row>
    <row r="523" spans="1:9" x14ac:dyDescent="0.2">
      <c r="A523" s="22"/>
      <c r="B523" s="22"/>
      <c r="C523" s="22"/>
      <c r="D523" s="22"/>
      <c r="E523" s="22"/>
      <c r="F523" s="22"/>
      <c r="G523" s="22"/>
      <c r="H523" s="22"/>
      <c r="I523" s="22"/>
    </row>
    <row r="524" spans="1:9" x14ac:dyDescent="0.2">
      <c r="A524" s="22"/>
      <c r="B524" s="22"/>
      <c r="C524" s="22"/>
      <c r="D524" s="22"/>
      <c r="E524" s="22"/>
      <c r="F524" s="22"/>
      <c r="G524" s="22"/>
      <c r="H524" s="22"/>
      <c r="I524" s="22"/>
    </row>
    <row r="525" spans="1:9" x14ac:dyDescent="0.2">
      <c r="A525" s="22"/>
      <c r="B525" s="22"/>
      <c r="C525" s="22"/>
      <c r="D525" s="22"/>
      <c r="E525" s="22"/>
      <c r="F525" s="22"/>
      <c r="G525" s="22"/>
      <c r="H525" s="22"/>
      <c r="I525" s="22"/>
    </row>
    <row r="526" spans="1:9" x14ac:dyDescent="0.2">
      <c r="A526" s="22"/>
      <c r="B526" s="22"/>
      <c r="C526" s="22"/>
      <c r="D526" s="22"/>
      <c r="E526" s="22"/>
      <c r="F526" s="22"/>
      <c r="G526" s="22"/>
      <c r="H526" s="22"/>
      <c r="I526" s="22"/>
    </row>
    <row r="527" spans="1:9" x14ac:dyDescent="0.2">
      <c r="A527" s="22"/>
      <c r="B527" s="22"/>
      <c r="C527" s="22"/>
      <c r="D527" s="22"/>
      <c r="E527" s="22"/>
      <c r="F527" s="22"/>
      <c r="G527" s="22"/>
      <c r="H527" s="22"/>
      <c r="I527" s="22"/>
    </row>
    <row r="528" spans="1:9" x14ac:dyDescent="0.2">
      <c r="A528" s="22"/>
      <c r="B528" s="22"/>
      <c r="C528" s="22"/>
      <c r="D528" s="22"/>
      <c r="E528" s="22"/>
      <c r="F528" s="22"/>
      <c r="G528" s="22"/>
      <c r="H528" s="22"/>
      <c r="I528" s="22"/>
    </row>
    <row r="529" spans="1:9" x14ac:dyDescent="0.2">
      <c r="A529" s="22"/>
      <c r="B529" s="22"/>
      <c r="C529" s="22"/>
      <c r="D529" s="22"/>
      <c r="E529" s="22"/>
      <c r="F529" s="22"/>
      <c r="G529" s="22"/>
      <c r="H529" s="22"/>
      <c r="I529" s="22"/>
    </row>
    <row r="530" spans="1:9" x14ac:dyDescent="0.2">
      <c r="A530" s="22"/>
      <c r="B530" s="22"/>
      <c r="C530" s="22"/>
      <c r="D530" s="22"/>
      <c r="E530" s="22"/>
      <c r="F530" s="22"/>
      <c r="G530" s="22"/>
      <c r="H530" s="22"/>
      <c r="I530" s="22"/>
    </row>
    <row r="531" spans="1:9" x14ac:dyDescent="0.2">
      <c r="A531" s="22"/>
      <c r="B531" s="22"/>
      <c r="C531" s="22"/>
      <c r="D531" s="22"/>
      <c r="E531" s="22"/>
      <c r="F531" s="22"/>
      <c r="G531" s="22"/>
      <c r="H531" s="22"/>
      <c r="I531" s="22"/>
    </row>
    <row r="532" spans="1:9" x14ac:dyDescent="0.2">
      <c r="A532" s="22"/>
      <c r="B532" s="22"/>
      <c r="C532" s="22"/>
      <c r="D532" s="22"/>
      <c r="E532" s="22"/>
      <c r="F532" s="22"/>
      <c r="G532" s="22"/>
      <c r="H532" s="22"/>
      <c r="I532" s="22"/>
    </row>
    <row r="533" spans="1:9" x14ac:dyDescent="0.2">
      <c r="A533" s="22"/>
      <c r="B533" s="22"/>
      <c r="C533" s="22"/>
      <c r="D533" s="22"/>
      <c r="E533" s="22"/>
      <c r="F533" s="22"/>
      <c r="G533" s="22"/>
      <c r="H533" s="22"/>
      <c r="I533" s="22"/>
    </row>
    <row r="534" spans="1:9" x14ac:dyDescent="0.2">
      <c r="A534" s="22"/>
      <c r="B534" s="22"/>
      <c r="C534" s="22"/>
      <c r="D534" s="22"/>
      <c r="E534" s="22"/>
      <c r="F534" s="22"/>
      <c r="G534" s="22"/>
      <c r="H534" s="22"/>
      <c r="I534" s="22"/>
    </row>
    <row r="535" spans="1:9" x14ac:dyDescent="0.2">
      <c r="A535" s="22"/>
      <c r="B535" s="22"/>
      <c r="C535" s="22"/>
      <c r="D535" s="22"/>
      <c r="E535" s="22"/>
      <c r="F535" s="22"/>
      <c r="G535" s="22"/>
      <c r="H535" s="22"/>
      <c r="I535" s="22"/>
    </row>
    <row r="536" spans="1:9" x14ac:dyDescent="0.2">
      <c r="A536" s="22"/>
      <c r="B536" s="22"/>
      <c r="C536" s="22"/>
      <c r="D536" s="22"/>
      <c r="E536" s="22"/>
      <c r="F536" s="22"/>
      <c r="G536" s="22"/>
      <c r="H536" s="22"/>
      <c r="I536" s="22"/>
    </row>
    <row r="537" spans="1:9" x14ac:dyDescent="0.2">
      <c r="A537" s="22"/>
      <c r="B537" s="22"/>
      <c r="C537" s="22"/>
      <c r="D537" s="22"/>
      <c r="E537" s="22"/>
      <c r="F537" s="22"/>
      <c r="G537" s="22"/>
      <c r="H537" s="22"/>
      <c r="I537" s="22"/>
    </row>
    <row r="538" spans="1:9" x14ac:dyDescent="0.2">
      <c r="A538" s="22"/>
      <c r="B538" s="22"/>
      <c r="C538" s="22"/>
      <c r="D538" s="22"/>
      <c r="E538" s="22"/>
      <c r="F538" s="22"/>
      <c r="G538" s="22"/>
      <c r="H538" s="22"/>
      <c r="I538" s="22"/>
    </row>
    <row r="539" spans="1:9" x14ac:dyDescent="0.2">
      <c r="A539" s="22"/>
      <c r="B539" s="22"/>
      <c r="C539" s="22"/>
      <c r="D539" s="22"/>
      <c r="E539" s="22"/>
      <c r="F539" s="22"/>
      <c r="G539" s="22"/>
      <c r="H539" s="22"/>
      <c r="I539" s="22"/>
    </row>
    <row r="540" spans="1:9" x14ac:dyDescent="0.2">
      <c r="A540" s="22"/>
      <c r="B540" s="22"/>
      <c r="C540" s="22"/>
      <c r="D540" s="22"/>
      <c r="E540" s="22"/>
      <c r="F540" s="22"/>
      <c r="G540" s="22"/>
      <c r="H540" s="22"/>
      <c r="I540" s="22"/>
    </row>
    <row r="541" spans="1:9" x14ac:dyDescent="0.2">
      <c r="A541" s="22"/>
      <c r="B541" s="22"/>
      <c r="C541" s="22"/>
      <c r="D541" s="22"/>
      <c r="E541" s="22"/>
      <c r="F541" s="22"/>
      <c r="G541" s="22"/>
      <c r="H541" s="22"/>
      <c r="I541" s="22"/>
    </row>
    <row r="542" spans="1:9" x14ac:dyDescent="0.2">
      <c r="A542" s="22"/>
      <c r="B542" s="22"/>
      <c r="C542" s="22"/>
      <c r="D542" s="22"/>
      <c r="E542" s="22"/>
      <c r="F542" s="22"/>
      <c r="G542" s="22"/>
      <c r="H542" s="22"/>
      <c r="I542" s="22"/>
    </row>
    <row r="543" spans="1:9" x14ac:dyDescent="0.2">
      <c r="A543" s="22"/>
      <c r="B543" s="22"/>
      <c r="C543" s="22"/>
      <c r="D543" s="22"/>
      <c r="E543" s="22"/>
      <c r="F543" s="22"/>
      <c r="G543" s="22"/>
      <c r="H543" s="22"/>
      <c r="I543" s="22"/>
    </row>
    <row r="544" spans="1:9" x14ac:dyDescent="0.2">
      <c r="A544" s="22"/>
      <c r="B544" s="22"/>
      <c r="C544" s="22"/>
      <c r="D544" s="22"/>
      <c r="E544" s="22"/>
      <c r="F544" s="22"/>
      <c r="G544" s="22"/>
      <c r="H544" s="22"/>
      <c r="I544" s="22"/>
    </row>
    <row r="545" spans="1:9" x14ac:dyDescent="0.2">
      <c r="A545" s="22"/>
      <c r="B545" s="22"/>
      <c r="C545" s="22"/>
      <c r="D545" s="22"/>
      <c r="E545" s="22"/>
      <c r="F545" s="22"/>
      <c r="G545" s="22"/>
      <c r="H545" s="22"/>
      <c r="I545" s="22"/>
    </row>
    <row r="546" spans="1:9" x14ac:dyDescent="0.2">
      <c r="A546" s="22"/>
      <c r="B546" s="22"/>
      <c r="C546" s="22"/>
      <c r="D546" s="22"/>
      <c r="E546" s="22"/>
      <c r="F546" s="22"/>
      <c r="G546" s="22"/>
      <c r="H546" s="22"/>
      <c r="I546" s="22"/>
    </row>
    <row r="547" spans="1:9" x14ac:dyDescent="0.2">
      <c r="A547" s="22"/>
      <c r="B547" s="22"/>
      <c r="C547" s="22"/>
      <c r="D547" s="22"/>
      <c r="E547" s="22"/>
      <c r="F547" s="22"/>
      <c r="G547" s="22"/>
      <c r="H547" s="22"/>
      <c r="I547" s="22"/>
    </row>
    <row r="548" spans="1:9" x14ac:dyDescent="0.2">
      <c r="A548" s="22"/>
      <c r="B548" s="22"/>
      <c r="C548" s="22"/>
      <c r="D548" s="22"/>
      <c r="E548" s="22"/>
      <c r="F548" s="22"/>
      <c r="G548" s="22"/>
      <c r="H548" s="22"/>
      <c r="I548" s="22"/>
    </row>
    <row r="549" spans="1:9" x14ac:dyDescent="0.2">
      <c r="A549" s="22"/>
      <c r="B549" s="22"/>
      <c r="C549" s="22"/>
      <c r="D549" s="22"/>
      <c r="E549" s="22"/>
      <c r="F549" s="22"/>
      <c r="G549" s="22"/>
      <c r="H549" s="22"/>
      <c r="I549" s="22"/>
    </row>
    <row r="550" spans="1:9" x14ac:dyDescent="0.2">
      <c r="A550" s="22"/>
      <c r="B550" s="22"/>
      <c r="C550" s="22"/>
      <c r="D550" s="22"/>
      <c r="E550" s="22"/>
      <c r="F550" s="22"/>
      <c r="G550" s="22"/>
      <c r="H550" s="22"/>
      <c r="I550" s="22"/>
    </row>
    <row r="551" spans="1:9" x14ac:dyDescent="0.2">
      <c r="A551" s="22"/>
      <c r="B551" s="22"/>
      <c r="C551" s="22"/>
      <c r="D551" s="22"/>
      <c r="E551" s="22"/>
      <c r="F551" s="22"/>
      <c r="G551" s="22"/>
      <c r="H551" s="22"/>
      <c r="I551" s="22"/>
    </row>
    <row r="552" spans="1:9" x14ac:dyDescent="0.2">
      <c r="A552" s="22"/>
      <c r="B552" s="22"/>
      <c r="C552" s="22"/>
      <c r="D552" s="22"/>
      <c r="E552" s="22"/>
      <c r="F552" s="22"/>
      <c r="G552" s="22"/>
      <c r="H552" s="22"/>
      <c r="I552" s="22"/>
    </row>
    <row r="553" spans="1:9" x14ac:dyDescent="0.2">
      <c r="A553" s="22"/>
      <c r="B553" s="22"/>
      <c r="C553" s="22"/>
      <c r="D553" s="22"/>
      <c r="E553" s="22"/>
      <c r="F553" s="22"/>
      <c r="G553" s="22"/>
      <c r="H553" s="22"/>
      <c r="I553" s="22"/>
    </row>
    <row r="554" spans="1:9" x14ac:dyDescent="0.2">
      <c r="A554" s="22"/>
      <c r="B554" s="22"/>
      <c r="C554" s="22"/>
      <c r="D554" s="22"/>
      <c r="E554" s="22"/>
      <c r="F554" s="22"/>
      <c r="G554" s="22"/>
      <c r="H554" s="22"/>
      <c r="I554" s="22"/>
    </row>
    <row r="555" spans="1:9" x14ac:dyDescent="0.2">
      <c r="A555" s="22"/>
      <c r="B555" s="22"/>
      <c r="C555" s="22"/>
      <c r="D555" s="22"/>
      <c r="E555" s="22"/>
      <c r="F555" s="22"/>
      <c r="G555" s="22"/>
      <c r="H555" s="22"/>
      <c r="I555" s="22"/>
    </row>
    <row r="556" spans="1:9" x14ac:dyDescent="0.2">
      <c r="A556" s="22"/>
      <c r="B556" s="22"/>
      <c r="C556" s="22"/>
      <c r="D556" s="22"/>
      <c r="E556" s="22"/>
      <c r="F556" s="22"/>
      <c r="G556" s="22"/>
      <c r="H556" s="22"/>
      <c r="I556" s="22"/>
    </row>
    <row r="557" spans="1:9" x14ac:dyDescent="0.2">
      <c r="A557" s="22"/>
      <c r="B557" s="22"/>
      <c r="C557" s="22"/>
      <c r="D557" s="22"/>
      <c r="E557" s="22"/>
      <c r="F557" s="22"/>
      <c r="G557" s="22"/>
      <c r="H557" s="22"/>
      <c r="I557" s="22"/>
    </row>
    <row r="558" spans="1:9" x14ac:dyDescent="0.2">
      <c r="A558" s="22"/>
      <c r="B558" s="22"/>
      <c r="C558" s="22"/>
      <c r="D558" s="22"/>
      <c r="E558" s="22"/>
      <c r="F558" s="22"/>
      <c r="G558" s="22"/>
      <c r="H558" s="22"/>
      <c r="I558" s="22"/>
    </row>
    <row r="559" spans="1:9" x14ac:dyDescent="0.2">
      <c r="A559" s="22"/>
      <c r="B559" s="22"/>
      <c r="C559" s="22"/>
      <c r="D559" s="22"/>
      <c r="E559" s="22"/>
      <c r="F559" s="22"/>
      <c r="G559" s="22"/>
      <c r="H559" s="22"/>
      <c r="I559" s="22"/>
    </row>
    <row r="560" spans="1:9" x14ac:dyDescent="0.2">
      <c r="A560" s="22"/>
      <c r="B560" s="22"/>
      <c r="C560" s="22"/>
      <c r="D560" s="22"/>
      <c r="E560" s="22"/>
      <c r="F560" s="22"/>
      <c r="G560" s="22"/>
      <c r="H560" s="22"/>
      <c r="I560" s="22"/>
    </row>
    <row r="561" spans="1:9" x14ac:dyDescent="0.2">
      <c r="A561" s="22"/>
      <c r="B561" s="22"/>
      <c r="C561" s="22"/>
      <c r="D561" s="22"/>
      <c r="E561" s="22"/>
      <c r="F561" s="22"/>
      <c r="G561" s="22"/>
      <c r="H561" s="22"/>
      <c r="I561" s="22"/>
    </row>
    <row r="562" spans="1:9" x14ac:dyDescent="0.2">
      <c r="A562" s="22"/>
      <c r="B562" s="22"/>
      <c r="C562" s="22"/>
      <c r="D562" s="22"/>
      <c r="E562" s="22"/>
      <c r="F562" s="22"/>
      <c r="G562" s="22"/>
      <c r="H562" s="22"/>
      <c r="I562" s="22"/>
    </row>
    <row r="563" spans="1:9" x14ac:dyDescent="0.2">
      <c r="A563" s="22"/>
      <c r="B563" s="22"/>
      <c r="C563" s="22"/>
      <c r="D563" s="22"/>
      <c r="E563" s="22"/>
      <c r="F563" s="22"/>
      <c r="G563" s="22"/>
      <c r="H563" s="22"/>
      <c r="I563" s="22"/>
    </row>
    <row r="564" spans="1:9" x14ac:dyDescent="0.2">
      <c r="A564" s="22"/>
      <c r="B564" s="22"/>
      <c r="C564" s="22"/>
      <c r="D564" s="22"/>
      <c r="E564" s="22"/>
      <c r="F564" s="22"/>
      <c r="G564" s="22"/>
      <c r="H564" s="22"/>
      <c r="I564" s="22"/>
    </row>
    <row r="565" spans="1:9" x14ac:dyDescent="0.2">
      <c r="A565" s="22"/>
      <c r="B565" s="22"/>
      <c r="C565" s="22"/>
      <c r="D565" s="22"/>
      <c r="E565" s="22"/>
      <c r="F565" s="22"/>
      <c r="G565" s="22"/>
      <c r="H565" s="22"/>
      <c r="I565" s="22"/>
    </row>
    <row r="566" spans="1:9" x14ac:dyDescent="0.2">
      <c r="A566" s="22"/>
      <c r="B566" s="22"/>
      <c r="C566" s="22"/>
      <c r="D566" s="22"/>
      <c r="E566" s="22"/>
      <c r="F566" s="22"/>
      <c r="G566" s="22"/>
      <c r="H566" s="22"/>
      <c r="I566" s="22"/>
    </row>
    <row r="567" spans="1:9" x14ac:dyDescent="0.2">
      <c r="A567" s="22"/>
      <c r="B567" s="22"/>
      <c r="C567" s="22"/>
      <c r="D567" s="22"/>
      <c r="E567" s="22"/>
      <c r="F567" s="22"/>
      <c r="G567" s="22"/>
      <c r="H567" s="22"/>
      <c r="I567" s="22"/>
    </row>
    <row r="568" spans="1:9" x14ac:dyDescent="0.2">
      <c r="A568" s="22"/>
      <c r="B568" s="22"/>
      <c r="C568" s="22"/>
      <c r="D568" s="22"/>
      <c r="E568" s="22"/>
      <c r="F568" s="22"/>
      <c r="G568" s="22"/>
      <c r="H568" s="22"/>
      <c r="I568" s="22"/>
    </row>
    <row r="569" spans="1:9" x14ac:dyDescent="0.2">
      <c r="A569" s="22"/>
      <c r="B569" s="22"/>
      <c r="C569" s="22"/>
      <c r="D569" s="22"/>
      <c r="E569" s="22"/>
      <c r="F569" s="22"/>
      <c r="G569" s="22"/>
      <c r="H569" s="22"/>
      <c r="I569" s="22"/>
    </row>
    <row r="570" spans="1:9" x14ac:dyDescent="0.2">
      <c r="A570" s="22"/>
      <c r="B570" s="22"/>
      <c r="C570" s="22"/>
      <c r="D570" s="22"/>
      <c r="E570" s="22"/>
      <c r="F570" s="22"/>
      <c r="G570" s="22"/>
      <c r="H570" s="22"/>
      <c r="I570" s="22"/>
    </row>
    <row r="571" spans="1:9" x14ac:dyDescent="0.2">
      <c r="A571" s="22"/>
      <c r="B571" s="22"/>
      <c r="C571" s="22"/>
      <c r="D571" s="22"/>
      <c r="E571" s="22"/>
      <c r="F571" s="22"/>
      <c r="G571" s="22"/>
      <c r="H571" s="22"/>
      <c r="I571" s="22"/>
    </row>
    <row r="572" spans="1:9" x14ac:dyDescent="0.2">
      <c r="A572" s="22"/>
      <c r="B572" s="22"/>
      <c r="C572" s="22"/>
      <c r="D572" s="22"/>
      <c r="E572" s="22"/>
      <c r="F572" s="22"/>
      <c r="G572" s="22"/>
      <c r="H572" s="22"/>
      <c r="I572" s="22"/>
    </row>
    <row r="573" spans="1:9" x14ac:dyDescent="0.2">
      <c r="A573" s="22"/>
      <c r="B573" s="22"/>
      <c r="C573" s="22"/>
      <c r="D573" s="22"/>
      <c r="E573" s="22"/>
      <c r="F573" s="22"/>
      <c r="G573" s="22"/>
      <c r="H573" s="22"/>
      <c r="I573" s="22"/>
    </row>
    <row r="574" spans="1:9" x14ac:dyDescent="0.2">
      <c r="A574" s="22"/>
      <c r="B574" s="22"/>
      <c r="C574" s="22"/>
      <c r="D574" s="22"/>
      <c r="E574" s="22"/>
      <c r="F574" s="22"/>
      <c r="G574" s="22"/>
      <c r="H574" s="22"/>
      <c r="I574" s="22"/>
    </row>
    <row r="575" spans="1:9" x14ac:dyDescent="0.2">
      <c r="A575" s="22"/>
      <c r="B575" s="22"/>
      <c r="C575" s="22"/>
      <c r="D575" s="22"/>
      <c r="E575" s="22"/>
      <c r="F575" s="22"/>
      <c r="G575" s="22"/>
      <c r="H575" s="22"/>
      <c r="I575" s="22"/>
    </row>
    <row r="576" spans="1:9" x14ac:dyDescent="0.2">
      <c r="A576" s="22"/>
      <c r="B576" s="22"/>
      <c r="C576" s="22"/>
      <c r="D576" s="22"/>
      <c r="E576" s="22"/>
      <c r="F576" s="22"/>
      <c r="G576" s="22"/>
      <c r="H576" s="22"/>
      <c r="I576" s="22"/>
    </row>
    <row r="577" spans="1:9" x14ac:dyDescent="0.2">
      <c r="A577" s="22"/>
      <c r="B577" s="22"/>
      <c r="C577" s="22"/>
      <c r="D577" s="22"/>
      <c r="E577" s="22"/>
      <c r="F577" s="22"/>
      <c r="G577" s="22"/>
      <c r="H577" s="22"/>
      <c r="I577" s="22"/>
    </row>
    <row r="578" spans="1:9" x14ac:dyDescent="0.2">
      <c r="A578" s="22"/>
      <c r="B578" s="22"/>
      <c r="C578" s="22"/>
      <c r="D578" s="22"/>
      <c r="E578" s="22"/>
      <c r="F578" s="22"/>
      <c r="G578" s="22"/>
      <c r="H578" s="22"/>
      <c r="I578" s="22"/>
    </row>
    <row r="579" spans="1:9" x14ac:dyDescent="0.2">
      <c r="A579" s="22"/>
      <c r="B579" s="22"/>
      <c r="C579" s="22"/>
      <c r="D579" s="22"/>
      <c r="E579" s="22"/>
      <c r="F579" s="22"/>
      <c r="G579" s="22"/>
      <c r="H579" s="22"/>
      <c r="I579" s="22"/>
    </row>
    <row r="580" spans="1:9" x14ac:dyDescent="0.2">
      <c r="A580" s="22"/>
      <c r="B580" s="22"/>
      <c r="C580" s="22"/>
      <c r="D580" s="22"/>
      <c r="E580" s="22"/>
      <c r="F580" s="22"/>
      <c r="G580" s="22"/>
      <c r="H580" s="22"/>
      <c r="I580" s="22"/>
    </row>
    <row r="581" spans="1:9" x14ac:dyDescent="0.2">
      <c r="A581" s="22"/>
      <c r="B581" s="22"/>
      <c r="C581" s="22"/>
      <c r="D581" s="22"/>
      <c r="E581" s="22"/>
      <c r="F581" s="22"/>
      <c r="G581" s="22"/>
      <c r="H581" s="22"/>
      <c r="I581" s="22"/>
    </row>
    <row r="582" spans="1:9" x14ac:dyDescent="0.2">
      <c r="A582" s="22"/>
      <c r="B582" s="22"/>
      <c r="C582" s="22"/>
      <c r="D582" s="22"/>
      <c r="E582" s="22"/>
      <c r="F582" s="22"/>
      <c r="G582" s="22"/>
      <c r="H582" s="22"/>
      <c r="I582" s="22"/>
    </row>
    <row r="583" spans="1:9" x14ac:dyDescent="0.2">
      <c r="A583" s="22"/>
      <c r="B583" s="22"/>
      <c r="C583" s="22"/>
      <c r="D583" s="22"/>
      <c r="E583" s="22"/>
      <c r="F583" s="22"/>
      <c r="G583" s="22"/>
      <c r="H583" s="22"/>
      <c r="I583" s="22"/>
    </row>
    <row r="584" spans="1:9" x14ac:dyDescent="0.2">
      <c r="A584" s="22"/>
      <c r="B584" s="22"/>
      <c r="C584" s="22"/>
      <c r="D584" s="22"/>
      <c r="E584" s="22"/>
      <c r="F584" s="22"/>
      <c r="G584" s="22"/>
      <c r="H584" s="22"/>
      <c r="I584" s="22"/>
    </row>
    <row r="585" spans="1:9" x14ac:dyDescent="0.2">
      <c r="A585" s="22"/>
      <c r="B585" s="22"/>
      <c r="C585" s="22"/>
      <c r="D585" s="22"/>
      <c r="E585" s="22"/>
      <c r="F585" s="22"/>
      <c r="G585" s="22"/>
      <c r="H585" s="22"/>
      <c r="I585" s="22"/>
    </row>
    <row r="586" spans="1:9" x14ac:dyDescent="0.2">
      <c r="A586" s="22"/>
      <c r="B586" s="22"/>
      <c r="C586" s="22"/>
      <c r="D586" s="22"/>
      <c r="E586" s="22"/>
      <c r="F586" s="22"/>
      <c r="G586" s="22"/>
      <c r="H586" s="22"/>
      <c r="I586" s="22"/>
    </row>
    <row r="587" spans="1:9" x14ac:dyDescent="0.2">
      <c r="A587" s="22"/>
      <c r="B587" s="22"/>
      <c r="C587" s="22"/>
      <c r="D587" s="22"/>
      <c r="E587" s="22"/>
      <c r="F587" s="22"/>
      <c r="G587" s="22"/>
      <c r="H587" s="22"/>
      <c r="I587" s="22"/>
    </row>
    <row r="588" spans="1:9" x14ac:dyDescent="0.2">
      <c r="A588" s="22"/>
      <c r="B588" s="22"/>
      <c r="C588" s="22"/>
      <c r="D588" s="22"/>
      <c r="E588" s="22"/>
      <c r="F588" s="22"/>
      <c r="G588" s="22"/>
      <c r="H588" s="22"/>
      <c r="I588" s="22"/>
    </row>
    <row r="589" spans="1:9" x14ac:dyDescent="0.2">
      <c r="A589" s="22"/>
      <c r="B589" s="22"/>
      <c r="C589" s="22"/>
      <c r="D589" s="22"/>
      <c r="E589" s="22"/>
      <c r="F589" s="22"/>
      <c r="G589" s="22"/>
      <c r="H589" s="22"/>
      <c r="I589" s="22"/>
    </row>
    <row r="590" spans="1:9" x14ac:dyDescent="0.2">
      <c r="A590" s="22"/>
      <c r="B590" s="22"/>
      <c r="C590" s="22"/>
      <c r="D590" s="22"/>
      <c r="E590" s="22"/>
      <c r="F590" s="22"/>
      <c r="G590" s="22"/>
      <c r="H590" s="22"/>
      <c r="I590" s="22"/>
    </row>
    <row r="591" spans="1:9" x14ac:dyDescent="0.2">
      <c r="A591" s="22"/>
      <c r="B591" s="22"/>
      <c r="C591" s="22"/>
      <c r="D591" s="22"/>
      <c r="E591" s="22"/>
      <c r="F591" s="22"/>
      <c r="G591" s="22"/>
      <c r="H591" s="22"/>
      <c r="I591" s="22"/>
    </row>
    <row r="592" spans="1:9" x14ac:dyDescent="0.2">
      <c r="A592" s="22"/>
      <c r="B592" s="22"/>
      <c r="C592" s="22"/>
      <c r="D592" s="22"/>
      <c r="E592" s="22"/>
      <c r="F592" s="22"/>
      <c r="G592" s="22"/>
      <c r="H592" s="22"/>
      <c r="I592" s="22"/>
    </row>
    <row r="593" spans="1:9" x14ac:dyDescent="0.2">
      <c r="A593" s="22"/>
      <c r="B593" s="22"/>
      <c r="C593" s="22"/>
      <c r="D593" s="22"/>
      <c r="E593" s="22"/>
      <c r="F593" s="22"/>
      <c r="G593" s="22"/>
      <c r="H593" s="22"/>
      <c r="I593" s="22"/>
    </row>
    <row r="594" spans="1:9" x14ac:dyDescent="0.2">
      <c r="A594" s="22"/>
      <c r="B594" s="22"/>
      <c r="C594" s="22"/>
      <c r="D594" s="22"/>
      <c r="E594" s="22"/>
      <c r="F594" s="22"/>
      <c r="G594" s="22"/>
      <c r="H594" s="22"/>
      <c r="I594" s="22"/>
    </row>
    <row r="595" spans="1:9" x14ac:dyDescent="0.2">
      <c r="A595" s="22"/>
      <c r="B595" s="22"/>
      <c r="C595" s="22"/>
      <c r="D595" s="22"/>
      <c r="E595" s="22"/>
      <c r="F595" s="22"/>
      <c r="G595" s="22"/>
      <c r="H595" s="22"/>
      <c r="I595" s="22"/>
    </row>
    <row r="596" spans="1:9" x14ac:dyDescent="0.2">
      <c r="A596" s="22"/>
      <c r="B596" s="22"/>
      <c r="C596" s="22"/>
      <c r="D596" s="22"/>
      <c r="E596" s="22"/>
      <c r="F596" s="22"/>
      <c r="G596" s="22"/>
      <c r="H596" s="22"/>
      <c r="I596" s="22"/>
    </row>
    <row r="597" spans="1:9" x14ac:dyDescent="0.2">
      <c r="A597" s="22"/>
      <c r="B597" s="22"/>
      <c r="C597" s="22"/>
      <c r="D597" s="22"/>
      <c r="E597" s="22"/>
      <c r="F597" s="22"/>
      <c r="G597" s="22"/>
      <c r="H597" s="22"/>
      <c r="I597" s="22"/>
    </row>
    <row r="598" spans="1:9" x14ac:dyDescent="0.2">
      <c r="A598" s="22"/>
      <c r="B598" s="22"/>
      <c r="C598" s="22"/>
      <c r="D598" s="22"/>
      <c r="E598" s="22"/>
      <c r="F598" s="22"/>
      <c r="G598" s="22"/>
      <c r="H598" s="22"/>
      <c r="I598" s="22"/>
    </row>
    <row r="599" spans="1:9" x14ac:dyDescent="0.2">
      <c r="A599" s="22"/>
      <c r="B599" s="22"/>
      <c r="C599" s="22"/>
      <c r="D599" s="22"/>
      <c r="E599" s="22"/>
      <c r="F599" s="22"/>
      <c r="G599" s="22"/>
      <c r="H599" s="22"/>
      <c r="I599" s="22"/>
    </row>
    <row r="600" spans="1:9" x14ac:dyDescent="0.2">
      <c r="A600" s="22"/>
      <c r="B600" s="22"/>
      <c r="C600" s="22"/>
      <c r="D600" s="22"/>
      <c r="E600" s="22"/>
      <c r="F600" s="22"/>
      <c r="G600" s="22"/>
      <c r="H600" s="22"/>
      <c r="I600" s="22"/>
    </row>
    <row r="601" spans="1:9" x14ac:dyDescent="0.2">
      <c r="A601" s="22"/>
      <c r="B601" s="22"/>
      <c r="C601" s="22"/>
      <c r="D601" s="22"/>
      <c r="E601" s="22"/>
      <c r="F601" s="22"/>
      <c r="G601" s="22"/>
      <c r="H601" s="22"/>
      <c r="I601" s="22"/>
    </row>
    <row r="602" spans="1:9" x14ac:dyDescent="0.2">
      <c r="A602" s="22"/>
      <c r="B602" s="22"/>
      <c r="C602" s="22"/>
      <c r="D602" s="22"/>
      <c r="E602" s="22"/>
      <c r="F602" s="22"/>
      <c r="G602" s="22"/>
      <c r="H602" s="22"/>
      <c r="I602" s="22"/>
    </row>
    <row r="603" spans="1:9" x14ac:dyDescent="0.2">
      <c r="A603" s="22"/>
      <c r="B603" s="22"/>
      <c r="C603" s="22"/>
      <c r="D603" s="22"/>
      <c r="E603" s="22"/>
      <c r="F603" s="22"/>
      <c r="G603" s="22"/>
      <c r="H603" s="22"/>
      <c r="I603" s="22"/>
    </row>
    <row r="604" spans="1:9" x14ac:dyDescent="0.2">
      <c r="A604" s="22"/>
      <c r="B604" s="22"/>
      <c r="C604" s="22"/>
      <c r="D604" s="22"/>
      <c r="E604" s="22"/>
      <c r="F604" s="22"/>
      <c r="G604" s="22"/>
      <c r="H604" s="22"/>
      <c r="I604" s="22"/>
    </row>
    <row r="605" spans="1:9" x14ac:dyDescent="0.2">
      <c r="A605" s="22"/>
      <c r="B605" s="22"/>
      <c r="C605" s="22"/>
      <c r="D605" s="22"/>
      <c r="E605" s="22"/>
      <c r="F605" s="22"/>
      <c r="G605" s="22"/>
      <c r="H605" s="22"/>
      <c r="I605" s="22"/>
    </row>
    <row r="606" spans="1:9" x14ac:dyDescent="0.2">
      <c r="A606" s="22"/>
      <c r="B606" s="22"/>
      <c r="C606" s="22"/>
      <c r="D606" s="22"/>
      <c r="E606" s="22"/>
      <c r="F606" s="22"/>
      <c r="G606" s="22"/>
      <c r="H606" s="22"/>
      <c r="I606" s="22"/>
    </row>
    <row r="607" spans="1:9" x14ac:dyDescent="0.2">
      <c r="A607" s="22"/>
      <c r="B607" s="22"/>
      <c r="C607" s="22"/>
      <c r="D607" s="22"/>
      <c r="E607" s="22"/>
      <c r="F607" s="22"/>
      <c r="G607" s="22"/>
      <c r="H607" s="22"/>
      <c r="I607" s="22"/>
    </row>
    <row r="608" spans="1:9" x14ac:dyDescent="0.2">
      <c r="A608" s="22"/>
      <c r="B608" s="22"/>
      <c r="C608" s="22"/>
      <c r="D608" s="22"/>
      <c r="E608" s="22"/>
      <c r="F608" s="22"/>
      <c r="G608" s="22"/>
      <c r="H608" s="22"/>
      <c r="I608" s="22"/>
    </row>
    <row r="609" spans="1:9" x14ac:dyDescent="0.2">
      <c r="A609" s="22"/>
      <c r="B609" s="22"/>
      <c r="C609" s="22"/>
      <c r="D609" s="22"/>
      <c r="E609" s="22"/>
      <c r="F609" s="22"/>
      <c r="G609" s="22"/>
      <c r="H609" s="22"/>
      <c r="I609" s="22"/>
    </row>
    <row r="610" spans="1:9" x14ac:dyDescent="0.2">
      <c r="A610" s="22"/>
      <c r="B610" s="22"/>
      <c r="C610" s="22"/>
      <c r="D610" s="22"/>
      <c r="E610" s="22"/>
      <c r="F610" s="22"/>
      <c r="G610" s="22"/>
      <c r="H610" s="22"/>
      <c r="I610" s="22"/>
    </row>
    <row r="611" spans="1:9" x14ac:dyDescent="0.2">
      <c r="A611" s="22"/>
      <c r="B611" s="22"/>
      <c r="C611" s="22"/>
      <c r="D611" s="22"/>
      <c r="E611" s="22"/>
      <c r="F611" s="22"/>
      <c r="G611" s="22"/>
      <c r="H611" s="22"/>
      <c r="I611" s="22"/>
    </row>
    <row r="612" spans="1:9" x14ac:dyDescent="0.2">
      <c r="A612" s="22"/>
      <c r="B612" s="22"/>
      <c r="C612" s="22"/>
      <c r="D612" s="22"/>
      <c r="E612" s="22"/>
      <c r="F612" s="22"/>
      <c r="G612" s="22"/>
      <c r="H612" s="22"/>
      <c r="I612" s="22"/>
    </row>
    <row r="613" spans="1:9" x14ac:dyDescent="0.2">
      <c r="A613" s="22"/>
      <c r="B613" s="22"/>
      <c r="C613" s="22"/>
      <c r="D613" s="22"/>
      <c r="E613" s="22"/>
      <c r="F613" s="22"/>
      <c r="G613" s="22"/>
      <c r="H613" s="22"/>
      <c r="I613" s="22"/>
    </row>
    <row r="614" spans="1:9" x14ac:dyDescent="0.2">
      <c r="A614" s="22"/>
      <c r="B614" s="22"/>
      <c r="C614" s="22"/>
      <c r="D614" s="22"/>
      <c r="E614" s="22"/>
      <c r="F614" s="22"/>
      <c r="G614" s="22"/>
      <c r="H614" s="22"/>
      <c r="I614" s="22"/>
    </row>
    <row r="615" spans="1:9" x14ac:dyDescent="0.2">
      <c r="A615" s="22"/>
      <c r="B615" s="22"/>
      <c r="C615" s="22"/>
      <c r="D615" s="22"/>
      <c r="E615" s="22"/>
      <c r="F615" s="22"/>
      <c r="G615" s="22"/>
      <c r="H615" s="22"/>
      <c r="I615" s="22"/>
    </row>
    <row r="616" spans="1:9" x14ac:dyDescent="0.2">
      <c r="A616" s="22"/>
      <c r="B616" s="22"/>
      <c r="C616" s="22"/>
      <c r="D616" s="22"/>
      <c r="E616" s="22"/>
      <c r="F616" s="22"/>
      <c r="G616" s="22"/>
      <c r="H616" s="22"/>
      <c r="I616" s="22"/>
    </row>
    <row r="617" spans="1:9" x14ac:dyDescent="0.2">
      <c r="A617" s="22"/>
      <c r="B617" s="22"/>
      <c r="C617" s="22"/>
      <c r="D617" s="22"/>
      <c r="E617" s="22"/>
      <c r="F617" s="22"/>
      <c r="G617" s="22"/>
      <c r="H617" s="22"/>
      <c r="I617" s="22"/>
    </row>
    <row r="618" spans="1:9" x14ac:dyDescent="0.2">
      <c r="A618" s="22"/>
      <c r="B618" s="22"/>
      <c r="C618" s="22"/>
      <c r="D618" s="22"/>
      <c r="E618" s="22"/>
      <c r="F618" s="22"/>
      <c r="G618" s="22"/>
      <c r="H618" s="22"/>
      <c r="I618" s="22"/>
    </row>
    <row r="619" spans="1:9" x14ac:dyDescent="0.2">
      <c r="A619" s="22"/>
      <c r="B619" s="22"/>
      <c r="C619" s="22"/>
      <c r="D619" s="22"/>
      <c r="E619" s="22"/>
      <c r="F619" s="22"/>
      <c r="G619" s="22"/>
      <c r="H619" s="22"/>
      <c r="I619" s="22"/>
    </row>
    <row r="620" spans="1:9" x14ac:dyDescent="0.2">
      <c r="A620" s="22"/>
      <c r="B620" s="22"/>
      <c r="C620" s="22"/>
      <c r="D620" s="22"/>
      <c r="E620" s="22"/>
      <c r="F620" s="22"/>
      <c r="G620" s="22"/>
      <c r="H620" s="22"/>
      <c r="I620" s="22"/>
    </row>
    <row r="621" spans="1:9" x14ac:dyDescent="0.2">
      <c r="A621" s="22"/>
      <c r="B621" s="22"/>
      <c r="C621" s="22"/>
      <c r="D621" s="22"/>
      <c r="E621" s="22"/>
      <c r="F621" s="22"/>
      <c r="G621" s="22"/>
      <c r="H621" s="22"/>
      <c r="I621" s="22"/>
    </row>
    <row r="622" spans="1:9" x14ac:dyDescent="0.2">
      <c r="A622" s="22"/>
      <c r="B622" s="22"/>
      <c r="C622" s="22"/>
      <c r="D622" s="22"/>
      <c r="E622" s="22"/>
      <c r="F622" s="22"/>
      <c r="G622" s="22"/>
      <c r="H622" s="22"/>
      <c r="I622" s="22"/>
    </row>
    <row r="623" spans="1:9" x14ac:dyDescent="0.2">
      <c r="A623" s="22"/>
      <c r="B623" s="22"/>
      <c r="C623" s="22"/>
      <c r="D623" s="22"/>
      <c r="E623" s="22"/>
      <c r="F623" s="22"/>
      <c r="G623" s="22"/>
      <c r="H623" s="22"/>
      <c r="I623" s="22"/>
    </row>
    <row r="624" spans="1:9" x14ac:dyDescent="0.2">
      <c r="A624" s="22"/>
      <c r="B624" s="22"/>
      <c r="C624" s="22"/>
      <c r="D624" s="22"/>
      <c r="E624" s="22"/>
      <c r="F624" s="22"/>
      <c r="G624" s="22"/>
      <c r="H624" s="22"/>
      <c r="I624" s="22"/>
    </row>
    <row r="625" spans="1:9" x14ac:dyDescent="0.2">
      <c r="A625" s="22"/>
      <c r="B625" s="22"/>
      <c r="C625" s="22"/>
      <c r="D625" s="22"/>
      <c r="E625" s="22"/>
      <c r="F625" s="22"/>
      <c r="G625" s="22"/>
      <c r="H625" s="22"/>
      <c r="I625" s="22"/>
    </row>
    <row r="626" spans="1:9" x14ac:dyDescent="0.2">
      <c r="A626" s="22"/>
      <c r="B626" s="22"/>
      <c r="C626" s="22"/>
      <c r="D626" s="22"/>
      <c r="E626" s="22"/>
      <c r="F626" s="22"/>
      <c r="G626" s="22"/>
      <c r="H626" s="22"/>
      <c r="I626" s="22"/>
    </row>
    <row r="627" spans="1:9" x14ac:dyDescent="0.2">
      <c r="A627" s="22"/>
      <c r="B627" s="22"/>
      <c r="C627" s="22"/>
      <c r="D627" s="22"/>
      <c r="E627" s="22"/>
      <c r="F627" s="22"/>
      <c r="G627" s="22"/>
      <c r="H627" s="22"/>
      <c r="I627" s="22"/>
    </row>
    <row r="628" spans="1:9" x14ac:dyDescent="0.2">
      <c r="A628" s="22"/>
      <c r="B628" s="22"/>
      <c r="C628" s="22"/>
      <c r="D628" s="22"/>
      <c r="E628" s="22"/>
      <c r="F628" s="22"/>
      <c r="G628" s="22"/>
      <c r="H628" s="22"/>
      <c r="I628" s="22"/>
    </row>
    <row r="629" spans="1:9" x14ac:dyDescent="0.2">
      <c r="A629" s="22"/>
      <c r="B629" s="22"/>
      <c r="C629" s="22"/>
      <c r="D629" s="22"/>
      <c r="E629" s="22"/>
      <c r="F629" s="22"/>
      <c r="G629" s="22"/>
      <c r="H629" s="22"/>
      <c r="I629" s="22"/>
    </row>
    <row r="630" spans="1:9" x14ac:dyDescent="0.2">
      <c r="A630" s="22"/>
      <c r="B630" s="22"/>
      <c r="C630" s="22"/>
      <c r="D630" s="22"/>
      <c r="E630" s="22"/>
      <c r="F630" s="22"/>
      <c r="G630" s="22"/>
      <c r="H630" s="22"/>
      <c r="I630" s="22"/>
    </row>
    <row r="631" spans="1:9" x14ac:dyDescent="0.2">
      <c r="A631" s="22"/>
      <c r="B631" s="22"/>
      <c r="C631" s="22"/>
      <c r="D631" s="22"/>
      <c r="E631" s="22"/>
      <c r="F631" s="22"/>
      <c r="G631" s="22"/>
      <c r="H631" s="22"/>
      <c r="I631" s="22"/>
    </row>
    <row r="632" spans="1:9" x14ac:dyDescent="0.2">
      <c r="A632" s="22"/>
      <c r="B632" s="22"/>
      <c r="C632" s="22"/>
      <c r="D632" s="22"/>
      <c r="E632" s="22"/>
      <c r="F632" s="22"/>
      <c r="G632" s="22"/>
      <c r="H632" s="22"/>
      <c r="I632" s="22"/>
    </row>
    <row r="633" spans="1:9" x14ac:dyDescent="0.2">
      <c r="A633" s="22"/>
      <c r="B633" s="22"/>
      <c r="C633" s="22"/>
      <c r="D633" s="22"/>
      <c r="E633" s="22"/>
      <c r="F633" s="22"/>
      <c r="G633" s="22"/>
      <c r="H633" s="22"/>
      <c r="I633" s="22"/>
    </row>
    <row r="634" spans="1:9" x14ac:dyDescent="0.2">
      <c r="A634" s="22"/>
      <c r="B634" s="22"/>
      <c r="C634" s="22"/>
      <c r="D634" s="22"/>
      <c r="E634" s="22"/>
      <c r="F634" s="22"/>
      <c r="G634" s="22"/>
      <c r="H634" s="22"/>
      <c r="I634" s="22"/>
    </row>
    <row r="635" spans="1:9" x14ac:dyDescent="0.2">
      <c r="A635" s="22"/>
      <c r="B635" s="22"/>
      <c r="C635" s="22"/>
      <c r="D635" s="22"/>
      <c r="E635" s="22"/>
      <c r="F635" s="22"/>
      <c r="G635" s="22"/>
      <c r="H635" s="22"/>
      <c r="I635" s="22"/>
    </row>
    <row r="636" spans="1:9" x14ac:dyDescent="0.2">
      <c r="A636" s="22"/>
      <c r="B636" s="22"/>
      <c r="C636" s="22"/>
      <c r="D636" s="22"/>
      <c r="E636" s="22"/>
      <c r="F636" s="22"/>
      <c r="G636" s="22"/>
      <c r="H636" s="22"/>
      <c r="I636" s="22"/>
    </row>
    <row r="637" spans="1:9" x14ac:dyDescent="0.2">
      <c r="A637" s="22"/>
      <c r="B637" s="22"/>
      <c r="C637" s="22"/>
      <c r="D637" s="22"/>
      <c r="E637" s="22"/>
      <c r="F637" s="22"/>
      <c r="G637" s="22"/>
      <c r="H637" s="22"/>
      <c r="I637" s="22"/>
    </row>
    <row r="638" spans="1:9" x14ac:dyDescent="0.2">
      <c r="A638" s="22"/>
      <c r="B638" s="22"/>
      <c r="C638" s="22"/>
      <c r="D638" s="22"/>
      <c r="E638" s="22"/>
      <c r="F638" s="22"/>
      <c r="G638" s="22"/>
      <c r="H638" s="22"/>
      <c r="I638" s="22"/>
    </row>
    <row r="639" spans="1:9" x14ac:dyDescent="0.2">
      <c r="A639" s="22"/>
      <c r="B639" s="22"/>
      <c r="C639" s="22"/>
      <c r="D639" s="22"/>
      <c r="E639" s="22"/>
      <c r="F639" s="22"/>
      <c r="G639" s="22"/>
      <c r="H639" s="22"/>
      <c r="I639" s="22"/>
    </row>
    <row r="640" spans="1:9" x14ac:dyDescent="0.2">
      <c r="A640" s="22"/>
      <c r="B640" s="22"/>
      <c r="C640" s="22"/>
      <c r="D640" s="22"/>
      <c r="E640" s="22"/>
      <c r="F640" s="22"/>
      <c r="G640" s="22"/>
      <c r="H640" s="22"/>
      <c r="I640" s="22"/>
    </row>
    <row r="641" spans="1:9" x14ac:dyDescent="0.2">
      <c r="A641" s="22"/>
      <c r="B641" s="22"/>
      <c r="C641" s="22"/>
      <c r="D641" s="22"/>
      <c r="E641" s="22"/>
      <c r="F641" s="22"/>
      <c r="G641" s="22"/>
      <c r="H641" s="22"/>
      <c r="I641" s="22"/>
    </row>
    <row r="642" spans="1:9" x14ac:dyDescent="0.2">
      <c r="A642" s="22"/>
      <c r="B642" s="22"/>
      <c r="C642" s="22"/>
      <c r="D642" s="22"/>
      <c r="E642" s="22"/>
      <c r="F642" s="22"/>
      <c r="G642" s="22"/>
      <c r="H642" s="22"/>
      <c r="I642" s="22"/>
    </row>
    <row r="643" spans="1:9" x14ac:dyDescent="0.2">
      <c r="A643" s="22"/>
      <c r="B643" s="22"/>
      <c r="C643" s="22"/>
      <c r="D643" s="22"/>
      <c r="E643" s="22"/>
      <c r="F643" s="22"/>
      <c r="G643" s="22"/>
      <c r="H643" s="22"/>
      <c r="I643" s="22"/>
    </row>
    <row r="644" spans="1:9" x14ac:dyDescent="0.2">
      <c r="A644" s="22"/>
      <c r="B644" s="22"/>
      <c r="C644" s="22"/>
      <c r="D644" s="22"/>
      <c r="E644" s="22"/>
      <c r="F644" s="22"/>
      <c r="G644" s="22"/>
      <c r="H644" s="22"/>
      <c r="I644" s="22"/>
    </row>
    <row r="645" spans="1:9" x14ac:dyDescent="0.2">
      <c r="A645" s="22"/>
      <c r="B645" s="22"/>
      <c r="C645" s="22"/>
      <c r="D645" s="22"/>
      <c r="E645" s="22"/>
      <c r="F645" s="22"/>
      <c r="G645" s="22"/>
      <c r="H645" s="22"/>
      <c r="I645" s="22"/>
    </row>
    <row r="646" spans="1:9" x14ac:dyDescent="0.2">
      <c r="A646" s="22"/>
      <c r="B646" s="22"/>
      <c r="C646" s="22"/>
      <c r="D646" s="22"/>
      <c r="E646" s="22"/>
      <c r="F646" s="22"/>
      <c r="G646" s="22"/>
      <c r="H646" s="22"/>
      <c r="I646" s="22"/>
    </row>
    <row r="647" spans="1:9" x14ac:dyDescent="0.2">
      <c r="A647" s="22"/>
      <c r="B647" s="22"/>
      <c r="C647" s="22"/>
      <c r="D647" s="22"/>
      <c r="E647" s="22"/>
      <c r="F647" s="22"/>
      <c r="G647" s="22"/>
      <c r="H647" s="22"/>
      <c r="I647" s="22"/>
    </row>
    <row r="648" spans="1:9" x14ac:dyDescent="0.2">
      <c r="A648" s="22"/>
      <c r="B648" s="22"/>
      <c r="C648" s="22"/>
      <c r="D648" s="22"/>
      <c r="E648" s="22"/>
      <c r="F648" s="22"/>
      <c r="G648" s="22"/>
      <c r="H648" s="22"/>
      <c r="I648" s="22"/>
    </row>
    <row r="649" spans="1:9" x14ac:dyDescent="0.2">
      <c r="A649" s="22"/>
      <c r="B649" s="22"/>
      <c r="C649" s="22"/>
      <c r="D649" s="22"/>
      <c r="E649" s="22"/>
      <c r="F649" s="22"/>
      <c r="G649" s="22"/>
      <c r="H649" s="22"/>
      <c r="I649" s="22"/>
    </row>
    <row r="650" spans="1:9" x14ac:dyDescent="0.2">
      <c r="A650" s="22"/>
      <c r="B650" s="22"/>
      <c r="C650" s="22"/>
      <c r="D650" s="22"/>
      <c r="E650" s="22"/>
      <c r="F650" s="22"/>
      <c r="G650" s="22"/>
      <c r="H650" s="22"/>
      <c r="I650" s="22"/>
    </row>
    <row r="651" spans="1:9" x14ac:dyDescent="0.2">
      <c r="A651" s="22"/>
      <c r="B651" s="22"/>
      <c r="C651" s="22"/>
      <c r="D651" s="22"/>
      <c r="E651" s="22"/>
      <c r="F651" s="22"/>
      <c r="G651" s="22"/>
      <c r="H651" s="22"/>
      <c r="I651" s="22"/>
    </row>
    <row r="652" spans="1:9" x14ac:dyDescent="0.2">
      <c r="A652" s="22"/>
      <c r="B652" s="22"/>
      <c r="C652" s="22"/>
      <c r="D652" s="22"/>
      <c r="E652" s="22"/>
      <c r="F652" s="22"/>
      <c r="G652" s="22"/>
      <c r="H652" s="22"/>
      <c r="I652" s="22"/>
    </row>
    <row r="653" spans="1:9" x14ac:dyDescent="0.2">
      <c r="A653" s="22"/>
      <c r="B653" s="22"/>
      <c r="C653" s="22"/>
      <c r="D653" s="22"/>
      <c r="E653" s="22"/>
      <c r="F653" s="22"/>
      <c r="G653" s="22"/>
      <c r="H653" s="22"/>
      <c r="I653" s="22"/>
    </row>
    <row r="654" spans="1:9" x14ac:dyDescent="0.2">
      <c r="A654" s="22"/>
      <c r="B654" s="22"/>
      <c r="C654" s="22"/>
      <c r="D654" s="22"/>
      <c r="E654" s="22"/>
      <c r="F654" s="22"/>
      <c r="G654" s="22"/>
      <c r="H654" s="22"/>
      <c r="I654" s="22"/>
    </row>
    <row r="655" spans="1:9" x14ac:dyDescent="0.2">
      <c r="A655" s="22"/>
      <c r="B655" s="22"/>
      <c r="C655" s="22"/>
      <c r="D655" s="22"/>
      <c r="E655" s="22"/>
      <c r="F655" s="22"/>
      <c r="G655" s="22"/>
      <c r="H655" s="22"/>
      <c r="I655" s="22"/>
    </row>
    <row r="656" spans="1:9" x14ac:dyDescent="0.2">
      <c r="A656" s="22"/>
      <c r="B656" s="22"/>
      <c r="C656" s="22"/>
      <c r="D656" s="22"/>
      <c r="E656" s="22"/>
      <c r="F656" s="22"/>
      <c r="G656" s="22"/>
      <c r="H656" s="22"/>
      <c r="I656" s="22"/>
    </row>
    <row r="657" spans="1:9" x14ac:dyDescent="0.2">
      <c r="A657" s="22"/>
      <c r="B657" s="22"/>
      <c r="C657" s="22"/>
      <c r="D657" s="22"/>
      <c r="E657" s="22"/>
      <c r="F657" s="22"/>
      <c r="G657" s="22"/>
      <c r="H657" s="22"/>
      <c r="I657" s="22"/>
    </row>
    <row r="658" spans="1:9" x14ac:dyDescent="0.2">
      <c r="A658" s="22"/>
      <c r="B658" s="22"/>
      <c r="C658" s="22"/>
      <c r="D658" s="22"/>
      <c r="E658" s="22"/>
      <c r="F658" s="22"/>
      <c r="G658" s="22"/>
      <c r="H658" s="22"/>
      <c r="I658" s="22"/>
    </row>
    <row r="659" spans="1:9" x14ac:dyDescent="0.2">
      <c r="A659" s="22"/>
      <c r="B659" s="22"/>
      <c r="C659" s="22"/>
      <c r="D659" s="22"/>
      <c r="E659" s="22"/>
      <c r="F659" s="22"/>
      <c r="G659" s="22"/>
      <c r="H659" s="22"/>
      <c r="I659" s="22"/>
    </row>
    <row r="660" spans="1:9" x14ac:dyDescent="0.2">
      <c r="A660" s="22"/>
      <c r="B660" s="22"/>
      <c r="C660" s="22"/>
      <c r="D660" s="22"/>
      <c r="E660" s="22"/>
      <c r="F660" s="22"/>
      <c r="G660" s="22"/>
      <c r="H660" s="22"/>
      <c r="I660" s="22"/>
    </row>
    <row r="661" spans="1:9" x14ac:dyDescent="0.2">
      <c r="A661" s="22"/>
      <c r="B661" s="22"/>
      <c r="C661" s="22"/>
      <c r="D661" s="22"/>
      <c r="E661" s="22"/>
      <c r="F661" s="22"/>
      <c r="G661" s="22"/>
      <c r="H661" s="22"/>
      <c r="I661" s="22"/>
    </row>
    <row r="662" spans="1:9" x14ac:dyDescent="0.2">
      <c r="A662" s="22"/>
      <c r="B662" s="22"/>
      <c r="C662" s="22"/>
      <c r="D662" s="22"/>
      <c r="E662" s="22"/>
      <c r="F662" s="22"/>
      <c r="G662" s="22"/>
      <c r="H662" s="22"/>
      <c r="I662" s="22"/>
    </row>
    <row r="663" spans="1:9" x14ac:dyDescent="0.2">
      <c r="A663" s="22"/>
      <c r="B663" s="22"/>
      <c r="C663" s="22"/>
      <c r="D663" s="22"/>
      <c r="E663" s="22"/>
      <c r="F663" s="22"/>
      <c r="G663" s="22"/>
      <c r="H663" s="22"/>
      <c r="I663" s="22"/>
    </row>
    <row r="664" spans="1:9" x14ac:dyDescent="0.2">
      <c r="A664" s="22"/>
      <c r="B664" s="22"/>
      <c r="C664" s="22"/>
      <c r="D664" s="22"/>
      <c r="E664" s="22"/>
      <c r="F664" s="22"/>
      <c r="G664" s="22"/>
      <c r="H664" s="22"/>
      <c r="I664" s="22"/>
    </row>
    <row r="665" spans="1:9" x14ac:dyDescent="0.2">
      <c r="A665" s="22"/>
      <c r="B665" s="22"/>
      <c r="C665" s="22"/>
      <c r="D665" s="22"/>
      <c r="E665" s="22"/>
      <c r="F665" s="22"/>
      <c r="G665" s="22"/>
      <c r="H665" s="22"/>
      <c r="I665" s="22"/>
    </row>
    <row r="666" spans="1:9" x14ac:dyDescent="0.2">
      <c r="A666" s="22"/>
      <c r="B666" s="22"/>
      <c r="C666" s="22"/>
      <c r="D666" s="22"/>
      <c r="E666" s="22"/>
      <c r="F666" s="22"/>
      <c r="G666" s="22"/>
      <c r="H666" s="22"/>
      <c r="I666" s="22"/>
    </row>
    <row r="667" spans="1:9" x14ac:dyDescent="0.2">
      <c r="A667" s="22"/>
      <c r="B667" s="22"/>
      <c r="C667" s="22"/>
      <c r="D667" s="22"/>
      <c r="E667" s="22"/>
      <c r="F667" s="22"/>
      <c r="G667" s="22"/>
      <c r="H667" s="22"/>
      <c r="I667" s="22"/>
    </row>
    <row r="668" spans="1:9" x14ac:dyDescent="0.2">
      <c r="A668" s="22"/>
      <c r="B668" s="22"/>
      <c r="C668" s="22"/>
      <c r="D668" s="22"/>
      <c r="E668" s="22"/>
      <c r="F668" s="22"/>
      <c r="G668" s="22"/>
      <c r="H668" s="22"/>
      <c r="I668" s="22"/>
    </row>
    <row r="669" spans="1:9" x14ac:dyDescent="0.2">
      <c r="A669" s="22"/>
      <c r="B669" s="22"/>
      <c r="C669" s="22"/>
      <c r="D669" s="22"/>
      <c r="E669" s="22"/>
      <c r="F669" s="22"/>
      <c r="G669" s="22"/>
      <c r="H669" s="22"/>
      <c r="I669" s="22"/>
    </row>
    <row r="670" spans="1:9" x14ac:dyDescent="0.2">
      <c r="A670" s="22"/>
      <c r="B670" s="22"/>
      <c r="C670" s="22"/>
      <c r="D670" s="22"/>
      <c r="E670" s="22"/>
      <c r="F670" s="22"/>
      <c r="G670" s="22"/>
      <c r="H670" s="22"/>
      <c r="I670" s="22"/>
    </row>
    <row r="671" spans="1:9" x14ac:dyDescent="0.2">
      <c r="A671" s="22"/>
      <c r="B671" s="22"/>
      <c r="C671" s="22"/>
      <c r="D671" s="22"/>
      <c r="E671" s="22"/>
      <c r="F671" s="22"/>
      <c r="G671" s="22"/>
      <c r="H671" s="22"/>
      <c r="I671" s="22"/>
    </row>
    <row r="672" spans="1:9" x14ac:dyDescent="0.2">
      <c r="A672" s="22"/>
      <c r="B672" s="22"/>
      <c r="C672" s="22"/>
      <c r="D672" s="22"/>
      <c r="E672" s="22"/>
      <c r="F672" s="22"/>
      <c r="G672" s="22"/>
      <c r="H672" s="22"/>
      <c r="I672" s="22"/>
    </row>
    <row r="673" spans="1:9" x14ac:dyDescent="0.2">
      <c r="A673" s="22"/>
      <c r="B673" s="22"/>
      <c r="C673" s="22"/>
      <c r="D673" s="22"/>
      <c r="E673" s="22"/>
      <c r="F673" s="22"/>
      <c r="G673" s="22"/>
      <c r="H673" s="22"/>
      <c r="I673" s="22"/>
    </row>
    <row r="674" spans="1:9" x14ac:dyDescent="0.2">
      <c r="A674" s="22"/>
      <c r="B674" s="22"/>
      <c r="C674" s="22"/>
      <c r="D674" s="22"/>
      <c r="E674" s="22"/>
      <c r="F674" s="22"/>
      <c r="G674" s="22"/>
      <c r="H674" s="22"/>
      <c r="I674" s="22"/>
    </row>
    <row r="675" spans="1:9" x14ac:dyDescent="0.2">
      <c r="A675" s="22"/>
      <c r="B675" s="22"/>
      <c r="C675" s="22"/>
      <c r="D675" s="22"/>
      <c r="E675" s="22"/>
      <c r="F675" s="22"/>
      <c r="G675" s="22"/>
      <c r="H675" s="22"/>
      <c r="I675" s="22"/>
    </row>
    <row r="676" spans="1:9" x14ac:dyDescent="0.2">
      <c r="A676" s="22"/>
      <c r="B676" s="22"/>
      <c r="C676" s="22"/>
      <c r="D676" s="22"/>
      <c r="E676" s="22"/>
      <c r="F676" s="22"/>
      <c r="G676" s="22"/>
      <c r="H676" s="22"/>
      <c r="I676" s="22"/>
    </row>
    <row r="677" spans="1:9" x14ac:dyDescent="0.2">
      <c r="A677" s="22"/>
      <c r="B677" s="22"/>
      <c r="C677" s="22"/>
      <c r="D677" s="22"/>
      <c r="E677" s="22"/>
      <c r="F677" s="22"/>
      <c r="G677" s="22"/>
      <c r="H677" s="22"/>
      <c r="I677" s="22"/>
    </row>
    <row r="678" spans="1:9" x14ac:dyDescent="0.2">
      <c r="A678" s="22"/>
      <c r="B678" s="22"/>
      <c r="C678" s="22"/>
      <c r="D678" s="22"/>
      <c r="E678" s="22"/>
      <c r="F678" s="22"/>
      <c r="G678" s="22"/>
      <c r="H678" s="22"/>
      <c r="I678" s="22"/>
    </row>
    <row r="679" spans="1:9" x14ac:dyDescent="0.2">
      <c r="A679" s="22"/>
      <c r="B679" s="22"/>
      <c r="C679" s="22"/>
      <c r="D679" s="22"/>
      <c r="E679" s="22"/>
      <c r="F679" s="22"/>
      <c r="G679" s="22"/>
      <c r="H679" s="22"/>
      <c r="I679" s="22"/>
    </row>
    <row r="680" spans="1:9" x14ac:dyDescent="0.2">
      <c r="A680" s="22"/>
      <c r="B680" s="22"/>
      <c r="C680" s="22"/>
      <c r="D680" s="22"/>
      <c r="E680" s="22"/>
      <c r="F680" s="22"/>
      <c r="G680" s="22"/>
      <c r="H680" s="22"/>
      <c r="I680" s="22"/>
    </row>
    <row r="681" spans="1:9" x14ac:dyDescent="0.2">
      <c r="A681" s="22"/>
      <c r="B681" s="22"/>
      <c r="C681" s="22"/>
      <c r="D681" s="22"/>
      <c r="E681" s="22"/>
      <c r="F681" s="22"/>
      <c r="G681" s="22"/>
      <c r="H681" s="22"/>
      <c r="I681" s="22"/>
    </row>
    <row r="682" spans="1:9" x14ac:dyDescent="0.2">
      <c r="A682" s="22"/>
      <c r="B682" s="22"/>
      <c r="C682" s="22"/>
      <c r="D682" s="22"/>
      <c r="E682" s="22"/>
      <c r="F682" s="22"/>
      <c r="G682" s="22"/>
      <c r="H682" s="22"/>
      <c r="I682" s="22"/>
    </row>
    <row r="683" spans="1:9" x14ac:dyDescent="0.2">
      <c r="A683" s="22"/>
      <c r="B683" s="22"/>
      <c r="C683" s="22"/>
      <c r="D683" s="22"/>
      <c r="E683" s="22"/>
      <c r="F683" s="22"/>
      <c r="G683" s="22"/>
      <c r="H683" s="22"/>
      <c r="I683" s="22"/>
    </row>
    <row r="684" spans="1:9" x14ac:dyDescent="0.2">
      <c r="A684" s="22"/>
      <c r="B684" s="22"/>
      <c r="C684" s="22"/>
      <c r="D684" s="22"/>
      <c r="E684" s="22"/>
      <c r="F684" s="22"/>
      <c r="G684" s="22"/>
      <c r="H684" s="22"/>
      <c r="I684" s="22"/>
    </row>
    <row r="685" spans="1:9" x14ac:dyDescent="0.2">
      <c r="A685" s="22"/>
      <c r="B685" s="22"/>
      <c r="C685" s="22"/>
      <c r="D685" s="22"/>
      <c r="E685" s="22"/>
      <c r="F685" s="22"/>
      <c r="G685" s="22"/>
      <c r="H685" s="22"/>
      <c r="I685" s="22"/>
    </row>
    <row r="686" spans="1:9" x14ac:dyDescent="0.2">
      <c r="A686" s="22"/>
      <c r="B686" s="22"/>
      <c r="C686" s="22"/>
      <c r="D686" s="22"/>
      <c r="E686" s="22"/>
      <c r="F686" s="22"/>
      <c r="G686" s="22"/>
      <c r="H686" s="22"/>
      <c r="I686" s="22"/>
    </row>
    <row r="687" spans="1:9" x14ac:dyDescent="0.2">
      <c r="A687" s="22"/>
      <c r="B687" s="22"/>
      <c r="C687" s="22"/>
      <c r="D687" s="22"/>
      <c r="E687" s="22"/>
      <c r="F687" s="22"/>
      <c r="G687" s="22"/>
      <c r="H687" s="22"/>
      <c r="I687" s="22"/>
    </row>
    <row r="688" spans="1:9" x14ac:dyDescent="0.2">
      <c r="A688" s="22"/>
      <c r="B688" s="22"/>
      <c r="C688" s="22"/>
      <c r="D688" s="22"/>
      <c r="E688" s="22"/>
      <c r="F688" s="22"/>
      <c r="G688" s="22"/>
      <c r="H688" s="22"/>
      <c r="I688" s="22"/>
    </row>
    <row r="689" spans="1:9" x14ac:dyDescent="0.2">
      <c r="A689" s="22"/>
      <c r="B689" s="22"/>
      <c r="C689" s="22"/>
      <c r="D689" s="22"/>
      <c r="E689" s="22"/>
      <c r="F689" s="22"/>
      <c r="G689" s="22"/>
      <c r="H689" s="22"/>
      <c r="I689" s="22"/>
    </row>
    <row r="690" spans="1:9" x14ac:dyDescent="0.2">
      <c r="A690" s="22"/>
      <c r="B690" s="22"/>
      <c r="C690" s="22"/>
      <c r="D690" s="22"/>
      <c r="E690" s="22"/>
      <c r="F690" s="22"/>
      <c r="G690" s="22"/>
      <c r="H690" s="22"/>
      <c r="I690" s="22"/>
    </row>
    <row r="691" spans="1:9" x14ac:dyDescent="0.2">
      <c r="A691" s="22"/>
      <c r="B691" s="22"/>
      <c r="C691" s="22"/>
      <c r="D691" s="22"/>
      <c r="E691" s="22"/>
      <c r="F691" s="22"/>
      <c r="G691" s="22"/>
      <c r="H691" s="22"/>
      <c r="I691" s="22"/>
    </row>
    <row r="692" spans="1:9" x14ac:dyDescent="0.2">
      <c r="A692" s="22"/>
      <c r="B692" s="22"/>
      <c r="C692" s="22"/>
      <c r="D692" s="22"/>
      <c r="E692" s="22"/>
      <c r="F692" s="22"/>
      <c r="G692" s="22"/>
      <c r="H692" s="22"/>
      <c r="I692" s="22"/>
    </row>
    <row r="693" spans="1:9" x14ac:dyDescent="0.2">
      <c r="A693" s="22"/>
      <c r="B693" s="22"/>
      <c r="C693" s="22"/>
      <c r="D693" s="22"/>
      <c r="E693" s="22"/>
      <c r="F693" s="22"/>
      <c r="G693" s="22"/>
      <c r="H693" s="22"/>
      <c r="I693" s="22"/>
    </row>
    <row r="694" spans="1:9" x14ac:dyDescent="0.2">
      <c r="A694" s="22"/>
      <c r="B694" s="22"/>
      <c r="C694" s="22"/>
      <c r="D694" s="22"/>
      <c r="E694" s="22"/>
      <c r="F694" s="22"/>
      <c r="G694" s="22"/>
      <c r="H694" s="22"/>
      <c r="I694" s="22"/>
    </row>
    <row r="695" spans="1:9" x14ac:dyDescent="0.2">
      <c r="A695" s="22"/>
      <c r="B695" s="22"/>
      <c r="C695" s="22"/>
      <c r="D695" s="22"/>
      <c r="E695" s="22"/>
      <c r="F695" s="22"/>
      <c r="G695" s="22"/>
      <c r="H695" s="22"/>
      <c r="I695" s="22"/>
    </row>
    <row r="696" spans="1:9" x14ac:dyDescent="0.2">
      <c r="A696" s="22"/>
      <c r="B696" s="22"/>
      <c r="C696" s="22"/>
      <c r="D696" s="22"/>
      <c r="E696" s="22"/>
      <c r="F696" s="22"/>
      <c r="G696" s="22"/>
      <c r="H696" s="22"/>
      <c r="I696" s="22"/>
    </row>
    <row r="697" spans="1:9" x14ac:dyDescent="0.2">
      <c r="A697" s="22"/>
      <c r="B697" s="22"/>
      <c r="C697" s="22"/>
      <c r="D697" s="22"/>
      <c r="E697" s="22"/>
      <c r="F697" s="22"/>
      <c r="G697" s="22"/>
      <c r="H697" s="22"/>
      <c r="I697" s="22"/>
    </row>
    <row r="698" spans="1:9" x14ac:dyDescent="0.2">
      <c r="A698" s="22"/>
      <c r="B698" s="22"/>
      <c r="C698" s="22"/>
      <c r="D698" s="22"/>
      <c r="E698" s="22"/>
      <c r="F698" s="22"/>
      <c r="G698" s="22"/>
      <c r="H698" s="22"/>
      <c r="I698" s="22"/>
    </row>
    <row r="699" spans="1:9" x14ac:dyDescent="0.2">
      <c r="A699" s="22"/>
      <c r="B699" s="22"/>
      <c r="C699" s="22"/>
      <c r="D699" s="22"/>
      <c r="E699" s="22"/>
      <c r="F699" s="22"/>
      <c r="G699" s="22"/>
      <c r="H699" s="22"/>
      <c r="I699" s="22"/>
    </row>
    <row r="700" spans="1:9" x14ac:dyDescent="0.2">
      <c r="A700" s="22"/>
      <c r="B700" s="22"/>
      <c r="C700" s="22"/>
      <c r="D700" s="22"/>
      <c r="E700" s="22"/>
      <c r="F700" s="22"/>
      <c r="G700" s="22"/>
      <c r="H700" s="22"/>
      <c r="I700" s="22"/>
    </row>
    <row r="701" spans="1:9" x14ac:dyDescent="0.2">
      <c r="A701" s="22"/>
      <c r="B701" s="22"/>
      <c r="C701" s="22"/>
      <c r="D701" s="22"/>
      <c r="E701" s="22"/>
      <c r="F701" s="22"/>
      <c r="G701" s="22"/>
      <c r="H701" s="22"/>
      <c r="I701" s="22"/>
    </row>
    <row r="702" spans="1:9" x14ac:dyDescent="0.2">
      <c r="A702" s="22"/>
      <c r="B702" s="22"/>
      <c r="C702" s="22"/>
      <c r="D702" s="22"/>
      <c r="E702" s="22"/>
      <c r="F702" s="22"/>
      <c r="G702" s="22"/>
      <c r="H702" s="22"/>
      <c r="I702" s="22"/>
    </row>
    <row r="703" spans="1:9" x14ac:dyDescent="0.2">
      <c r="A703" s="22"/>
      <c r="B703" s="22"/>
      <c r="C703" s="22"/>
      <c r="D703" s="22"/>
      <c r="E703" s="22"/>
      <c r="F703" s="22"/>
      <c r="G703" s="22"/>
      <c r="H703" s="22"/>
      <c r="I703" s="22"/>
    </row>
    <row r="704" spans="1:9" x14ac:dyDescent="0.2">
      <c r="A704" s="22"/>
      <c r="B704" s="22"/>
      <c r="C704" s="22"/>
      <c r="D704" s="22"/>
      <c r="E704" s="22"/>
      <c r="F704" s="22"/>
      <c r="G704" s="22"/>
      <c r="H704" s="22"/>
      <c r="I704" s="22"/>
    </row>
    <row r="705" spans="1:9" x14ac:dyDescent="0.2">
      <c r="A705" s="22"/>
      <c r="B705" s="22"/>
      <c r="C705" s="22"/>
      <c r="D705" s="22"/>
      <c r="E705" s="22"/>
      <c r="F705" s="22"/>
      <c r="G705" s="22"/>
      <c r="H705" s="22"/>
      <c r="I705" s="22"/>
    </row>
    <row r="706" spans="1:9" x14ac:dyDescent="0.2">
      <c r="A706" s="22"/>
      <c r="B706" s="22"/>
      <c r="C706" s="22"/>
      <c r="D706" s="22"/>
      <c r="E706" s="22"/>
      <c r="F706" s="22"/>
      <c r="G706" s="22"/>
      <c r="H706" s="22"/>
      <c r="I706" s="22"/>
    </row>
    <row r="707" spans="1:9" x14ac:dyDescent="0.2">
      <c r="A707" s="22"/>
      <c r="B707" s="22"/>
      <c r="C707" s="22"/>
      <c r="D707" s="22"/>
      <c r="E707" s="22"/>
      <c r="F707" s="22"/>
      <c r="G707" s="22"/>
      <c r="H707" s="22"/>
      <c r="I707" s="22"/>
    </row>
    <row r="708" spans="1:9" x14ac:dyDescent="0.2">
      <c r="A708" s="22"/>
      <c r="B708" s="22"/>
      <c r="C708" s="22"/>
      <c r="D708" s="22"/>
      <c r="E708" s="22"/>
      <c r="F708" s="22"/>
      <c r="G708" s="22"/>
      <c r="H708" s="22"/>
      <c r="I708" s="22"/>
    </row>
    <row r="709" spans="1:9" x14ac:dyDescent="0.2">
      <c r="A709" s="22"/>
      <c r="B709" s="22"/>
      <c r="C709" s="22"/>
      <c r="D709" s="22"/>
      <c r="E709" s="22"/>
      <c r="F709" s="22"/>
      <c r="G709" s="22"/>
      <c r="H709" s="22"/>
      <c r="I709" s="22"/>
    </row>
    <row r="710" spans="1:9" x14ac:dyDescent="0.2">
      <c r="A710" s="22"/>
      <c r="B710" s="22"/>
      <c r="C710" s="22"/>
      <c r="D710" s="22"/>
      <c r="E710" s="22"/>
      <c r="F710" s="22"/>
      <c r="G710" s="22"/>
      <c r="H710" s="22"/>
      <c r="I710" s="22"/>
    </row>
    <row r="711" spans="1:9" x14ac:dyDescent="0.2">
      <c r="A711" s="22"/>
      <c r="B711" s="22"/>
      <c r="C711" s="22"/>
      <c r="D711" s="22"/>
      <c r="E711" s="22"/>
      <c r="F711" s="22"/>
      <c r="G711" s="22"/>
      <c r="H711" s="22"/>
      <c r="I711" s="22"/>
    </row>
    <row r="712" spans="1:9" x14ac:dyDescent="0.2">
      <c r="A712" s="22"/>
      <c r="B712" s="22"/>
      <c r="C712" s="22"/>
      <c r="D712" s="22"/>
      <c r="E712" s="22"/>
      <c r="F712" s="22"/>
      <c r="G712" s="22"/>
      <c r="H712" s="22"/>
      <c r="I712" s="22"/>
    </row>
    <row r="713" spans="1:9" x14ac:dyDescent="0.2">
      <c r="A713" s="22"/>
      <c r="B713" s="22"/>
      <c r="C713" s="22"/>
      <c r="D713" s="22"/>
      <c r="E713" s="22"/>
      <c r="F713" s="22"/>
      <c r="G713" s="22"/>
      <c r="H713" s="22"/>
      <c r="I713" s="22"/>
    </row>
    <row r="714" spans="1:9" x14ac:dyDescent="0.2">
      <c r="A714" s="22"/>
      <c r="B714" s="22"/>
      <c r="C714" s="22"/>
      <c r="D714" s="22"/>
      <c r="E714" s="22"/>
      <c r="F714" s="22"/>
      <c r="G714" s="22"/>
      <c r="H714" s="22"/>
      <c r="I714" s="22"/>
    </row>
    <row r="715" spans="1:9" x14ac:dyDescent="0.2">
      <c r="A715" s="22"/>
      <c r="B715" s="22"/>
      <c r="C715" s="22"/>
      <c r="D715" s="22"/>
      <c r="E715" s="22"/>
      <c r="F715" s="22"/>
      <c r="G715" s="22"/>
      <c r="H715" s="22"/>
      <c r="I715" s="22"/>
    </row>
    <row r="716" spans="1:9" x14ac:dyDescent="0.2">
      <c r="A716" s="22"/>
      <c r="B716" s="22"/>
      <c r="C716" s="22"/>
      <c r="D716" s="22"/>
      <c r="E716" s="22"/>
      <c r="F716" s="22"/>
      <c r="G716" s="22"/>
      <c r="H716" s="22"/>
      <c r="I716" s="22"/>
    </row>
    <row r="717" spans="1:9" x14ac:dyDescent="0.2">
      <c r="A717" s="22"/>
      <c r="B717" s="22"/>
      <c r="C717" s="22"/>
      <c r="D717" s="22"/>
      <c r="E717" s="22"/>
      <c r="F717" s="22"/>
      <c r="G717" s="22"/>
      <c r="H717" s="22"/>
      <c r="I717" s="22"/>
    </row>
    <row r="718" spans="1:9" x14ac:dyDescent="0.2">
      <c r="A718" s="22"/>
      <c r="B718" s="22"/>
      <c r="C718" s="22"/>
      <c r="D718" s="22"/>
      <c r="E718" s="22"/>
      <c r="F718" s="22"/>
      <c r="G718" s="22"/>
      <c r="H718" s="22"/>
      <c r="I718" s="22"/>
    </row>
    <row r="719" spans="1:9" x14ac:dyDescent="0.2">
      <c r="A719" s="22"/>
      <c r="B719" s="22"/>
      <c r="C719" s="22"/>
      <c r="D719" s="22"/>
      <c r="E719" s="22"/>
      <c r="F719" s="22"/>
      <c r="G719" s="22"/>
      <c r="H719" s="22"/>
      <c r="I719" s="22"/>
    </row>
    <row r="720" spans="1:9" x14ac:dyDescent="0.2">
      <c r="A720" s="22"/>
      <c r="B720" s="22"/>
      <c r="C720" s="22"/>
      <c r="D720" s="22"/>
      <c r="E720" s="22"/>
      <c r="F720" s="22"/>
      <c r="G720" s="22"/>
      <c r="H720" s="22"/>
      <c r="I720" s="22"/>
    </row>
    <row r="721" spans="1:9" x14ac:dyDescent="0.2">
      <c r="A721" s="22"/>
      <c r="B721" s="22"/>
      <c r="C721" s="22"/>
      <c r="D721" s="22"/>
      <c r="E721" s="22"/>
      <c r="F721" s="22"/>
      <c r="G721" s="22"/>
      <c r="H721" s="22"/>
      <c r="I721" s="22"/>
    </row>
    <row r="722" spans="1:9" x14ac:dyDescent="0.2">
      <c r="A722" s="22"/>
      <c r="B722" s="22"/>
      <c r="C722" s="22"/>
      <c r="D722" s="22"/>
      <c r="E722" s="22"/>
      <c r="F722" s="22"/>
      <c r="G722" s="22"/>
      <c r="H722" s="22"/>
      <c r="I722" s="22"/>
    </row>
    <row r="723" spans="1:9" x14ac:dyDescent="0.2">
      <c r="A723" s="22"/>
      <c r="B723" s="22"/>
      <c r="C723" s="22"/>
      <c r="D723" s="22"/>
      <c r="E723" s="22"/>
      <c r="F723" s="22"/>
      <c r="G723" s="22"/>
      <c r="H723" s="22"/>
      <c r="I723" s="22"/>
    </row>
    <row r="724" spans="1:9" x14ac:dyDescent="0.2">
      <c r="A724" s="22"/>
      <c r="B724" s="22"/>
      <c r="C724" s="22"/>
      <c r="D724" s="22"/>
      <c r="E724" s="22"/>
      <c r="F724" s="22"/>
      <c r="G724" s="22"/>
      <c r="H724" s="22"/>
      <c r="I724" s="22"/>
    </row>
    <row r="725" spans="1:9" x14ac:dyDescent="0.2">
      <c r="A725" s="22"/>
      <c r="B725" s="22"/>
      <c r="C725" s="22"/>
      <c r="D725" s="22"/>
      <c r="E725" s="22"/>
      <c r="F725" s="22"/>
      <c r="G725" s="22"/>
      <c r="H725" s="22"/>
      <c r="I725" s="22"/>
    </row>
    <row r="726" spans="1:9" x14ac:dyDescent="0.2">
      <c r="A726" s="22"/>
      <c r="B726" s="22"/>
      <c r="C726" s="22"/>
      <c r="D726" s="22"/>
      <c r="E726" s="22"/>
      <c r="F726" s="22"/>
      <c r="G726" s="22"/>
      <c r="H726" s="22"/>
      <c r="I726" s="22"/>
    </row>
    <row r="727" spans="1:9" x14ac:dyDescent="0.2">
      <c r="A727" s="22"/>
      <c r="B727" s="22"/>
      <c r="C727" s="22"/>
      <c r="D727" s="22"/>
      <c r="E727" s="22"/>
      <c r="F727" s="22"/>
      <c r="G727" s="22"/>
      <c r="H727" s="22"/>
      <c r="I727" s="22"/>
    </row>
    <row r="728" spans="1:9" x14ac:dyDescent="0.2">
      <c r="A728" s="22"/>
      <c r="B728" s="22"/>
      <c r="C728" s="22"/>
      <c r="D728" s="22"/>
      <c r="E728" s="22"/>
      <c r="F728" s="22"/>
      <c r="G728" s="22"/>
      <c r="H728" s="22"/>
      <c r="I728" s="22"/>
    </row>
    <row r="729" spans="1:9" x14ac:dyDescent="0.2">
      <c r="A729" s="22"/>
      <c r="B729" s="22"/>
      <c r="C729" s="22"/>
      <c r="D729" s="22"/>
      <c r="E729" s="22"/>
      <c r="F729" s="22"/>
      <c r="G729" s="22"/>
      <c r="H729" s="22"/>
      <c r="I729" s="22"/>
    </row>
    <row r="730" spans="1:9" x14ac:dyDescent="0.2">
      <c r="A730" s="22"/>
      <c r="B730" s="22"/>
      <c r="C730" s="22"/>
      <c r="D730" s="22"/>
      <c r="E730" s="22"/>
      <c r="F730" s="22"/>
      <c r="G730" s="22"/>
      <c r="H730" s="22"/>
      <c r="I730" s="22"/>
    </row>
    <row r="731" spans="1:9" x14ac:dyDescent="0.2">
      <c r="A731" s="22"/>
      <c r="B731" s="22"/>
      <c r="C731" s="22"/>
      <c r="D731" s="22"/>
      <c r="E731" s="22"/>
      <c r="F731" s="22"/>
      <c r="G731" s="22"/>
      <c r="H731" s="22"/>
      <c r="I731" s="22"/>
    </row>
    <row r="732" spans="1:9" x14ac:dyDescent="0.2">
      <c r="A732" s="22"/>
      <c r="B732" s="22"/>
      <c r="C732" s="22"/>
      <c r="D732" s="22"/>
      <c r="E732" s="22"/>
      <c r="F732" s="22"/>
      <c r="G732" s="22"/>
      <c r="H732" s="22"/>
      <c r="I732" s="22"/>
    </row>
    <row r="733" spans="1:9" x14ac:dyDescent="0.2">
      <c r="A733" s="22"/>
      <c r="B733" s="22"/>
      <c r="C733" s="22"/>
      <c r="D733" s="22"/>
      <c r="E733" s="22"/>
      <c r="F733" s="22"/>
      <c r="G733" s="22"/>
      <c r="H733" s="22"/>
      <c r="I733" s="22"/>
    </row>
    <row r="734" spans="1:9" x14ac:dyDescent="0.2">
      <c r="A734" s="22"/>
      <c r="B734" s="22"/>
      <c r="C734" s="22"/>
      <c r="D734" s="22"/>
      <c r="E734" s="22"/>
      <c r="F734" s="22"/>
      <c r="G734" s="22"/>
      <c r="H734" s="22"/>
      <c r="I734" s="22"/>
    </row>
    <row r="735" spans="1:9" x14ac:dyDescent="0.2">
      <c r="A735" s="22"/>
      <c r="B735" s="22"/>
      <c r="C735" s="22"/>
      <c r="D735" s="22"/>
      <c r="E735" s="22"/>
      <c r="F735" s="22"/>
      <c r="G735" s="22"/>
      <c r="H735" s="22"/>
      <c r="I735" s="22"/>
    </row>
    <row r="736" spans="1:9" x14ac:dyDescent="0.2">
      <c r="A736" s="22"/>
      <c r="B736" s="22"/>
      <c r="C736" s="22"/>
      <c r="D736" s="22"/>
      <c r="E736" s="22"/>
      <c r="F736" s="22"/>
      <c r="G736" s="22"/>
      <c r="H736" s="22"/>
      <c r="I736" s="22"/>
    </row>
    <row r="737" spans="1:9" x14ac:dyDescent="0.2">
      <c r="A737" s="22"/>
      <c r="B737" s="22"/>
      <c r="C737" s="22"/>
      <c r="D737" s="22"/>
      <c r="E737" s="22"/>
      <c r="F737" s="22"/>
      <c r="G737" s="22"/>
      <c r="H737" s="22"/>
      <c r="I737" s="22"/>
    </row>
    <row r="738" spans="1:9" x14ac:dyDescent="0.2">
      <c r="A738" s="22"/>
      <c r="B738" s="22"/>
      <c r="C738" s="22"/>
      <c r="D738" s="22"/>
      <c r="E738" s="22"/>
      <c r="F738" s="22"/>
      <c r="G738" s="22"/>
      <c r="H738" s="22"/>
      <c r="I738" s="22"/>
    </row>
    <row r="739" spans="1:9" x14ac:dyDescent="0.2">
      <c r="A739" s="22"/>
      <c r="B739" s="22"/>
      <c r="C739" s="22"/>
      <c r="D739" s="22"/>
      <c r="E739" s="22"/>
      <c r="F739" s="22"/>
      <c r="G739" s="22"/>
      <c r="H739" s="22"/>
      <c r="I739" s="22"/>
    </row>
    <row r="740" spans="1:9" x14ac:dyDescent="0.2">
      <c r="A740" s="22"/>
      <c r="B740" s="22"/>
      <c r="C740" s="22"/>
      <c r="D740" s="22"/>
      <c r="E740" s="22"/>
      <c r="F740" s="22"/>
      <c r="G740" s="22"/>
      <c r="H740" s="22"/>
      <c r="I740" s="22"/>
    </row>
    <row r="741" spans="1:9" x14ac:dyDescent="0.2">
      <c r="A741" s="22"/>
      <c r="B741" s="22"/>
      <c r="C741" s="22"/>
      <c r="D741" s="22"/>
      <c r="E741" s="22"/>
      <c r="F741" s="22"/>
      <c r="G741" s="22"/>
      <c r="H741" s="22"/>
      <c r="I741" s="22"/>
    </row>
    <row r="742" spans="1:9" x14ac:dyDescent="0.2">
      <c r="A742" s="22"/>
      <c r="B742" s="22"/>
      <c r="C742" s="22"/>
      <c r="D742" s="22"/>
      <c r="E742" s="22"/>
      <c r="F742" s="22"/>
      <c r="G742" s="22"/>
      <c r="H742" s="22"/>
      <c r="I742" s="22"/>
    </row>
    <row r="743" spans="1:9" x14ac:dyDescent="0.2">
      <c r="A743" s="22"/>
      <c r="B743" s="22"/>
      <c r="C743" s="22"/>
      <c r="D743" s="22"/>
      <c r="E743" s="22"/>
      <c r="F743" s="22"/>
      <c r="G743" s="22"/>
      <c r="H743" s="22"/>
      <c r="I743" s="22"/>
    </row>
    <row r="744" spans="1:9" x14ac:dyDescent="0.2">
      <c r="A744" s="22"/>
      <c r="B744" s="22"/>
      <c r="C744" s="22"/>
      <c r="D744" s="22"/>
      <c r="E744" s="22"/>
      <c r="F744" s="22"/>
      <c r="G744" s="22"/>
      <c r="H744" s="22"/>
      <c r="I744" s="22"/>
    </row>
    <row r="745" spans="1:9" x14ac:dyDescent="0.2">
      <c r="A745" s="22"/>
      <c r="B745" s="22"/>
      <c r="C745" s="22"/>
      <c r="D745" s="22"/>
      <c r="E745" s="22"/>
      <c r="F745" s="22"/>
      <c r="G745" s="22"/>
      <c r="H745" s="22"/>
      <c r="I745" s="22"/>
    </row>
    <row r="746" spans="1:9" x14ac:dyDescent="0.2">
      <c r="A746" s="22"/>
      <c r="B746" s="22"/>
      <c r="C746" s="22"/>
      <c r="D746" s="22"/>
      <c r="E746" s="22"/>
      <c r="F746" s="22"/>
      <c r="G746" s="22"/>
      <c r="H746" s="22"/>
      <c r="I746" s="22"/>
    </row>
    <row r="747" spans="1:9" x14ac:dyDescent="0.2">
      <c r="A747" s="22"/>
      <c r="B747" s="22"/>
      <c r="C747" s="22"/>
      <c r="D747" s="22"/>
      <c r="E747" s="22"/>
      <c r="F747" s="22"/>
      <c r="G747" s="22"/>
      <c r="H747" s="22"/>
      <c r="I747" s="22"/>
    </row>
    <row r="748" spans="1:9" x14ac:dyDescent="0.2">
      <c r="A748" s="22"/>
      <c r="B748" s="22"/>
      <c r="C748" s="22"/>
      <c r="D748" s="22"/>
      <c r="E748" s="22"/>
      <c r="F748" s="22"/>
      <c r="G748" s="22"/>
      <c r="H748" s="22"/>
      <c r="I748" s="22"/>
    </row>
    <row r="749" spans="1:9" x14ac:dyDescent="0.2">
      <c r="A749" s="22"/>
      <c r="B749" s="22"/>
      <c r="C749" s="22"/>
      <c r="D749" s="22"/>
      <c r="E749" s="22"/>
      <c r="F749" s="22"/>
      <c r="G749" s="22"/>
      <c r="H749" s="22"/>
      <c r="I749" s="22"/>
    </row>
    <row r="750" spans="1:9" x14ac:dyDescent="0.2">
      <c r="A750" s="22"/>
      <c r="B750" s="22"/>
      <c r="C750" s="22"/>
      <c r="D750" s="22"/>
      <c r="E750" s="22"/>
      <c r="F750" s="22"/>
      <c r="G750" s="22"/>
      <c r="H750" s="22"/>
      <c r="I750" s="22"/>
    </row>
    <row r="751" spans="1:9" x14ac:dyDescent="0.2">
      <c r="A751" s="22"/>
      <c r="B751" s="22"/>
      <c r="C751" s="22"/>
      <c r="D751" s="22"/>
      <c r="E751" s="22"/>
      <c r="F751" s="22"/>
      <c r="G751" s="22"/>
      <c r="H751" s="22"/>
      <c r="I751" s="22"/>
    </row>
    <row r="752" spans="1:9" x14ac:dyDescent="0.2">
      <c r="A752" s="22"/>
      <c r="B752" s="22"/>
      <c r="C752" s="22"/>
      <c r="D752" s="22"/>
      <c r="E752" s="22"/>
      <c r="F752" s="22"/>
      <c r="G752" s="22"/>
      <c r="H752" s="22"/>
      <c r="I752" s="22"/>
    </row>
    <row r="753" spans="1:9" x14ac:dyDescent="0.2">
      <c r="A753" s="22"/>
      <c r="B753" s="22"/>
      <c r="C753" s="22"/>
      <c r="D753" s="22"/>
      <c r="E753" s="22"/>
      <c r="F753" s="22"/>
      <c r="G753" s="22"/>
      <c r="H753" s="22"/>
      <c r="I753" s="22"/>
    </row>
    <row r="754" spans="1:9" x14ac:dyDescent="0.2">
      <c r="A754" s="22"/>
      <c r="B754" s="22"/>
      <c r="C754" s="22"/>
      <c r="D754" s="22"/>
      <c r="E754" s="22"/>
      <c r="F754" s="22"/>
      <c r="G754" s="22"/>
      <c r="H754" s="22"/>
      <c r="I754" s="22"/>
    </row>
    <row r="755" spans="1:9" x14ac:dyDescent="0.2">
      <c r="A755" s="22"/>
      <c r="B755" s="22"/>
      <c r="C755" s="22"/>
      <c r="D755" s="22"/>
      <c r="E755" s="22"/>
      <c r="F755" s="22"/>
      <c r="G755" s="22"/>
      <c r="H755" s="22"/>
      <c r="I755" s="22"/>
    </row>
    <row r="756" spans="1:9" x14ac:dyDescent="0.2">
      <c r="A756" s="22"/>
      <c r="B756" s="22"/>
      <c r="C756" s="22"/>
      <c r="D756" s="22"/>
      <c r="E756" s="22"/>
      <c r="F756" s="22"/>
      <c r="G756" s="22"/>
      <c r="H756" s="22"/>
      <c r="I756" s="22"/>
    </row>
    <row r="757" spans="1:9" x14ac:dyDescent="0.2">
      <c r="A757" s="22"/>
      <c r="B757" s="22"/>
      <c r="C757" s="22"/>
      <c r="D757" s="22"/>
      <c r="E757" s="22"/>
      <c r="F757" s="22"/>
      <c r="G757" s="22"/>
      <c r="H757" s="22"/>
      <c r="I757" s="22"/>
    </row>
    <row r="758" spans="1:9" x14ac:dyDescent="0.2">
      <c r="A758" s="22"/>
      <c r="B758" s="22"/>
      <c r="C758" s="22"/>
      <c r="D758" s="22"/>
      <c r="E758" s="22"/>
      <c r="F758" s="22"/>
      <c r="G758" s="22"/>
      <c r="H758" s="22"/>
      <c r="I758" s="22"/>
    </row>
    <row r="759" spans="1:9" x14ac:dyDescent="0.2">
      <c r="A759" s="22"/>
      <c r="B759" s="22"/>
      <c r="C759" s="22"/>
      <c r="D759" s="22"/>
      <c r="E759" s="22"/>
      <c r="F759" s="22"/>
      <c r="G759" s="22"/>
      <c r="H759" s="22"/>
      <c r="I759" s="22"/>
    </row>
    <row r="760" spans="1:9" x14ac:dyDescent="0.2">
      <c r="A760" s="22"/>
      <c r="B760" s="22"/>
      <c r="C760" s="22"/>
      <c r="D760" s="22"/>
      <c r="E760" s="22"/>
      <c r="F760" s="22"/>
      <c r="G760" s="22"/>
      <c r="H760" s="22"/>
      <c r="I760" s="22"/>
    </row>
    <row r="761" spans="1:9" x14ac:dyDescent="0.2">
      <c r="A761" s="22"/>
      <c r="B761" s="22"/>
      <c r="C761" s="22"/>
      <c r="D761" s="22"/>
      <c r="E761" s="22"/>
      <c r="F761" s="22"/>
      <c r="G761" s="22"/>
      <c r="H761" s="22"/>
      <c r="I761" s="22"/>
    </row>
    <row r="762" spans="1:9" x14ac:dyDescent="0.2">
      <c r="A762" s="22"/>
      <c r="B762" s="22"/>
      <c r="C762" s="22"/>
      <c r="D762" s="22"/>
      <c r="E762" s="22"/>
      <c r="F762" s="22"/>
      <c r="G762" s="22"/>
      <c r="H762" s="22"/>
      <c r="I762" s="22"/>
    </row>
    <row r="763" spans="1:9" x14ac:dyDescent="0.2">
      <c r="A763" s="22"/>
      <c r="B763" s="22"/>
      <c r="C763" s="22"/>
      <c r="D763" s="22"/>
      <c r="E763" s="22"/>
      <c r="F763" s="22"/>
      <c r="G763" s="22"/>
      <c r="H763" s="22"/>
      <c r="I763" s="22"/>
    </row>
    <row r="764" spans="1:9" x14ac:dyDescent="0.2">
      <c r="A764" s="22"/>
      <c r="B764" s="22"/>
      <c r="C764" s="22"/>
      <c r="D764" s="22"/>
      <c r="E764" s="22"/>
      <c r="F764" s="22"/>
      <c r="G764" s="22"/>
      <c r="H764" s="22"/>
      <c r="I764" s="22"/>
    </row>
    <row r="765" spans="1:9" x14ac:dyDescent="0.2">
      <c r="A765" s="22"/>
      <c r="B765" s="22"/>
      <c r="C765" s="22"/>
      <c r="D765" s="22"/>
      <c r="E765" s="22"/>
      <c r="F765" s="22"/>
      <c r="G765" s="22"/>
      <c r="H765" s="22"/>
      <c r="I765" s="22"/>
    </row>
    <row r="766" spans="1:9" x14ac:dyDescent="0.2">
      <c r="A766" s="22"/>
      <c r="B766" s="22"/>
      <c r="C766" s="22"/>
      <c r="D766" s="22"/>
      <c r="E766" s="22"/>
      <c r="F766" s="22"/>
      <c r="G766" s="22"/>
      <c r="H766" s="22"/>
      <c r="I766" s="22"/>
    </row>
    <row r="767" spans="1:9" x14ac:dyDescent="0.2">
      <c r="A767" s="22"/>
      <c r="B767" s="22"/>
      <c r="C767" s="22"/>
      <c r="D767" s="22"/>
      <c r="E767" s="22"/>
      <c r="F767" s="22"/>
      <c r="G767" s="22"/>
      <c r="H767" s="22"/>
      <c r="I767" s="22"/>
    </row>
    <row r="768" spans="1:9" x14ac:dyDescent="0.2">
      <c r="A768" s="22"/>
      <c r="B768" s="22"/>
      <c r="C768" s="22"/>
      <c r="D768" s="22"/>
      <c r="E768" s="22"/>
      <c r="F768" s="22"/>
      <c r="G768" s="22"/>
      <c r="H768" s="22"/>
      <c r="I768" s="22"/>
    </row>
    <row r="769" spans="1:9" x14ac:dyDescent="0.2">
      <c r="A769" s="22"/>
      <c r="B769" s="22"/>
      <c r="C769" s="22"/>
      <c r="D769" s="22"/>
      <c r="E769" s="22"/>
      <c r="F769" s="22"/>
      <c r="G769" s="22"/>
      <c r="H769" s="22"/>
      <c r="I769" s="22"/>
    </row>
    <row r="770" spans="1:9" x14ac:dyDescent="0.2">
      <c r="A770" s="22"/>
      <c r="B770" s="22"/>
      <c r="C770" s="22"/>
      <c r="D770" s="22"/>
      <c r="E770" s="22"/>
      <c r="F770" s="22"/>
      <c r="G770" s="22"/>
      <c r="H770" s="22"/>
      <c r="I770" s="22"/>
    </row>
    <row r="771" spans="1:9" x14ac:dyDescent="0.2">
      <c r="A771" s="22"/>
      <c r="B771" s="22"/>
      <c r="C771" s="22"/>
      <c r="D771" s="22"/>
      <c r="E771" s="22"/>
      <c r="F771" s="22"/>
      <c r="G771" s="22"/>
      <c r="H771" s="22"/>
      <c r="I771" s="22"/>
    </row>
    <row r="772" spans="1:9" x14ac:dyDescent="0.2">
      <c r="A772" s="22"/>
      <c r="B772" s="22"/>
      <c r="C772" s="22"/>
      <c r="D772" s="22"/>
      <c r="E772" s="22"/>
      <c r="F772" s="22"/>
      <c r="G772" s="22"/>
      <c r="H772" s="22"/>
      <c r="I772" s="22"/>
    </row>
    <row r="773" spans="1:9" x14ac:dyDescent="0.2">
      <c r="A773" s="22"/>
      <c r="B773" s="22"/>
      <c r="C773" s="22"/>
      <c r="D773" s="22"/>
      <c r="E773" s="22"/>
      <c r="F773" s="22"/>
      <c r="G773" s="22"/>
      <c r="H773" s="22"/>
      <c r="I773" s="22"/>
    </row>
    <row r="774" spans="1:9" x14ac:dyDescent="0.2">
      <c r="A774" s="22"/>
      <c r="B774" s="22"/>
      <c r="C774" s="22"/>
      <c r="D774" s="22"/>
      <c r="E774" s="22"/>
      <c r="F774" s="22"/>
      <c r="G774" s="22"/>
      <c r="H774" s="22"/>
      <c r="I774" s="22"/>
    </row>
    <row r="775" spans="1:9" x14ac:dyDescent="0.2">
      <c r="A775" s="22"/>
      <c r="B775" s="22"/>
      <c r="C775" s="22"/>
      <c r="D775" s="22"/>
      <c r="E775" s="22"/>
      <c r="F775" s="22"/>
      <c r="G775" s="22"/>
      <c r="H775" s="22"/>
      <c r="I775" s="22"/>
    </row>
    <row r="776" spans="1:9" x14ac:dyDescent="0.2">
      <c r="A776" s="22"/>
      <c r="B776" s="22"/>
      <c r="C776" s="22"/>
      <c r="D776" s="22"/>
      <c r="E776" s="22"/>
      <c r="F776" s="22"/>
      <c r="G776" s="22"/>
      <c r="H776" s="22"/>
      <c r="I776" s="22"/>
    </row>
    <row r="777" spans="1:9" x14ac:dyDescent="0.2">
      <c r="A777" s="22"/>
      <c r="B777" s="22"/>
      <c r="C777" s="22"/>
      <c r="D777" s="22"/>
      <c r="E777" s="22"/>
      <c r="F777" s="22"/>
      <c r="G777" s="22"/>
      <c r="H777" s="22"/>
      <c r="I777" s="22"/>
    </row>
    <row r="778" spans="1:9" x14ac:dyDescent="0.2">
      <c r="A778" s="22"/>
      <c r="B778" s="22"/>
      <c r="C778" s="22"/>
      <c r="D778" s="22"/>
      <c r="E778" s="22"/>
      <c r="F778" s="22"/>
      <c r="G778" s="22"/>
      <c r="H778" s="22"/>
      <c r="I778" s="22"/>
    </row>
    <row r="779" spans="1:9" x14ac:dyDescent="0.2">
      <c r="A779" s="22"/>
      <c r="B779" s="22"/>
      <c r="C779" s="22"/>
      <c r="D779" s="22"/>
      <c r="E779" s="22"/>
      <c r="F779" s="22"/>
      <c r="G779" s="22"/>
      <c r="H779" s="22"/>
      <c r="I779" s="22"/>
    </row>
    <row r="780" spans="1:9" x14ac:dyDescent="0.2">
      <c r="A780" s="22"/>
      <c r="B780" s="22"/>
      <c r="C780" s="22"/>
      <c r="D780" s="22"/>
      <c r="E780" s="22"/>
      <c r="F780" s="22"/>
      <c r="G780" s="22"/>
      <c r="H780" s="22"/>
      <c r="I780" s="22"/>
    </row>
    <row r="781" spans="1:9" x14ac:dyDescent="0.2">
      <c r="A781" s="22"/>
      <c r="B781" s="22"/>
      <c r="C781" s="22"/>
      <c r="D781" s="22"/>
      <c r="E781" s="22"/>
      <c r="F781" s="22"/>
      <c r="G781" s="22"/>
      <c r="H781" s="22"/>
      <c r="I781" s="22"/>
    </row>
    <row r="782" spans="1:9" x14ac:dyDescent="0.2">
      <c r="A782" s="22"/>
      <c r="B782" s="22"/>
      <c r="C782" s="22"/>
      <c r="D782" s="22"/>
      <c r="E782" s="22"/>
      <c r="F782" s="22"/>
      <c r="G782" s="22"/>
      <c r="H782" s="22"/>
      <c r="I782" s="22"/>
    </row>
    <row r="783" spans="1:9" x14ac:dyDescent="0.2">
      <c r="A783" s="22"/>
      <c r="B783" s="22"/>
      <c r="C783" s="22"/>
      <c r="D783" s="22"/>
      <c r="E783" s="22"/>
      <c r="F783" s="22"/>
      <c r="G783" s="22"/>
      <c r="H783" s="22"/>
      <c r="I783" s="22"/>
    </row>
    <row r="784" spans="1:9" x14ac:dyDescent="0.2">
      <c r="A784" s="22"/>
      <c r="B784" s="22"/>
      <c r="C784" s="22"/>
      <c r="D784" s="22"/>
      <c r="E784" s="22"/>
      <c r="F784" s="22"/>
      <c r="G784" s="22"/>
      <c r="H784" s="22"/>
      <c r="I784" s="22"/>
    </row>
    <row r="785" spans="1:9" x14ac:dyDescent="0.2">
      <c r="A785" s="22"/>
      <c r="B785" s="22"/>
      <c r="C785" s="22"/>
      <c r="D785" s="22"/>
      <c r="E785" s="22"/>
      <c r="F785" s="22"/>
      <c r="G785" s="22"/>
      <c r="H785" s="22"/>
      <c r="I785" s="22"/>
    </row>
    <row r="786" spans="1:9" x14ac:dyDescent="0.2">
      <c r="A786" s="22"/>
      <c r="B786" s="22"/>
      <c r="C786" s="22"/>
      <c r="D786" s="22"/>
      <c r="E786" s="22"/>
      <c r="F786" s="22"/>
      <c r="G786" s="22"/>
      <c r="H786" s="22"/>
      <c r="I786" s="22"/>
    </row>
    <row r="787" spans="1:9" x14ac:dyDescent="0.2">
      <c r="A787" s="22"/>
      <c r="B787" s="22"/>
      <c r="C787" s="22"/>
      <c r="D787" s="22"/>
      <c r="E787" s="22"/>
      <c r="F787" s="22"/>
      <c r="G787" s="22"/>
      <c r="H787" s="22"/>
      <c r="I787" s="22"/>
    </row>
    <row r="788" spans="1:9" x14ac:dyDescent="0.2">
      <c r="A788" s="22"/>
      <c r="B788" s="22"/>
      <c r="C788" s="22"/>
      <c r="D788" s="22"/>
      <c r="E788" s="22"/>
      <c r="F788" s="22"/>
      <c r="G788" s="22"/>
      <c r="H788" s="22"/>
      <c r="I788" s="22"/>
    </row>
    <row r="789" spans="1:9" x14ac:dyDescent="0.2">
      <c r="A789" s="22"/>
      <c r="B789" s="22"/>
      <c r="C789" s="22"/>
      <c r="D789" s="22"/>
      <c r="E789" s="22"/>
      <c r="F789" s="22"/>
      <c r="G789" s="22"/>
      <c r="H789" s="22"/>
      <c r="I789" s="22"/>
    </row>
    <row r="790" spans="1:9" x14ac:dyDescent="0.2">
      <c r="A790" s="22"/>
      <c r="B790" s="22"/>
      <c r="C790" s="22"/>
      <c r="D790" s="22"/>
      <c r="E790" s="22"/>
      <c r="F790" s="22"/>
      <c r="G790" s="22"/>
      <c r="H790" s="22"/>
      <c r="I790" s="22"/>
    </row>
    <row r="791" spans="1:9" x14ac:dyDescent="0.2">
      <c r="A791" s="22"/>
      <c r="B791" s="22"/>
      <c r="C791" s="22"/>
      <c r="D791" s="22"/>
      <c r="E791" s="22"/>
      <c r="F791" s="22"/>
      <c r="G791" s="22"/>
      <c r="H791" s="22"/>
      <c r="I791" s="22"/>
    </row>
    <row r="792" spans="1:9" x14ac:dyDescent="0.2">
      <c r="A792" s="22"/>
      <c r="B792" s="22"/>
      <c r="C792" s="22"/>
      <c r="D792" s="22"/>
      <c r="E792" s="22"/>
      <c r="F792" s="22"/>
      <c r="G792" s="22"/>
      <c r="H792" s="22"/>
      <c r="I792" s="22"/>
    </row>
    <row r="793" spans="1:9" x14ac:dyDescent="0.2">
      <c r="A793" s="22"/>
      <c r="B793" s="22"/>
      <c r="C793" s="22"/>
      <c r="D793" s="22"/>
      <c r="E793" s="22"/>
      <c r="F793" s="22"/>
      <c r="G793" s="22"/>
      <c r="H793" s="22"/>
      <c r="I793" s="22"/>
    </row>
    <row r="794" spans="1:9" x14ac:dyDescent="0.2">
      <c r="A794" s="22"/>
      <c r="B794" s="22"/>
      <c r="C794" s="22"/>
      <c r="D794" s="22"/>
      <c r="E794" s="22"/>
      <c r="F794" s="22"/>
      <c r="G794" s="22"/>
      <c r="H794" s="22"/>
      <c r="I794" s="22"/>
    </row>
    <row r="795" spans="1:9" x14ac:dyDescent="0.2">
      <c r="A795" s="22"/>
      <c r="B795" s="22"/>
      <c r="C795" s="22"/>
      <c r="D795" s="22"/>
      <c r="E795" s="22"/>
      <c r="F795" s="22"/>
      <c r="G795" s="22"/>
      <c r="H795" s="22"/>
      <c r="I795" s="22"/>
    </row>
    <row r="796" spans="1:9" x14ac:dyDescent="0.2">
      <c r="A796" s="22"/>
      <c r="B796" s="22"/>
      <c r="C796" s="22"/>
      <c r="D796" s="22"/>
      <c r="E796" s="22"/>
      <c r="F796" s="22"/>
      <c r="G796" s="22"/>
      <c r="H796" s="22"/>
      <c r="I796" s="22"/>
    </row>
    <row r="797" spans="1:9" x14ac:dyDescent="0.2">
      <c r="A797" s="22"/>
      <c r="B797" s="22"/>
      <c r="C797" s="22"/>
      <c r="D797" s="22"/>
      <c r="E797" s="22"/>
      <c r="F797" s="22"/>
      <c r="G797" s="22"/>
      <c r="H797" s="22"/>
      <c r="I797" s="22"/>
    </row>
    <row r="798" spans="1:9" x14ac:dyDescent="0.2">
      <c r="A798" s="22"/>
      <c r="B798" s="22"/>
      <c r="C798" s="22"/>
      <c r="D798" s="22"/>
      <c r="E798" s="22"/>
      <c r="F798" s="22"/>
      <c r="G798" s="22"/>
      <c r="H798" s="22"/>
      <c r="I798" s="22"/>
    </row>
    <row r="799" spans="1:9" x14ac:dyDescent="0.2">
      <c r="A799" s="22"/>
      <c r="B799" s="22"/>
      <c r="C799" s="22"/>
      <c r="D799" s="22"/>
      <c r="E799" s="22"/>
      <c r="F799" s="22"/>
      <c r="G799" s="22"/>
      <c r="H799" s="22"/>
      <c r="I799" s="22"/>
    </row>
    <row r="800" spans="1:9" x14ac:dyDescent="0.2">
      <c r="A800" s="22"/>
      <c r="B800" s="22"/>
      <c r="C800" s="22"/>
      <c r="D800" s="22"/>
      <c r="E800" s="22"/>
      <c r="F800" s="22"/>
      <c r="G800" s="22"/>
      <c r="H800" s="22"/>
      <c r="I800" s="22"/>
    </row>
    <row r="801" spans="1:9" x14ac:dyDescent="0.2">
      <c r="A801" s="22"/>
      <c r="B801" s="22"/>
      <c r="C801" s="22"/>
      <c r="D801" s="22"/>
      <c r="E801" s="22"/>
      <c r="F801" s="22"/>
      <c r="G801" s="22"/>
      <c r="H801" s="22"/>
      <c r="I801" s="22"/>
    </row>
    <row r="802" spans="1:9" x14ac:dyDescent="0.2">
      <c r="A802" s="22"/>
      <c r="B802" s="22"/>
      <c r="C802" s="22"/>
      <c r="D802" s="22"/>
      <c r="E802" s="22"/>
      <c r="F802" s="22"/>
      <c r="G802" s="22"/>
      <c r="H802" s="22"/>
      <c r="I802" s="22"/>
    </row>
    <row r="803" spans="1:9" x14ac:dyDescent="0.2">
      <c r="A803" s="22"/>
      <c r="B803" s="22"/>
      <c r="C803" s="22"/>
      <c r="D803" s="22"/>
      <c r="E803" s="22"/>
      <c r="F803" s="22"/>
      <c r="G803" s="22"/>
      <c r="H803" s="22"/>
      <c r="I803" s="22"/>
    </row>
    <row r="804" spans="1:9" x14ac:dyDescent="0.2">
      <c r="A804" s="22"/>
      <c r="B804" s="22"/>
      <c r="C804" s="22"/>
      <c r="D804" s="22"/>
      <c r="E804" s="22"/>
      <c r="F804" s="22"/>
      <c r="G804" s="22"/>
      <c r="H804" s="22"/>
      <c r="I804" s="22"/>
    </row>
    <row r="805" spans="1:9" x14ac:dyDescent="0.2">
      <c r="A805" s="22"/>
      <c r="B805" s="22"/>
      <c r="C805" s="22"/>
      <c r="D805" s="22"/>
      <c r="E805" s="22"/>
      <c r="F805" s="22"/>
      <c r="G805" s="22"/>
      <c r="H805" s="22"/>
      <c r="I805" s="22"/>
    </row>
    <row r="806" spans="1:9" x14ac:dyDescent="0.2">
      <c r="A806" s="22"/>
      <c r="B806" s="22"/>
      <c r="C806" s="22"/>
      <c r="D806" s="22"/>
      <c r="E806" s="22"/>
      <c r="F806" s="22"/>
      <c r="G806" s="22"/>
      <c r="H806" s="22"/>
      <c r="I806" s="22"/>
    </row>
    <row r="807" spans="1:9" x14ac:dyDescent="0.2">
      <c r="A807" s="22"/>
      <c r="B807" s="22"/>
      <c r="C807" s="22"/>
      <c r="D807" s="22"/>
      <c r="E807" s="22"/>
      <c r="F807" s="22"/>
      <c r="G807" s="22"/>
      <c r="H807" s="22"/>
      <c r="I807" s="22"/>
    </row>
    <row r="808" spans="1:9" x14ac:dyDescent="0.2">
      <c r="A808" s="22"/>
      <c r="B808" s="22"/>
      <c r="C808" s="22"/>
      <c r="D808" s="22"/>
      <c r="E808" s="22"/>
      <c r="F808" s="22"/>
      <c r="G808" s="22"/>
      <c r="H808" s="22"/>
      <c r="I808" s="22"/>
    </row>
    <row r="809" spans="1:9" x14ac:dyDescent="0.2">
      <c r="A809" s="22"/>
      <c r="B809" s="22"/>
      <c r="C809" s="22"/>
      <c r="D809" s="22"/>
      <c r="E809" s="22"/>
      <c r="F809" s="22"/>
      <c r="G809" s="22"/>
      <c r="H809" s="22"/>
      <c r="I809" s="22"/>
    </row>
    <row r="810" spans="1:9" x14ac:dyDescent="0.2">
      <c r="A810" s="22"/>
      <c r="B810" s="22"/>
      <c r="C810" s="22"/>
      <c r="D810" s="22"/>
      <c r="E810" s="22"/>
      <c r="F810" s="22"/>
      <c r="G810" s="22"/>
      <c r="H810" s="22"/>
      <c r="I810" s="22"/>
    </row>
    <row r="811" spans="1:9" x14ac:dyDescent="0.2">
      <c r="A811" s="22"/>
      <c r="B811" s="22"/>
      <c r="C811" s="22"/>
      <c r="D811" s="22"/>
      <c r="E811" s="22"/>
      <c r="F811" s="22"/>
      <c r="G811" s="22"/>
      <c r="H811" s="22"/>
      <c r="I811" s="22"/>
    </row>
    <row r="812" spans="1:9" x14ac:dyDescent="0.2">
      <c r="A812" s="22"/>
      <c r="B812" s="22"/>
      <c r="C812" s="22"/>
      <c r="D812" s="22"/>
      <c r="E812" s="22"/>
      <c r="F812" s="22"/>
      <c r="G812" s="22"/>
      <c r="H812" s="22"/>
      <c r="I812" s="22"/>
    </row>
    <row r="813" spans="1:9" x14ac:dyDescent="0.2">
      <c r="A813" s="22"/>
      <c r="B813" s="22"/>
      <c r="C813" s="22"/>
      <c r="D813" s="22"/>
      <c r="E813" s="22"/>
      <c r="F813" s="22"/>
      <c r="G813" s="22"/>
      <c r="H813" s="22"/>
      <c r="I813" s="22"/>
    </row>
    <row r="814" spans="1:9" x14ac:dyDescent="0.2">
      <c r="A814" s="22"/>
      <c r="B814" s="22"/>
      <c r="C814" s="22"/>
      <c r="D814" s="22"/>
      <c r="E814" s="22"/>
      <c r="F814" s="22"/>
      <c r="G814" s="22"/>
      <c r="H814" s="22"/>
      <c r="I814" s="22"/>
    </row>
    <row r="815" spans="1:9" x14ac:dyDescent="0.2">
      <c r="A815" s="22"/>
      <c r="B815" s="22"/>
      <c r="C815" s="22"/>
      <c r="D815" s="22"/>
      <c r="E815" s="22"/>
      <c r="F815" s="22"/>
      <c r="G815" s="22"/>
      <c r="H815" s="22"/>
      <c r="I815" s="22"/>
    </row>
    <row r="816" spans="1:9" x14ac:dyDescent="0.2">
      <c r="A816" s="22"/>
      <c r="B816" s="22"/>
      <c r="C816" s="22"/>
      <c r="D816" s="22"/>
      <c r="E816" s="22"/>
      <c r="F816" s="22"/>
      <c r="G816" s="22"/>
      <c r="H816" s="22"/>
      <c r="I816" s="22"/>
    </row>
    <row r="817" spans="1:9" x14ac:dyDescent="0.2">
      <c r="A817" s="22"/>
      <c r="B817" s="22"/>
      <c r="C817" s="22"/>
      <c r="D817" s="22"/>
      <c r="E817" s="22"/>
      <c r="F817" s="22"/>
      <c r="G817" s="22"/>
      <c r="H817" s="22"/>
      <c r="I817" s="22"/>
    </row>
    <row r="818" spans="1:9" x14ac:dyDescent="0.2">
      <c r="A818" s="22"/>
      <c r="B818" s="22"/>
      <c r="C818" s="22"/>
      <c r="D818" s="22"/>
      <c r="E818" s="22"/>
      <c r="F818" s="22"/>
      <c r="G818" s="22"/>
      <c r="H818" s="22"/>
      <c r="I818" s="22"/>
    </row>
    <row r="819" spans="1:9" x14ac:dyDescent="0.2">
      <c r="A819" s="22"/>
      <c r="B819" s="22"/>
      <c r="C819" s="22"/>
      <c r="D819" s="22"/>
      <c r="E819" s="22"/>
      <c r="F819" s="22"/>
      <c r="G819" s="22"/>
      <c r="H819" s="22"/>
      <c r="I819" s="22"/>
    </row>
    <row r="820" spans="1:9" x14ac:dyDescent="0.2">
      <c r="A820" s="22"/>
      <c r="B820" s="22"/>
      <c r="C820" s="22"/>
      <c r="D820" s="22"/>
      <c r="E820" s="22"/>
      <c r="F820" s="22"/>
      <c r="G820" s="22"/>
      <c r="H820" s="22"/>
      <c r="I820" s="22"/>
    </row>
    <row r="821" spans="1:9" x14ac:dyDescent="0.2">
      <c r="A821" s="22"/>
      <c r="B821" s="22"/>
      <c r="C821" s="22"/>
      <c r="D821" s="22"/>
      <c r="E821" s="22"/>
      <c r="F821" s="22"/>
      <c r="G821" s="22"/>
      <c r="H821" s="22"/>
      <c r="I821" s="22"/>
    </row>
    <row r="822" spans="1:9" x14ac:dyDescent="0.2">
      <c r="A822" s="22"/>
      <c r="B822" s="22"/>
      <c r="C822" s="22"/>
      <c r="D822" s="22"/>
      <c r="E822" s="22"/>
      <c r="F822" s="22"/>
      <c r="G822" s="22"/>
      <c r="H822" s="22"/>
      <c r="I822" s="22"/>
    </row>
    <row r="823" spans="1:9" x14ac:dyDescent="0.2">
      <c r="A823" s="22"/>
      <c r="B823" s="22"/>
      <c r="C823" s="22"/>
      <c r="D823" s="22"/>
      <c r="E823" s="22"/>
      <c r="F823" s="22"/>
      <c r="G823" s="22"/>
      <c r="H823" s="22"/>
      <c r="I823" s="22"/>
    </row>
    <row r="824" spans="1:9" x14ac:dyDescent="0.2">
      <c r="A824" s="22"/>
      <c r="B824" s="22"/>
      <c r="C824" s="22"/>
      <c r="D824" s="22"/>
      <c r="E824" s="22"/>
      <c r="F824" s="22"/>
      <c r="G824" s="22"/>
      <c r="H824" s="22"/>
      <c r="I824" s="22"/>
    </row>
    <row r="825" spans="1:9" x14ac:dyDescent="0.2">
      <c r="A825" s="22"/>
      <c r="B825" s="22"/>
      <c r="C825" s="22"/>
      <c r="D825" s="22"/>
      <c r="E825" s="22"/>
      <c r="F825" s="22"/>
      <c r="G825" s="22"/>
      <c r="H825" s="22"/>
      <c r="I825" s="22"/>
    </row>
    <row r="826" spans="1:9" x14ac:dyDescent="0.2">
      <c r="A826" s="22"/>
      <c r="B826" s="22"/>
      <c r="C826" s="22"/>
      <c r="D826" s="22"/>
      <c r="E826" s="22"/>
      <c r="F826" s="22"/>
      <c r="G826" s="22"/>
      <c r="H826" s="22"/>
      <c r="I826" s="22"/>
    </row>
    <row r="827" spans="1:9" x14ac:dyDescent="0.2">
      <c r="A827" s="22"/>
      <c r="B827" s="22"/>
      <c r="C827" s="22"/>
      <c r="D827" s="22"/>
      <c r="E827" s="22"/>
      <c r="F827" s="22"/>
      <c r="G827" s="22"/>
      <c r="H827" s="22"/>
      <c r="I827" s="22"/>
    </row>
    <row r="828" spans="1:9" x14ac:dyDescent="0.2">
      <c r="A828" s="22"/>
      <c r="B828" s="22"/>
      <c r="C828" s="22"/>
      <c r="D828" s="22"/>
      <c r="E828" s="22"/>
      <c r="F828" s="22"/>
      <c r="G828" s="22"/>
      <c r="H828" s="22"/>
      <c r="I828" s="22"/>
    </row>
    <row r="829" spans="1:9" x14ac:dyDescent="0.2">
      <c r="A829" s="22"/>
      <c r="B829" s="22"/>
      <c r="C829" s="22"/>
      <c r="D829" s="22"/>
      <c r="E829" s="22"/>
      <c r="F829" s="22"/>
      <c r="G829" s="22"/>
      <c r="H829" s="22"/>
      <c r="I829" s="22"/>
    </row>
    <row r="830" spans="1:9" x14ac:dyDescent="0.2">
      <c r="A830" s="22"/>
      <c r="B830" s="22"/>
      <c r="C830" s="22"/>
      <c r="D830" s="22"/>
      <c r="E830" s="22"/>
      <c r="F830" s="22"/>
      <c r="G830" s="22"/>
      <c r="H830" s="22"/>
      <c r="I830" s="22"/>
    </row>
    <row r="831" spans="1:9" x14ac:dyDescent="0.2">
      <c r="A831" s="22"/>
      <c r="B831" s="22"/>
      <c r="C831" s="22"/>
      <c r="D831" s="22"/>
      <c r="E831" s="22"/>
      <c r="F831" s="22"/>
      <c r="G831" s="22"/>
      <c r="H831" s="22"/>
      <c r="I831" s="22"/>
    </row>
    <row r="832" spans="1:9" x14ac:dyDescent="0.2">
      <c r="A832" s="22"/>
      <c r="B832" s="22"/>
      <c r="C832" s="22"/>
      <c r="D832" s="22"/>
      <c r="E832" s="22"/>
      <c r="F832" s="22"/>
      <c r="G832" s="22"/>
      <c r="H832" s="22"/>
      <c r="I832" s="22"/>
    </row>
    <row r="833" spans="1:9" x14ac:dyDescent="0.2">
      <c r="A833" s="22"/>
      <c r="B833" s="22"/>
      <c r="C833" s="22"/>
      <c r="D833" s="22"/>
      <c r="E833" s="22"/>
      <c r="F833" s="22"/>
      <c r="G833" s="22"/>
      <c r="H833" s="22"/>
      <c r="I833" s="22"/>
    </row>
    <row r="834" spans="1:9" x14ac:dyDescent="0.2">
      <c r="A834" s="22"/>
      <c r="B834" s="22"/>
      <c r="C834" s="22"/>
      <c r="D834" s="22"/>
      <c r="E834" s="22"/>
      <c r="F834" s="22"/>
      <c r="G834" s="22"/>
      <c r="H834" s="22"/>
      <c r="I834" s="22"/>
    </row>
    <row r="835" spans="1:9" x14ac:dyDescent="0.2">
      <c r="A835" s="22"/>
      <c r="B835" s="22"/>
      <c r="C835" s="22"/>
      <c r="D835" s="22"/>
      <c r="E835" s="22"/>
      <c r="F835" s="22"/>
      <c r="G835" s="22"/>
      <c r="H835" s="22"/>
      <c r="I835" s="22"/>
    </row>
    <row r="836" spans="1:9" x14ac:dyDescent="0.2">
      <c r="A836" s="22"/>
      <c r="B836" s="22"/>
      <c r="C836" s="22"/>
      <c r="D836" s="22"/>
      <c r="E836" s="22"/>
      <c r="F836" s="22"/>
      <c r="G836" s="22"/>
      <c r="H836" s="22"/>
      <c r="I836" s="22"/>
    </row>
    <row r="837" spans="1:9" x14ac:dyDescent="0.2">
      <c r="A837" s="22"/>
      <c r="B837" s="22"/>
      <c r="C837" s="22"/>
      <c r="D837" s="22"/>
      <c r="E837" s="22"/>
      <c r="F837" s="22"/>
      <c r="G837" s="22"/>
      <c r="H837" s="22"/>
      <c r="I837" s="22"/>
    </row>
    <row r="838" spans="1:9" x14ac:dyDescent="0.2">
      <c r="A838" s="22"/>
      <c r="B838" s="22"/>
      <c r="C838" s="22"/>
      <c r="D838" s="22"/>
      <c r="E838" s="22"/>
      <c r="F838" s="22"/>
      <c r="G838" s="22"/>
      <c r="H838" s="22"/>
      <c r="I838" s="22"/>
    </row>
    <row r="839" spans="1:9" x14ac:dyDescent="0.2">
      <c r="A839" s="22"/>
      <c r="B839" s="22"/>
      <c r="C839" s="22"/>
      <c r="D839" s="22"/>
      <c r="E839" s="22"/>
      <c r="F839" s="22"/>
      <c r="G839" s="22"/>
      <c r="H839" s="22"/>
      <c r="I839" s="22"/>
    </row>
    <row r="840" spans="1:9" x14ac:dyDescent="0.2">
      <c r="A840" s="22"/>
      <c r="B840" s="22"/>
      <c r="C840" s="22"/>
      <c r="D840" s="22"/>
      <c r="E840" s="22"/>
      <c r="F840" s="22"/>
      <c r="G840" s="22"/>
      <c r="H840" s="22"/>
      <c r="I840" s="22"/>
    </row>
    <row r="841" spans="1:9" x14ac:dyDescent="0.2">
      <c r="A841" s="22"/>
      <c r="B841" s="22"/>
      <c r="C841" s="22"/>
      <c r="D841" s="22"/>
      <c r="E841" s="22"/>
      <c r="F841" s="22"/>
      <c r="G841" s="22"/>
      <c r="H841" s="22"/>
      <c r="I841" s="22"/>
    </row>
    <row r="842" spans="1:9" x14ac:dyDescent="0.2">
      <c r="A842" s="22"/>
      <c r="B842" s="22"/>
      <c r="C842" s="22"/>
      <c r="D842" s="22"/>
      <c r="E842" s="22"/>
      <c r="F842" s="22"/>
      <c r="G842" s="22"/>
      <c r="H842" s="22"/>
      <c r="I842" s="22"/>
    </row>
    <row r="843" spans="1:9" x14ac:dyDescent="0.2">
      <c r="A843" s="22"/>
      <c r="B843" s="22"/>
      <c r="C843" s="22"/>
      <c r="D843" s="22"/>
      <c r="E843" s="22"/>
      <c r="F843" s="22"/>
      <c r="G843" s="22"/>
      <c r="H843" s="22"/>
      <c r="I843" s="22"/>
    </row>
    <row r="844" spans="1:9" x14ac:dyDescent="0.2">
      <c r="A844" s="22"/>
      <c r="B844" s="22"/>
      <c r="C844" s="22"/>
      <c r="D844" s="22"/>
      <c r="E844" s="22"/>
      <c r="F844" s="22"/>
      <c r="G844" s="22"/>
      <c r="H844" s="22"/>
      <c r="I844" s="22"/>
    </row>
    <row r="845" spans="1:9" x14ac:dyDescent="0.2">
      <c r="A845" s="22"/>
      <c r="B845" s="22"/>
      <c r="C845" s="22"/>
      <c r="D845" s="22"/>
      <c r="E845" s="22"/>
      <c r="F845" s="22"/>
      <c r="G845" s="22"/>
      <c r="H845" s="22"/>
      <c r="I845" s="22"/>
    </row>
    <row r="846" spans="1:9" x14ac:dyDescent="0.2">
      <c r="A846" s="22"/>
      <c r="B846" s="22"/>
      <c r="C846" s="22"/>
      <c r="D846" s="22"/>
      <c r="E846" s="22"/>
      <c r="F846" s="22"/>
      <c r="G846" s="22"/>
      <c r="H846" s="22"/>
      <c r="I846" s="22"/>
    </row>
    <row r="847" spans="1:9" x14ac:dyDescent="0.2">
      <c r="A847" s="22"/>
      <c r="B847" s="22"/>
      <c r="C847" s="22"/>
      <c r="D847" s="22"/>
      <c r="E847" s="22"/>
      <c r="F847" s="22"/>
      <c r="G847" s="22"/>
      <c r="H847" s="22"/>
      <c r="I847" s="22"/>
    </row>
    <row r="848" spans="1:9" x14ac:dyDescent="0.2">
      <c r="A848" s="22"/>
      <c r="B848" s="22"/>
      <c r="C848" s="22"/>
      <c r="D848" s="22"/>
      <c r="E848" s="22"/>
      <c r="F848" s="22"/>
      <c r="G848" s="22"/>
      <c r="H848" s="22"/>
      <c r="I848" s="22"/>
    </row>
    <row r="849" spans="1:9" x14ac:dyDescent="0.2">
      <c r="A849" s="22"/>
      <c r="B849" s="22"/>
      <c r="C849" s="22"/>
      <c r="D849" s="22"/>
      <c r="E849" s="22"/>
      <c r="F849" s="22"/>
      <c r="G849" s="22"/>
      <c r="H849" s="22"/>
      <c r="I849" s="22"/>
    </row>
    <row r="850" spans="1:9" x14ac:dyDescent="0.2">
      <c r="A850" s="22"/>
      <c r="B850" s="22"/>
      <c r="C850" s="22"/>
      <c r="D850" s="22"/>
      <c r="E850" s="22"/>
      <c r="F850" s="22"/>
      <c r="G850" s="22"/>
      <c r="H850" s="22"/>
      <c r="I850" s="22"/>
    </row>
    <row r="851" spans="1:9" x14ac:dyDescent="0.2">
      <c r="A851" s="22"/>
      <c r="B851" s="22"/>
      <c r="C851" s="22"/>
      <c r="D851" s="22"/>
      <c r="E851" s="22"/>
      <c r="F851" s="22"/>
      <c r="G851" s="22"/>
      <c r="H851" s="22"/>
      <c r="I851" s="22"/>
    </row>
    <row r="852" spans="1:9" x14ac:dyDescent="0.2">
      <c r="A852" s="22"/>
      <c r="B852" s="22"/>
      <c r="C852" s="22"/>
      <c r="D852" s="22"/>
      <c r="E852" s="22"/>
      <c r="F852" s="22"/>
      <c r="G852" s="22"/>
      <c r="H852" s="22"/>
      <c r="I852" s="22"/>
    </row>
    <row r="853" spans="1:9" x14ac:dyDescent="0.2">
      <c r="A853" s="22"/>
      <c r="B853" s="22"/>
      <c r="C853" s="22"/>
      <c r="D853" s="22"/>
      <c r="E853" s="22"/>
      <c r="F853" s="22"/>
      <c r="G853" s="22"/>
      <c r="H853" s="22"/>
      <c r="I853" s="22"/>
    </row>
    <row r="854" spans="1:9" x14ac:dyDescent="0.2">
      <c r="A854" s="22"/>
      <c r="B854" s="22"/>
      <c r="C854" s="22"/>
      <c r="D854" s="22"/>
      <c r="E854" s="22"/>
      <c r="F854" s="22"/>
      <c r="G854" s="22"/>
      <c r="H854" s="22"/>
      <c r="I854" s="22"/>
    </row>
    <row r="855" spans="1:9" x14ac:dyDescent="0.2">
      <c r="A855" s="22"/>
      <c r="B855" s="22"/>
      <c r="C855" s="22"/>
      <c r="D855" s="22"/>
      <c r="E855" s="22"/>
      <c r="F855" s="22"/>
      <c r="G855" s="22"/>
      <c r="H855" s="22"/>
      <c r="I855" s="22"/>
    </row>
    <row r="856" spans="1:9" x14ac:dyDescent="0.2">
      <c r="A856" s="22"/>
      <c r="B856" s="22"/>
      <c r="C856" s="22"/>
      <c r="D856" s="22"/>
      <c r="E856" s="22"/>
      <c r="F856" s="22"/>
      <c r="G856" s="22"/>
      <c r="H856" s="22"/>
      <c r="I856" s="22"/>
    </row>
    <row r="857" spans="1:9" x14ac:dyDescent="0.2">
      <c r="A857" s="22"/>
      <c r="B857" s="22"/>
      <c r="C857" s="22"/>
      <c r="D857" s="22"/>
      <c r="E857" s="22"/>
      <c r="F857" s="22"/>
      <c r="G857" s="22"/>
      <c r="H857" s="22"/>
      <c r="I857" s="22"/>
    </row>
    <row r="858" spans="1:9" x14ac:dyDescent="0.2">
      <c r="A858" s="22"/>
      <c r="B858" s="22"/>
      <c r="C858" s="22"/>
      <c r="D858" s="22"/>
      <c r="E858" s="22"/>
      <c r="F858" s="22"/>
      <c r="G858" s="22"/>
      <c r="H858" s="22"/>
      <c r="I858" s="22"/>
    </row>
    <row r="859" spans="1:9" x14ac:dyDescent="0.2">
      <c r="A859" s="22"/>
      <c r="B859" s="22"/>
      <c r="C859" s="22"/>
      <c r="D859" s="22"/>
      <c r="E859" s="22"/>
      <c r="F859" s="22"/>
      <c r="G859" s="22"/>
      <c r="H859" s="22"/>
      <c r="I859" s="22"/>
    </row>
    <row r="860" spans="1:9" x14ac:dyDescent="0.2">
      <c r="A860" s="22"/>
      <c r="B860" s="22"/>
      <c r="C860" s="22"/>
      <c r="D860" s="22"/>
      <c r="E860" s="22"/>
      <c r="F860" s="22"/>
      <c r="G860" s="22"/>
      <c r="H860" s="22"/>
      <c r="I860" s="22"/>
    </row>
    <row r="861" spans="1:9" x14ac:dyDescent="0.2">
      <c r="A861" s="22"/>
      <c r="B861" s="22"/>
      <c r="C861" s="22"/>
      <c r="D861" s="22"/>
      <c r="E861" s="22"/>
      <c r="F861" s="22"/>
      <c r="G861" s="22"/>
      <c r="H861" s="22"/>
      <c r="I861" s="22"/>
    </row>
    <row r="862" spans="1:9" x14ac:dyDescent="0.2">
      <c r="A862" s="22"/>
      <c r="B862" s="22"/>
      <c r="C862" s="22"/>
      <c r="D862" s="22"/>
      <c r="E862" s="22"/>
      <c r="F862" s="22"/>
      <c r="G862" s="22"/>
      <c r="H862" s="22"/>
      <c r="I862" s="22"/>
    </row>
    <row r="863" spans="1:9" x14ac:dyDescent="0.2">
      <c r="A863" s="22"/>
      <c r="B863" s="22"/>
      <c r="C863" s="22"/>
      <c r="D863" s="22"/>
      <c r="E863" s="22"/>
      <c r="F863" s="22"/>
      <c r="G863" s="22"/>
      <c r="H863" s="22"/>
      <c r="I863" s="22"/>
    </row>
    <row r="864" spans="1:9" x14ac:dyDescent="0.2">
      <c r="A864" s="22"/>
      <c r="B864" s="22"/>
      <c r="C864" s="22"/>
      <c r="D864" s="22"/>
      <c r="E864" s="22"/>
      <c r="F864" s="22"/>
      <c r="G864" s="22"/>
      <c r="H864" s="22"/>
      <c r="I864" s="22"/>
    </row>
    <row r="865" spans="1:9" x14ac:dyDescent="0.2">
      <c r="A865" s="22"/>
      <c r="B865" s="22"/>
      <c r="C865" s="22"/>
      <c r="D865" s="22"/>
      <c r="E865" s="22"/>
      <c r="F865" s="22"/>
      <c r="G865" s="22"/>
      <c r="H865" s="22"/>
      <c r="I865" s="22"/>
    </row>
    <row r="866" spans="1:9" x14ac:dyDescent="0.2">
      <c r="A866" s="22"/>
      <c r="B866" s="22"/>
      <c r="C866" s="22"/>
      <c r="D866" s="22"/>
      <c r="E866" s="22"/>
      <c r="F866" s="22"/>
      <c r="G866" s="22"/>
      <c r="H866" s="22"/>
      <c r="I866" s="22"/>
    </row>
    <row r="867" spans="1:9" x14ac:dyDescent="0.2">
      <c r="A867" s="22"/>
      <c r="B867" s="22"/>
      <c r="C867" s="22"/>
      <c r="D867" s="22"/>
      <c r="E867" s="22"/>
      <c r="F867" s="22"/>
      <c r="G867" s="22"/>
      <c r="H867" s="22"/>
      <c r="I867" s="22"/>
    </row>
    <row r="868" spans="1:9" x14ac:dyDescent="0.2">
      <c r="A868" s="22"/>
      <c r="B868" s="22"/>
      <c r="C868" s="22"/>
      <c r="D868" s="22"/>
      <c r="E868" s="22"/>
      <c r="F868" s="22"/>
      <c r="G868" s="22"/>
      <c r="H868" s="22"/>
      <c r="I868" s="22"/>
    </row>
    <row r="869" spans="1:9" x14ac:dyDescent="0.2">
      <c r="A869" s="22"/>
      <c r="B869" s="22"/>
      <c r="C869" s="22"/>
      <c r="D869" s="22"/>
      <c r="E869" s="22"/>
      <c r="F869" s="22"/>
      <c r="G869" s="22"/>
      <c r="H869" s="22"/>
      <c r="I869" s="22"/>
    </row>
    <row r="870" spans="1:9" x14ac:dyDescent="0.2">
      <c r="A870" s="22"/>
      <c r="B870" s="22"/>
      <c r="C870" s="22"/>
      <c r="D870" s="22"/>
      <c r="E870" s="22"/>
      <c r="F870" s="22"/>
      <c r="G870" s="22"/>
      <c r="H870" s="22"/>
      <c r="I870" s="22"/>
    </row>
    <row r="871" spans="1:9" x14ac:dyDescent="0.2">
      <c r="A871" s="22"/>
      <c r="B871" s="22"/>
      <c r="C871" s="22"/>
      <c r="D871" s="22"/>
      <c r="E871" s="22"/>
      <c r="F871" s="22"/>
      <c r="G871" s="22"/>
      <c r="H871" s="22"/>
      <c r="I871" s="22"/>
    </row>
    <row r="872" spans="1:9" x14ac:dyDescent="0.2">
      <c r="A872" s="22"/>
      <c r="B872" s="22"/>
      <c r="C872" s="22"/>
      <c r="D872" s="22"/>
      <c r="E872" s="22"/>
      <c r="F872" s="22"/>
      <c r="G872" s="22"/>
      <c r="H872" s="22"/>
      <c r="I872" s="22"/>
    </row>
    <row r="873" spans="1:9" x14ac:dyDescent="0.2">
      <c r="A873" s="22"/>
      <c r="B873" s="22"/>
      <c r="C873" s="22"/>
      <c r="D873" s="22"/>
      <c r="E873" s="22"/>
      <c r="F873" s="22"/>
      <c r="G873" s="22"/>
      <c r="H873" s="22"/>
      <c r="I873" s="22"/>
    </row>
    <row r="874" spans="1:9" x14ac:dyDescent="0.2">
      <c r="A874" s="22"/>
      <c r="B874" s="22"/>
      <c r="C874" s="22"/>
      <c r="D874" s="22"/>
      <c r="E874" s="22"/>
      <c r="F874" s="22"/>
      <c r="G874" s="22"/>
      <c r="H874" s="22"/>
      <c r="I874" s="22"/>
    </row>
    <row r="875" spans="1:9" x14ac:dyDescent="0.2">
      <c r="A875" s="22"/>
      <c r="B875" s="22"/>
      <c r="C875" s="22"/>
      <c r="D875" s="22"/>
      <c r="E875" s="22"/>
      <c r="F875" s="22"/>
      <c r="G875" s="22"/>
      <c r="H875" s="22"/>
      <c r="I875" s="22"/>
    </row>
    <row r="876" spans="1:9" x14ac:dyDescent="0.2">
      <c r="A876" s="22"/>
      <c r="B876" s="22"/>
      <c r="C876" s="22"/>
      <c r="D876" s="22"/>
      <c r="E876" s="22"/>
      <c r="F876" s="22"/>
      <c r="G876" s="22"/>
      <c r="H876" s="22"/>
      <c r="I876" s="22"/>
    </row>
    <row r="877" spans="1:9" x14ac:dyDescent="0.2">
      <c r="A877" s="22"/>
      <c r="B877" s="22"/>
      <c r="C877" s="22"/>
      <c r="D877" s="22"/>
      <c r="E877" s="22"/>
      <c r="F877" s="22"/>
      <c r="G877" s="22"/>
      <c r="H877" s="22"/>
      <c r="I877" s="22"/>
    </row>
    <row r="878" spans="1:9" x14ac:dyDescent="0.2">
      <c r="A878" s="22"/>
      <c r="B878" s="22"/>
      <c r="C878" s="22"/>
      <c r="D878" s="22"/>
      <c r="E878" s="22"/>
      <c r="F878" s="22"/>
      <c r="G878" s="22"/>
      <c r="H878" s="22"/>
      <c r="I878" s="22"/>
    </row>
    <row r="879" spans="1:9" x14ac:dyDescent="0.2">
      <c r="A879" s="22"/>
      <c r="B879" s="22"/>
      <c r="C879" s="22"/>
      <c r="D879" s="22"/>
      <c r="E879" s="22"/>
      <c r="F879" s="22"/>
      <c r="G879" s="22"/>
      <c r="H879" s="22"/>
      <c r="I879" s="22"/>
    </row>
    <row r="880" spans="1:9" x14ac:dyDescent="0.2">
      <c r="A880" s="22"/>
      <c r="B880" s="22"/>
      <c r="C880" s="22"/>
      <c r="D880" s="22"/>
      <c r="E880" s="22"/>
      <c r="F880" s="22"/>
      <c r="G880" s="22"/>
      <c r="H880" s="22"/>
      <c r="I880" s="22"/>
    </row>
    <row r="881" spans="1:9" x14ac:dyDescent="0.2">
      <c r="A881" s="22"/>
      <c r="B881" s="22"/>
      <c r="C881" s="22"/>
      <c r="D881" s="22"/>
      <c r="E881" s="22"/>
      <c r="F881" s="22"/>
      <c r="G881" s="22"/>
      <c r="H881" s="22"/>
      <c r="I881" s="22"/>
    </row>
    <row r="882" spans="1:9" x14ac:dyDescent="0.2">
      <c r="A882" s="22"/>
      <c r="B882" s="22"/>
      <c r="C882" s="22"/>
      <c r="D882" s="22"/>
      <c r="E882" s="22"/>
      <c r="F882" s="22"/>
      <c r="G882" s="22"/>
      <c r="H882" s="22"/>
      <c r="I882" s="22"/>
    </row>
    <row r="883" spans="1:9" x14ac:dyDescent="0.2">
      <c r="A883" s="22"/>
      <c r="B883" s="22"/>
      <c r="C883" s="22"/>
      <c r="D883" s="22"/>
      <c r="E883" s="22"/>
      <c r="F883" s="22"/>
      <c r="G883" s="22"/>
      <c r="H883" s="22"/>
      <c r="I883" s="22"/>
    </row>
    <row r="884" spans="1:9" x14ac:dyDescent="0.2">
      <c r="A884" s="22"/>
      <c r="B884" s="22"/>
      <c r="C884" s="22"/>
      <c r="D884" s="22"/>
      <c r="E884" s="22"/>
      <c r="F884" s="22"/>
      <c r="G884" s="22"/>
      <c r="H884" s="22"/>
      <c r="I884" s="22"/>
    </row>
    <row r="885" spans="1:9" x14ac:dyDescent="0.2">
      <c r="A885" s="22"/>
      <c r="B885" s="22"/>
      <c r="C885" s="22"/>
      <c r="D885" s="22"/>
      <c r="E885" s="22"/>
      <c r="F885" s="22"/>
      <c r="G885" s="22"/>
      <c r="H885" s="22"/>
      <c r="I885" s="22"/>
    </row>
    <row r="886" spans="1:9" x14ac:dyDescent="0.2">
      <c r="A886" s="22"/>
      <c r="B886" s="22"/>
      <c r="C886" s="22"/>
      <c r="D886" s="22"/>
      <c r="E886" s="22"/>
      <c r="F886" s="22"/>
      <c r="G886" s="22"/>
      <c r="H886" s="22"/>
      <c r="I886" s="22"/>
    </row>
    <row r="887" spans="1:9" x14ac:dyDescent="0.2">
      <c r="A887" s="22"/>
      <c r="B887" s="22"/>
      <c r="C887" s="22"/>
      <c r="D887" s="22"/>
      <c r="E887" s="22"/>
      <c r="F887" s="22"/>
      <c r="G887" s="22"/>
      <c r="H887" s="22"/>
      <c r="I887" s="22"/>
    </row>
    <row r="888" spans="1:9" x14ac:dyDescent="0.2">
      <c r="A888" s="22"/>
      <c r="B888" s="22"/>
      <c r="C888" s="22"/>
      <c r="D888" s="22"/>
      <c r="E888" s="22"/>
      <c r="F888" s="22"/>
      <c r="G888" s="22"/>
      <c r="H888" s="22"/>
      <c r="I888" s="22"/>
    </row>
    <row r="889" spans="1:9" x14ac:dyDescent="0.2">
      <c r="A889" s="22"/>
      <c r="B889" s="22"/>
      <c r="C889" s="22"/>
      <c r="D889" s="22"/>
      <c r="E889" s="22"/>
      <c r="F889" s="22"/>
      <c r="G889" s="22"/>
      <c r="H889" s="22"/>
      <c r="I889" s="22"/>
    </row>
    <row r="890" spans="1:9" x14ac:dyDescent="0.2">
      <c r="A890" s="22"/>
      <c r="B890" s="22"/>
      <c r="C890" s="22"/>
      <c r="D890" s="22"/>
      <c r="E890" s="22"/>
      <c r="F890" s="22"/>
      <c r="G890" s="22"/>
      <c r="H890" s="22"/>
      <c r="I890" s="22"/>
    </row>
    <row r="891" spans="1:9" x14ac:dyDescent="0.2">
      <c r="A891" s="22"/>
      <c r="B891" s="22"/>
      <c r="C891" s="22"/>
      <c r="D891" s="22"/>
      <c r="E891" s="22"/>
      <c r="F891" s="22"/>
      <c r="G891" s="22"/>
      <c r="H891" s="22"/>
      <c r="I891" s="22"/>
    </row>
    <row r="892" spans="1:9" x14ac:dyDescent="0.2">
      <c r="A892" s="22"/>
      <c r="B892" s="22"/>
      <c r="C892" s="22"/>
      <c r="D892" s="22"/>
      <c r="E892" s="22"/>
      <c r="F892" s="22"/>
      <c r="G892" s="22"/>
      <c r="H892" s="22"/>
      <c r="I892" s="22"/>
    </row>
    <row r="893" spans="1:9" x14ac:dyDescent="0.2">
      <c r="A893" s="22"/>
      <c r="B893" s="22"/>
      <c r="C893" s="22"/>
      <c r="D893" s="22"/>
      <c r="E893" s="22"/>
      <c r="F893" s="22"/>
      <c r="G893" s="22"/>
      <c r="H893" s="22"/>
      <c r="I893" s="22"/>
    </row>
    <row r="894" spans="1:9" x14ac:dyDescent="0.2">
      <c r="A894" s="22"/>
      <c r="B894" s="22"/>
      <c r="C894" s="22"/>
      <c r="D894" s="22"/>
      <c r="E894" s="22"/>
      <c r="F894" s="22"/>
      <c r="G894" s="22"/>
      <c r="H894" s="22"/>
      <c r="I894" s="22"/>
    </row>
    <row r="895" spans="1:9" x14ac:dyDescent="0.2">
      <c r="A895" s="22"/>
      <c r="B895" s="22"/>
      <c r="C895" s="22"/>
      <c r="D895" s="22"/>
      <c r="E895" s="22"/>
      <c r="F895" s="22"/>
      <c r="G895" s="22"/>
      <c r="H895" s="22"/>
      <c r="I895" s="22"/>
    </row>
    <row r="896" spans="1:9" x14ac:dyDescent="0.2">
      <c r="A896" s="22"/>
      <c r="B896" s="22"/>
      <c r="C896" s="22"/>
      <c r="D896" s="22"/>
      <c r="E896" s="22"/>
      <c r="F896" s="22"/>
      <c r="G896" s="22"/>
      <c r="H896" s="22"/>
      <c r="I896" s="22"/>
    </row>
    <row r="897" spans="1:9" x14ac:dyDescent="0.2">
      <c r="A897" s="22"/>
      <c r="B897" s="22"/>
      <c r="C897" s="22"/>
      <c r="D897" s="22"/>
      <c r="E897" s="22"/>
      <c r="F897" s="22"/>
      <c r="G897" s="22"/>
      <c r="H897" s="22"/>
      <c r="I897" s="22"/>
    </row>
    <row r="898" spans="1:9" x14ac:dyDescent="0.2">
      <c r="A898" s="22"/>
      <c r="B898" s="22"/>
      <c r="C898" s="22"/>
      <c r="D898" s="22"/>
      <c r="E898" s="22"/>
      <c r="F898" s="22"/>
      <c r="G898" s="22"/>
      <c r="H898" s="22"/>
      <c r="I898" s="22"/>
    </row>
    <row r="899" spans="1:9" x14ac:dyDescent="0.2">
      <c r="A899" s="22"/>
      <c r="B899" s="22"/>
      <c r="C899" s="22"/>
      <c r="D899" s="22"/>
      <c r="E899" s="22"/>
      <c r="F899" s="22"/>
      <c r="G899" s="22"/>
      <c r="H899" s="22"/>
      <c r="I899" s="22"/>
    </row>
    <row r="900" spans="1:9" x14ac:dyDescent="0.2">
      <c r="A900" s="22"/>
      <c r="B900" s="22"/>
      <c r="C900" s="22"/>
      <c r="D900" s="22"/>
      <c r="E900" s="22"/>
      <c r="F900" s="22"/>
      <c r="G900" s="22"/>
      <c r="H900" s="22"/>
      <c r="I900" s="22"/>
    </row>
    <row r="901" spans="1:9" x14ac:dyDescent="0.2">
      <c r="A901" s="22"/>
      <c r="B901" s="22"/>
      <c r="C901" s="22"/>
      <c r="D901" s="22"/>
      <c r="E901" s="22"/>
      <c r="F901" s="22"/>
      <c r="G901" s="22"/>
      <c r="H901" s="22"/>
      <c r="I901" s="22"/>
    </row>
    <row r="902" spans="1:9" x14ac:dyDescent="0.2">
      <c r="A902" s="22"/>
      <c r="B902" s="22"/>
      <c r="C902" s="22"/>
      <c r="D902" s="22"/>
      <c r="E902" s="22"/>
      <c r="F902" s="22"/>
      <c r="G902" s="22"/>
      <c r="H902" s="22"/>
      <c r="I902" s="22"/>
    </row>
    <row r="903" spans="1:9" x14ac:dyDescent="0.2">
      <c r="A903" s="22"/>
      <c r="B903" s="22"/>
      <c r="C903" s="22"/>
      <c r="D903" s="22"/>
      <c r="E903" s="22"/>
      <c r="F903" s="22"/>
      <c r="G903" s="22"/>
      <c r="H903" s="22"/>
      <c r="I903" s="22"/>
    </row>
    <row r="904" spans="1:9" x14ac:dyDescent="0.2">
      <c r="A904" s="22"/>
      <c r="B904" s="22"/>
      <c r="C904" s="22"/>
      <c r="D904" s="22"/>
      <c r="E904" s="22"/>
      <c r="F904" s="22"/>
      <c r="G904" s="22"/>
      <c r="H904" s="22"/>
      <c r="I904" s="22"/>
    </row>
    <row r="905" spans="1:9" x14ac:dyDescent="0.2">
      <c r="A905" s="22"/>
      <c r="B905" s="22"/>
      <c r="C905" s="22"/>
      <c r="D905" s="22"/>
      <c r="E905" s="22"/>
      <c r="F905" s="22"/>
      <c r="G905" s="22"/>
      <c r="H905" s="22"/>
      <c r="I905" s="22"/>
    </row>
    <row r="906" spans="1:9" x14ac:dyDescent="0.2">
      <c r="A906" s="22"/>
      <c r="B906" s="22"/>
      <c r="C906" s="22"/>
      <c r="D906" s="22"/>
      <c r="E906" s="22"/>
      <c r="F906" s="22"/>
      <c r="G906" s="22"/>
      <c r="H906" s="22"/>
      <c r="I906" s="22"/>
    </row>
    <row r="907" spans="1:9" x14ac:dyDescent="0.2">
      <c r="A907" s="22"/>
      <c r="B907" s="22"/>
      <c r="C907" s="22"/>
      <c r="D907" s="22"/>
      <c r="E907" s="22"/>
      <c r="F907" s="22"/>
      <c r="G907" s="22"/>
      <c r="H907" s="22"/>
      <c r="I907" s="22"/>
    </row>
    <row r="908" spans="1:9" x14ac:dyDescent="0.2">
      <c r="A908" s="22"/>
      <c r="B908" s="22"/>
      <c r="C908" s="22"/>
      <c r="D908" s="22"/>
      <c r="E908" s="22"/>
      <c r="F908" s="22"/>
      <c r="G908" s="22"/>
      <c r="H908" s="22"/>
      <c r="I908" s="22"/>
    </row>
    <row r="909" spans="1:9" x14ac:dyDescent="0.2">
      <c r="A909" s="22"/>
      <c r="B909" s="22"/>
      <c r="C909" s="22"/>
      <c r="D909" s="22"/>
      <c r="E909" s="22"/>
      <c r="F909" s="22"/>
      <c r="G909" s="22"/>
      <c r="H909" s="22"/>
      <c r="I909" s="22"/>
    </row>
    <row r="910" spans="1:9" x14ac:dyDescent="0.2">
      <c r="A910" s="22"/>
      <c r="B910" s="22"/>
      <c r="C910" s="22"/>
      <c r="D910" s="22"/>
      <c r="E910" s="22"/>
      <c r="F910" s="22"/>
      <c r="G910" s="22"/>
      <c r="H910" s="22"/>
      <c r="I910" s="22"/>
    </row>
    <row r="911" spans="1:9" x14ac:dyDescent="0.2">
      <c r="A911" s="22"/>
      <c r="B911" s="22"/>
      <c r="C911" s="22"/>
      <c r="D911" s="22"/>
      <c r="E911" s="22"/>
      <c r="F911" s="22"/>
      <c r="G911" s="22"/>
      <c r="H911" s="22"/>
      <c r="I911" s="22"/>
    </row>
    <row r="912" spans="1:9" x14ac:dyDescent="0.2">
      <c r="A912" s="22"/>
      <c r="B912" s="22"/>
      <c r="C912" s="22"/>
      <c r="D912" s="22"/>
      <c r="E912" s="22"/>
      <c r="F912" s="22"/>
      <c r="G912" s="22"/>
      <c r="H912" s="22"/>
      <c r="I912" s="22"/>
    </row>
    <row r="913" spans="1:9" x14ac:dyDescent="0.2">
      <c r="A913" s="22"/>
      <c r="B913" s="22"/>
      <c r="C913" s="22"/>
      <c r="D913" s="22"/>
      <c r="E913" s="22"/>
      <c r="F913" s="22"/>
      <c r="G913" s="22"/>
      <c r="H913" s="22"/>
      <c r="I913" s="22"/>
    </row>
    <row r="914" spans="1:9" x14ac:dyDescent="0.2">
      <c r="A914" s="22"/>
      <c r="B914" s="22"/>
      <c r="C914" s="22"/>
      <c r="D914" s="22"/>
      <c r="E914" s="22"/>
      <c r="F914" s="22"/>
      <c r="G914" s="22"/>
      <c r="H914" s="22"/>
      <c r="I914" s="22"/>
    </row>
    <row r="915" spans="1:9" x14ac:dyDescent="0.2">
      <c r="A915" s="22"/>
      <c r="B915" s="22"/>
      <c r="C915" s="22"/>
      <c r="D915" s="22"/>
      <c r="E915" s="22"/>
      <c r="F915" s="22"/>
      <c r="G915" s="22"/>
      <c r="H915" s="22"/>
      <c r="I915" s="22"/>
    </row>
    <row r="916" spans="1:9" x14ac:dyDescent="0.2">
      <c r="A916" s="22"/>
      <c r="B916" s="22"/>
      <c r="C916" s="22"/>
      <c r="D916" s="22"/>
      <c r="E916" s="22"/>
      <c r="F916" s="22"/>
      <c r="G916" s="22"/>
      <c r="H916" s="22"/>
      <c r="I916" s="22"/>
    </row>
    <row r="917" spans="1:9" x14ac:dyDescent="0.2">
      <c r="A917" s="22"/>
      <c r="B917" s="22"/>
      <c r="C917" s="22"/>
      <c r="D917" s="22"/>
      <c r="E917" s="22"/>
      <c r="F917" s="22"/>
      <c r="G917" s="22"/>
      <c r="H917" s="22"/>
      <c r="I917" s="22"/>
    </row>
    <row r="918" spans="1:9" x14ac:dyDescent="0.2">
      <c r="A918" s="22"/>
      <c r="B918" s="22"/>
      <c r="C918" s="22"/>
      <c r="D918" s="22"/>
      <c r="E918" s="22"/>
      <c r="F918" s="22"/>
      <c r="G918" s="22"/>
      <c r="H918" s="22"/>
      <c r="I918" s="22"/>
    </row>
    <row r="919" spans="1:9" x14ac:dyDescent="0.2">
      <c r="A919" s="22"/>
      <c r="B919" s="22"/>
      <c r="C919" s="22"/>
      <c r="D919" s="22"/>
      <c r="E919" s="22"/>
      <c r="F919" s="22"/>
      <c r="G919" s="22"/>
      <c r="H919" s="22"/>
      <c r="I919" s="22"/>
    </row>
    <row r="920" spans="1:9" x14ac:dyDescent="0.2">
      <c r="A920" s="22"/>
      <c r="B920" s="22"/>
      <c r="C920" s="22"/>
      <c r="D920" s="22"/>
      <c r="E920" s="22"/>
      <c r="F920" s="22"/>
      <c r="G920" s="22"/>
      <c r="H920" s="22"/>
      <c r="I920" s="22"/>
    </row>
    <row r="921" spans="1:9" x14ac:dyDescent="0.2">
      <c r="A921" s="22"/>
      <c r="B921" s="22"/>
      <c r="C921" s="22"/>
      <c r="D921" s="22"/>
      <c r="E921" s="22"/>
      <c r="F921" s="22"/>
      <c r="G921" s="22"/>
      <c r="H921" s="22"/>
      <c r="I921" s="22"/>
    </row>
    <row r="922" spans="1:9" x14ac:dyDescent="0.2">
      <c r="A922" s="22"/>
      <c r="B922" s="22"/>
      <c r="C922" s="22"/>
      <c r="D922" s="22"/>
      <c r="E922" s="22"/>
      <c r="F922" s="22"/>
      <c r="G922" s="22"/>
      <c r="H922" s="22"/>
      <c r="I922" s="22"/>
    </row>
    <row r="923" spans="1:9" x14ac:dyDescent="0.2">
      <c r="A923" s="22"/>
      <c r="B923" s="22"/>
      <c r="C923" s="22"/>
      <c r="D923" s="22"/>
      <c r="E923" s="22"/>
      <c r="F923" s="22"/>
      <c r="G923" s="22"/>
      <c r="H923" s="22"/>
      <c r="I923" s="22"/>
    </row>
    <row r="924" spans="1:9" x14ac:dyDescent="0.2">
      <c r="A924" s="22"/>
      <c r="B924" s="22"/>
      <c r="C924" s="22"/>
      <c r="D924" s="22"/>
      <c r="E924" s="22"/>
      <c r="F924" s="22"/>
      <c r="G924" s="22"/>
      <c r="H924" s="22"/>
      <c r="I924" s="22"/>
    </row>
    <row r="925" spans="1:9" x14ac:dyDescent="0.2">
      <c r="A925" s="22"/>
      <c r="B925" s="22"/>
      <c r="C925" s="22"/>
      <c r="D925" s="22"/>
      <c r="E925" s="22"/>
      <c r="F925" s="22"/>
      <c r="G925" s="22"/>
      <c r="H925" s="22"/>
      <c r="I925" s="22"/>
    </row>
    <row r="926" spans="1:9" x14ac:dyDescent="0.2">
      <c r="A926" s="22"/>
      <c r="B926" s="22"/>
      <c r="C926" s="22"/>
      <c r="D926" s="22"/>
      <c r="E926" s="22"/>
      <c r="F926" s="22"/>
      <c r="G926" s="22"/>
      <c r="H926" s="22"/>
      <c r="I926" s="22"/>
    </row>
    <row r="927" spans="1:9" x14ac:dyDescent="0.2">
      <c r="A927" s="22"/>
      <c r="B927" s="22"/>
      <c r="C927" s="22"/>
      <c r="D927" s="22"/>
      <c r="E927" s="22"/>
      <c r="F927" s="22"/>
      <c r="G927" s="22"/>
      <c r="H927" s="22"/>
      <c r="I927" s="22"/>
    </row>
    <row r="928" spans="1:9" x14ac:dyDescent="0.2">
      <c r="A928" s="22"/>
      <c r="B928" s="22"/>
      <c r="C928" s="22"/>
      <c r="D928" s="22"/>
      <c r="E928" s="22"/>
      <c r="F928" s="22"/>
      <c r="G928" s="22"/>
      <c r="H928" s="22"/>
      <c r="I928" s="22"/>
    </row>
    <row r="929" spans="1:9" x14ac:dyDescent="0.2">
      <c r="A929" s="22"/>
      <c r="B929" s="22"/>
      <c r="C929" s="22"/>
      <c r="D929" s="22"/>
      <c r="E929" s="22"/>
      <c r="F929" s="22"/>
      <c r="G929" s="22"/>
      <c r="H929" s="22"/>
      <c r="I929" s="22"/>
    </row>
    <row r="930" spans="1:9" x14ac:dyDescent="0.2">
      <c r="A930" s="22"/>
      <c r="B930" s="22"/>
      <c r="C930" s="22"/>
      <c r="D930" s="22"/>
      <c r="E930" s="22"/>
      <c r="F930" s="22"/>
      <c r="G930" s="22"/>
      <c r="H930" s="22"/>
      <c r="I930" s="22"/>
    </row>
    <row r="931" spans="1:9" x14ac:dyDescent="0.2">
      <c r="A931" s="22"/>
      <c r="B931" s="22"/>
      <c r="C931" s="22"/>
      <c r="D931" s="22"/>
      <c r="E931" s="22"/>
      <c r="F931" s="22"/>
      <c r="G931" s="22"/>
      <c r="H931" s="22"/>
      <c r="I931" s="22"/>
    </row>
    <row r="932" spans="1:9" x14ac:dyDescent="0.2">
      <c r="A932" s="22"/>
      <c r="B932" s="22"/>
      <c r="C932" s="22"/>
      <c r="D932" s="22"/>
      <c r="E932" s="22"/>
      <c r="F932" s="22"/>
      <c r="G932" s="22"/>
      <c r="H932" s="22"/>
      <c r="I932" s="22"/>
    </row>
    <row r="933" spans="1:9" x14ac:dyDescent="0.2">
      <c r="A933" s="22"/>
      <c r="B933" s="22"/>
      <c r="C933" s="22"/>
      <c r="D933" s="22"/>
      <c r="E933" s="22"/>
      <c r="F933" s="22"/>
      <c r="G933" s="22"/>
      <c r="H933" s="22"/>
      <c r="I933" s="22"/>
    </row>
    <row r="934" spans="1:9" x14ac:dyDescent="0.2">
      <c r="A934" s="22"/>
      <c r="B934" s="22"/>
      <c r="C934" s="22"/>
      <c r="D934" s="22"/>
      <c r="E934" s="22"/>
      <c r="F934" s="22"/>
      <c r="G934" s="22"/>
      <c r="H934" s="22"/>
      <c r="I934" s="22"/>
    </row>
  </sheetData>
  <sheetProtection password="CFB3" sheet="1" objects="1" scenarios="1"/>
  <phoneticPr fontId="0" type="noConversion"/>
  <printOptions horizontalCentered="1" verticalCentered="1"/>
  <pageMargins left="0.5" right="0.5" top="0.5" bottom="0.5" header="0.5" footer="0.5"/>
  <pageSetup scale="75" orientation="landscape" r:id="rId1"/>
  <headerFooter alignWithMargins="0"/>
  <rowBreaks count="1" manualBreakCount="1">
    <brk id="56" max="6553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105"/>
  <sheetViews>
    <sheetView showGridLines="0" zoomScale="75" workbookViewId="0"/>
  </sheetViews>
  <sheetFormatPr defaultRowHeight="12.75" x14ac:dyDescent="0.2"/>
  <cols>
    <col min="1" max="1" width="3.7109375" style="1" customWidth="1"/>
    <col min="2" max="16384" width="9.140625" style="1"/>
  </cols>
  <sheetData>
    <row r="1" spans="2:25" x14ac:dyDescent="0.2">
      <c r="B1" s="3" t="s">
        <v>131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2:25" x14ac:dyDescent="0.2">
      <c r="B2" s="3" t="str">
        <f>+Inputs!E4</f>
        <v>Vons Companies, Inc.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2:25" x14ac:dyDescent="0.2">
      <c r="B3" s="3" t="s">
        <v>132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2:25" x14ac:dyDescent="0.2">
      <c r="B4" s="2" t="s">
        <v>133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6" spans="2:25" x14ac:dyDescent="0.2">
      <c r="G6" s="138">
        <f>+Vons!D5</f>
        <v>35035</v>
      </c>
      <c r="H6" s="138">
        <f>+G6+365</f>
        <v>35400</v>
      </c>
      <c r="I6" s="138">
        <f t="shared" ref="I6:R6" si="0">+H6+365</f>
        <v>35765</v>
      </c>
      <c r="J6" s="138">
        <f t="shared" si="0"/>
        <v>36130</v>
      </c>
      <c r="K6" s="138">
        <f t="shared" si="0"/>
        <v>36495</v>
      </c>
      <c r="L6" s="138">
        <f>+K6+370</f>
        <v>36865</v>
      </c>
      <c r="M6" s="138">
        <f t="shared" si="0"/>
        <v>37230</v>
      </c>
      <c r="N6" s="138">
        <f t="shared" si="0"/>
        <v>37595</v>
      </c>
      <c r="O6" s="138">
        <f t="shared" si="0"/>
        <v>37960</v>
      </c>
      <c r="P6" s="138">
        <f t="shared" si="0"/>
        <v>38325</v>
      </c>
      <c r="Q6" s="138">
        <f t="shared" si="0"/>
        <v>38690</v>
      </c>
      <c r="R6" s="138">
        <f t="shared" si="0"/>
        <v>39055</v>
      </c>
      <c r="S6" s="136"/>
      <c r="T6" s="136"/>
      <c r="U6" s="136"/>
      <c r="V6" s="136"/>
      <c r="W6" s="136"/>
      <c r="X6" s="136"/>
      <c r="Y6" s="136"/>
    </row>
    <row r="7" spans="2:25" x14ac:dyDescent="0.2">
      <c r="B7" s="6" t="s">
        <v>134</v>
      </c>
      <c r="G7" s="139" t="s">
        <v>135</v>
      </c>
      <c r="H7" s="139" t="s">
        <v>135</v>
      </c>
      <c r="I7" s="139" t="s">
        <v>136</v>
      </c>
      <c r="J7" s="139" t="s">
        <v>136</v>
      </c>
      <c r="K7" s="139" t="s">
        <v>136</v>
      </c>
      <c r="L7" s="139" t="s">
        <v>136</v>
      </c>
      <c r="M7" s="139" t="s">
        <v>136</v>
      </c>
      <c r="N7" s="139" t="s">
        <v>136</v>
      </c>
      <c r="O7" s="139" t="s">
        <v>136</v>
      </c>
      <c r="P7" s="139" t="s">
        <v>136</v>
      </c>
      <c r="Q7" s="139" t="s">
        <v>136</v>
      </c>
      <c r="R7" s="139" t="s">
        <v>136</v>
      </c>
    </row>
    <row r="8" spans="2:25" x14ac:dyDescent="0.2">
      <c r="B8" s="18" t="s">
        <v>72</v>
      </c>
    </row>
    <row r="9" spans="2:25" x14ac:dyDescent="0.2">
      <c r="B9" s="16" t="s">
        <v>73</v>
      </c>
    </row>
    <row r="10" spans="2:25" x14ac:dyDescent="0.2">
      <c r="B10" s="116" t="s">
        <v>74</v>
      </c>
      <c r="G10" s="5">
        <f>+Vons!E8</f>
        <v>1.8537874455203426E-3</v>
      </c>
      <c r="H10" s="5">
        <f>+Vons!C8</f>
        <v>1.7198653696785888E-3</v>
      </c>
      <c r="I10" s="147">
        <f>H10</f>
        <v>1.7198653696785888E-3</v>
      </c>
      <c r="J10" s="147">
        <f t="shared" ref="J10:R10" si="1">I10</f>
        <v>1.7198653696785888E-3</v>
      </c>
      <c r="K10" s="147">
        <f t="shared" si="1"/>
        <v>1.7198653696785888E-3</v>
      </c>
      <c r="L10" s="147">
        <f t="shared" si="1"/>
        <v>1.7198653696785888E-3</v>
      </c>
      <c r="M10" s="147">
        <f t="shared" si="1"/>
        <v>1.7198653696785888E-3</v>
      </c>
      <c r="N10" s="147">
        <f t="shared" si="1"/>
        <v>1.7198653696785888E-3</v>
      </c>
      <c r="O10" s="147">
        <f t="shared" si="1"/>
        <v>1.7198653696785888E-3</v>
      </c>
      <c r="P10" s="147">
        <f t="shared" si="1"/>
        <v>1.7198653696785888E-3</v>
      </c>
      <c r="Q10" s="147">
        <f t="shared" si="1"/>
        <v>1.7198653696785888E-3</v>
      </c>
      <c r="R10" s="147">
        <f t="shared" si="1"/>
        <v>1.7198653696785888E-3</v>
      </c>
    </row>
    <row r="11" spans="2:25" x14ac:dyDescent="0.2">
      <c r="B11" s="116" t="s">
        <v>75</v>
      </c>
      <c r="G11" s="5">
        <f>+Vons!E9</f>
        <v>6.2516023428717928E-3</v>
      </c>
      <c r="H11" s="5">
        <f>+Vons!C9</f>
        <v>8.321929208122204E-3</v>
      </c>
      <c r="I11" s="147">
        <f>H11</f>
        <v>8.321929208122204E-3</v>
      </c>
      <c r="J11" s="147">
        <f t="shared" ref="J11:R11" si="2">I11</f>
        <v>8.321929208122204E-3</v>
      </c>
      <c r="K11" s="147">
        <f t="shared" si="2"/>
        <v>8.321929208122204E-3</v>
      </c>
      <c r="L11" s="147">
        <f t="shared" si="2"/>
        <v>8.321929208122204E-3</v>
      </c>
      <c r="M11" s="147">
        <f t="shared" si="2"/>
        <v>8.321929208122204E-3</v>
      </c>
      <c r="N11" s="147">
        <f t="shared" si="2"/>
        <v>8.321929208122204E-3</v>
      </c>
      <c r="O11" s="147">
        <f t="shared" si="2"/>
        <v>8.321929208122204E-3</v>
      </c>
      <c r="P11" s="147">
        <f t="shared" si="2"/>
        <v>8.321929208122204E-3</v>
      </c>
      <c r="Q11" s="147">
        <f t="shared" si="2"/>
        <v>8.321929208122204E-3</v>
      </c>
      <c r="R11" s="147">
        <f t="shared" si="2"/>
        <v>8.321929208122204E-3</v>
      </c>
    </row>
    <row r="12" spans="2:25" x14ac:dyDescent="0.2">
      <c r="B12" s="116" t="s">
        <v>76</v>
      </c>
      <c r="G12" s="5">
        <f>+Vons!E10</f>
        <v>6.9162048632338727E-2</v>
      </c>
      <c r="H12" s="5">
        <f>+Vons!C10</f>
        <v>6.2007619188519443E-2</v>
      </c>
      <c r="I12" s="147">
        <f>H12</f>
        <v>6.2007619188519443E-2</v>
      </c>
      <c r="J12" s="147">
        <f t="shared" ref="J12:R12" si="3">I12</f>
        <v>6.2007619188519443E-2</v>
      </c>
      <c r="K12" s="147">
        <f t="shared" si="3"/>
        <v>6.2007619188519443E-2</v>
      </c>
      <c r="L12" s="147">
        <f t="shared" si="3"/>
        <v>6.2007619188519443E-2</v>
      </c>
      <c r="M12" s="147">
        <f t="shared" si="3"/>
        <v>6.2007619188519443E-2</v>
      </c>
      <c r="N12" s="147">
        <f t="shared" si="3"/>
        <v>6.2007619188519443E-2</v>
      </c>
      <c r="O12" s="147">
        <f t="shared" si="3"/>
        <v>6.2007619188519443E-2</v>
      </c>
      <c r="P12" s="147">
        <f t="shared" si="3"/>
        <v>6.2007619188519443E-2</v>
      </c>
      <c r="Q12" s="147">
        <f t="shared" si="3"/>
        <v>6.2007619188519443E-2</v>
      </c>
      <c r="R12" s="147">
        <f t="shared" si="3"/>
        <v>6.2007619188519443E-2</v>
      </c>
    </row>
    <row r="13" spans="2:25" x14ac:dyDescent="0.2">
      <c r="B13" s="116" t="s">
        <v>77</v>
      </c>
      <c r="G13" s="5">
        <f>+Vons!E11</f>
        <v>6.093833198572189E-3</v>
      </c>
      <c r="H13" s="5">
        <f>+Vons!C11</f>
        <v>6.0102822058660356E-3</v>
      </c>
      <c r="I13" s="147">
        <f>H13</f>
        <v>6.0102822058660356E-3</v>
      </c>
      <c r="J13" s="147">
        <f t="shared" ref="J13:R14" si="4">I13</f>
        <v>6.0102822058660356E-3</v>
      </c>
      <c r="K13" s="147">
        <f t="shared" si="4"/>
        <v>6.0102822058660356E-3</v>
      </c>
      <c r="L13" s="147">
        <f t="shared" si="4"/>
        <v>6.0102822058660356E-3</v>
      </c>
      <c r="M13" s="147">
        <f t="shared" si="4"/>
        <v>6.0102822058660356E-3</v>
      </c>
      <c r="N13" s="147">
        <f t="shared" si="4"/>
        <v>6.0102822058660356E-3</v>
      </c>
      <c r="O13" s="147">
        <f t="shared" si="4"/>
        <v>6.0102822058660356E-3</v>
      </c>
      <c r="P13" s="147">
        <f t="shared" si="4"/>
        <v>6.0102822058660356E-3</v>
      </c>
      <c r="Q13" s="147">
        <f t="shared" si="4"/>
        <v>6.0102822058660356E-3</v>
      </c>
      <c r="R13" s="147">
        <f t="shared" si="4"/>
        <v>6.0102822058660356E-3</v>
      </c>
    </row>
    <row r="14" spans="2:25" x14ac:dyDescent="0.2">
      <c r="B14" s="116" t="s">
        <v>78</v>
      </c>
      <c r="G14" s="137">
        <f>+Vons!E12</f>
        <v>5.8374583390853338E-3</v>
      </c>
      <c r="H14" s="137">
        <f>+Vons!C12</f>
        <v>7.9150793357251181E-3</v>
      </c>
      <c r="I14" s="148">
        <f>G14</f>
        <v>5.8374583390853338E-3</v>
      </c>
      <c r="J14" s="148">
        <f t="shared" si="4"/>
        <v>5.8374583390853338E-3</v>
      </c>
      <c r="K14" s="148">
        <f t="shared" si="4"/>
        <v>5.8374583390853338E-3</v>
      </c>
      <c r="L14" s="148">
        <f t="shared" si="4"/>
        <v>5.8374583390853338E-3</v>
      </c>
      <c r="M14" s="148">
        <f t="shared" si="4"/>
        <v>5.8374583390853338E-3</v>
      </c>
      <c r="N14" s="148">
        <f t="shared" si="4"/>
        <v>5.8374583390853338E-3</v>
      </c>
      <c r="O14" s="148">
        <f t="shared" si="4"/>
        <v>5.8374583390853338E-3</v>
      </c>
      <c r="P14" s="148">
        <f t="shared" si="4"/>
        <v>5.8374583390853338E-3</v>
      </c>
      <c r="Q14" s="148">
        <f t="shared" si="4"/>
        <v>5.8374583390853338E-3</v>
      </c>
      <c r="R14" s="148">
        <f t="shared" si="4"/>
        <v>5.8374583390853338E-3</v>
      </c>
    </row>
    <row r="15" spans="2:25" x14ac:dyDescent="0.2">
      <c r="B15" s="116" t="s">
        <v>79</v>
      </c>
      <c r="G15" s="5">
        <f>+Vons!E13</f>
        <v>8.9198729958388387E-2</v>
      </c>
      <c r="H15" s="5">
        <f>+Vons!C13</f>
        <v>8.5974775307911394E-2</v>
      </c>
      <c r="I15" s="5">
        <f>SUM(I10:I14)</f>
        <v>8.3897154311271607E-2</v>
      </c>
      <c r="J15" s="5">
        <f t="shared" ref="J15:R15" si="5">SUM(J10:J14)</f>
        <v>8.3897154311271607E-2</v>
      </c>
      <c r="K15" s="5">
        <f t="shared" si="5"/>
        <v>8.3897154311271607E-2</v>
      </c>
      <c r="L15" s="5">
        <f t="shared" si="5"/>
        <v>8.3897154311271607E-2</v>
      </c>
      <c r="M15" s="5">
        <f t="shared" si="5"/>
        <v>8.3897154311271607E-2</v>
      </c>
      <c r="N15" s="5">
        <f t="shared" si="5"/>
        <v>8.3897154311271607E-2</v>
      </c>
      <c r="O15" s="5">
        <f t="shared" si="5"/>
        <v>8.3897154311271607E-2</v>
      </c>
      <c r="P15" s="5">
        <f t="shared" si="5"/>
        <v>8.3897154311271607E-2</v>
      </c>
      <c r="Q15" s="5">
        <f t="shared" si="5"/>
        <v>8.3897154311271607E-2</v>
      </c>
      <c r="R15" s="5">
        <f t="shared" si="5"/>
        <v>8.3897154311271607E-2</v>
      </c>
    </row>
    <row r="16" spans="2:25" x14ac:dyDescent="0.2">
      <c r="B16" s="16" t="s">
        <v>80</v>
      </c>
      <c r="G16" s="5">
        <f>+Vons!E14</f>
        <v>0.23517463072159664</v>
      </c>
      <c r="H16" s="5">
        <f>+Vons!C14</f>
        <v>0.22084550800754524</v>
      </c>
      <c r="I16" s="147">
        <f>H16</f>
        <v>0.22084550800754524</v>
      </c>
      <c r="J16" s="147">
        <f t="shared" ref="J16:R16" si="6">I16</f>
        <v>0.22084550800754524</v>
      </c>
      <c r="K16" s="147">
        <f t="shared" si="6"/>
        <v>0.22084550800754524</v>
      </c>
      <c r="L16" s="147">
        <f t="shared" si="6"/>
        <v>0.22084550800754524</v>
      </c>
      <c r="M16" s="147">
        <f t="shared" si="6"/>
        <v>0.22084550800754524</v>
      </c>
      <c r="N16" s="147">
        <f t="shared" si="6"/>
        <v>0.22084550800754524</v>
      </c>
      <c r="O16" s="147">
        <f t="shared" si="6"/>
        <v>0.22084550800754524</v>
      </c>
      <c r="P16" s="147">
        <f t="shared" si="6"/>
        <v>0.22084550800754524</v>
      </c>
      <c r="Q16" s="147">
        <f t="shared" si="6"/>
        <v>0.22084550800754524</v>
      </c>
      <c r="R16" s="147">
        <f t="shared" si="6"/>
        <v>0.22084550800754524</v>
      </c>
    </row>
    <row r="17" spans="2:18" x14ac:dyDescent="0.2">
      <c r="B17" s="16" t="s">
        <v>64</v>
      </c>
      <c r="G17" s="5">
        <f>+Vons!E15</f>
        <v>9.5213678584810779E-2</v>
      </c>
      <c r="H17" s="5">
        <f>+Vons!C15</f>
        <v>8.6511077412434814E-2</v>
      </c>
      <c r="I17" s="147">
        <f>DCF!E55/DCF!E7</f>
        <v>7.9326081490590339E-2</v>
      </c>
      <c r="J17" s="147">
        <f>DCF!F55/DCF!F7</f>
        <v>7.3743453262391095E-2</v>
      </c>
      <c r="K17" s="147">
        <f>DCF!G55/DCF!G7</f>
        <v>6.8805068092797378E-2</v>
      </c>
      <c r="L17" s="147">
        <f>DCF!H55/DCF!H7</f>
        <v>6.411873002683767E-2</v>
      </c>
      <c r="M17" s="147">
        <f>DCF!I55/DCF!I7</f>
        <v>5.9671756199856034E-2</v>
      </c>
      <c r="N17" s="147">
        <f>DCF!J55/DCF!J7</f>
        <v>5.5452220875039628E-2</v>
      </c>
      <c r="O17" s="147">
        <f>DCF!K55/DCF!K7</f>
        <v>5.1449827077855718E-2</v>
      </c>
      <c r="P17" s="147">
        <f>DCF!L55/DCF!L7</f>
        <v>4.7654714160070687E-2</v>
      </c>
      <c r="Q17" s="147">
        <f>DCF!M55/DCF!M7</f>
        <v>4.405744006487021E-2</v>
      </c>
      <c r="R17" s="147">
        <f>DCF!N55/DCF!N7</f>
        <v>4.0648964292478849E-2</v>
      </c>
    </row>
    <row r="18" spans="2:18" x14ac:dyDescent="0.2">
      <c r="B18" s="16" t="s">
        <v>82</v>
      </c>
      <c r="G18" s="137">
        <f>+Vons!E16</f>
        <v>1.1615753249058315E-2</v>
      </c>
      <c r="H18" s="137">
        <f>+Vons!C16</f>
        <v>1.0818507970558864E-2</v>
      </c>
      <c r="I18" s="148">
        <f>H18</f>
        <v>1.0818507970558864E-2</v>
      </c>
      <c r="J18" s="148">
        <f t="shared" ref="J18:R18" si="7">I18</f>
        <v>1.0818507970558864E-2</v>
      </c>
      <c r="K18" s="148">
        <f t="shared" si="7"/>
        <v>1.0818507970558864E-2</v>
      </c>
      <c r="L18" s="148">
        <f t="shared" si="7"/>
        <v>1.0818507970558864E-2</v>
      </c>
      <c r="M18" s="148">
        <f t="shared" si="7"/>
        <v>1.0818507970558864E-2</v>
      </c>
      <c r="N18" s="148">
        <f t="shared" si="7"/>
        <v>1.0818507970558864E-2</v>
      </c>
      <c r="O18" s="148">
        <f t="shared" si="7"/>
        <v>1.0818507970558864E-2</v>
      </c>
      <c r="P18" s="148">
        <f t="shared" si="7"/>
        <v>1.0818507970558864E-2</v>
      </c>
      <c r="Q18" s="148">
        <f t="shared" si="7"/>
        <v>1.0818507970558864E-2</v>
      </c>
      <c r="R18" s="148">
        <f t="shared" si="7"/>
        <v>1.0818507970558864E-2</v>
      </c>
    </row>
    <row r="19" spans="2:18" x14ac:dyDescent="0.2">
      <c r="B19" s="18" t="s">
        <v>83</v>
      </c>
      <c r="G19" s="137">
        <f>+Vons!E17</f>
        <v>0.43120279251385413</v>
      </c>
      <c r="H19" s="137">
        <f>+Vons!C17</f>
        <v>0.40414986869845032</v>
      </c>
      <c r="I19" s="141">
        <f>SUM(I15:I18)</f>
        <v>0.39488725177996609</v>
      </c>
      <c r="J19" s="141">
        <f t="shared" ref="J19:R19" si="8">SUM(J15:J18)</f>
        <v>0.38930462355176682</v>
      </c>
      <c r="K19" s="141">
        <f t="shared" si="8"/>
        <v>0.38436623838217315</v>
      </c>
      <c r="L19" s="141">
        <f t="shared" si="8"/>
        <v>0.3796799003162134</v>
      </c>
      <c r="M19" s="141">
        <f t="shared" si="8"/>
        <v>0.37523292648923179</v>
      </c>
      <c r="N19" s="141">
        <f t="shared" si="8"/>
        <v>0.3710133911644154</v>
      </c>
      <c r="O19" s="141">
        <f t="shared" si="8"/>
        <v>0.36701099736723147</v>
      </c>
      <c r="P19" s="141">
        <f t="shared" si="8"/>
        <v>0.36321588444944641</v>
      </c>
      <c r="Q19" s="141">
        <f t="shared" si="8"/>
        <v>0.35961861035424597</v>
      </c>
      <c r="R19" s="141">
        <f t="shared" si="8"/>
        <v>0.35621013458185458</v>
      </c>
    </row>
    <row r="20" spans="2:18" x14ac:dyDescent="0.2">
      <c r="B20" s="16"/>
      <c r="G20" s="5"/>
    </row>
    <row r="21" spans="2:18" x14ac:dyDescent="0.2">
      <c r="B21" s="18" t="s">
        <v>84</v>
      </c>
    </row>
    <row r="22" spans="2:18" x14ac:dyDescent="0.2">
      <c r="B22" s="16" t="s">
        <v>85</v>
      </c>
    </row>
    <row r="23" spans="2:18" x14ac:dyDescent="0.2">
      <c r="B23" s="116" t="s">
        <v>86</v>
      </c>
      <c r="G23" s="5">
        <f>+Vons!E21</f>
        <v>5.9991717119924272E-2</v>
      </c>
      <c r="H23" s="5">
        <f>+Vons!C21</f>
        <v>6.2728853053223357E-2</v>
      </c>
      <c r="I23" s="147">
        <f>H23</f>
        <v>6.2728853053223357E-2</v>
      </c>
      <c r="J23" s="147">
        <f>I23</f>
        <v>6.2728853053223357E-2</v>
      </c>
      <c r="K23" s="147">
        <f t="shared" ref="K23:R23" si="9">J23</f>
        <v>6.2728853053223357E-2</v>
      </c>
      <c r="L23" s="147">
        <f t="shared" si="9"/>
        <v>6.2728853053223357E-2</v>
      </c>
      <c r="M23" s="147">
        <f t="shared" si="9"/>
        <v>6.2728853053223357E-2</v>
      </c>
      <c r="N23" s="147">
        <f t="shared" si="9"/>
        <v>6.2728853053223357E-2</v>
      </c>
      <c r="O23" s="147">
        <f t="shared" si="9"/>
        <v>6.2728853053223357E-2</v>
      </c>
      <c r="P23" s="147">
        <f t="shared" si="9"/>
        <v>6.2728853053223357E-2</v>
      </c>
      <c r="Q23" s="147">
        <f t="shared" si="9"/>
        <v>6.2728853053223357E-2</v>
      </c>
      <c r="R23" s="147">
        <f t="shared" si="9"/>
        <v>6.2728853053223357E-2</v>
      </c>
    </row>
    <row r="24" spans="2:18" x14ac:dyDescent="0.2">
      <c r="B24" s="116" t="s">
        <v>87</v>
      </c>
      <c r="G24" s="5">
        <f>+Vons!E22</f>
        <v>5.1965211903681939E-2</v>
      </c>
      <c r="H24" s="5">
        <f>+Vons!C22</f>
        <v>4.9136368679957097E-2</v>
      </c>
      <c r="I24" s="147">
        <f>H24</f>
        <v>4.9136368679957097E-2</v>
      </c>
      <c r="J24" s="147">
        <f t="shared" ref="J24:R24" si="10">I24</f>
        <v>4.9136368679957097E-2</v>
      </c>
      <c r="K24" s="147">
        <f t="shared" si="10"/>
        <v>4.9136368679957097E-2</v>
      </c>
      <c r="L24" s="147">
        <f t="shared" si="10"/>
        <v>4.9136368679957097E-2</v>
      </c>
      <c r="M24" s="147">
        <f t="shared" si="10"/>
        <v>4.9136368679957097E-2</v>
      </c>
      <c r="N24" s="147">
        <f t="shared" si="10"/>
        <v>4.9136368679957097E-2</v>
      </c>
      <c r="O24" s="147">
        <f t="shared" si="10"/>
        <v>4.9136368679957097E-2</v>
      </c>
      <c r="P24" s="147">
        <f t="shared" si="10"/>
        <v>4.9136368679957097E-2</v>
      </c>
      <c r="Q24" s="147">
        <f t="shared" si="10"/>
        <v>4.9136368679957097E-2</v>
      </c>
      <c r="R24" s="147">
        <f t="shared" si="10"/>
        <v>4.9136368679957097E-2</v>
      </c>
    </row>
    <row r="25" spans="2:18" x14ac:dyDescent="0.2">
      <c r="B25" s="116" t="s">
        <v>88</v>
      </c>
      <c r="G25" s="137">
        <f>+Vons!E23</f>
        <v>5.0683337606247658E-3</v>
      </c>
      <c r="H25" s="137">
        <f>+Vons!C23</f>
        <v>2.8645929651958429E-2</v>
      </c>
      <c r="I25" s="148"/>
      <c r="J25" s="148"/>
      <c r="K25" s="148"/>
      <c r="L25" s="148"/>
      <c r="M25" s="148"/>
      <c r="N25" s="148"/>
      <c r="O25" s="148"/>
      <c r="P25" s="148"/>
      <c r="Q25" s="148"/>
      <c r="R25" s="148"/>
    </row>
    <row r="26" spans="2:18" x14ac:dyDescent="0.2">
      <c r="B26" s="116" t="s">
        <v>89</v>
      </c>
      <c r="G26" s="5">
        <f>+Vons!E24</f>
        <v>0.11702526278423099</v>
      </c>
      <c r="H26" s="5">
        <f>+Vons!C24</f>
        <v>0.14051115138513889</v>
      </c>
      <c r="I26" s="140">
        <f>SUM(I23:I25)</f>
        <v>0.11186522173318045</v>
      </c>
      <c r="J26" s="140">
        <f t="shared" ref="J26:R26" si="11">SUM(J23:J25)</f>
        <v>0.11186522173318045</v>
      </c>
      <c r="K26" s="140">
        <f t="shared" si="11"/>
        <v>0.11186522173318045</v>
      </c>
      <c r="L26" s="140">
        <f t="shared" si="11"/>
        <v>0.11186522173318045</v>
      </c>
      <c r="M26" s="140">
        <f t="shared" si="11"/>
        <v>0.11186522173318045</v>
      </c>
      <c r="N26" s="140">
        <f t="shared" si="11"/>
        <v>0.11186522173318045</v>
      </c>
      <c r="O26" s="140">
        <f t="shared" si="11"/>
        <v>0.11186522173318045</v>
      </c>
      <c r="P26" s="140">
        <f t="shared" si="11"/>
        <v>0.11186522173318045</v>
      </c>
      <c r="Q26" s="140">
        <f t="shared" si="11"/>
        <v>0.11186522173318045</v>
      </c>
      <c r="R26" s="140">
        <f t="shared" si="11"/>
        <v>0.11186522173318045</v>
      </c>
    </row>
    <row r="27" spans="2:18" x14ac:dyDescent="0.2">
      <c r="B27" s="16" t="s">
        <v>90</v>
      </c>
      <c r="G27" s="5">
        <f>+Vons!E25</f>
        <v>2.5243063087936578E-2</v>
      </c>
      <c r="H27" s="5">
        <f>+Vons!C25</f>
        <v>2.6519214409882755E-2</v>
      </c>
      <c r="I27" s="147">
        <f>H27</f>
        <v>2.6519214409882755E-2</v>
      </c>
      <c r="J27" s="147">
        <f t="shared" ref="J27:R30" si="12">I27</f>
        <v>2.6519214409882755E-2</v>
      </c>
      <c r="K27" s="147">
        <f t="shared" si="12"/>
        <v>2.6519214409882755E-2</v>
      </c>
      <c r="L27" s="147">
        <f t="shared" si="12"/>
        <v>2.6519214409882755E-2</v>
      </c>
      <c r="M27" s="147">
        <f t="shared" si="12"/>
        <v>2.6519214409882755E-2</v>
      </c>
      <c r="N27" s="147">
        <f t="shared" si="12"/>
        <v>2.6519214409882755E-2</v>
      </c>
      <c r="O27" s="147">
        <f t="shared" si="12"/>
        <v>2.6519214409882755E-2</v>
      </c>
      <c r="P27" s="147">
        <f t="shared" si="12"/>
        <v>2.6519214409882755E-2</v>
      </c>
      <c r="Q27" s="147">
        <f t="shared" si="12"/>
        <v>2.6519214409882755E-2</v>
      </c>
      <c r="R27" s="147">
        <f t="shared" si="12"/>
        <v>2.6519214409882755E-2</v>
      </c>
    </row>
    <row r="28" spans="2:18" x14ac:dyDescent="0.2">
      <c r="B28" s="16" t="s">
        <v>91</v>
      </c>
      <c r="G28" s="5">
        <f>+Vons!E26</f>
        <v>2.3448439071528587E-2</v>
      </c>
      <c r="H28" s="5">
        <f>+Vons!C26</f>
        <v>2.4355512815770981E-2</v>
      </c>
      <c r="I28" s="147">
        <f>H28</f>
        <v>2.4355512815770981E-2</v>
      </c>
      <c r="J28" s="147">
        <f t="shared" si="12"/>
        <v>2.4355512815770981E-2</v>
      </c>
      <c r="K28" s="147">
        <f t="shared" si="12"/>
        <v>2.4355512815770981E-2</v>
      </c>
      <c r="L28" s="147">
        <f t="shared" si="12"/>
        <v>2.4355512815770981E-2</v>
      </c>
      <c r="M28" s="147">
        <f t="shared" si="12"/>
        <v>2.4355512815770981E-2</v>
      </c>
      <c r="N28" s="147">
        <f t="shared" si="12"/>
        <v>2.4355512815770981E-2</v>
      </c>
      <c r="O28" s="147">
        <f t="shared" si="12"/>
        <v>2.4355512815770981E-2</v>
      </c>
      <c r="P28" s="147">
        <f t="shared" si="12"/>
        <v>2.4355512815770981E-2</v>
      </c>
      <c r="Q28" s="147">
        <f t="shared" si="12"/>
        <v>2.4355512815770981E-2</v>
      </c>
      <c r="R28" s="147">
        <f t="shared" si="12"/>
        <v>2.4355512815770981E-2</v>
      </c>
    </row>
    <row r="29" spans="2:18" x14ac:dyDescent="0.2">
      <c r="B29" s="16" t="s">
        <v>92</v>
      </c>
      <c r="G29" s="5">
        <f>+Vons!E27</f>
        <v>1.2818742974342793E-2</v>
      </c>
      <c r="H29" s="5">
        <f>+Vons!C27</f>
        <v>1.1521248659244738E-2</v>
      </c>
      <c r="I29" s="147">
        <f>H29</f>
        <v>1.1521248659244738E-2</v>
      </c>
      <c r="J29" s="147">
        <f t="shared" si="12"/>
        <v>1.1521248659244738E-2</v>
      </c>
      <c r="K29" s="147">
        <f t="shared" si="12"/>
        <v>1.1521248659244738E-2</v>
      </c>
      <c r="L29" s="147">
        <f t="shared" si="12"/>
        <v>1.1521248659244738E-2</v>
      </c>
      <c r="M29" s="147">
        <f t="shared" si="12"/>
        <v>1.1521248659244738E-2</v>
      </c>
      <c r="N29" s="147">
        <f t="shared" si="12"/>
        <v>1.1521248659244738E-2</v>
      </c>
      <c r="O29" s="147">
        <f t="shared" si="12"/>
        <v>1.1521248659244738E-2</v>
      </c>
      <c r="P29" s="147">
        <f t="shared" si="12"/>
        <v>1.1521248659244738E-2</v>
      </c>
      <c r="Q29" s="147">
        <f t="shared" si="12"/>
        <v>1.1521248659244738E-2</v>
      </c>
      <c r="R29" s="147">
        <f t="shared" si="12"/>
        <v>1.1521248659244738E-2</v>
      </c>
    </row>
    <row r="30" spans="2:18" x14ac:dyDescent="0.2">
      <c r="B30" s="16" t="s">
        <v>93</v>
      </c>
      <c r="G30" s="5">
        <f>+Vons!E28</f>
        <v>1.053109038199854E-2</v>
      </c>
      <c r="H30" s="5">
        <f>+Vons!C28</f>
        <v>9.3020675370788179E-3</v>
      </c>
      <c r="I30" s="147">
        <f>H30</f>
        <v>9.3020675370788179E-3</v>
      </c>
      <c r="J30" s="147">
        <f t="shared" si="12"/>
        <v>9.3020675370788179E-3</v>
      </c>
      <c r="K30" s="147">
        <f t="shared" si="12"/>
        <v>9.3020675370788179E-3</v>
      </c>
      <c r="L30" s="147">
        <f t="shared" si="12"/>
        <v>9.3020675370788179E-3</v>
      </c>
      <c r="M30" s="147">
        <f t="shared" si="12"/>
        <v>9.3020675370788179E-3</v>
      </c>
      <c r="N30" s="147">
        <f t="shared" si="12"/>
        <v>9.3020675370788179E-3</v>
      </c>
      <c r="O30" s="147">
        <f t="shared" si="12"/>
        <v>9.3020675370788179E-3</v>
      </c>
      <c r="P30" s="147">
        <f t="shared" si="12"/>
        <v>9.3020675370788179E-3</v>
      </c>
      <c r="Q30" s="147">
        <f t="shared" si="12"/>
        <v>9.3020675370788179E-3</v>
      </c>
      <c r="R30" s="147">
        <f t="shared" si="12"/>
        <v>9.3020675370788179E-3</v>
      </c>
    </row>
    <row r="31" spans="2:18" x14ac:dyDescent="0.2">
      <c r="B31" s="16" t="s">
        <v>123</v>
      </c>
      <c r="G31" s="5">
        <f>+Vons!E29</f>
        <v>0.11921430966138798</v>
      </c>
      <c r="H31" s="5">
        <f>+Vons!C29</f>
        <v>5.5387062174057776E-2</v>
      </c>
      <c r="I31" s="147"/>
      <c r="J31" s="147"/>
      <c r="K31" s="147"/>
      <c r="L31" s="147"/>
      <c r="M31" s="147"/>
      <c r="N31" s="147"/>
      <c r="O31" s="147"/>
      <c r="P31" s="147"/>
      <c r="Q31" s="147"/>
      <c r="R31" s="147"/>
    </row>
    <row r="32" spans="2:18" x14ac:dyDescent="0.2">
      <c r="B32" s="16" t="s">
        <v>95</v>
      </c>
      <c r="G32" s="137">
        <f>+Vons!E30</f>
        <v>0.12292188455242865</v>
      </c>
      <c r="H32" s="137">
        <f>+Vons!C30</f>
        <v>0.13655361171727634</v>
      </c>
      <c r="I32" s="141">
        <f>+I19-SUM(I26:I31)</f>
        <v>0.21132398662480836</v>
      </c>
      <c r="J32" s="141">
        <f t="shared" ref="J32:R32" si="13">+J19-SUM(J26:J31)</f>
        <v>0.20574135839660909</v>
      </c>
      <c r="K32" s="141">
        <f t="shared" si="13"/>
        <v>0.20080297322701543</v>
      </c>
      <c r="L32" s="141">
        <f t="shared" si="13"/>
        <v>0.19611663516105568</v>
      </c>
      <c r="M32" s="141">
        <f t="shared" si="13"/>
        <v>0.19166966133407407</v>
      </c>
      <c r="N32" s="141">
        <f t="shared" si="13"/>
        <v>0.18745012600925767</v>
      </c>
      <c r="O32" s="141">
        <f t="shared" si="13"/>
        <v>0.18344773221207375</v>
      </c>
      <c r="P32" s="141">
        <f t="shared" si="13"/>
        <v>0.17965261929428869</v>
      </c>
      <c r="Q32" s="141">
        <f t="shared" si="13"/>
        <v>0.17605534519908825</v>
      </c>
      <c r="R32" s="141">
        <f t="shared" si="13"/>
        <v>0.17264686942669685</v>
      </c>
    </row>
    <row r="33" spans="2:18" x14ac:dyDescent="0.2">
      <c r="B33" s="18" t="s">
        <v>96</v>
      </c>
      <c r="G33" s="137">
        <f>+Vons!E31</f>
        <v>0.43120279251385413</v>
      </c>
      <c r="H33" s="137">
        <f>+Vons!C31</f>
        <v>0.40414986869845021</v>
      </c>
      <c r="I33" s="141">
        <f>SUM(I26:I32)</f>
        <v>0.39488725177996609</v>
      </c>
      <c r="J33" s="141">
        <f t="shared" ref="J33:R33" si="14">SUM(J26:J32)</f>
        <v>0.38930462355176682</v>
      </c>
      <c r="K33" s="141">
        <f t="shared" si="14"/>
        <v>0.38436623838217315</v>
      </c>
      <c r="L33" s="141">
        <f t="shared" si="14"/>
        <v>0.3796799003162134</v>
      </c>
      <c r="M33" s="141">
        <f t="shared" si="14"/>
        <v>0.37523292648923179</v>
      </c>
      <c r="N33" s="141">
        <f t="shared" si="14"/>
        <v>0.3710133911644154</v>
      </c>
      <c r="O33" s="141">
        <f t="shared" si="14"/>
        <v>0.36701099736723147</v>
      </c>
      <c r="P33" s="141">
        <f t="shared" si="14"/>
        <v>0.36321588444944641</v>
      </c>
      <c r="Q33" s="141">
        <f t="shared" si="14"/>
        <v>0.35961861035424597</v>
      </c>
      <c r="R33" s="141">
        <f t="shared" si="14"/>
        <v>0.35621013458185458</v>
      </c>
    </row>
    <row r="34" spans="2:18" x14ac:dyDescent="0.2">
      <c r="B34" s="16"/>
    </row>
    <row r="35" spans="2:18" x14ac:dyDescent="0.2">
      <c r="B35"/>
      <c r="G35" s="143">
        <f>+G6</f>
        <v>35035</v>
      </c>
      <c r="H35" s="143">
        <f t="shared" ref="H35:R36" si="15">+H6</f>
        <v>35400</v>
      </c>
      <c r="I35" s="143">
        <f t="shared" si="15"/>
        <v>35765</v>
      </c>
      <c r="J35" s="143">
        <f t="shared" si="15"/>
        <v>36130</v>
      </c>
      <c r="K35" s="143">
        <f t="shared" si="15"/>
        <v>36495</v>
      </c>
      <c r="L35" s="143">
        <f t="shared" si="15"/>
        <v>36865</v>
      </c>
      <c r="M35" s="143">
        <f t="shared" si="15"/>
        <v>37230</v>
      </c>
      <c r="N35" s="143">
        <f t="shared" si="15"/>
        <v>37595</v>
      </c>
      <c r="O35" s="143">
        <f t="shared" si="15"/>
        <v>37960</v>
      </c>
      <c r="P35" s="143">
        <f t="shared" si="15"/>
        <v>38325</v>
      </c>
      <c r="Q35" s="143">
        <f t="shared" si="15"/>
        <v>38690</v>
      </c>
      <c r="R35" s="143">
        <f t="shared" si="15"/>
        <v>39055</v>
      </c>
    </row>
    <row r="36" spans="2:18" x14ac:dyDescent="0.2">
      <c r="B36" s="142" t="s">
        <v>97</v>
      </c>
      <c r="G36" s="144" t="str">
        <f>+G7</f>
        <v>ACTUAL</v>
      </c>
      <c r="H36" s="139" t="str">
        <f t="shared" si="15"/>
        <v>ACTUAL</v>
      </c>
      <c r="I36" s="139" t="str">
        <f t="shared" si="15"/>
        <v>FCST</v>
      </c>
      <c r="J36" s="139" t="str">
        <f t="shared" si="15"/>
        <v>FCST</v>
      </c>
      <c r="K36" s="139" t="str">
        <f t="shared" si="15"/>
        <v>FCST</v>
      </c>
      <c r="L36" s="139" t="str">
        <f t="shared" si="15"/>
        <v>FCST</v>
      </c>
      <c r="M36" s="139" t="str">
        <f t="shared" si="15"/>
        <v>FCST</v>
      </c>
      <c r="N36" s="139" t="str">
        <f t="shared" si="15"/>
        <v>FCST</v>
      </c>
      <c r="O36" s="139" t="str">
        <f t="shared" si="15"/>
        <v>FCST</v>
      </c>
      <c r="P36" s="139" t="str">
        <f t="shared" si="15"/>
        <v>FCST</v>
      </c>
      <c r="Q36" s="139" t="str">
        <f t="shared" si="15"/>
        <v>FCST</v>
      </c>
      <c r="R36" s="139" t="str">
        <f t="shared" si="15"/>
        <v>FCST</v>
      </c>
    </row>
    <row r="37" spans="2:18" x14ac:dyDescent="0.2">
      <c r="B37" s="16"/>
    </row>
    <row r="38" spans="2:18" x14ac:dyDescent="0.2">
      <c r="B38" s="16" t="s">
        <v>98</v>
      </c>
      <c r="G38" s="5">
        <f>+Vons!E37</f>
        <v>1</v>
      </c>
      <c r="H38" s="5">
        <f>+Vons!C37</f>
        <v>1</v>
      </c>
      <c r="I38" s="5">
        <v>1</v>
      </c>
      <c r="J38" s="5">
        <v>1</v>
      </c>
      <c r="K38" s="5">
        <v>1</v>
      </c>
      <c r="L38" s="5">
        <v>1</v>
      </c>
      <c r="M38" s="5">
        <v>1</v>
      </c>
      <c r="N38" s="5">
        <v>1</v>
      </c>
      <c r="O38" s="5">
        <v>1</v>
      </c>
      <c r="P38" s="5">
        <v>1</v>
      </c>
      <c r="Q38" s="5">
        <v>1</v>
      </c>
      <c r="R38" s="5">
        <v>1</v>
      </c>
    </row>
    <row r="39" spans="2:18" ht="5.0999999999999996" customHeight="1" x14ac:dyDescent="0.2">
      <c r="B39" s="16"/>
    </row>
    <row r="40" spans="2:18" x14ac:dyDescent="0.2">
      <c r="B40" s="16" t="s">
        <v>99</v>
      </c>
    </row>
    <row r="41" spans="2:18" x14ac:dyDescent="0.2">
      <c r="B41" s="16" t="s">
        <v>100</v>
      </c>
      <c r="G41" s="5">
        <f>+Vons!E40</f>
        <v>0.74747076340544694</v>
      </c>
      <c r="H41" s="5">
        <f>+Vons!C40</f>
        <v>0.74577430927987576</v>
      </c>
      <c r="I41" s="147">
        <v>0.74</v>
      </c>
      <c r="J41" s="147">
        <f>I41</f>
        <v>0.74</v>
      </c>
      <c r="K41" s="147">
        <f t="shared" ref="K41:R41" si="16">J41</f>
        <v>0.74</v>
      </c>
      <c r="L41" s="147">
        <f t="shared" si="16"/>
        <v>0.74</v>
      </c>
      <c r="M41" s="147">
        <f t="shared" si="16"/>
        <v>0.74</v>
      </c>
      <c r="N41" s="147">
        <f t="shared" si="16"/>
        <v>0.74</v>
      </c>
      <c r="O41" s="147">
        <f t="shared" si="16"/>
        <v>0.74</v>
      </c>
      <c r="P41" s="147">
        <f t="shared" si="16"/>
        <v>0.74</v>
      </c>
      <c r="Q41" s="147">
        <f t="shared" si="16"/>
        <v>0.74</v>
      </c>
      <c r="R41" s="147">
        <f t="shared" si="16"/>
        <v>0.74</v>
      </c>
    </row>
    <row r="42" spans="2:18" x14ac:dyDescent="0.2">
      <c r="B42" s="16" t="s">
        <v>101</v>
      </c>
      <c r="G42" s="5">
        <f>+Vons!E41</f>
        <v>0.19040763602658414</v>
      </c>
      <c r="H42" s="5">
        <f>+Vons!C41</f>
        <v>0.18729888671080372</v>
      </c>
      <c r="I42" s="147">
        <f>H42</f>
        <v>0.18729888671080372</v>
      </c>
      <c r="J42" s="147">
        <f t="shared" ref="J42:R42" si="17">I42</f>
        <v>0.18729888671080372</v>
      </c>
      <c r="K42" s="147">
        <f t="shared" si="17"/>
        <v>0.18729888671080372</v>
      </c>
      <c r="L42" s="147">
        <f t="shared" si="17"/>
        <v>0.18729888671080372</v>
      </c>
      <c r="M42" s="147">
        <f t="shared" si="17"/>
        <v>0.18729888671080372</v>
      </c>
      <c r="N42" s="147">
        <f t="shared" si="17"/>
        <v>0.18729888671080372</v>
      </c>
      <c r="O42" s="147">
        <f t="shared" si="17"/>
        <v>0.18729888671080372</v>
      </c>
      <c r="P42" s="147">
        <f t="shared" si="17"/>
        <v>0.18729888671080372</v>
      </c>
      <c r="Q42" s="147">
        <f t="shared" si="17"/>
        <v>0.18729888671080372</v>
      </c>
      <c r="R42" s="147">
        <f t="shared" si="17"/>
        <v>0.18729888671080372</v>
      </c>
    </row>
    <row r="43" spans="2:18" x14ac:dyDescent="0.2">
      <c r="B43" s="16" t="s">
        <v>102</v>
      </c>
      <c r="G43" s="5">
        <f>+Vons!E42</f>
        <v>2.0884690476660028E-2</v>
      </c>
      <c r="H43" s="5">
        <f>+Vons!C42</f>
        <v>1.9565780227096201E-2</v>
      </c>
      <c r="I43" s="147">
        <f>'Additional Calculations'!D20/DCF!E7</f>
        <v>1.9565780227096197E-2</v>
      </c>
      <c r="J43" s="147">
        <f>'Additional Calculations'!E20/DCF!F7</f>
        <v>1.9565780227096201E-2</v>
      </c>
      <c r="K43" s="147">
        <f>'Additional Calculations'!F20/DCF!G7</f>
        <v>1.9565780227096204E-2</v>
      </c>
      <c r="L43" s="147">
        <f>'Additional Calculations'!G20/DCF!H7</f>
        <v>1.9565780227096201E-2</v>
      </c>
      <c r="M43" s="147">
        <f>'Additional Calculations'!H20/DCF!I7</f>
        <v>1.9565780227096197E-2</v>
      </c>
      <c r="N43" s="147">
        <f>'Additional Calculations'!I20/DCF!J7</f>
        <v>1.9565780227096204E-2</v>
      </c>
      <c r="O43" s="147">
        <f>'Additional Calculations'!J20/DCF!K7</f>
        <v>1.9565780227096201E-2</v>
      </c>
      <c r="P43" s="147">
        <f>'Additional Calculations'!K20/DCF!L7</f>
        <v>1.9565780227096201E-2</v>
      </c>
      <c r="Q43" s="147">
        <f>'Additional Calculations'!L20/DCF!M7</f>
        <v>1.9565780227096197E-2</v>
      </c>
      <c r="R43" s="147">
        <f>'Additional Calculations'!M20/DCF!N7</f>
        <v>1.9565780227096201E-2</v>
      </c>
    </row>
    <row r="44" spans="2:18" x14ac:dyDescent="0.2">
      <c r="B44" s="16" t="s">
        <v>103</v>
      </c>
      <c r="G44" s="137">
        <f>+Vons!E43</f>
        <v>2.9581714556175679E-3</v>
      </c>
      <c r="H44" s="137">
        <f>+Vons!C43</f>
        <v>2.7739764027074013E-3</v>
      </c>
      <c r="I44" s="148">
        <f>DCF!E12/DCF!E9</f>
        <v>3.5511508641690591E-3</v>
      </c>
      <c r="J44" s="148">
        <f>DCF!F12/DCF!F9</f>
        <v>3.4143438288983816E-3</v>
      </c>
      <c r="K44" s="148">
        <f>DCF!G12/DCF!G9</f>
        <v>3.2987164763608147E-3</v>
      </c>
      <c r="L44" s="148">
        <f>DCF!H12/DCF!H9</f>
        <v>3.187111297279287E-3</v>
      </c>
      <c r="M44" s="148">
        <f>DCF!I12/DCF!I9</f>
        <v>3.0793345867432724E-3</v>
      </c>
      <c r="N44" s="148">
        <f>DCF!J12/DCF!J9</f>
        <v>2.9752024992688621E-3</v>
      </c>
      <c r="O44" s="148">
        <f>DCF!K12/DCF!K9</f>
        <v>2.8745917867332004E-3</v>
      </c>
      <c r="P44" s="148">
        <f>DCF!L12/DCF!L9</f>
        <v>2.7773833688243487E-3</v>
      </c>
      <c r="Q44" s="148">
        <f>DCF!M12/DCF!M9</f>
        <v>2.6834621921008198E-3</v>
      </c>
      <c r="R44" s="148">
        <f>DCF!N12/DCF!N9</f>
        <v>2.5927170938172175E-3</v>
      </c>
    </row>
    <row r="45" spans="2:18" x14ac:dyDescent="0.2">
      <c r="B45" s="16" t="s">
        <v>105</v>
      </c>
      <c r="G45" s="137">
        <f>+Vons!E45</f>
        <v>0.96172126136430858</v>
      </c>
      <c r="H45" s="137">
        <f>+Vons!C45</f>
        <v>0.95541295262048309</v>
      </c>
      <c r="I45" s="141">
        <f>SUM(I41:I44)</f>
        <v>0.95041581780206896</v>
      </c>
      <c r="J45" s="141">
        <f t="shared" ref="J45:R45" si="18">SUM(J41:J44)</f>
        <v>0.95027901076679833</v>
      </c>
      <c r="K45" s="141">
        <f t="shared" si="18"/>
        <v>0.95016338341426076</v>
      </c>
      <c r="L45" s="141">
        <f t="shared" si="18"/>
        <v>0.95005177823517928</v>
      </c>
      <c r="M45" s="141">
        <f t="shared" si="18"/>
        <v>0.9499440015246432</v>
      </c>
      <c r="N45" s="141">
        <f t="shared" si="18"/>
        <v>0.9498398694371688</v>
      </c>
      <c r="O45" s="141">
        <f t="shared" si="18"/>
        <v>0.94973925872463316</v>
      </c>
      <c r="P45" s="141">
        <f t="shared" si="18"/>
        <v>0.94964205030672433</v>
      </c>
      <c r="Q45" s="141">
        <f t="shared" si="18"/>
        <v>0.94954812913000075</v>
      </c>
      <c r="R45" s="141">
        <f t="shared" si="18"/>
        <v>0.9494573840317172</v>
      </c>
    </row>
    <row r="46" spans="2:18" ht="5.0999999999999996" customHeight="1" x14ac:dyDescent="0.2">
      <c r="B46" s="16"/>
    </row>
    <row r="47" spans="2:18" x14ac:dyDescent="0.2">
      <c r="B47" s="16" t="s">
        <v>106</v>
      </c>
      <c r="G47" s="5">
        <f>+Vons!E47</f>
        <v>3.8278738635691395E-2</v>
      </c>
      <c r="H47" s="5">
        <f>+Vons!C47</f>
        <v>4.458704737951686E-2</v>
      </c>
      <c r="I47" s="140">
        <f>+I38-I45</f>
        <v>4.9584182197931037E-2</v>
      </c>
      <c r="J47" s="140">
        <f t="shared" ref="J47:R47" si="19">+J38-J45</f>
        <v>4.9720989233201673E-2</v>
      </c>
      <c r="K47" s="140">
        <f t="shared" si="19"/>
        <v>4.9836616585739235E-2</v>
      </c>
      <c r="L47" s="140">
        <f t="shared" si="19"/>
        <v>4.9948221764820722E-2</v>
      </c>
      <c r="M47" s="140">
        <f t="shared" si="19"/>
        <v>5.00559984753568E-2</v>
      </c>
      <c r="N47" s="140">
        <f t="shared" si="19"/>
        <v>5.0160130562831196E-2</v>
      </c>
      <c r="O47" s="140">
        <f t="shared" si="19"/>
        <v>5.0260741275366838E-2</v>
      </c>
      <c r="P47" s="140">
        <f t="shared" si="19"/>
        <v>5.0357949693275672E-2</v>
      </c>
      <c r="Q47" s="140">
        <f t="shared" si="19"/>
        <v>5.0451870869999249E-2</v>
      </c>
      <c r="R47" s="140">
        <f t="shared" si="19"/>
        <v>5.05426159682828E-2</v>
      </c>
    </row>
    <row r="48" spans="2:18" ht="5.0999999999999996" customHeight="1" x14ac:dyDescent="0.2">
      <c r="B48" s="16"/>
      <c r="G48" s="5"/>
      <c r="H48" s="5"/>
    </row>
    <row r="49" spans="2:18" x14ac:dyDescent="0.2">
      <c r="B49" s="16" t="s">
        <v>108</v>
      </c>
      <c r="G49" s="5">
        <f>+Vons!E50</f>
        <v>1.3272329264204153E-2</v>
      </c>
      <c r="H49" s="5">
        <f>+Vons!C50</f>
        <v>1.0282205866035433E-2</v>
      </c>
      <c r="I49" s="183">
        <f t="shared" ref="I49:R49" si="20">+H49</f>
        <v>1.0282205866035433E-2</v>
      </c>
      <c r="J49" s="183">
        <f t="shared" si="20"/>
        <v>1.0282205866035433E-2</v>
      </c>
      <c r="K49" s="183">
        <f t="shared" si="20"/>
        <v>1.0282205866035433E-2</v>
      </c>
      <c r="L49" s="183">
        <f t="shared" si="20"/>
        <v>1.0282205866035433E-2</v>
      </c>
      <c r="M49" s="183">
        <f t="shared" si="20"/>
        <v>1.0282205866035433E-2</v>
      </c>
      <c r="N49" s="183">
        <f t="shared" si="20"/>
        <v>1.0282205866035433E-2</v>
      </c>
      <c r="O49" s="183">
        <f t="shared" si="20"/>
        <v>1.0282205866035433E-2</v>
      </c>
      <c r="P49" s="183">
        <f t="shared" si="20"/>
        <v>1.0282205866035433E-2</v>
      </c>
      <c r="Q49" s="183">
        <f t="shared" si="20"/>
        <v>1.0282205866035433E-2</v>
      </c>
      <c r="R49" s="183">
        <f t="shared" si="20"/>
        <v>1.0282205866035433E-2</v>
      </c>
    </row>
    <row r="50" spans="2:18" ht="5.0999999999999996" customHeight="1" x14ac:dyDescent="0.2">
      <c r="B50" s="16"/>
      <c r="G50" s="5"/>
      <c r="H50" s="5"/>
    </row>
    <row r="51" spans="2:18" x14ac:dyDescent="0.2">
      <c r="B51" s="16" t="s">
        <v>111</v>
      </c>
      <c r="G51" s="5">
        <f>+Vons!E52</f>
        <v>2.5006409371487244E-2</v>
      </c>
      <c r="H51" s="5">
        <f>+Vons!C52</f>
        <v>3.4304841513481427E-2</v>
      </c>
      <c r="I51" s="140">
        <f>+I47-I49</f>
        <v>3.9301976331895604E-2</v>
      </c>
      <c r="J51" s="140">
        <f t="shared" ref="J51:R51" si="21">+J47-J49</f>
        <v>3.943878336716624E-2</v>
      </c>
      <c r="K51" s="140">
        <f t="shared" si="21"/>
        <v>3.9554410719703802E-2</v>
      </c>
      <c r="L51" s="140">
        <f t="shared" si="21"/>
        <v>3.9666015898785288E-2</v>
      </c>
      <c r="M51" s="140">
        <f t="shared" si="21"/>
        <v>3.9773792609321366E-2</v>
      </c>
      <c r="N51" s="140">
        <f t="shared" si="21"/>
        <v>3.9877924696795762E-2</v>
      </c>
      <c r="O51" s="140">
        <f t="shared" si="21"/>
        <v>3.9978535409331405E-2</v>
      </c>
      <c r="P51" s="140">
        <f t="shared" si="21"/>
        <v>4.0075743827240239E-2</v>
      </c>
      <c r="Q51" s="140">
        <f t="shared" si="21"/>
        <v>4.0169665003963816E-2</v>
      </c>
      <c r="R51" s="140">
        <f t="shared" si="21"/>
        <v>4.0260410102247367E-2</v>
      </c>
    </row>
    <row r="52" spans="2:18" x14ac:dyDescent="0.2">
      <c r="B52" s="16" t="s">
        <v>112</v>
      </c>
      <c r="G52" s="137">
        <f>+Vons!E53</f>
        <v>1.1576310962983416E-2</v>
      </c>
      <c r="H52" s="137">
        <f>+Vons!C53</f>
        <v>1.4942486222583868E-2</v>
      </c>
      <c r="I52" s="148">
        <f>DCF!E16/DCF!E7</f>
        <v>2.1213142197498289E-2</v>
      </c>
      <c r="J52" s="148">
        <f>DCF!F16/DCF!F7</f>
        <v>2.1255661824060388E-2</v>
      </c>
      <c r="K52" s="148">
        <f>DCF!G16/DCF!G7</f>
        <v>2.1291598805229101E-2</v>
      </c>
      <c r="L52" s="148">
        <f>DCF!H16/DCF!H7</f>
        <v>2.1326285694887686E-2</v>
      </c>
      <c r="M52" s="148">
        <f>DCF!I16/DCF!I7</f>
        <v>2.1359782696522254E-2</v>
      </c>
      <c r="N52" s="148">
        <f>DCF!J16/DCF!J7</f>
        <v>2.139214694930924E-2</v>
      </c>
      <c r="O52" s="148">
        <f>DCF!K16/DCF!K7</f>
        <v>2.1423416758765326E-2</v>
      </c>
      <c r="P52" s="148">
        <f>DCF!L16/DCF!L7</f>
        <v>2.145362913505142E-2</v>
      </c>
      <c r="Q52" s="148">
        <f>DCF!M16/DCF!M7</f>
        <v>2.1482819836777106E-2</v>
      </c>
      <c r="R52" s="148">
        <f>DCF!N16/DCF!N7</f>
        <v>2.1511023413323629E-2</v>
      </c>
    </row>
    <row r="53" spans="2:18" x14ac:dyDescent="0.2">
      <c r="B53" s="146" t="s">
        <v>113</v>
      </c>
      <c r="G53" s="137">
        <f>+Vons!E54</f>
        <v>1.3430098408503829E-2</v>
      </c>
      <c r="H53" s="137">
        <f>+Vons!C54</f>
        <v>1.9362355290897561E-2</v>
      </c>
      <c r="I53" s="141">
        <f>+I51-I52</f>
        <v>1.8088834134397314E-2</v>
      </c>
      <c r="J53" s="141">
        <f t="shared" ref="J53:R53" si="22">+J51-J52</f>
        <v>1.8183121543105852E-2</v>
      </c>
      <c r="K53" s="141">
        <f t="shared" si="22"/>
        <v>1.8262811914474701E-2</v>
      </c>
      <c r="L53" s="141">
        <f t="shared" si="22"/>
        <v>1.8339730203897602E-2</v>
      </c>
      <c r="M53" s="141">
        <f t="shared" si="22"/>
        <v>1.8414009912799113E-2</v>
      </c>
      <c r="N53" s="141">
        <f t="shared" si="22"/>
        <v>1.8485777747486522E-2</v>
      </c>
      <c r="O53" s="141">
        <f t="shared" si="22"/>
        <v>1.8555118650566079E-2</v>
      </c>
      <c r="P53" s="141">
        <f t="shared" si="22"/>
        <v>1.8622114692188819E-2</v>
      </c>
      <c r="Q53" s="141">
        <f t="shared" si="22"/>
        <v>1.8686845167186709E-2</v>
      </c>
      <c r="R53" s="141">
        <f t="shared" si="22"/>
        <v>1.8749386688923737E-2</v>
      </c>
    </row>
    <row r="54" spans="2:18" x14ac:dyDescent="0.2">
      <c r="B54" s="18"/>
    </row>
    <row r="55" spans="2:18" x14ac:dyDescent="0.2">
      <c r="B55" s="22"/>
      <c r="C55" s="145"/>
      <c r="D55" s="145"/>
      <c r="E55" s="145"/>
    </row>
    <row r="56" spans="2:18" x14ac:dyDescent="0.2">
      <c r="B56" s="165" t="s">
        <v>137</v>
      </c>
      <c r="C56" s="145"/>
      <c r="D56" s="145"/>
      <c r="E56" s="145"/>
    </row>
    <row r="57" spans="2:18" x14ac:dyDescent="0.2">
      <c r="B57" s="167"/>
      <c r="C57" s="166"/>
      <c r="D57" s="166"/>
      <c r="E57" s="166"/>
      <c r="I57" s="147"/>
      <c r="J57" s="147"/>
      <c r="K57" s="147"/>
      <c r="L57" s="147"/>
      <c r="M57" s="147"/>
      <c r="N57" s="147"/>
      <c r="O57" s="147"/>
      <c r="P57" s="147"/>
      <c r="Q57" s="147"/>
      <c r="R57" s="147"/>
    </row>
    <row r="58" spans="2:18" x14ac:dyDescent="0.2">
      <c r="B58" s="167"/>
      <c r="C58" s="166"/>
      <c r="D58" s="166"/>
      <c r="E58" s="166"/>
      <c r="I58" s="147"/>
      <c r="J58" s="147"/>
      <c r="K58" s="147"/>
      <c r="L58" s="147"/>
      <c r="M58" s="147"/>
      <c r="N58" s="147"/>
      <c r="O58" s="147"/>
      <c r="P58" s="147"/>
      <c r="Q58" s="147"/>
      <c r="R58" s="147"/>
    </row>
    <row r="59" spans="2:18" x14ac:dyDescent="0.2">
      <c r="B59" s="167"/>
      <c r="C59" s="166"/>
      <c r="D59" s="166"/>
      <c r="E59" s="166"/>
      <c r="I59" s="147"/>
      <c r="J59" s="147"/>
      <c r="K59" s="147"/>
      <c r="L59" s="147"/>
      <c r="M59" s="147"/>
      <c r="N59" s="147"/>
      <c r="O59" s="147"/>
      <c r="P59" s="147"/>
      <c r="Q59" s="147"/>
      <c r="R59" s="147"/>
    </row>
    <row r="60" spans="2:18" x14ac:dyDescent="0.2">
      <c r="B60" s="167"/>
      <c r="C60" s="166"/>
      <c r="D60" s="166"/>
      <c r="E60" s="166"/>
      <c r="I60" s="147"/>
      <c r="J60" s="147"/>
      <c r="K60" s="147"/>
      <c r="L60" s="147"/>
      <c r="M60" s="147"/>
      <c r="N60" s="147"/>
      <c r="O60" s="147"/>
      <c r="P60" s="147"/>
      <c r="Q60" s="147"/>
      <c r="R60" s="147"/>
    </row>
    <row r="61" spans="2:18" x14ac:dyDescent="0.2">
      <c r="B61" s="22"/>
      <c r="C61" s="145"/>
      <c r="D61" s="145"/>
      <c r="E61" s="145"/>
    </row>
    <row r="62" spans="2:18" x14ac:dyDescent="0.2">
      <c r="B62" s="22"/>
      <c r="C62" s="145"/>
      <c r="D62" s="145"/>
      <c r="E62" s="145"/>
    </row>
    <row r="63" spans="2:18" x14ac:dyDescent="0.2">
      <c r="B63" s="22"/>
      <c r="C63" s="145"/>
      <c r="D63" s="145"/>
      <c r="E63" s="145"/>
    </row>
    <row r="64" spans="2:18" x14ac:dyDescent="0.2">
      <c r="B64" s="22"/>
      <c r="C64" s="145"/>
      <c r="D64" s="145"/>
      <c r="E64" s="145"/>
    </row>
    <row r="65" spans="2:5" x14ac:dyDescent="0.2">
      <c r="B65" s="22"/>
      <c r="C65" s="145"/>
      <c r="D65" s="145"/>
      <c r="E65" s="145"/>
    </row>
    <row r="66" spans="2:5" x14ac:dyDescent="0.2">
      <c r="B66" s="22"/>
      <c r="C66" s="145"/>
      <c r="D66" s="145"/>
      <c r="E66" s="145"/>
    </row>
    <row r="67" spans="2:5" x14ac:dyDescent="0.2">
      <c r="B67" s="22"/>
      <c r="C67" s="145"/>
      <c r="D67" s="145"/>
      <c r="E67" s="145"/>
    </row>
    <row r="68" spans="2:5" x14ac:dyDescent="0.2">
      <c r="B68" s="22"/>
      <c r="C68" s="145"/>
      <c r="D68" s="145"/>
      <c r="E68" s="145"/>
    </row>
    <row r="69" spans="2:5" x14ac:dyDescent="0.2">
      <c r="B69" s="22"/>
      <c r="C69" s="145"/>
      <c r="D69" s="145"/>
      <c r="E69" s="145"/>
    </row>
    <row r="70" spans="2:5" x14ac:dyDescent="0.2">
      <c r="B70" s="22"/>
      <c r="C70" s="145"/>
      <c r="D70" s="145"/>
      <c r="E70" s="145"/>
    </row>
    <row r="71" spans="2:5" x14ac:dyDescent="0.2">
      <c r="B71" s="22"/>
      <c r="C71" s="145"/>
      <c r="D71" s="145"/>
      <c r="E71" s="145"/>
    </row>
    <row r="72" spans="2:5" x14ac:dyDescent="0.2">
      <c r="B72" s="22"/>
      <c r="C72" s="145"/>
      <c r="D72" s="145"/>
      <c r="E72" s="145"/>
    </row>
    <row r="73" spans="2:5" x14ac:dyDescent="0.2">
      <c r="B73" s="22"/>
      <c r="C73" s="145"/>
      <c r="D73" s="145"/>
      <c r="E73" s="145"/>
    </row>
    <row r="74" spans="2:5" x14ac:dyDescent="0.2">
      <c r="B74" s="22"/>
      <c r="C74" s="145"/>
      <c r="D74" s="145"/>
      <c r="E74" s="145"/>
    </row>
    <row r="75" spans="2:5" x14ac:dyDescent="0.2">
      <c r="B75" s="22"/>
      <c r="C75" s="145"/>
      <c r="D75" s="145"/>
      <c r="E75" s="145"/>
    </row>
    <row r="76" spans="2:5" x14ac:dyDescent="0.2">
      <c r="B76" s="22"/>
      <c r="C76" s="145"/>
      <c r="D76" s="145"/>
      <c r="E76" s="145"/>
    </row>
    <row r="77" spans="2:5" x14ac:dyDescent="0.2">
      <c r="B77" s="22"/>
      <c r="C77" s="145"/>
      <c r="D77" s="145"/>
      <c r="E77" s="145"/>
    </row>
    <row r="78" spans="2:5" x14ac:dyDescent="0.2">
      <c r="B78" s="22"/>
      <c r="C78" s="145"/>
      <c r="D78" s="145"/>
      <c r="E78" s="145"/>
    </row>
    <row r="79" spans="2:5" x14ac:dyDescent="0.2">
      <c r="B79" s="22"/>
      <c r="C79" s="145"/>
      <c r="D79" s="145"/>
      <c r="E79" s="145"/>
    </row>
    <row r="80" spans="2:5" x14ac:dyDescent="0.2">
      <c r="B80" s="22"/>
      <c r="C80" s="145"/>
      <c r="D80" s="145"/>
      <c r="E80" s="145"/>
    </row>
    <row r="81" spans="2:5" x14ac:dyDescent="0.2">
      <c r="B81" s="22"/>
      <c r="C81" s="145"/>
      <c r="D81" s="145"/>
      <c r="E81" s="145"/>
    </row>
    <row r="82" spans="2:5" x14ac:dyDescent="0.2">
      <c r="B82" s="22"/>
      <c r="C82" s="145"/>
      <c r="D82" s="145"/>
      <c r="E82" s="145"/>
    </row>
    <row r="83" spans="2:5" x14ac:dyDescent="0.2">
      <c r="B83" s="22"/>
      <c r="C83" s="145"/>
      <c r="D83" s="145"/>
      <c r="E83" s="145"/>
    </row>
    <row r="84" spans="2:5" x14ac:dyDescent="0.2">
      <c r="B84" s="22"/>
      <c r="C84" s="145"/>
      <c r="D84" s="145"/>
      <c r="E84" s="145"/>
    </row>
    <row r="85" spans="2:5" x14ac:dyDescent="0.2">
      <c r="B85" s="22"/>
      <c r="C85" s="145"/>
      <c r="D85" s="145"/>
      <c r="E85" s="145"/>
    </row>
    <row r="86" spans="2:5" x14ac:dyDescent="0.2">
      <c r="B86" s="22"/>
    </row>
    <row r="87" spans="2:5" x14ac:dyDescent="0.2">
      <c r="B87" s="22"/>
    </row>
    <row r="88" spans="2:5" x14ac:dyDescent="0.2">
      <c r="B88" s="22"/>
    </row>
    <row r="89" spans="2:5" x14ac:dyDescent="0.2">
      <c r="B89" s="22"/>
    </row>
    <row r="90" spans="2:5" x14ac:dyDescent="0.2">
      <c r="B90" s="22"/>
    </row>
    <row r="91" spans="2:5" x14ac:dyDescent="0.2">
      <c r="B91" s="22"/>
    </row>
    <row r="92" spans="2:5" x14ac:dyDescent="0.2">
      <c r="B92" s="22"/>
    </row>
    <row r="93" spans="2:5" x14ac:dyDescent="0.2">
      <c r="B93" s="22"/>
    </row>
    <row r="94" spans="2:5" x14ac:dyDescent="0.2">
      <c r="B94" s="22"/>
    </row>
    <row r="95" spans="2:5" x14ac:dyDescent="0.2">
      <c r="B95" s="22"/>
    </row>
    <row r="96" spans="2:5" x14ac:dyDescent="0.2">
      <c r="B96" s="22"/>
    </row>
    <row r="97" spans="2:2" x14ac:dyDescent="0.2">
      <c r="B97" s="22"/>
    </row>
    <row r="98" spans="2:2" x14ac:dyDescent="0.2">
      <c r="B98" s="22"/>
    </row>
    <row r="99" spans="2:2" x14ac:dyDescent="0.2">
      <c r="B99" s="22"/>
    </row>
    <row r="100" spans="2:2" x14ac:dyDescent="0.2">
      <c r="B100" s="22"/>
    </row>
    <row r="101" spans="2:2" x14ac:dyDescent="0.2">
      <c r="B101" s="22"/>
    </row>
    <row r="102" spans="2:2" x14ac:dyDescent="0.2">
      <c r="B102" s="22"/>
    </row>
    <row r="103" spans="2:2" x14ac:dyDescent="0.2">
      <c r="B103" s="22"/>
    </row>
    <row r="104" spans="2:2" x14ac:dyDescent="0.2">
      <c r="B104" s="22"/>
    </row>
    <row r="105" spans="2:2" x14ac:dyDescent="0.2">
      <c r="B105" s="22"/>
    </row>
  </sheetData>
  <sheetProtection password="CFB3" sheet="1" objects="1" scenarios="1"/>
  <phoneticPr fontId="0" type="noConversion"/>
  <printOptions horizontalCentered="1" verticalCentered="1"/>
  <pageMargins left="0.5" right="0.5" top="0.5" bottom="0.5" header="0.5" footer="0.5"/>
  <pageSetup scale="75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6"/>
  <sheetViews>
    <sheetView showGridLines="0" tabSelected="1" zoomScale="75" workbookViewId="0"/>
  </sheetViews>
  <sheetFormatPr defaultRowHeight="12.75" x14ac:dyDescent="0.2"/>
  <cols>
    <col min="1" max="1" width="21.28515625" style="1" bestFit="1" customWidth="1"/>
    <col min="2" max="16384" width="9.140625" style="1"/>
  </cols>
  <sheetData>
    <row r="1" spans="1:12" s="338" customFormat="1" x14ac:dyDescent="0.2">
      <c r="A1" s="338" t="s">
        <v>319</v>
      </c>
    </row>
    <row r="2" spans="1:12" s="338" customFormat="1" x14ac:dyDescent="0.2"/>
    <row r="3" spans="1:12" s="338" customFormat="1" x14ac:dyDescent="0.2">
      <c r="B3" s="351">
        <v>1996</v>
      </c>
      <c r="C3" s="351">
        <v>1997</v>
      </c>
      <c r="D3" s="351">
        <v>1998</v>
      </c>
      <c r="E3" s="351">
        <v>1999</v>
      </c>
      <c r="F3" s="351">
        <v>2000</v>
      </c>
      <c r="G3" s="351">
        <v>2001</v>
      </c>
      <c r="H3" s="351">
        <v>2002</v>
      </c>
      <c r="I3" s="351">
        <v>2003</v>
      </c>
      <c r="J3" s="351">
        <v>2004</v>
      </c>
      <c r="K3" s="351">
        <v>2005</v>
      </c>
      <c r="L3" s="351">
        <v>2006</v>
      </c>
    </row>
    <row r="4" spans="1:12" s="338" customFormat="1" x14ac:dyDescent="0.2">
      <c r="A4" s="338" t="s">
        <v>320</v>
      </c>
      <c r="C4" s="349">
        <v>5.1999999999999998E-2</v>
      </c>
      <c r="D4" s="349">
        <v>0.04</v>
      </c>
      <c r="E4" s="349">
        <v>3.5000000000000003E-2</v>
      </c>
      <c r="F4" s="349">
        <f>E4</f>
        <v>3.5000000000000003E-2</v>
      </c>
      <c r="G4" s="349">
        <f t="shared" ref="G4:L4" si="0">F4</f>
        <v>3.5000000000000003E-2</v>
      </c>
      <c r="H4" s="349">
        <f t="shared" si="0"/>
        <v>3.5000000000000003E-2</v>
      </c>
      <c r="I4" s="349">
        <f t="shared" si="0"/>
        <v>3.5000000000000003E-2</v>
      </c>
      <c r="J4" s="349">
        <f t="shared" si="0"/>
        <v>3.5000000000000003E-2</v>
      </c>
      <c r="K4" s="349">
        <f t="shared" si="0"/>
        <v>3.5000000000000003E-2</v>
      </c>
      <c r="L4" s="349">
        <f t="shared" si="0"/>
        <v>3.5000000000000003E-2</v>
      </c>
    </row>
    <row r="5" spans="1:12" s="338" customFormat="1" x14ac:dyDescent="0.2">
      <c r="A5" s="338" t="s">
        <v>321</v>
      </c>
      <c r="B5" s="352">
        <f>DCF!C7</f>
        <v>5407.4</v>
      </c>
      <c r="C5" s="352">
        <f>B5*(1+C4)</f>
        <v>5688.5847999999996</v>
      </c>
      <c r="D5" s="352">
        <f t="shared" ref="D5:L5" si="1">C5*(1+D4)</f>
        <v>5916.1281920000001</v>
      </c>
      <c r="E5" s="352">
        <f t="shared" si="1"/>
        <v>6123.19267872</v>
      </c>
      <c r="F5" s="352">
        <f t="shared" si="1"/>
        <v>6337.5044224751991</v>
      </c>
      <c r="G5" s="352">
        <f t="shared" si="1"/>
        <v>6559.3170772618305</v>
      </c>
      <c r="H5" s="352">
        <f t="shared" si="1"/>
        <v>6788.8931749659941</v>
      </c>
      <c r="I5" s="352">
        <f t="shared" si="1"/>
        <v>7026.5044360898037</v>
      </c>
      <c r="J5" s="352">
        <f t="shared" si="1"/>
        <v>7272.4320913529464</v>
      </c>
      <c r="K5" s="352">
        <f t="shared" si="1"/>
        <v>7526.9672145502991</v>
      </c>
      <c r="L5" s="352">
        <f t="shared" si="1"/>
        <v>7790.4110670595592</v>
      </c>
    </row>
    <row r="6" spans="1:12" s="338" customFormat="1" x14ac:dyDescent="0.2">
      <c r="A6" s="338" t="s">
        <v>322</v>
      </c>
      <c r="C6" s="338">
        <v>4</v>
      </c>
      <c r="D6" s="338">
        <v>4</v>
      </c>
      <c r="E6" s="338">
        <v>4</v>
      </c>
      <c r="F6" s="338">
        <v>4</v>
      </c>
      <c r="G6" s="338">
        <v>5</v>
      </c>
      <c r="H6" s="338">
        <v>5</v>
      </c>
      <c r="I6" s="338">
        <v>5</v>
      </c>
      <c r="J6" s="338">
        <v>5</v>
      </c>
      <c r="K6" s="338">
        <v>5</v>
      </c>
      <c r="L6" s="338">
        <v>5</v>
      </c>
    </row>
    <row r="7" spans="1:12" s="338" customFormat="1" x14ac:dyDescent="0.2">
      <c r="A7" s="338" t="s">
        <v>324</v>
      </c>
      <c r="B7" s="349"/>
      <c r="C7" s="349"/>
      <c r="D7" s="349">
        <v>0.06</v>
      </c>
      <c r="E7" s="349">
        <v>0.05</v>
      </c>
      <c r="F7" s="349">
        <v>0.04</v>
      </c>
      <c r="G7" s="349">
        <v>3.5000000000000003E-2</v>
      </c>
      <c r="H7" s="349">
        <f>G7</f>
        <v>3.5000000000000003E-2</v>
      </c>
      <c r="I7" s="349">
        <f>H7</f>
        <v>3.5000000000000003E-2</v>
      </c>
      <c r="J7" s="349">
        <f>I7</f>
        <v>3.5000000000000003E-2</v>
      </c>
      <c r="K7" s="349">
        <f>J7</f>
        <v>3.5000000000000003E-2</v>
      </c>
      <c r="L7" s="349">
        <f>K7</f>
        <v>3.5000000000000003E-2</v>
      </c>
    </row>
    <row r="8" spans="1:12" s="338" customFormat="1" x14ac:dyDescent="0.2">
      <c r="A8" s="338" t="s">
        <v>323</v>
      </c>
      <c r="B8" s="353"/>
      <c r="C8" s="353">
        <v>0.375</v>
      </c>
      <c r="D8" s="353">
        <f>C8*(1+D7)</f>
        <v>0.39750000000000002</v>
      </c>
      <c r="E8" s="353">
        <f t="shared" ref="E8:L8" si="2">D8*(1+E7)</f>
        <v>0.41737500000000005</v>
      </c>
      <c r="F8" s="353">
        <f t="shared" si="2"/>
        <v>0.43407000000000007</v>
      </c>
      <c r="G8" s="353">
        <f t="shared" si="2"/>
        <v>0.44926245000000004</v>
      </c>
      <c r="H8" s="353">
        <f t="shared" si="2"/>
        <v>0.46498663574999999</v>
      </c>
      <c r="I8" s="353">
        <f t="shared" si="2"/>
        <v>0.48126116800124996</v>
      </c>
      <c r="J8" s="353">
        <f t="shared" si="2"/>
        <v>0.49810530888129367</v>
      </c>
      <c r="K8" s="353">
        <f t="shared" si="2"/>
        <v>0.51553899469213893</v>
      </c>
      <c r="L8" s="353">
        <f t="shared" si="2"/>
        <v>0.53358285950636375</v>
      </c>
    </row>
    <row r="9" spans="1:12" s="338" customFormat="1" x14ac:dyDescent="0.2">
      <c r="A9" s="338" t="s">
        <v>325</v>
      </c>
      <c r="C9" s="338">
        <v>52</v>
      </c>
      <c r="D9" s="338">
        <f>C9</f>
        <v>52</v>
      </c>
      <c r="E9" s="338">
        <f t="shared" ref="E9:L9" si="3">D9</f>
        <v>52</v>
      </c>
      <c r="F9" s="338">
        <f t="shared" si="3"/>
        <v>52</v>
      </c>
      <c r="G9" s="338">
        <f t="shared" si="3"/>
        <v>52</v>
      </c>
      <c r="H9" s="338">
        <f t="shared" si="3"/>
        <v>52</v>
      </c>
      <c r="I9" s="338">
        <f t="shared" si="3"/>
        <v>52</v>
      </c>
      <c r="J9" s="338">
        <f t="shared" si="3"/>
        <v>52</v>
      </c>
      <c r="K9" s="338">
        <f t="shared" si="3"/>
        <v>52</v>
      </c>
      <c r="L9" s="338">
        <f t="shared" si="3"/>
        <v>52</v>
      </c>
    </row>
    <row r="10" spans="1:12" s="338" customFormat="1" x14ac:dyDescent="0.2">
      <c r="A10" s="338" t="s">
        <v>326</v>
      </c>
      <c r="C10" s="352">
        <f>C9*C8</f>
        <v>19.5</v>
      </c>
      <c r="D10" s="352">
        <f t="shared" ref="D10:L10" si="4">D9*D8</f>
        <v>20.67</v>
      </c>
      <c r="E10" s="352">
        <f t="shared" si="4"/>
        <v>21.703500000000002</v>
      </c>
      <c r="F10" s="352">
        <f t="shared" si="4"/>
        <v>22.571640000000002</v>
      </c>
      <c r="G10" s="352">
        <f t="shared" si="4"/>
        <v>23.361647400000003</v>
      </c>
      <c r="H10" s="352">
        <f t="shared" si="4"/>
        <v>24.179305059000001</v>
      </c>
      <c r="I10" s="352">
        <f t="shared" si="4"/>
        <v>25.025580736064999</v>
      </c>
      <c r="J10" s="352">
        <f t="shared" si="4"/>
        <v>25.901476061827271</v>
      </c>
      <c r="K10" s="352">
        <f t="shared" si="4"/>
        <v>26.808027723991223</v>
      </c>
      <c r="L10" s="352">
        <f t="shared" si="4"/>
        <v>27.746308694330914</v>
      </c>
    </row>
    <row r="11" spans="1:12" s="338" customFormat="1" x14ac:dyDescent="0.2">
      <c r="A11" s="338" t="s">
        <v>327</v>
      </c>
      <c r="B11" s="348">
        <f>B5+B10</f>
        <v>5407.4</v>
      </c>
      <c r="C11" s="348">
        <f t="shared" ref="C11:L11" si="5">C5+C10</f>
        <v>5708.0847999999996</v>
      </c>
      <c r="D11" s="348">
        <f t="shared" si="5"/>
        <v>5936.7981920000002</v>
      </c>
      <c r="E11" s="348">
        <f t="shared" si="5"/>
        <v>6144.8961787199996</v>
      </c>
      <c r="F11" s="348">
        <f t="shared" si="5"/>
        <v>6360.0760624751993</v>
      </c>
      <c r="G11" s="348">
        <f t="shared" si="5"/>
        <v>6582.6787246618305</v>
      </c>
      <c r="H11" s="348">
        <f t="shared" si="5"/>
        <v>6813.0724800249945</v>
      </c>
      <c r="I11" s="348">
        <f t="shared" si="5"/>
        <v>7051.5300168258691</v>
      </c>
      <c r="J11" s="348">
        <f t="shared" si="5"/>
        <v>7298.3335674147738</v>
      </c>
      <c r="K11" s="348">
        <f t="shared" si="5"/>
        <v>7553.7752422742906</v>
      </c>
      <c r="L11" s="348">
        <f t="shared" si="5"/>
        <v>7818.1573757538899</v>
      </c>
    </row>
    <row r="12" spans="1:12" s="338" customFormat="1" x14ac:dyDescent="0.2"/>
    <row r="13" spans="1:12" s="338" customFormat="1" x14ac:dyDescent="0.2">
      <c r="B13" s="351">
        <v>1996</v>
      </c>
      <c r="C13" s="351">
        <v>1995</v>
      </c>
      <c r="D13" s="351">
        <v>1994</v>
      </c>
      <c r="E13" s="351">
        <v>1993</v>
      </c>
    </row>
    <row r="14" spans="1:12" s="338" customFormat="1" x14ac:dyDescent="0.2">
      <c r="A14" s="338" t="s">
        <v>328</v>
      </c>
      <c r="B14" s="338">
        <f>Vons!B52</f>
        <v>185.49999999999946</v>
      </c>
      <c r="C14" s="338">
        <f>Vons!D52</f>
        <v>126.80000000000037</v>
      </c>
      <c r="D14" s="338">
        <f>Vons!F52</f>
        <v>55.000000000000185</v>
      </c>
      <c r="E14" s="338">
        <f>Vons!H52</f>
        <v>69.800000000000182</v>
      </c>
    </row>
    <row r="15" spans="1:12" s="338" customFormat="1" x14ac:dyDescent="0.2">
      <c r="A15" s="338" t="s">
        <v>329</v>
      </c>
      <c r="B15" s="338">
        <f>Vons!B53</f>
        <v>80.8</v>
      </c>
      <c r="C15" s="338">
        <f>Vons!D53</f>
        <v>58.7</v>
      </c>
      <c r="D15" s="338">
        <f>Vons!F53</f>
        <v>28.4</v>
      </c>
      <c r="E15" s="338">
        <f>Vons!H53</f>
        <v>36.799999999999997</v>
      </c>
    </row>
    <row r="16" spans="1:12" s="338" customFormat="1" x14ac:dyDescent="0.2">
      <c r="A16" s="338" t="s">
        <v>330</v>
      </c>
      <c r="B16" s="349">
        <f>B15/B14</f>
        <v>0.43557951482479912</v>
      </c>
      <c r="C16" s="349">
        <f>C15/C14</f>
        <v>0.46293375394321634</v>
      </c>
      <c r="D16" s="349">
        <f>D15/D14</f>
        <v>0.51636363636363458</v>
      </c>
      <c r="E16" s="349">
        <f>E15/E14</f>
        <v>0.52722063037249145</v>
      </c>
    </row>
    <row r="17" spans="1:13" s="338" customFormat="1" x14ac:dyDescent="0.2"/>
    <row r="18" spans="1:13" s="338" customFormat="1" x14ac:dyDescent="0.2">
      <c r="B18" s="351">
        <v>1995</v>
      </c>
      <c r="C18" s="351">
        <v>1996</v>
      </c>
      <c r="D18" s="351">
        <v>1997</v>
      </c>
      <c r="E18" s="351">
        <v>1998</v>
      </c>
      <c r="F18" s="351">
        <v>1999</v>
      </c>
      <c r="G18" s="351">
        <v>2000</v>
      </c>
      <c r="H18" s="351">
        <v>2001</v>
      </c>
      <c r="I18" s="351">
        <v>2002</v>
      </c>
      <c r="J18" s="351">
        <v>2003</v>
      </c>
      <c r="K18" s="351">
        <v>2004</v>
      </c>
      <c r="L18" s="351">
        <v>2005</v>
      </c>
      <c r="M18" s="351">
        <v>2006</v>
      </c>
    </row>
    <row r="19" spans="1:13" s="338" customFormat="1" x14ac:dyDescent="0.2">
      <c r="A19" s="338" t="s">
        <v>331</v>
      </c>
      <c r="B19" s="352">
        <f>Vons!D14</f>
        <v>1192.5</v>
      </c>
      <c r="C19" s="352">
        <f>Vons!B14</f>
        <v>1194.2</v>
      </c>
      <c r="D19" s="352">
        <f>'Cmn-Sized'!I16*DCF!E7</f>
        <v>1260.6048874061471</v>
      </c>
      <c r="E19" s="352">
        <f>'Cmn-Sized'!J16*DCF!F7</f>
        <v>1311.1152126505162</v>
      </c>
      <c r="F19" s="352">
        <f>'Cmn-Sized'!K16*DCF!G7</f>
        <v>1357.0727182430419</v>
      </c>
      <c r="G19" s="352">
        <f>'Cmn-Sized'!L16*DCF!H7</f>
        <v>1404.5942289839634</v>
      </c>
      <c r="H19" s="352">
        <f>'Cmn-Sized'!M16*DCF!I7</f>
        <v>1453.7550269984019</v>
      </c>
      <c r="I19" s="352">
        <f>'Cmn-Sized'!N16*DCF!J7</f>
        <v>1504.6364529433461</v>
      </c>
      <c r="J19" s="352">
        <f>'Cmn-Sized'!O16*DCF!K7</f>
        <v>1557.2987287963631</v>
      </c>
      <c r="K19" s="352">
        <f>'Cmn-Sized'!P16*DCF!L7</f>
        <v>1611.8041843042356</v>
      </c>
      <c r="L19" s="352">
        <f>'Cmn-Sized'!Q16*DCF!M7</f>
        <v>1668.2173307548837</v>
      </c>
      <c r="M19" s="352">
        <f>'Cmn-Sized'!R16*DCF!N7</f>
        <v>1726.6049373313047</v>
      </c>
    </row>
    <row r="20" spans="1:13" s="338" customFormat="1" x14ac:dyDescent="0.2">
      <c r="A20" s="338" t="s">
        <v>332</v>
      </c>
      <c r="B20" s="352">
        <f>Vons!D42</f>
        <v>105.9</v>
      </c>
      <c r="C20" s="352">
        <f>Vons!B42</f>
        <v>105.79999999999998</v>
      </c>
      <c r="D20" s="352">
        <f>D21*D19</f>
        <v>111.68313271442835</v>
      </c>
      <c r="E20" s="352">
        <f t="shared" ref="E20:M20" si="6">E21*E19</f>
        <v>116.15808867729409</v>
      </c>
      <c r="F20" s="352">
        <f t="shared" si="6"/>
        <v>120.22968815115878</v>
      </c>
      <c r="G20" s="352">
        <f t="shared" si="6"/>
        <v>124.43985046600511</v>
      </c>
      <c r="H20" s="352">
        <f t="shared" si="6"/>
        <v>128.79524523231527</v>
      </c>
      <c r="I20" s="352">
        <f t="shared" si="6"/>
        <v>133.30307881544633</v>
      </c>
      <c r="J20" s="352">
        <f t="shared" si="6"/>
        <v>137.96868657398693</v>
      </c>
      <c r="K20" s="352">
        <f t="shared" si="6"/>
        <v>142.79759060407645</v>
      </c>
      <c r="L20" s="352">
        <f t="shared" si="6"/>
        <v>147.79550627521911</v>
      </c>
      <c r="M20" s="352">
        <f t="shared" si="6"/>
        <v>152.96834899485179</v>
      </c>
    </row>
    <row r="21" spans="1:13" s="338" customFormat="1" x14ac:dyDescent="0.2">
      <c r="A21" s="338" t="s">
        <v>333</v>
      </c>
      <c r="B21" s="349">
        <f>B20/B19</f>
        <v>8.880503144654088E-2</v>
      </c>
      <c r="C21" s="349">
        <f>C20/C19</f>
        <v>8.8594875230279674E-2</v>
      </c>
      <c r="D21" s="350">
        <f>C21</f>
        <v>8.8594875230279674E-2</v>
      </c>
      <c r="E21" s="350">
        <f t="shared" ref="E21:M21" si="7">D21</f>
        <v>8.8594875230279674E-2</v>
      </c>
      <c r="F21" s="350">
        <f t="shared" si="7"/>
        <v>8.8594875230279674E-2</v>
      </c>
      <c r="G21" s="350">
        <f t="shared" si="7"/>
        <v>8.8594875230279674E-2</v>
      </c>
      <c r="H21" s="350">
        <f t="shared" si="7"/>
        <v>8.8594875230279674E-2</v>
      </c>
      <c r="I21" s="350">
        <f t="shared" si="7"/>
        <v>8.8594875230279674E-2</v>
      </c>
      <c r="J21" s="350">
        <f t="shared" si="7"/>
        <v>8.8594875230279674E-2</v>
      </c>
      <c r="K21" s="350">
        <f t="shared" si="7"/>
        <v>8.8594875230279674E-2</v>
      </c>
      <c r="L21" s="350">
        <f t="shared" si="7"/>
        <v>8.8594875230279674E-2</v>
      </c>
      <c r="M21" s="350">
        <f t="shared" si="7"/>
        <v>8.8594875230279674E-2</v>
      </c>
    </row>
    <row r="22" spans="1:13" s="338" customFormat="1" x14ac:dyDescent="0.2"/>
    <row r="23" spans="1:13" s="338" customFormat="1" x14ac:dyDescent="0.2">
      <c r="B23" s="351">
        <v>1993</v>
      </c>
      <c r="C23" s="351">
        <v>1994</v>
      </c>
      <c r="D23" s="351">
        <v>1995</v>
      </c>
      <c r="E23" s="351">
        <v>1996</v>
      </c>
    </row>
    <row r="24" spans="1:13" s="338" customFormat="1" x14ac:dyDescent="0.2">
      <c r="A24" s="338" t="s">
        <v>334</v>
      </c>
      <c r="B24" s="352">
        <f>Vons!H17</f>
        <v>2249.5</v>
      </c>
      <c r="C24" s="352">
        <f>Vons!F17</f>
        <v>2222</v>
      </c>
      <c r="D24" s="352">
        <f>Vons!D17</f>
        <v>2186.5</v>
      </c>
      <c r="E24" s="352">
        <f>Vons!B17</f>
        <v>2185.4</v>
      </c>
    </row>
    <row r="25" spans="1:13" s="338" customFormat="1" x14ac:dyDescent="0.2">
      <c r="A25" s="338" t="s">
        <v>338</v>
      </c>
      <c r="B25" s="355">
        <f>Vons!H23</f>
        <v>8.6</v>
      </c>
      <c r="C25" s="355">
        <f>Vons!F23</f>
        <v>8.6999999999999993</v>
      </c>
      <c r="D25" s="355">
        <f>Vons!D23</f>
        <v>25.7</v>
      </c>
      <c r="E25" s="355">
        <f>Vons!B23</f>
        <v>154.9</v>
      </c>
    </row>
    <row r="26" spans="1:13" s="338" customFormat="1" x14ac:dyDescent="0.2">
      <c r="A26" s="338" t="s">
        <v>335</v>
      </c>
      <c r="B26" s="354">
        <f>Vons!H29</f>
        <v>819.3</v>
      </c>
      <c r="C26" s="354">
        <f>Vons!F29</f>
        <v>745.8</v>
      </c>
      <c r="D26" s="354">
        <f>Vons!D29</f>
        <v>604.5</v>
      </c>
      <c r="E26" s="354">
        <f>Vons!B29</f>
        <v>299.5</v>
      </c>
    </row>
    <row r="27" spans="1:13" s="338" customFormat="1" x14ac:dyDescent="0.2">
      <c r="A27" s="338" t="s">
        <v>337</v>
      </c>
      <c r="B27" s="354">
        <f>B26+B25</f>
        <v>827.9</v>
      </c>
      <c r="C27" s="354">
        <f>C26+C25</f>
        <v>754.5</v>
      </c>
      <c r="D27" s="354">
        <f>D26+D25</f>
        <v>630.20000000000005</v>
      </c>
      <c r="E27" s="354">
        <f>E26+E25</f>
        <v>454.4</v>
      </c>
    </row>
    <row r="28" spans="1:13" s="338" customFormat="1" x14ac:dyDescent="0.2">
      <c r="A28" s="338" t="s">
        <v>336</v>
      </c>
      <c r="B28" s="349">
        <f>B27/B24</f>
        <v>0.36803734163147367</v>
      </c>
      <c r="C28" s="349">
        <f>C27/C24</f>
        <v>0.33955895589558954</v>
      </c>
      <c r="D28" s="349">
        <f>D27/D24</f>
        <v>0.28822318774296823</v>
      </c>
      <c r="E28" s="349">
        <f>E27/E24</f>
        <v>0.20792532259540586</v>
      </c>
    </row>
    <row r="29" spans="1:13" s="338" customFormat="1" x14ac:dyDescent="0.2"/>
    <row r="30" spans="1:13" s="338" customFormat="1" x14ac:dyDescent="0.2"/>
    <row r="31" spans="1:13" s="338" customFormat="1" x14ac:dyDescent="0.2"/>
    <row r="32" spans="1:13" s="338" customFormat="1" x14ac:dyDescent="0.2"/>
    <row r="33" s="338" customFormat="1" x14ac:dyDescent="0.2"/>
    <row r="34" s="338" customFormat="1" x14ac:dyDescent="0.2"/>
    <row r="35" s="338" customFormat="1" x14ac:dyDescent="0.2"/>
    <row r="36" s="338" customFormat="1" x14ac:dyDescent="0.2"/>
    <row r="37" s="338" customFormat="1" x14ac:dyDescent="0.2"/>
    <row r="38" s="338" customFormat="1" x14ac:dyDescent="0.2"/>
    <row r="39" s="338" customFormat="1" x14ac:dyDescent="0.2"/>
    <row r="40" s="338" customFormat="1" x14ac:dyDescent="0.2"/>
    <row r="41" s="338" customFormat="1" x14ac:dyDescent="0.2"/>
    <row r="42" s="338" customFormat="1" x14ac:dyDescent="0.2"/>
    <row r="43" s="338" customFormat="1" x14ac:dyDescent="0.2"/>
    <row r="44" s="338" customFormat="1" x14ac:dyDescent="0.2"/>
    <row r="45" s="338" customFormat="1" x14ac:dyDescent="0.2"/>
    <row r="46" s="338" customFormat="1" x14ac:dyDescent="0.2"/>
    <row r="47" s="338" customFormat="1" x14ac:dyDescent="0.2"/>
    <row r="48" s="338" customFormat="1" x14ac:dyDescent="0.2"/>
    <row r="49" s="338" customFormat="1" x14ac:dyDescent="0.2"/>
    <row r="50" s="338" customFormat="1" x14ac:dyDescent="0.2"/>
    <row r="51" s="338" customFormat="1" x14ac:dyDescent="0.2"/>
    <row r="52" s="338" customFormat="1" x14ac:dyDescent="0.2"/>
    <row r="53" s="338" customFormat="1" x14ac:dyDescent="0.2"/>
    <row r="54" s="338" customFormat="1" x14ac:dyDescent="0.2"/>
    <row r="55" s="338" customFormat="1" x14ac:dyDescent="0.2"/>
    <row r="56" s="338" customFormat="1" x14ac:dyDescent="0.2"/>
    <row r="57" s="338" customFormat="1" x14ac:dyDescent="0.2"/>
    <row r="58" s="338" customFormat="1" x14ac:dyDescent="0.2"/>
    <row r="59" s="338" customFormat="1" x14ac:dyDescent="0.2"/>
    <row r="60" s="338" customFormat="1" x14ac:dyDescent="0.2"/>
    <row r="61" s="338" customFormat="1" x14ac:dyDescent="0.2"/>
    <row r="62" s="338" customFormat="1" x14ac:dyDescent="0.2"/>
    <row r="63" s="338" customFormat="1" x14ac:dyDescent="0.2"/>
    <row r="64" s="338" customFormat="1" x14ac:dyDescent="0.2"/>
    <row r="65" spans="1:13" s="338" customFormat="1" x14ac:dyDescent="0.2"/>
    <row r="66" spans="1:13" s="338" customFormat="1" x14ac:dyDescent="0.2"/>
    <row r="67" spans="1:13" s="338" customFormat="1" x14ac:dyDescent="0.2"/>
    <row r="68" spans="1:13" s="338" customFormat="1" x14ac:dyDescent="0.2"/>
    <row r="69" spans="1:13" s="338" customFormat="1" x14ac:dyDescent="0.2"/>
    <row r="70" spans="1:13" s="338" customFormat="1" x14ac:dyDescent="0.2"/>
    <row r="71" spans="1:13" s="338" customFormat="1" x14ac:dyDescent="0.2"/>
    <row r="72" spans="1:13" s="338" customFormat="1" x14ac:dyDescent="0.2"/>
    <row r="73" spans="1:13" s="338" customFormat="1" x14ac:dyDescent="0.2"/>
    <row r="74" spans="1:13" s="338" customFormat="1" x14ac:dyDescent="0.2">
      <c r="A74" s="339"/>
      <c r="B74" s="339"/>
      <c r="C74" s="339"/>
      <c r="D74" s="339"/>
      <c r="E74" s="339"/>
      <c r="F74" s="339"/>
      <c r="G74" s="339"/>
      <c r="H74" s="339"/>
      <c r="I74" s="339"/>
      <c r="J74" s="339"/>
      <c r="K74" s="339"/>
      <c r="L74" s="339"/>
      <c r="M74" s="339"/>
    </row>
    <row r="75" spans="1:13" s="338" customFormat="1" x14ac:dyDescent="0.2">
      <c r="A75" s="339"/>
      <c r="B75" s="339"/>
      <c r="C75" s="339"/>
      <c r="D75" s="339"/>
      <c r="E75" s="339"/>
      <c r="F75" s="339"/>
      <c r="G75" s="339"/>
      <c r="H75" s="339"/>
      <c r="I75" s="339"/>
      <c r="J75" s="339"/>
      <c r="K75" s="339"/>
      <c r="L75" s="339"/>
      <c r="M75" s="339"/>
    </row>
    <row r="76" spans="1:13" s="338" customFormat="1" x14ac:dyDescent="0.2">
      <c r="A76" s="339"/>
      <c r="B76" s="339"/>
      <c r="C76" s="339"/>
      <c r="D76" s="339"/>
      <c r="E76" s="339"/>
      <c r="F76" s="339"/>
      <c r="G76" s="339"/>
      <c r="H76" s="339"/>
      <c r="I76" s="339"/>
      <c r="J76" s="339"/>
      <c r="K76" s="339"/>
      <c r="L76" s="339"/>
      <c r="M76" s="339"/>
    </row>
    <row r="77" spans="1:13" s="338" customFormat="1" x14ac:dyDescent="0.2">
      <c r="A77" s="339"/>
      <c r="B77" s="339"/>
      <c r="C77" s="339"/>
      <c r="D77" s="339"/>
      <c r="E77" s="339"/>
      <c r="F77" s="339"/>
      <c r="G77" s="339"/>
      <c r="H77" s="339"/>
      <c r="I77" s="339"/>
      <c r="J77" s="339"/>
      <c r="K77" s="339"/>
      <c r="L77" s="339"/>
      <c r="M77" s="339"/>
    </row>
    <row r="78" spans="1:13" s="338" customFormat="1" x14ac:dyDescent="0.2">
      <c r="A78" s="339"/>
      <c r="B78" s="339"/>
      <c r="C78" s="339"/>
      <c r="D78" s="339"/>
      <c r="E78" s="339"/>
      <c r="F78" s="339"/>
      <c r="G78" s="339"/>
      <c r="H78" s="339"/>
      <c r="I78" s="339"/>
      <c r="J78" s="339"/>
      <c r="K78" s="339"/>
      <c r="L78" s="339"/>
      <c r="M78" s="339"/>
    </row>
    <row r="79" spans="1:13" s="338" customFormat="1" x14ac:dyDescent="0.2">
      <c r="A79" s="339"/>
      <c r="B79" s="339"/>
      <c r="C79" s="339"/>
      <c r="D79" s="339"/>
      <c r="E79" s="339"/>
      <c r="F79" s="339"/>
      <c r="G79" s="339"/>
      <c r="H79" s="339"/>
      <c r="I79" s="339"/>
      <c r="J79" s="339"/>
      <c r="K79" s="339"/>
      <c r="L79" s="339"/>
      <c r="M79" s="339"/>
    </row>
    <row r="80" spans="1:13" s="338" customFormat="1" x14ac:dyDescent="0.2">
      <c r="A80" s="339"/>
      <c r="B80" s="339"/>
      <c r="C80" s="339"/>
      <c r="D80" s="339"/>
      <c r="E80" s="339"/>
      <c r="F80" s="339"/>
      <c r="G80" s="339"/>
      <c r="H80" s="339"/>
      <c r="I80" s="339"/>
      <c r="J80" s="339"/>
      <c r="K80" s="339"/>
      <c r="L80" s="339"/>
      <c r="M80" s="339"/>
    </row>
    <row r="81" spans="1:15" s="338" customFormat="1" x14ac:dyDescent="0.2">
      <c r="A81" s="339"/>
      <c r="B81" s="339"/>
      <c r="C81" s="339"/>
      <c r="D81" s="339"/>
      <c r="E81" s="339"/>
      <c r="F81" s="339"/>
      <c r="G81" s="339"/>
      <c r="H81" s="339"/>
      <c r="I81" s="339"/>
      <c r="J81" s="339"/>
      <c r="K81" s="339"/>
      <c r="L81" s="339"/>
      <c r="M81" s="339"/>
    </row>
    <row r="82" spans="1:15" s="338" customFormat="1" x14ac:dyDescent="0.2">
      <c r="A82" s="339"/>
      <c r="B82" s="339"/>
      <c r="C82" s="339"/>
      <c r="D82" s="339"/>
      <c r="E82" s="339"/>
      <c r="F82" s="339"/>
      <c r="G82" s="339"/>
      <c r="H82" s="339"/>
      <c r="I82" s="339"/>
      <c r="J82" s="339"/>
      <c r="K82" s="339"/>
      <c r="L82" s="339"/>
      <c r="M82" s="339"/>
    </row>
    <row r="83" spans="1:15" s="338" customFormat="1" x14ac:dyDescent="0.2">
      <c r="A83" s="339"/>
      <c r="B83" s="339"/>
      <c r="C83" s="339"/>
      <c r="D83" s="339"/>
      <c r="E83" s="339"/>
      <c r="F83" s="339"/>
      <c r="G83" s="339"/>
      <c r="H83" s="339"/>
      <c r="I83" s="339"/>
      <c r="J83" s="339"/>
      <c r="K83" s="339"/>
      <c r="L83" s="339"/>
      <c r="M83" s="339"/>
    </row>
    <row r="84" spans="1:15" s="338" customFormat="1" x14ac:dyDescent="0.2">
      <c r="A84" s="339"/>
      <c r="B84" s="339"/>
      <c r="C84" s="339"/>
      <c r="D84" s="339"/>
      <c r="E84" s="339"/>
      <c r="F84" s="339"/>
      <c r="G84" s="339"/>
      <c r="H84" s="339"/>
      <c r="I84" s="339"/>
      <c r="J84" s="339"/>
      <c r="K84" s="339"/>
      <c r="L84" s="339"/>
      <c r="M84" s="339"/>
    </row>
    <row r="85" spans="1:15" s="338" customFormat="1" x14ac:dyDescent="0.2">
      <c r="A85" s="339"/>
      <c r="B85" s="339"/>
      <c r="C85" s="339"/>
      <c r="D85" s="339"/>
      <c r="E85" s="339"/>
      <c r="F85" s="339"/>
      <c r="G85" s="339"/>
      <c r="H85" s="339"/>
      <c r="I85" s="339"/>
      <c r="J85" s="339"/>
      <c r="K85" s="339"/>
      <c r="L85" s="339"/>
      <c r="M85" s="339"/>
    </row>
    <row r="86" spans="1:15" s="338" customFormat="1" x14ac:dyDescent="0.2">
      <c r="A86" s="339"/>
      <c r="B86" s="339"/>
      <c r="C86" s="339"/>
      <c r="D86" s="339"/>
      <c r="E86" s="339"/>
      <c r="F86" s="339"/>
      <c r="G86" s="339"/>
      <c r="H86" s="339"/>
      <c r="I86" s="339"/>
      <c r="J86" s="339"/>
      <c r="K86" s="339"/>
      <c r="L86" s="339"/>
      <c r="M86" s="339"/>
    </row>
    <row r="87" spans="1:15" s="338" customFormat="1" x14ac:dyDescent="0.2">
      <c r="A87" s="339"/>
      <c r="B87" s="339"/>
      <c r="C87" s="339"/>
      <c r="D87" s="339"/>
      <c r="E87" s="339"/>
      <c r="F87" s="339"/>
      <c r="G87" s="339"/>
      <c r="H87" s="339"/>
      <c r="I87" s="339"/>
      <c r="J87" s="339"/>
      <c r="K87" s="339"/>
      <c r="L87" s="339"/>
      <c r="M87" s="339"/>
    </row>
    <row r="88" spans="1:15" s="338" customFormat="1" x14ac:dyDescent="0.2">
      <c r="A88" s="339"/>
      <c r="B88" s="339"/>
      <c r="C88" s="339"/>
      <c r="D88" s="339"/>
      <c r="E88" s="339"/>
      <c r="F88" s="339"/>
      <c r="G88" s="339"/>
      <c r="H88" s="339"/>
      <c r="I88" s="339"/>
      <c r="J88" s="339"/>
      <c r="K88" s="339"/>
      <c r="L88" s="339"/>
      <c r="M88" s="339"/>
    </row>
    <row r="89" spans="1:15" s="338" customFormat="1" x14ac:dyDescent="0.2">
      <c r="A89" s="339"/>
      <c r="B89" s="339"/>
      <c r="C89" s="339"/>
      <c r="D89" s="339"/>
      <c r="E89" s="339"/>
      <c r="F89" s="339"/>
      <c r="G89" s="339"/>
      <c r="H89" s="339"/>
      <c r="I89" s="339"/>
      <c r="J89" s="339"/>
      <c r="K89" s="339"/>
      <c r="L89" s="339"/>
      <c r="M89" s="339"/>
    </row>
    <row r="90" spans="1:15" s="338" customFormat="1" x14ac:dyDescent="0.2">
      <c r="A90" s="339"/>
      <c r="B90" s="339"/>
      <c r="C90" s="339"/>
      <c r="D90" s="339"/>
      <c r="E90" s="339"/>
      <c r="F90" s="339"/>
      <c r="G90" s="339"/>
      <c r="H90" s="339"/>
      <c r="I90" s="339"/>
      <c r="J90" s="339"/>
      <c r="K90" s="339"/>
      <c r="L90" s="339"/>
      <c r="M90" s="339"/>
    </row>
    <row r="91" spans="1:15" s="338" customFormat="1" x14ac:dyDescent="0.2">
      <c r="A91" s="339"/>
      <c r="B91" s="339"/>
      <c r="C91" s="339"/>
      <c r="D91" s="339"/>
      <c r="E91" s="339"/>
      <c r="F91" s="339"/>
      <c r="G91" s="339"/>
      <c r="H91" s="339"/>
      <c r="I91" s="339"/>
      <c r="J91" s="339"/>
      <c r="K91" s="339"/>
      <c r="L91" s="339"/>
      <c r="M91" s="339"/>
    </row>
    <row r="92" spans="1:15" s="338" customFormat="1" x14ac:dyDescent="0.2">
      <c r="A92" s="339"/>
      <c r="B92" s="339"/>
      <c r="C92" s="339"/>
      <c r="D92" s="339"/>
      <c r="E92" s="339"/>
      <c r="F92" s="339"/>
      <c r="G92" s="339"/>
      <c r="H92" s="339"/>
      <c r="I92" s="339"/>
      <c r="J92" s="339"/>
      <c r="K92" s="339"/>
      <c r="L92" s="339"/>
      <c r="M92" s="339"/>
    </row>
    <row r="93" spans="1:15" s="338" customFormat="1" x14ac:dyDescent="0.2">
      <c r="A93" s="339"/>
      <c r="B93" s="339"/>
      <c r="C93" s="339"/>
      <c r="D93" s="339"/>
      <c r="E93" s="339"/>
      <c r="F93" s="339"/>
      <c r="G93" s="339"/>
      <c r="H93" s="339"/>
      <c r="I93" s="339"/>
      <c r="J93" s="339"/>
      <c r="K93" s="339"/>
      <c r="L93" s="339"/>
      <c r="M93" s="339"/>
    </row>
    <row r="94" spans="1:15" s="338" customFormat="1" x14ac:dyDescent="0.2">
      <c r="A94" s="339"/>
      <c r="B94" s="340"/>
      <c r="C94" s="321"/>
      <c r="D94" s="321"/>
      <c r="E94" s="321"/>
      <c r="F94" s="321"/>
      <c r="G94" s="321"/>
      <c r="H94" s="321"/>
      <c r="I94" s="321"/>
      <c r="J94" s="321"/>
      <c r="K94" s="321"/>
      <c r="L94" s="321"/>
      <c r="M94" s="321"/>
      <c r="N94" s="278"/>
      <c r="O94" s="278"/>
    </row>
    <row r="95" spans="1:15" x14ac:dyDescent="0.2">
      <c r="A95" s="114"/>
      <c r="B95" s="341"/>
      <c r="C95" s="322"/>
      <c r="D95" s="322"/>
      <c r="E95" s="322"/>
      <c r="F95" s="322"/>
      <c r="G95" s="322"/>
      <c r="H95" s="322"/>
      <c r="I95" s="322"/>
      <c r="J95" s="322"/>
      <c r="K95" s="322"/>
      <c r="L95" s="322"/>
      <c r="M95" s="322"/>
      <c r="N95" s="270"/>
      <c r="O95" s="270"/>
    </row>
    <row r="96" spans="1:15" x14ac:dyDescent="0.2">
      <c r="A96" s="114"/>
      <c r="B96" s="114"/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3"/>
      <c r="O96" s="113"/>
    </row>
    <row r="97" spans="1:15" x14ac:dyDescent="0.2">
      <c r="A97" s="114"/>
      <c r="B97" s="323"/>
      <c r="C97" s="324"/>
      <c r="D97" s="324"/>
      <c r="E97" s="325"/>
      <c r="F97" s="324"/>
      <c r="G97" s="324"/>
      <c r="H97" s="324"/>
      <c r="I97" s="324"/>
      <c r="J97" s="324"/>
      <c r="K97" s="324"/>
      <c r="L97" s="324"/>
      <c r="M97" s="324"/>
      <c r="N97" s="271" t="s">
        <v>138</v>
      </c>
      <c r="O97" s="271" t="s">
        <v>138</v>
      </c>
    </row>
    <row r="98" spans="1:15" x14ac:dyDescent="0.2">
      <c r="A98" s="114"/>
      <c r="B98" s="326"/>
      <c r="C98" s="327"/>
      <c r="D98" s="327"/>
      <c r="E98" s="326"/>
      <c r="F98" s="327"/>
      <c r="G98" s="327"/>
      <c r="H98" s="327"/>
      <c r="I98" s="327"/>
      <c r="J98" s="327"/>
      <c r="K98" s="327"/>
      <c r="L98" s="327"/>
      <c r="M98" s="327"/>
      <c r="N98" s="272">
        <f>M98+1</f>
        <v>1</v>
      </c>
      <c r="O98" s="272">
        <f>N98+1</f>
        <v>2</v>
      </c>
    </row>
    <row r="99" spans="1:15" x14ac:dyDescent="0.2">
      <c r="A99" s="114"/>
      <c r="B99" s="328"/>
      <c r="C99" s="328"/>
      <c r="D99" s="328"/>
      <c r="E99" s="328"/>
      <c r="F99" s="328"/>
      <c r="G99" s="328"/>
      <c r="H99" s="328"/>
      <c r="I99" s="328"/>
      <c r="J99" s="328"/>
      <c r="K99" s="328"/>
      <c r="L99" s="328"/>
      <c r="M99" s="328"/>
      <c r="N99" s="273"/>
      <c r="O99" s="273"/>
    </row>
    <row r="100" spans="1:15" x14ac:dyDescent="0.2">
      <c r="A100" s="114"/>
      <c r="B100" s="329"/>
      <c r="C100" s="330"/>
      <c r="D100" s="331"/>
      <c r="E100" s="332"/>
      <c r="F100" s="331"/>
      <c r="G100" s="331"/>
      <c r="H100" s="331"/>
      <c r="I100" s="331"/>
      <c r="J100" s="331"/>
      <c r="K100" s="331"/>
      <c r="L100" s="331"/>
      <c r="M100" s="331"/>
      <c r="N100" s="275">
        <f>+M100*(1+N101)</f>
        <v>0</v>
      </c>
      <c r="O100" s="275">
        <f>+N100*(1+O101)</f>
        <v>0</v>
      </c>
    </row>
    <row r="101" spans="1:15" x14ac:dyDescent="0.2">
      <c r="A101" s="114"/>
      <c r="B101" s="328"/>
      <c r="C101" s="328"/>
      <c r="D101" s="328"/>
      <c r="E101" s="332"/>
      <c r="F101" s="333"/>
      <c r="G101" s="333"/>
      <c r="H101" s="333"/>
      <c r="I101" s="333"/>
      <c r="J101" s="333"/>
      <c r="K101" s="333"/>
      <c r="L101" s="333"/>
      <c r="M101" s="333"/>
      <c r="N101" s="276">
        <f>+M101</f>
        <v>0</v>
      </c>
      <c r="O101" s="276">
        <f>+N101</f>
        <v>0</v>
      </c>
    </row>
    <row r="102" spans="1:15" x14ac:dyDescent="0.2">
      <c r="A102" s="114"/>
      <c r="B102" s="328"/>
      <c r="C102" s="328"/>
      <c r="D102" s="328"/>
      <c r="E102" s="328"/>
      <c r="F102" s="333"/>
      <c r="G102" s="333"/>
      <c r="H102" s="333"/>
      <c r="I102" s="333"/>
      <c r="J102" s="333"/>
      <c r="K102" s="333"/>
      <c r="L102" s="333"/>
      <c r="M102" s="333"/>
      <c r="N102" s="276"/>
      <c r="O102" s="276"/>
    </row>
    <row r="103" spans="1:15" x14ac:dyDescent="0.2">
      <c r="A103" s="114"/>
      <c r="B103" s="328"/>
      <c r="C103" s="328"/>
      <c r="D103" s="328"/>
      <c r="E103" s="332"/>
      <c r="F103" s="329"/>
      <c r="G103" s="329"/>
      <c r="H103" s="329"/>
      <c r="I103" s="329"/>
      <c r="J103" s="329"/>
      <c r="K103" s="329"/>
      <c r="L103" s="329"/>
      <c r="M103" s="329"/>
      <c r="N103" s="274">
        <v>5</v>
      </c>
      <c r="O103" s="274">
        <v>5</v>
      </c>
    </row>
    <row r="104" spans="1:15" x14ac:dyDescent="0.2">
      <c r="A104" s="114"/>
      <c r="B104" s="328"/>
      <c r="C104" s="328"/>
      <c r="D104" s="328"/>
      <c r="E104" s="328"/>
      <c r="F104" s="328"/>
      <c r="G104" s="328"/>
      <c r="H104" s="328"/>
      <c r="I104" s="328"/>
      <c r="J104" s="328"/>
      <c r="K104" s="328"/>
      <c r="L104" s="328"/>
      <c r="M104" s="328"/>
      <c r="N104" s="273"/>
      <c r="O104" s="273"/>
    </row>
    <row r="105" spans="1:15" x14ac:dyDescent="0.2">
      <c r="A105" s="114"/>
      <c r="B105" s="334"/>
      <c r="C105" s="328"/>
      <c r="D105" s="328"/>
      <c r="E105" s="335"/>
      <c r="F105" s="331"/>
      <c r="G105" s="331"/>
      <c r="H105" s="331"/>
      <c r="I105" s="331"/>
      <c r="J105" s="331"/>
      <c r="K105" s="331"/>
      <c r="L105" s="331"/>
      <c r="M105" s="331"/>
      <c r="N105" s="275">
        <f>+M105*(1+N$101)</f>
        <v>0</v>
      </c>
      <c r="O105" s="275">
        <f>+N105*(1+O$101)</f>
        <v>0</v>
      </c>
    </row>
    <row r="106" spans="1:15" x14ac:dyDescent="0.2">
      <c r="A106" s="114"/>
      <c r="B106" s="334"/>
      <c r="C106" s="328"/>
      <c r="D106" s="328"/>
      <c r="E106" s="336"/>
      <c r="F106" s="331"/>
      <c r="G106" s="331"/>
      <c r="H106" s="331"/>
      <c r="I106" s="331"/>
      <c r="J106" s="331"/>
      <c r="K106" s="331"/>
      <c r="L106" s="331"/>
      <c r="M106" s="331"/>
      <c r="N106" s="275"/>
      <c r="O106" s="275"/>
    </row>
    <row r="107" spans="1:15" x14ac:dyDescent="0.2">
      <c r="A107" s="114"/>
      <c r="B107" s="334"/>
      <c r="C107" s="328"/>
      <c r="D107" s="328"/>
      <c r="E107" s="337"/>
      <c r="F107" s="331"/>
      <c r="G107" s="331"/>
      <c r="H107" s="331"/>
      <c r="I107" s="331"/>
      <c r="J107" s="331"/>
      <c r="K107" s="331"/>
      <c r="L107" s="331"/>
      <c r="M107" s="331"/>
      <c r="N107" s="275">
        <f t="shared" ref="N107:O110" si="8">+M107*(1+N$101)</f>
        <v>0</v>
      </c>
      <c r="O107" s="275">
        <f t="shared" si="8"/>
        <v>0</v>
      </c>
    </row>
    <row r="108" spans="1:15" x14ac:dyDescent="0.2">
      <c r="A108" s="114"/>
      <c r="B108" s="334"/>
      <c r="C108" s="328"/>
      <c r="D108" s="328"/>
      <c r="E108" s="337"/>
      <c r="F108" s="331"/>
      <c r="G108" s="331"/>
      <c r="H108" s="331"/>
      <c r="I108" s="331"/>
      <c r="J108" s="331"/>
      <c r="K108" s="331"/>
      <c r="L108" s="331"/>
      <c r="M108" s="331"/>
      <c r="N108" s="275">
        <f t="shared" si="8"/>
        <v>0</v>
      </c>
      <c r="O108" s="275">
        <f t="shared" si="8"/>
        <v>0</v>
      </c>
    </row>
    <row r="109" spans="1:15" x14ac:dyDescent="0.2">
      <c r="A109" s="114"/>
      <c r="B109" s="334"/>
      <c r="C109" s="328"/>
      <c r="D109" s="328"/>
      <c r="E109" s="337"/>
      <c r="F109" s="331"/>
      <c r="G109" s="331"/>
      <c r="H109" s="331"/>
      <c r="I109" s="331"/>
      <c r="J109" s="331"/>
      <c r="K109" s="331"/>
      <c r="L109" s="331"/>
      <c r="M109" s="331"/>
      <c r="N109" s="275">
        <f t="shared" si="8"/>
        <v>0</v>
      </c>
      <c r="O109" s="275">
        <f t="shared" si="8"/>
        <v>0</v>
      </c>
    </row>
    <row r="110" spans="1:15" x14ac:dyDescent="0.2">
      <c r="A110" s="114"/>
      <c r="B110" s="328"/>
      <c r="C110" s="328"/>
      <c r="D110" s="328"/>
      <c r="E110" s="328"/>
      <c r="F110" s="331"/>
      <c r="G110" s="331"/>
      <c r="H110" s="331"/>
      <c r="I110" s="331"/>
      <c r="J110" s="331"/>
      <c r="K110" s="331"/>
      <c r="L110" s="331"/>
      <c r="M110" s="331"/>
      <c r="N110" s="275">
        <f t="shared" si="8"/>
        <v>0</v>
      </c>
      <c r="O110" s="275">
        <f t="shared" si="8"/>
        <v>0</v>
      </c>
    </row>
    <row r="111" spans="1:15" x14ac:dyDescent="0.2">
      <c r="A111" s="114"/>
      <c r="B111" s="328"/>
      <c r="C111" s="328"/>
      <c r="D111" s="328"/>
      <c r="E111" s="328"/>
      <c r="F111" s="331"/>
      <c r="G111" s="331"/>
      <c r="H111" s="331"/>
      <c r="I111" s="331"/>
      <c r="J111" s="331"/>
      <c r="K111" s="331"/>
      <c r="L111" s="331"/>
      <c r="M111" s="331"/>
      <c r="N111" s="275">
        <f>+M111*(1+$E$109)</f>
        <v>0</v>
      </c>
      <c r="O111" s="275">
        <f>+N111*(1+O$101)</f>
        <v>0</v>
      </c>
    </row>
    <row r="112" spans="1:15" x14ac:dyDescent="0.2">
      <c r="A112" s="114"/>
      <c r="B112" s="328"/>
      <c r="C112" s="328"/>
      <c r="D112" s="328"/>
      <c r="E112" s="328"/>
      <c r="F112" s="331"/>
      <c r="G112" s="331"/>
      <c r="H112" s="331"/>
      <c r="I112" s="331"/>
      <c r="J112" s="331"/>
      <c r="K112" s="331"/>
      <c r="L112" s="331"/>
      <c r="M112" s="331"/>
      <c r="N112" s="275">
        <f>+M112*(1+$E$108)</f>
        <v>0</v>
      </c>
      <c r="O112" s="275">
        <f>+N112*(1+$E$109)</f>
        <v>0</v>
      </c>
    </row>
    <row r="113" spans="1:15" x14ac:dyDescent="0.2">
      <c r="A113" s="114"/>
      <c r="B113" s="328"/>
      <c r="C113" s="328"/>
      <c r="D113" s="328"/>
      <c r="E113" s="328"/>
      <c r="F113" s="331"/>
      <c r="G113" s="331"/>
      <c r="H113" s="331"/>
      <c r="I113" s="331"/>
      <c r="J113" s="331"/>
      <c r="K113" s="331"/>
      <c r="L113" s="331"/>
      <c r="M113" s="331"/>
      <c r="N113" s="275">
        <f>+M113*(1+$E$107)</f>
        <v>0</v>
      </c>
      <c r="O113" s="275">
        <f>+N113*(1+$E$108)</f>
        <v>0</v>
      </c>
    </row>
    <row r="114" spans="1:15" x14ac:dyDescent="0.2">
      <c r="A114" s="114"/>
      <c r="B114" s="328"/>
      <c r="C114" s="328"/>
      <c r="D114" s="328"/>
      <c r="E114" s="328"/>
      <c r="F114" s="331"/>
      <c r="G114" s="331"/>
      <c r="H114" s="331"/>
      <c r="I114" s="331"/>
      <c r="J114" s="331"/>
      <c r="K114" s="331"/>
      <c r="L114" s="331"/>
      <c r="M114" s="331"/>
      <c r="N114" s="275">
        <f>+N103*E105/1000000</f>
        <v>0</v>
      </c>
      <c r="O114" s="275">
        <f>+N114*(1+$E$107)</f>
        <v>0</v>
      </c>
    </row>
    <row r="115" spans="1:15" x14ac:dyDescent="0.2">
      <c r="A115" s="114"/>
      <c r="B115" s="328"/>
      <c r="C115" s="328"/>
      <c r="D115" s="328"/>
      <c r="E115" s="328"/>
      <c r="F115" s="331"/>
      <c r="G115" s="331"/>
      <c r="H115" s="331"/>
      <c r="I115" s="331"/>
      <c r="J115" s="331"/>
      <c r="K115" s="331"/>
      <c r="L115" s="331"/>
      <c r="M115" s="331"/>
      <c r="N115" s="275"/>
      <c r="O115" s="275">
        <f>+O103*E105/1000000</f>
        <v>0</v>
      </c>
    </row>
    <row r="116" spans="1:15" x14ac:dyDescent="0.2">
      <c r="A116" s="114"/>
      <c r="B116" s="328"/>
      <c r="C116" s="328"/>
      <c r="D116" s="328"/>
      <c r="E116" s="328"/>
      <c r="F116" s="331"/>
      <c r="G116" s="331"/>
      <c r="H116" s="331"/>
      <c r="I116" s="331"/>
      <c r="J116" s="331"/>
      <c r="K116" s="331"/>
      <c r="L116" s="331"/>
      <c r="M116" s="331"/>
      <c r="N116" s="275"/>
      <c r="O116" s="275"/>
    </row>
    <row r="117" spans="1:15" x14ac:dyDescent="0.2">
      <c r="A117" s="114"/>
      <c r="B117" s="329"/>
      <c r="C117" s="328"/>
      <c r="D117" s="328"/>
      <c r="E117" s="328"/>
      <c r="F117" s="331"/>
      <c r="G117" s="331"/>
      <c r="H117" s="331"/>
      <c r="I117" s="331"/>
      <c r="J117" s="331"/>
      <c r="K117" s="331"/>
      <c r="L117" s="331"/>
      <c r="M117" s="331"/>
      <c r="N117" s="275">
        <f>SUM(N105:N115)</f>
        <v>0</v>
      </c>
      <c r="O117" s="275">
        <f>SUM(O105:O115)</f>
        <v>0</v>
      </c>
    </row>
    <row r="118" spans="1:15" x14ac:dyDescent="0.2">
      <c r="A118" s="114"/>
      <c r="B118" s="329"/>
      <c r="C118" s="328"/>
      <c r="D118" s="328"/>
      <c r="E118" s="328"/>
      <c r="F118" s="328"/>
      <c r="G118" s="328"/>
      <c r="H118" s="328"/>
      <c r="I118" s="328"/>
      <c r="J118" s="328"/>
      <c r="K118" s="328"/>
      <c r="L118" s="328"/>
      <c r="M118" s="328"/>
      <c r="N118" s="273"/>
      <c r="O118" s="273"/>
    </row>
    <row r="119" spans="1:15" x14ac:dyDescent="0.2">
      <c r="A119" s="114"/>
      <c r="B119" s="329"/>
      <c r="C119" s="328"/>
      <c r="D119" s="328"/>
      <c r="E119" s="332"/>
      <c r="F119" s="331"/>
      <c r="G119" s="331"/>
      <c r="H119" s="331"/>
      <c r="I119" s="331"/>
      <c r="J119" s="331"/>
      <c r="K119" s="331"/>
      <c r="L119" s="331"/>
      <c r="M119" s="331"/>
      <c r="N119" s="275">
        <f>+N100+N117</f>
        <v>0</v>
      </c>
      <c r="O119" s="275">
        <f>+O100+O117</f>
        <v>0</v>
      </c>
    </row>
    <row r="120" spans="1:15" x14ac:dyDescent="0.2">
      <c r="A120" s="114"/>
      <c r="B120" s="328"/>
      <c r="C120" s="328"/>
      <c r="D120" s="328"/>
      <c r="E120" s="328"/>
      <c r="F120" s="328"/>
      <c r="G120" s="328"/>
      <c r="H120" s="328"/>
      <c r="I120" s="328"/>
      <c r="J120" s="328"/>
      <c r="K120" s="328"/>
      <c r="L120" s="328"/>
      <c r="M120" s="328"/>
      <c r="N120" s="273"/>
      <c r="O120" s="273"/>
    </row>
    <row r="121" spans="1:15" x14ac:dyDescent="0.2">
      <c r="A121" s="114"/>
      <c r="B121" s="328"/>
      <c r="C121" s="328"/>
      <c r="D121" s="328"/>
      <c r="E121" s="328"/>
      <c r="F121" s="328"/>
      <c r="G121" s="328"/>
      <c r="H121" s="328"/>
      <c r="I121" s="328"/>
      <c r="J121" s="328"/>
      <c r="K121" s="328"/>
      <c r="L121" s="328"/>
      <c r="M121" s="328"/>
      <c r="N121" s="273"/>
      <c r="O121" s="273"/>
    </row>
    <row r="122" spans="1:15" x14ac:dyDescent="0.2">
      <c r="A122" s="114"/>
      <c r="B122" s="328"/>
      <c r="C122" s="328"/>
      <c r="D122" s="328"/>
      <c r="E122" s="328"/>
      <c r="F122" s="328"/>
      <c r="G122" s="328"/>
      <c r="H122" s="328"/>
      <c r="I122" s="328"/>
      <c r="J122" s="328"/>
      <c r="K122" s="328"/>
      <c r="L122" s="328"/>
      <c r="M122" s="328"/>
      <c r="N122" s="22"/>
      <c r="O122" s="22"/>
    </row>
    <row r="123" spans="1:15" x14ac:dyDescent="0.2">
      <c r="A123" s="114"/>
      <c r="B123" s="328"/>
      <c r="C123" s="328"/>
      <c r="D123" s="328"/>
      <c r="E123" s="328"/>
      <c r="F123" s="328"/>
      <c r="G123" s="328"/>
      <c r="H123" s="328"/>
      <c r="I123" s="328"/>
      <c r="J123" s="328"/>
      <c r="K123" s="328"/>
      <c r="L123" s="328"/>
      <c r="M123" s="328"/>
      <c r="N123" s="22"/>
      <c r="O123" s="22"/>
    </row>
    <row r="124" spans="1:15" x14ac:dyDescent="0.2">
      <c r="A124" s="114"/>
      <c r="B124" s="328"/>
      <c r="C124" s="328"/>
      <c r="D124" s="328"/>
      <c r="E124" s="328"/>
      <c r="F124" s="328"/>
      <c r="G124" s="328"/>
      <c r="H124" s="328"/>
      <c r="I124" s="328"/>
      <c r="J124" s="328"/>
      <c r="K124" s="328"/>
      <c r="L124" s="328"/>
      <c r="M124" s="328"/>
      <c r="N124" s="22"/>
      <c r="O124" s="22"/>
    </row>
    <row r="125" spans="1:15" x14ac:dyDescent="0.2">
      <c r="A125" s="114"/>
      <c r="B125" s="328"/>
      <c r="C125" s="328"/>
      <c r="D125" s="328"/>
      <c r="E125" s="328"/>
      <c r="F125" s="328"/>
      <c r="G125" s="328"/>
      <c r="H125" s="328"/>
      <c r="I125" s="328"/>
      <c r="J125" s="328"/>
      <c r="K125" s="328"/>
      <c r="L125" s="328"/>
      <c r="M125" s="328"/>
      <c r="N125" s="22"/>
      <c r="O125" s="22"/>
    </row>
    <row r="126" spans="1:15" x14ac:dyDescent="0.2">
      <c r="A126" s="114"/>
      <c r="B126" s="328"/>
      <c r="C126" s="328"/>
      <c r="D126" s="328"/>
      <c r="E126" s="328"/>
      <c r="F126" s="328"/>
      <c r="G126" s="328"/>
      <c r="H126" s="328"/>
      <c r="I126" s="328"/>
      <c r="J126" s="328"/>
      <c r="K126" s="328"/>
      <c r="L126" s="328"/>
      <c r="M126" s="328"/>
      <c r="N126" s="22"/>
      <c r="O126" s="22"/>
    </row>
    <row r="127" spans="1:15" x14ac:dyDescent="0.2">
      <c r="A127" s="114"/>
      <c r="B127" s="328"/>
      <c r="C127" s="328"/>
      <c r="D127" s="328"/>
      <c r="E127" s="328"/>
      <c r="F127" s="328"/>
      <c r="G127" s="328"/>
      <c r="H127" s="328"/>
      <c r="I127" s="328"/>
      <c r="J127" s="328"/>
      <c r="K127" s="328"/>
      <c r="L127" s="328"/>
      <c r="M127" s="328"/>
      <c r="N127" s="22"/>
      <c r="O127" s="22"/>
    </row>
    <row r="128" spans="1:15" x14ac:dyDescent="0.2">
      <c r="A128" s="114"/>
      <c r="B128" s="328"/>
      <c r="C128" s="328"/>
      <c r="D128" s="328"/>
      <c r="E128" s="328"/>
      <c r="F128" s="328"/>
      <c r="G128" s="328"/>
      <c r="H128" s="328"/>
      <c r="I128" s="328"/>
      <c r="J128" s="328"/>
      <c r="K128" s="328"/>
      <c r="L128" s="328"/>
      <c r="M128" s="328"/>
      <c r="N128" s="22"/>
      <c r="O128" s="22"/>
    </row>
    <row r="129" spans="1:13" x14ac:dyDescent="0.2">
      <c r="A129" s="114"/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</row>
    <row r="130" spans="1:13" x14ac:dyDescent="0.2">
      <c r="A130" s="114"/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</row>
    <row r="131" spans="1:13" x14ac:dyDescent="0.2">
      <c r="A131" s="114"/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</row>
    <row r="132" spans="1:13" x14ac:dyDescent="0.2">
      <c r="A132" s="114"/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</row>
    <row r="133" spans="1:13" x14ac:dyDescent="0.2">
      <c r="A133" s="114"/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</row>
    <row r="134" spans="1:13" x14ac:dyDescent="0.2">
      <c r="A134" s="114"/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</row>
    <row r="135" spans="1:13" x14ac:dyDescent="0.2">
      <c r="A135" s="114"/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</row>
    <row r="136" spans="1:13" x14ac:dyDescent="0.2">
      <c r="A136" s="114"/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</row>
    <row r="137" spans="1:13" x14ac:dyDescent="0.2">
      <c r="A137" s="114"/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</row>
    <row r="138" spans="1:13" x14ac:dyDescent="0.2">
      <c r="A138" s="114"/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</row>
    <row r="139" spans="1:13" x14ac:dyDescent="0.2">
      <c r="A139" s="114"/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</row>
    <row r="140" spans="1:13" x14ac:dyDescent="0.2">
      <c r="A140" s="114"/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</row>
    <row r="141" spans="1:13" x14ac:dyDescent="0.2">
      <c r="A141" s="114"/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</row>
    <row r="142" spans="1:13" x14ac:dyDescent="0.2">
      <c r="A142" s="114"/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</row>
    <row r="143" spans="1:13" x14ac:dyDescent="0.2">
      <c r="A143" s="114"/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</row>
    <row r="144" spans="1:13" x14ac:dyDescent="0.2">
      <c r="A144" s="114"/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</row>
    <row r="145" spans="1:13" x14ac:dyDescent="0.2">
      <c r="A145" s="114"/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</row>
    <row r="146" spans="1:13" x14ac:dyDescent="0.2">
      <c r="A146" s="114"/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</row>
    <row r="147" spans="1:13" x14ac:dyDescent="0.2">
      <c r="A147" s="114"/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</row>
    <row r="148" spans="1:13" x14ac:dyDescent="0.2">
      <c r="A148" s="114"/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</row>
    <row r="149" spans="1:13" x14ac:dyDescent="0.2">
      <c r="A149" s="114"/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</row>
    <row r="150" spans="1:13" x14ac:dyDescent="0.2">
      <c r="A150" s="114"/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</row>
    <row r="151" spans="1:13" x14ac:dyDescent="0.2">
      <c r="A151" s="114"/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</row>
    <row r="152" spans="1:13" x14ac:dyDescent="0.2">
      <c r="A152" s="114"/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</row>
    <row r="153" spans="1:13" x14ac:dyDescent="0.2">
      <c r="A153" s="114"/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</row>
    <row r="154" spans="1:13" x14ac:dyDescent="0.2">
      <c r="A154" s="114"/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</row>
    <row r="155" spans="1:13" x14ac:dyDescent="0.2">
      <c r="A155" s="114"/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</row>
    <row r="156" spans="1:13" x14ac:dyDescent="0.2">
      <c r="A156" s="114"/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</row>
    <row r="157" spans="1:13" x14ac:dyDescent="0.2">
      <c r="A157" s="114"/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</row>
    <row r="158" spans="1:13" x14ac:dyDescent="0.2">
      <c r="A158" s="114"/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</row>
    <row r="159" spans="1:13" x14ac:dyDescent="0.2">
      <c r="A159" s="114"/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</row>
    <row r="160" spans="1:13" x14ac:dyDescent="0.2">
      <c r="A160" s="114"/>
      <c r="B160" s="114"/>
      <c r="C160" s="114"/>
      <c r="D160" s="114"/>
      <c r="E160" s="114"/>
      <c r="F160" s="114"/>
      <c r="G160" s="114"/>
      <c r="H160" s="114"/>
      <c r="I160" s="114"/>
      <c r="J160" s="114"/>
      <c r="K160" s="114"/>
      <c r="L160" s="114"/>
      <c r="M160" s="114"/>
    </row>
    <row r="161" spans="1:13" x14ac:dyDescent="0.2">
      <c r="A161" s="114"/>
      <c r="B161" s="114"/>
      <c r="C161" s="114"/>
      <c r="D161" s="114"/>
      <c r="E161" s="114"/>
      <c r="F161" s="114"/>
      <c r="G161" s="114"/>
      <c r="H161" s="114"/>
      <c r="I161" s="114"/>
      <c r="J161" s="114"/>
      <c r="K161" s="114"/>
      <c r="L161" s="114"/>
      <c r="M161" s="114"/>
    </row>
    <row r="162" spans="1:13" x14ac:dyDescent="0.2">
      <c r="A162" s="114"/>
      <c r="B162" s="114"/>
      <c r="C162" s="114"/>
      <c r="D162" s="114"/>
      <c r="E162" s="114"/>
      <c r="F162" s="114"/>
      <c r="G162" s="114"/>
      <c r="H162" s="114"/>
      <c r="I162" s="114"/>
      <c r="J162" s="114"/>
      <c r="K162" s="114"/>
      <c r="L162" s="114"/>
      <c r="M162" s="114"/>
    </row>
    <row r="163" spans="1:13" x14ac:dyDescent="0.2">
      <c r="A163" s="114"/>
      <c r="B163" s="114"/>
      <c r="C163" s="114"/>
      <c r="D163" s="114"/>
      <c r="E163" s="114"/>
      <c r="F163" s="114"/>
      <c r="G163" s="114"/>
      <c r="H163" s="114"/>
      <c r="I163" s="114"/>
      <c r="J163" s="114"/>
      <c r="K163" s="114"/>
      <c r="L163" s="114"/>
      <c r="M163" s="114"/>
    </row>
    <row r="164" spans="1:13" x14ac:dyDescent="0.2">
      <c r="A164" s="114"/>
      <c r="B164" s="114"/>
      <c r="C164" s="114"/>
      <c r="D164" s="114"/>
      <c r="E164" s="114"/>
      <c r="F164" s="114"/>
      <c r="G164" s="114"/>
      <c r="H164" s="114"/>
      <c r="I164" s="114"/>
      <c r="J164" s="114"/>
      <c r="K164" s="114"/>
      <c r="L164" s="114"/>
      <c r="M164" s="114"/>
    </row>
    <row r="165" spans="1:13" x14ac:dyDescent="0.2">
      <c r="A165" s="114"/>
      <c r="B165" s="114"/>
      <c r="C165" s="114"/>
      <c r="D165" s="114"/>
      <c r="E165" s="114"/>
      <c r="F165" s="114"/>
      <c r="G165" s="114"/>
      <c r="H165" s="114"/>
      <c r="I165" s="114"/>
      <c r="J165" s="114"/>
      <c r="K165" s="114"/>
      <c r="L165" s="114"/>
      <c r="M165" s="114"/>
    </row>
    <row r="166" spans="1:13" x14ac:dyDescent="0.2">
      <c r="A166" s="114"/>
      <c r="B166" s="114"/>
      <c r="C166" s="114"/>
      <c r="D166" s="114"/>
      <c r="E166" s="114"/>
      <c r="F166" s="114"/>
      <c r="G166" s="114"/>
      <c r="H166" s="114"/>
      <c r="I166" s="114"/>
      <c r="J166" s="114"/>
      <c r="K166" s="114"/>
      <c r="L166" s="114"/>
      <c r="M166" s="114"/>
    </row>
    <row r="167" spans="1:13" x14ac:dyDescent="0.2">
      <c r="A167" s="114"/>
      <c r="B167" s="114"/>
      <c r="C167" s="114"/>
      <c r="D167" s="114"/>
      <c r="E167" s="114"/>
      <c r="F167" s="114"/>
      <c r="G167" s="114"/>
      <c r="H167" s="114"/>
      <c r="I167" s="114"/>
      <c r="J167" s="114"/>
      <c r="K167" s="114"/>
      <c r="L167" s="114"/>
      <c r="M167" s="114"/>
    </row>
    <row r="168" spans="1:13" x14ac:dyDescent="0.2">
      <c r="A168" s="114"/>
      <c r="B168" s="114"/>
      <c r="C168" s="114"/>
      <c r="D168" s="114"/>
      <c r="E168" s="114"/>
      <c r="F168" s="114"/>
      <c r="G168" s="114"/>
      <c r="H168" s="114"/>
      <c r="I168" s="114"/>
      <c r="J168" s="114"/>
      <c r="K168" s="114"/>
      <c r="L168" s="114"/>
      <c r="M168" s="114"/>
    </row>
    <row r="169" spans="1:13" x14ac:dyDescent="0.2">
      <c r="A169" s="114"/>
      <c r="B169" s="114"/>
      <c r="C169" s="114"/>
      <c r="D169" s="114"/>
      <c r="E169" s="114"/>
      <c r="F169" s="114"/>
      <c r="G169" s="114"/>
      <c r="H169" s="114"/>
      <c r="I169" s="114"/>
      <c r="J169" s="114"/>
      <c r="K169" s="114"/>
      <c r="L169" s="114"/>
      <c r="M169" s="114"/>
    </row>
    <row r="170" spans="1:13" x14ac:dyDescent="0.2">
      <c r="A170" s="114"/>
      <c r="B170" s="114"/>
      <c r="C170" s="114"/>
      <c r="D170" s="114"/>
      <c r="E170" s="114"/>
      <c r="F170" s="114"/>
      <c r="G170" s="114"/>
      <c r="H170" s="114"/>
      <c r="I170" s="114"/>
      <c r="J170" s="114"/>
      <c r="K170" s="114"/>
      <c r="L170" s="114"/>
      <c r="M170" s="114"/>
    </row>
    <row r="171" spans="1:13" x14ac:dyDescent="0.2">
      <c r="A171" s="114"/>
      <c r="B171" s="114"/>
      <c r="C171" s="114"/>
      <c r="D171" s="114"/>
      <c r="E171" s="114"/>
      <c r="F171" s="114"/>
      <c r="G171" s="114"/>
      <c r="H171" s="114"/>
      <c r="I171" s="114"/>
      <c r="J171" s="114"/>
      <c r="K171" s="114"/>
      <c r="L171" s="114"/>
      <c r="M171" s="114"/>
    </row>
    <row r="172" spans="1:13" x14ac:dyDescent="0.2">
      <c r="A172" s="114"/>
      <c r="B172" s="114"/>
      <c r="C172" s="114"/>
      <c r="D172" s="114"/>
      <c r="E172" s="114"/>
      <c r="F172" s="114"/>
      <c r="G172" s="114"/>
      <c r="H172" s="114"/>
      <c r="I172" s="114"/>
      <c r="J172" s="114"/>
      <c r="K172" s="114"/>
      <c r="L172" s="114"/>
      <c r="M172" s="114"/>
    </row>
    <row r="173" spans="1:13" x14ac:dyDescent="0.2">
      <c r="A173" s="114"/>
      <c r="B173" s="114"/>
      <c r="C173" s="114"/>
      <c r="D173" s="114"/>
      <c r="E173" s="114"/>
      <c r="F173" s="114"/>
      <c r="G173" s="114"/>
      <c r="H173" s="114"/>
      <c r="I173" s="114"/>
      <c r="J173" s="114"/>
      <c r="K173" s="114"/>
      <c r="L173" s="114"/>
      <c r="M173" s="114"/>
    </row>
    <row r="174" spans="1:13" x14ac:dyDescent="0.2">
      <c r="A174" s="114"/>
      <c r="B174" s="114"/>
      <c r="C174" s="114"/>
      <c r="D174" s="114"/>
      <c r="E174" s="114"/>
      <c r="F174" s="114"/>
      <c r="G174" s="114"/>
      <c r="H174" s="114"/>
      <c r="I174" s="114"/>
      <c r="J174" s="114"/>
      <c r="K174" s="114"/>
      <c r="L174" s="114"/>
      <c r="M174" s="114"/>
    </row>
    <row r="175" spans="1:13" x14ac:dyDescent="0.2">
      <c r="A175" s="114"/>
      <c r="B175" s="114"/>
      <c r="C175" s="114"/>
      <c r="D175" s="114"/>
      <c r="E175" s="114"/>
      <c r="F175" s="114"/>
      <c r="G175" s="114"/>
      <c r="H175" s="114"/>
      <c r="I175" s="114"/>
      <c r="J175" s="114"/>
      <c r="K175" s="114"/>
      <c r="L175" s="114"/>
      <c r="M175" s="114"/>
    </row>
    <row r="176" spans="1:13" x14ac:dyDescent="0.2">
      <c r="A176" s="114"/>
      <c r="B176" s="114"/>
      <c r="C176" s="114"/>
      <c r="D176" s="114"/>
      <c r="E176" s="114"/>
      <c r="F176" s="114"/>
      <c r="G176" s="114"/>
      <c r="H176" s="114"/>
      <c r="I176" s="114"/>
      <c r="J176" s="114"/>
      <c r="K176" s="114"/>
      <c r="L176" s="114"/>
      <c r="M176" s="114"/>
    </row>
    <row r="177" spans="1:13" x14ac:dyDescent="0.2">
      <c r="A177" s="114"/>
      <c r="B177" s="114"/>
      <c r="C177" s="114"/>
      <c r="D177" s="114"/>
      <c r="E177" s="114"/>
      <c r="F177" s="114"/>
      <c r="G177" s="114"/>
      <c r="H177" s="114"/>
      <c r="I177" s="114"/>
      <c r="J177" s="114"/>
      <c r="K177" s="114"/>
      <c r="L177" s="114"/>
      <c r="M177" s="114"/>
    </row>
    <row r="178" spans="1:13" x14ac:dyDescent="0.2">
      <c r="A178" s="114"/>
      <c r="B178" s="114"/>
      <c r="C178" s="114"/>
      <c r="D178" s="114"/>
      <c r="E178" s="114"/>
      <c r="F178" s="114"/>
      <c r="G178" s="114"/>
      <c r="H178" s="114"/>
      <c r="I178" s="114"/>
      <c r="J178" s="114"/>
      <c r="K178" s="114"/>
      <c r="L178" s="114"/>
      <c r="M178" s="114"/>
    </row>
    <row r="179" spans="1:13" x14ac:dyDescent="0.2">
      <c r="A179" s="114"/>
      <c r="B179" s="114"/>
      <c r="C179" s="114"/>
      <c r="D179" s="114"/>
      <c r="E179" s="114"/>
      <c r="F179" s="114"/>
      <c r="G179" s="114"/>
      <c r="H179" s="114"/>
      <c r="I179" s="114"/>
      <c r="J179" s="114"/>
      <c r="K179" s="114"/>
      <c r="L179" s="114"/>
      <c r="M179" s="114"/>
    </row>
    <row r="180" spans="1:13" x14ac:dyDescent="0.2">
      <c r="A180" s="114"/>
      <c r="B180" s="114"/>
      <c r="C180" s="114"/>
      <c r="D180" s="114"/>
      <c r="E180" s="114"/>
      <c r="F180" s="114"/>
      <c r="G180" s="114"/>
      <c r="H180" s="114"/>
      <c r="I180" s="114"/>
      <c r="J180" s="114"/>
      <c r="K180" s="114"/>
      <c r="L180" s="114"/>
      <c r="M180" s="114"/>
    </row>
    <row r="181" spans="1:13" x14ac:dyDescent="0.2">
      <c r="A181" s="114"/>
      <c r="B181" s="114"/>
      <c r="C181" s="114"/>
      <c r="D181" s="114"/>
      <c r="E181" s="114"/>
      <c r="F181" s="114"/>
      <c r="G181" s="114"/>
      <c r="H181" s="114"/>
      <c r="I181" s="114"/>
      <c r="J181" s="114"/>
      <c r="K181" s="114"/>
      <c r="L181" s="114"/>
      <c r="M181" s="114"/>
    </row>
    <row r="182" spans="1:13" x14ac:dyDescent="0.2">
      <c r="A182" s="114"/>
      <c r="B182" s="114"/>
      <c r="C182" s="114"/>
      <c r="D182" s="114"/>
      <c r="E182" s="114"/>
      <c r="F182" s="114"/>
      <c r="G182" s="114"/>
      <c r="H182" s="114"/>
      <c r="I182" s="114"/>
      <c r="J182" s="114"/>
      <c r="K182" s="114"/>
      <c r="L182" s="114"/>
      <c r="M182" s="114"/>
    </row>
    <row r="183" spans="1:13" x14ac:dyDescent="0.2">
      <c r="A183" s="114"/>
      <c r="B183" s="114"/>
      <c r="C183" s="114"/>
      <c r="D183" s="114"/>
      <c r="E183" s="114"/>
      <c r="F183" s="114"/>
      <c r="G183" s="114"/>
      <c r="H183" s="114"/>
      <c r="I183" s="114"/>
      <c r="J183" s="114"/>
      <c r="K183" s="114"/>
      <c r="L183" s="114"/>
      <c r="M183" s="114"/>
    </row>
    <row r="184" spans="1:13" x14ac:dyDescent="0.2">
      <c r="A184" s="114"/>
      <c r="B184" s="114"/>
      <c r="C184" s="114"/>
      <c r="D184" s="114"/>
      <c r="E184" s="114"/>
      <c r="F184" s="114"/>
      <c r="G184" s="114"/>
      <c r="H184" s="114"/>
      <c r="I184" s="114"/>
      <c r="J184" s="114"/>
      <c r="K184" s="114"/>
      <c r="L184" s="114"/>
      <c r="M184" s="114"/>
    </row>
    <row r="185" spans="1:13" x14ac:dyDescent="0.2">
      <c r="A185" s="114"/>
      <c r="B185" s="114"/>
      <c r="C185" s="114"/>
      <c r="D185" s="114"/>
      <c r="E185" s="114"/>
      <c r="F185" s="114"/>
      <c r="G185" s="114"/>
      <c r="H185" s="114"/>
      <c r="I185" s="114"/>
      <c r="J185" s="114"/>
      <c r="K185" s="114"/>
      <c r="L185" s="114"/>
      <c r="M185" s="114"/>
    </row>
    <row r="186" spans="1:13" x14ac:dyDescent="0.2">
      <c r="A186" s="114"/>
      <c r="B186" s="114"/>
      <c r="C186" s="114"/>
      <c r="D186" s="114"/>
      <c r="E186" s="114"/>
      <c r="F186" s="114"/>
      <c r="G186" s="114"/>
      <c r="H186" s="114"/>
      <c r="I186" s="114"/>
      <c r="J186" s="114"/>
      <c r="K186" s="114"/>
      <c r="L186" s="114"/>
      <c r="M186" s="114"/>
    </row>
    <row r="187" spans="1:13" x14ac:dyDescent="0.2">
      <c r="A187" s="114"/>
      <c r="B187" s="114"/>
      <c r="C187" s="114"/>
      <c r="D187" s="114"/>
      <c r="E187" s="114"/>
      <c r="F187" s="114"/>
      <c r="G187" s="114"/>
      <c r="H187" s="114"/>
      <c r="I187" s="114"/>
      <c r="J187" s="114"/>
      <c r="K187" s="114"/>
      <c r="L187" s="114"/>
      <c r="M187" s="114"/>
    </row>
    <row r="188" spans="1:13" x14ac:dyDescent="0.2">
      <c r="A188" s="114"/>
      <c r="B188" s="114"/>
      <c r="C188" s="114"/>
      <c r="D188" s="114"/>
      <c r="E188" s="114"/>
      <c r="F188" s="114"/>
      <c r="G188" s="114"/>
      <c r="H188" s="114"/>
      <c r="I188" s="114"/>
      <c r="J188" s="114"/>
      <c r="K188" s="114"/>
      <c r="L188" s="114"/>
      <c r="M188" s="114"/>
    </row>
    <row r="189" spans="1:13" x14ac:dyDescent="0.2">
      <c r="A189" s="114"/>
      <c r="B189" s="114"/>
      <c r="C189" s="114"/>
      <c r="D189" s="114"/>
      <c r="E189" s="114"/>
      <c r="F189" s="114"/>
      <c r="G189" s="114"/>
      <c r="H189" s="114"/>
      <c r="I189" s="114"/>
      <c r="J189" s="114"/>
      <c r="K189" s="114"/>
      <c r="L189" s="114"/>
      <c r="M189" s="114"/>
    </row>
    <row r="190" spans="1:13" x14ac:dyDescent="0.2">
      <c r="A190" s="114"/>
      <c r="B190" s="114"/>
      <c r="C190" s="114"/>
      <c r="D190" s="114"/>
      <c r="E190" s="114"/>
      <c r="F190" s="114"/>
      <c r="G190" s="114"/>
      <c r="H190" s="114"/>
      <c r="I190" s="114"/>
      <c r="J190" s="114"/>
      <c r="K190" s="114"/>
      <c r="L190" s="114"/>
      <c r="M190" s="114"/>
    </row>
    <row r="191" spans="1:13" x14ac:dyDescent="0.2">
      <c r="A191" s="114"/>
      <c r="B191" s="114"/>
      <c r="C191" s="114"/>
      <c r="D191" s="114"/>
      <c r="E191" s="114"/>
      <c r="F191" s="114"/>
      <c r="G191" s="114"/>
      <c r="H191" s="114"/>
      <c r="I191" s="114"/>
      <c r="J191" s="114"/>
      <c r="K191" s="114"/>
      <c r="L191" s="114"/>
      <c r="M191" s="114"/>
    </row>
    <row r="192" spans="1:13" x14ac:dyDescent="0.2">
      <c r="A192" s="114"/>
      <c r="B192" s="114"/>
      <c r="C192" s="114"/>
      <c r="D192" s="114"/>
      <c r="E192" s="114"/>
      <c r="F192" s="114"/>
      <c r="G192" s="114"/>
      <c r="H192" s="114"/>
      <c r="I192" s="114"/>
      <c r="J192" s="114"/>
      <c r="K192" s="114"/>
      <c r="L192" s="114"/>
      <c r="M192" s="114"/>
    </row>
    <row r="193" spans="1:13" x14ac:dyDescent="0.2">
      <c r="A193" s="114"/>
      <c r="B193" s="114"/>
      <c r="C193" s="114"/>
      <c r="D193" s="114"/>
      <c r="E193" s="114"/>
      <c r="F193" s="114"/>
      <c r="G193" s="114"/>
      <c r="H193" s="114"/>
      <c r="I193" s="114"/>
      <c r="J193" s="114"/>
      <c r="K193" s="114"/>
      <c r="L193" s="114"/>
      <c r="M193" s="114"/>
    </row>
    <row r="194" spans="1:13" x14ac:dyDescent="0.2">
      <c r="A194" s="114"/>
      <c r="B194" s="114"/>
      <c r="C194" s="114"/>
      <c r="D194" s="114"/>
      <c r="E194" s="114"/>
      <c r="F194" s="114"/>
      <c r="G194" s="114"/>
      <c r="H194" s="114"/>
      <c r="I194" s="114"/>
      <c r="J194" s="114"/>
      <c r="K194" s="114"/>
      <c r="L194" s="114"/>
      <c r="M194" s="114"/>
    </row>
    <row r="195" spans="1:13" x14ac:dyDescent="0.2">
      <c r="A195" s="114"/>
      <c r="B195" s="114"/>
      <c r="C195" s="114"/>
      <c r="D195" s="114"/>
      <c r="E195" s="114"/>
      <c r="F195" s="114"/>
      <c r="G195" s="114"/>
      <c r="H195" s="114"/>
      <c r="I195" s="114"/>
      <c r="J195" s="114"/>
      <c r="K195" s="114"/>
      <c r="L195" s="114"/>
      <c r="M195" s="114"/>
    </row>
    <row r="196" spans="1:13" x14ac:dyDescent="0.2">
      <c r="A196" s="114"/>
      <c r="B196" s="114"/>
      <c r="C196" s="114"/>
      <c r="D196" s="114"/>
      <c r="E196" s="114"/>
      <c r="F196" s="114"/>
      <c r="G196" s="114"/>
      <c r="H196" s="114"/>
      <c r="I196" s="114"/>
      <c r="J196" s="114"/>
      <c r="K196" s="114"/>
      <c r="L196" s="114"/>
      <c r="M196" s="114"/>
    </row>
    <row r="197" spans="1:13" x14ac:dyDescent="0.2">
      <c r="A197" s="114"/>
      <c r="B197" s="114"/>
      <c r="C197" s="114"/>
      <c r="D197" s="114"/>
      <c r="E197" s="114"/>
      <c r="F197" s="114"/>
      <c r="G197" s="114"/>
      <c r="H197" s="114"/>
      <c r="I197" s="114"/>
      <c r="J197" s="114"/>
      <c r="K197" s="114"/>
      <c r="L197" s="114"/>
      <c r="M197" s="114"/>
    </row>
    <row r="198" spans="1:13" x14ac:dyDescent="0.2">
      <c r="A198" s="114"/>
      <c r="B198" s="114"/>
      <c r="C198" s="114"/>
      <c r="D198" s="114"/>
      <c r="E198" s="114"/>
      <c r="F198" s="114"/>
      <c r="G198" s="114"/>
      <c r="H198" s="114"/>
      <c r="I198" s="114"/>
      <c r="J198" s="114"/>
      <c r="K198" s="114"/>
      <c r="L198" s="114"/>
      <c r="M198" s="114"/>
    </row>
    <row r="199" spans="1:13" x14ac:dyDescent="0.2">
      <c r="A199" s="114"/>
      <c r="B199" s="114"/>
      <c r="C199" s="114"/>
      <c r="D199" s="114"/>
      <c r="E199" s="114"/>
      <c r="F199" s="114"/>
      <c r="G199" s="114"/>
      <c r="H199" s="114"/>
      <c r="I199" s="114"/>
      <c r="J199" s="114"/>
      <c r="K199" s="114"/>
      <c r="L199" s="114"/>
      <c r="M199" s="114"/>
    </row>
    <row r="200" spans="1:13" x14ac:dyDescent="0.2">
      <c r="A200" s="114"/>
      <c r="B200" s="114"/>
      <c r="C200" s="114"/>
      <c r="D200" s="114"/>
      <c r="E200" s="114"/>
      <c r="F200" s="114"/>
      <c r="G200" s="114"/>
      <c r="H200" s="114"/>
      <c r="I200" s="114"/>
      <c r="J200" s="114"/>
      <c r="K200" s="114"/>
      <c r="L200" s="114"/>
      <c r="M200" s="114"/>
    </row>
    <row r="201" spans="1:13" x14ac:dyDescent="0.2">
      <c r="A201" s="114"/>
      <c r="B201" s="114"/>
      <c r="C201" s="114"/>
      <c r="D201" s="114"/>
      <c r="E201" s="114"/>
      <c r="F201" s="114"/>
      <c r="G201" s="114"/>
      <c r="H201" s="114"/>
      <c r="I201" s="114"/>
      <c r="J201" s="114"/>
      <c r="K201" s="114"/>
      <c r="L201" s="114"/>
      <c r="M201" s="114"/>
    </row>
    <row r="202" spans="1:13" x14ac:dyDescent="0.2">
      <c r="A202" s="114"/>
      <c r="B202" s="114"/>
      <c r="C202" s="114"/>
      <c r="D202" s="114"/>
      <c r="E202" s="114"/>
      <c r="F202" s="114"/>
      <c r="G202" s="114"/>
      <c r="H202" s="114"/>
      <c r="I202" s="114"/>
      <c r="J202" s="114"/>
      <c r="K202" s="114"/>
      <c r="L202" s="114"/>
      <c r="M202" s="114"/>
    </row>
    <row r="203" spans="1:13" x14ac:dyDescent="0.2">
      <c r="A203" s="114"/>
      <c r="B203" s="114"/>
      <c r="C203" s="114"/>
      <c r="D203" s="114"/>
      <c r="E203" s="114"/>
      <c r="F203" s="114"/>
      <c r="G203" s="114"/>
      <c r="H203" s="114"/>
      <c r="I203" s="114"/>
      <c r="J203" s="114"/>
      <c r="K203" s="114"/>
      <c r="L203" s="114"/>
      <c r="M203" s="114"/>
    </row>
    <row r="204" spans="1:13" x14ac:dyDescent="0.2">
      <c r="A204" s="114"/>
      <c r="B204" s="114"/>
      <c r="C204" s="114"/>
      <c r="D204" s="114"/>
      <c r="E204" s="114"/>
      <c r="F204" s="114"/>
      <c r="G204" s="114"/>
      <c r="H204" s="114"/>
      <c r="I204" s="114"/>
      <c r="J204" s="114"/>
      <c r="K204" s="114"/>
      <c r="L204" s="114"/>
      <c r="M204" s="114"/>
    </row>
    <row r="205" spans="1:13" x14ac:dyDescent="0.2">
      <c r="A205" s="114"/>
      <c r="B205" s="114"/>
      <c r="C205" s="114"/>
      <c r="D205" s="114"/>
      <c r="E205" s="114"/>
      <c r="F205" s="114"/>
      <c r="G205" s="114"/>
      <c r="H205" s="114"/>
      <c r="I205" s="114"/>
      <c r="J205" s="114"/>
      <c r="K205" s="114"/>
      <c r="L205" s="114"/>
      <c r="M205" s="114"/>
    </row>
    <row r="206" spans="1:13" x14ac:dyDescent="0.2">
      <c r="A206" s="114"/>
      <c r="B206" s="114"/>
      <c r="C206" s="114"/>
      <c r="D206" s="114"/>
      <c r="E206" s="114"/>
      <c r="F206" s="114"/>
      <c r="G206" s="114"/>
      <c r="H206" s="114"/>
      <c r="I206" s="114"/>
      <c r="J206" s="114"/>
      <c r="K206" s="114"/>
      <c r="L206" s="114"/>
      <c r="M206" s="114"/>
    </row>
  </sheetData>
  <phoneticPr fontId="0" type="noConversion"/>
  <pageMargins left="0.75" right="0.75" top="1" bottom="1" header="0.5" footer="0.5"/>
  <pageSetup orientation="landscape" r:id="rId1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8"/>
  <sheetViews>
    <sheetView showGridLines="0" topLeftCell="B60" workbookViewId="0">
      <selection activeCell="E87" sqref="E87"/>
    </sheetView>
  </sheetViews>
  <sheetFormatPr defaultColWidth="9.42578125" defaultRowHeight="12.75" x14ac:dyDescent="0.2"/>
  <cols>
    <col min="1" max="1" width="22.85546875" style="1" customWidth="1"/>
    <col min="2" max="2" width="8.42578125" style="1" customWidth="1"/>
    <col min="3" max="3" width="8.5703125" style="1" customWidth="1"/>
    <col min="4" max="4" width="26.42578125" style="1" customWidth="1"/>
    <col min="5" max="5" width="9.28515625" style="1" customWidth="1"/>
    <col min="6" max="16384" width="9.42578125" style="1"/>
  </cols>
  <sheetData>
    <row r="1" spans="1:14" x14ac:dyDescent="0.2">
      <c r="A1" s="3" t="s">
        <v>139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">
      <c r="A2" s="3" t="str">
        <f>+Inputs!E4</f>
        <v>Vons Companies, Inc.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">
      <c r="A3" s="3" t="s">
        <v>140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">
      <c r="A4" s="4"/>
    </row>
    <row r="5" spans="1:14" s="21" customFormat="1" x14ac:dyDescent="0.2">
      <c r="A5" s="11"/>
      <c r="B5" s="149" t="s">
        <v>141</v>
      </c>
      <c r="C5" s="149" t="s">
        <v>141</v>
      </c>
      <c r="D5" s="26" t="s">
        <v>142</v>
      </c>
      <c r="E5" s="149" t="s">
        <v>138</v>
      </c>
      <c r="F5" s="149" t="s">
        <v>138</v>
      </c>
      <c r="G5" s="149" t="s">
        <v>138</v>
      </c>
      <c r="H5" s="149" t="s">
        <v>138</v>
      </c>
      <c r="I5" s="149" t="s">
        <v>138</v>
      </c>
      <c r="J5" s="149" t="s">
        <v>138</v>
      </c>
      <c r="K5" s="149" t="s">
        <v>138</v>
      </c>
      <c r="L5" s="149" t="s">
        <v>138</v>
      </c>
      <c r="M5" s="149" t="s">
        <v>138</v>
      </c>
      <c r="N5" s="149" t="s">
        <v>138</v>
      </c>
    </row>
    <row r="6" spans="1:14" s="21" customFormat="1" x14ac:dyDescent="0.2">
      <c r="A6" s="46" t="s">
        <v>143</v>
      </c>
      <c r="B6" s="49">
        <f>+Inputs!L3-1</f>
        <v>1995</v>
      </c>
      <c r="C6" s="49">
        <f>+B6+1</f>
        <v>1996</v>
      </c>
      <c r="D6" s="20"/>
      <c r="E6" s="49">
        <f>+C6+1</f>
        <v>1997</v>
      </c>
      <c r="F6" s="49">
        <f t="shared" ref="F6:N6" si="0">E6+1</f>
        <v>1998</v>
      </c>
      <c r="G6" s="49">
        <f t="shared" si="0"/>
        <v>1999</v>
      </c>
      <c r="H6" s="49">
        <f t="shared" si="0"/>
        <v>2000</v>
      </c>
      <c r="I6" s="49">
        <f t="shared" si="0"/>
        <v>2001</v>
      </c>
      <c r="J6" s="49">
        <f t="shared" si="0"/>
        <v>2002</v>
      </c>
      <c r="K6" s="49">
        <f t="shared" si="0"/>
        <v>2003</v>
      </c>
      <c r="L6" s="49">
        <f t="shared" si="0"/>
        <v>2004</v>
      </c>
      <c r="M6" s="49">
        <f t="shared" si="0"/>
        <v>2005</v>
      </c>
      <c r="N6" s="50">
        <f t="shared" si="0"/>
        <v>2006</v>
      </c>
    </row>
    <row r="7" spans="1:14" s="22" customFormat="1" x14ac:dyDescent="0.2">
      <c r="A7" s="19" t="s">
        <v>98</v>
      </c>
      <c r="B7" s="32">
        <f>+Vons!D37</f>
        <v>5070.7</v>
      </c>
      <c r="C7" s="32">
        <f>+Vons!B37</f>
        <v>5407.4</v>
      </c>
      <c r="D7" s="19"/>
      <c r="E7" s="151">
        <f>'Additional Calculations'!C11</f>
        <v>5708.0847999999996</v>
      </c>
      <c r="F7" s="151">
        <f>'Additional Calculations'!D11</f>
        <v>5936.7981920000002</v>
      </c>
      <c r="G7" s="151">
        <f>'Additional Calculations'!E11</f>
        <v>6144.8961787199996</v>
      </c>
      <c r="H7" s="151">
        <f>'Additional Calculations'!F11</f>
        <v>6360.0760624751993</v>
      </c>
      <c r="I7" s="151">
        <f>'Additional Calculations'!G11</f>
        <v>6582.6787246618305</v>
      </c>
      <c r="J7" s="151">
        <f>'Additional Calculations'!H11</f>
        <v>6813.0724800249945</v>
      </c>
      <c r="K7" s="151">
        <f>'Additional Calculations'!I11</f>
        <v>7051.5300168258691</v>
      </c>
      <c r="L7" s="151">
        <f>'Additional Calculations'!J11</f>
        <v>7298.3335674147738</v>
      </c>
      <c r="M7" s="151">
        <f>'Additional Calculations'!K11</f>
        <v>7553.7752422742906</v>
      </c>
      <c r="N7" s="151">
        <f>'Additional Calculations'!L11</f>
        <v>7818.1573757538899</v>
      </c>
    </row>
    <row r="8" spans="1:14" s="22" customFormat="1" x14ac:dyDescent="0.2">
      <c r="A8" s="28" t="s">
        <v>144</v>
      </c>
      <c r="B8" s="29">
        <f>SUM(B9:B12)</f>
        <v>4876.5999999999995</v>
      </c>
      <c r="C8" s="29">
        <f>SUM(C9:C12)</f>
        <v>5166.3</v>
      </c>
      <c r="D8" s="44"/>
      <c r="E8" s="29">
        <f t="shared" ref="E8:N8" si="1">SUM(E9:E12)</f>
        <v>5419.7838130052887</v>
      </c>
      <c r="F8" s="29">
        <f t="shared" si="1"/>
        <v>5636.344442745607</v>
      </c>
      <c r="G8" s="29">
        <f t="shared" si="1"/>
        <v>5833.3850736316863</v>
      </c>
      <c r="H8" s="29">
        <f t="shared" si="1"/>
        <v>6037.1313025952886</v>
      </c>
      <c r="I8" s="29">
        <f t="shared" si="1"/>
        <v>6247.9058981861235</v>
      </c>
      <c r="J8" s="29">
        <f t="shared" si="1"/>
        <v>6466.0576046226388</v>
      </c>
      <c r="K8" s="29">
        <f t="shared" si="1"/>
        <v>6691.8446207844308</v>
      </c>
      <c r="L8" s="29">
        <f t="shared" si="1"/>
        <v>6925.5341825118849</v>
      </c>
      <c r="M8" s="29">
        <f t="shared" si="1"/>
        <v>7167.4028788998003</v>
      </c>
      <c r="N8" s="31">
        <f t="shared" si="1"/>
        <v>7417.7369796612929</v>
      </c>
    </row>
    <row r="9" spans="1:14" s="22" customFormat="1" x14ac:dyDescent="0.2">
      <c r="A9" s="19" t="s">
        <v>100</v>
      </c>
      <c r="B9" s="32">
        <f>+Vons!D40</f>
        <v>3790.2</v>
      </c>
      <c r="C9" s="32">
        <f>+Vons!B40</f>
        <v>4032.7</v>
      </c>
      <c r="D9" s="45"/>
      <c r="E9" s="151">
        <f>'Cmn-Sized'!I41*DCF!E7</f>
        <v>4223.9827519999999</v>
      </c>
      <c r="F9" s="151">
        <f>'Cmn-Sized'!J41*DCF!F7</f>
        <v>4393.23066208</v>
      </c>
      <c r="G9" s="151">
        <f>'Cmn-Sized'!K41*DCF!G7</f>
        <v>4547.2231722527995</v>
      </c>
      <c r="H9" s="151">
        <f>'Cmn-Sized'!L41*DCF!H7</f>
        <v>4706.456286231647</v>
      </c>
      <c r="I9" s="151">
        <f>'Cmn-Sized'!M41*DCF!I7</f>
        <v>4871.1822562497546</v>
      </c>
      <c r="J9" s="151">
        <f>'Cmn-Sized'!N41*DCF!J7</f>
        <v>5041.6736352184962</v>
      </c>
      <c r="K9" s="151">
        <f>'Cmn-Sized'!O41*DCF!K7</f>
        <v>5218.1322124511435</v>
      </c>
      <c r="L9" s="151">
        <f>'Cmn-Sized'!P41*DCF!L7</f>
        <v>5400.7668398869328</v>
      </c>
      <c r="M9" s="151">
        <f>'Cmn-Sized'!Q41*DCF!M7</f>
        <v>5589.7936792829751</v>
      </c>
      <c r="N9" s="151">
        <f>'Cmn-Sized'!R41*DCF!N7</f>
        <v>5785.4364580578786</v>
      </c>
    </row>
    <row r="10" spans="1:14" s="22" customFormat="1" x14ac:dyDescent="0.2">
      <c r="A10" s="19" t="s">
        <v>101</v>
      </c>
      <c r="B10" s="32">
        <f>+Vons!D41</f>
        <v>965.50000000000011</v>
      </c>
      <c r="C10" s="32">
        <f>+Vons!B41</f>
        <v>1012.8</v>
      </c>
      <c r="D10" s="13"/>
      <c r="E10" s="168">
        <f>'Cmn-Sized'!I42*DCF!E7</f>
        <v>1069.1179282908606</v>
      </c>
      <c r="F10" s="168">
        <f>'Cmn-Sized'!J42*DCF!F7</f>
        <v>1111.9556919883123</v>
      </c>
      <c r="G10" s="168">
        <f>'Cmn-Sized'!K42*DCF!G7</f>
        <v>1150.932213227728</v>
      </c>
      <c r="H10" s="168">
        <f>'Cmn-Sized'!L42*DCF!H7</f>
        <v>1191.235165897637</v>
      </c>
      <c r="I10" s="168">
        <f>'Cmn-Sized'!M42*DCF!I7</f>
        <v>1232.9283967040542</v>
      </c>
      <c r="J10" s="168">
        <f>'Cmn-Sized'!N42*DCF!J7</f>
        <v>1276.0808905886961</v>
      </c>
      <c r="K10" s="168">
        <f>'Cmn-Sized'!O42*DCF!K7</f>
        <v>1320.7437217593003</v>
      </c>
      <c r="L10" s="168">
        <f>'Cmn-Sized'!P42*DCF!L7</f>
        <v>1366.9697520208756</v>
      </c>
      <c r="M10" s="168">
        <f>'Cmn-Sized'!Q42*DCF!M7</f>
        <v>1414.8136933416063</v>
      </c>
      <c r="N10" s="168">
        <f>'Cmn-Sized'!R42*DCF!N7</f>
        <v>1464.3321726085624</v>
      </c>
    </row>
    <row r="11" spans="1:14" s="22" customFormat="1" x14ac:dyDescent="0.2">
      <c r="A11" s="19" t="s">
        <v>102</v>
      </c>
      <c r="B11" s="32">
        <f>+Vons!D42</f>
        <v>105.9</v>
      </c>
      <c r="C11" s="32">
        <f>+Vons!B42</f>
        <v>105.79999999999998</v>
      </c>
      <c r="D11" s="13" t="s">
        <v>145</v>
      </c>
      <c r="E11" s="168">
        <f>'Additional Calculations'!D20</f>
        <v>111.68313271442835</v>
      </c>
      <c r="F11" s="168">
        <f>'Additional Calculations'!E20</f>
        <v>116.15808867729409</v>
      </c>
      <c r="G11" s="168">
        <f>'Additional Calculations'!F20</f>
        <v>120.22968815115878</v>
      </c>
      <c r="H11" s="168">
        <f>'Additional Calculations'!G20</f>
        <v>124.43985046600511</v>
      </c>
      <c r="I11" s="168">
        <f>'Additional Calculations'!H20</f>
        <v>128.79524523231527</v>
      </c>
      <c r="J11" s="168">
        <f>'Additional Calculations'!I20</f>
        <v>133.30307881544633</v>
      </c>
      <c r="K11" s="168">
        <f>'Additional Calculations'!J20</f>
        <v>137.96868657398693</v>
      </c>
      <c r="L11" s="168">
        <f>'Additional Calculations'!K20</f>
        <v>142.79759060407645</v>
      </c>
      <c r="M11" s="168">
        <f>'Additional Calculations'!L20</f>
        <v>147.79550627521911</v>
      </c>
      <c r="N11" s="168">
        <f>'Additional Calculations'!M20</f>
        <v>152.96834899485179</v>
      </c>
    </row>
    <row r="12" spans="1:14" s="22" customFormat="1" x14ac:dyDescent="0.2">
      <c r="A12" s="19" t="s">
        <v>103</v>
      </c>
      <c r="B12" s="32">
        <f>+Vons!D43</f>
        <v>15</v>
      </c>
      <c r="C12" s="32">
        <f>+Vons!B43</f>
        <v>15</v>
      </c>
      <c r="D12" s="13" t="s">
        <v>146</v>
      </c>
      <c r="E12" s="168">
        <v>15</v>
      </c>
      <c r="F12" s="168">
        <f>E12</f>
        <v>15</v>
      </c>
      <c r="G12" s="168">
        <f t="shared" ref="G12:N12" si="2">F12</f>
        <v>15</v>
      </c>
      <c r="H12" s="168">
        <f t="shared" si="2"/>
        <v>15</v>
      </c>
      <c r="I12" s="168">
        <f t="shared" si="2"/>
        <v>15</v>
      </c>
      <c r="J12" s="168">
        <f t="shared" si="2"/>
        <v>15</v>
      </c>
      <c r="K12" s="168">
        <f t="shared" si="2"/>
        <v>15</v>
      </c>
      <c r="L12" s="168">
        <f t="shared" si="2"/>
        <v>15</v>
      </c>
      <c r="M12" s="168">
        <f t="shared" si="2"/>
        <v>15</v>
      </c>
      <c r="N12" s="168">
        <f t="shared" si="2"/>
        <v>15</v>
      </c>
    </row>
    <row r="13" spans="1:14" s="22" customFormat="1" x14ac:dyDescent="0.2">
      <c r="A13" s="28" t="s">
        <v>147</v>
      </c>
      <c r="B13" s="29">
        <f>+B7-B8</f>
        <v>194.10000000000036</v>
      </c>
      <c r="C13" s="29">
        <f>+C7-C8</f>
        <v>241.09999999999945</v>
      </c>
      <c r="D13" s="44"/>
      <c r="E13" s="29">
        <f t="shared" ref="E13:N13" si="3">+E7-E8</f>
        <v>288.30098699471091</v>
      </c>
      <c r="F13" s="29">
        <f t="shared" si="3"/>
        <v>300.45374925439319</v>
      </c>
      <c r="G13" s="29">
        <f t="shared" si="3"/>
        <v>311.51110508831334</v>
      </c>
      <c r="H13" s="29">
        <f t="shared" si="3"/>
        <v>322.94475987991063</v>
      </c>
      <c r="I13" s="29">
        <f t="shared" si="3"/>
        <v>334.77282647570701</v>
      </c>
      <c r="J13" s="29">
        <f t="shared" si="3"/>
        <v>347.01487540235576</v>
      </c>
      <c r="K13" s="29">
        <f t="shared" si="3"/>
        <v>359.68539604143825</v>
      </c>
      <c r="L13" s="29">
        <f t="shared" si="3"/>
        <v>372.79938490288896</v>
      </c>
      <c r="M13" s="29">
        <f t="shared" si="3"/>
        <v>386.37236337449031</v>
      </c>
      <c r="N13" s="31">
        <f t="shared" si="3"/>
        <v>400.420396092597</v>
      </c>
    </row>
    <row r="14" spans="1:14" s="22" customFormat="1" x14ac:dyDescent="0.2">
      <c r="A14" s="34" t="s">
        <v>108</v>
      </c>
      <c r="B14" s="34">
        <f>+Vons!D50</f>
        <v>67.3</v>
      </c>
      <c r="C14" s="34">
        <f>+Vons!B50</f>
        <v>55.6</v>
      </c>
      <c r="D14" s="34"/>
      <c r="E14" s="119"/>
      <c r="F14" s="119"/>
      <c r="G14" s="119"/>
      <c r="H14" s="119"/>
      <c r="I14" s="119"/>
      <c r="J14" s="119"/>
      <c r="K14" s="119"/>
      <c r="L14" s="119"/>
      <c r="M14" s="119"/>
      <c r="N14" s="119"/>
    </row>
    <row r="15" spans="1:14" s="22" customFormat="1" x14ac:dyDescent="0.2">
      <c r="A15" s="9" t="s">
        <v>148</v>
      </c>
      <c r="B15" s="27">
        <f>+B13-B14</f>
        <v>126.80000000000037</v>
      </c>
      <c r="C15" s="27">
        <f>+C13-C14</f>
        <v>185.49999999999946</v>
      </c>
      <c r="D15" s="9"/>
      <c r="E15" s="27">
        <f t="shared" ref="E15:N15" si="4">+E13-E14</f>
        <v>288.30098699471091</v>
      </c>
      <c r="F15" s="27">
        <f t="shared" si="4"/>
        <v>300.45374925439319</v>
      </c>
      <c r="G15" s="27">
        <f t="shared" si="4"/>
        <v>311.51110508831334</v>
      </c>
      <c r="H15" s="27">
        <f t="shared" si="4"/>
        <v>322.94475987991063</v>
      </c>
      <c r="I15" s="27">
        <f t="shared" si="4"/>
        <v>334.77282647570701</v>
      </c>
      <c r="J15" s="27">
        <f t="shared" si="4"/>
        <v>347.01487540235576</v>
      </c>
      <c r="K15" s="27">
        <f t="shared" si="4"/>
        <v>359.68539604143825</v>
      </c>
      <c r="L15" s="27">
        <f t="shared" si="4"/>
        <v>372.79938490288896</v>
      </c>
      <c r="M15" s="27">
        <f t="shared" si="4"/>
        <v>386.37236337449031</v>
      </c>
      <c r="N15" s="27">
        <f t="shared" si="4"/>
        <v>400.420396092597</v>
      </c>
    </row>
    <row r="16" spans="1:14" s="22" customFormat="1" x14ac:dyDescent="0.2">
      <c r="A16" s="33" t="s">
        <v>112</v>
      </c>
      <c r="B16" s="34">
        <f>+Vons!D53</f>
        <v>58.7</v>
      </c>
      <c r="C16" s="34">
        <f>+Vons!B53</f>
        <v>80.8</v>
      </c>
      <c r="D16" s="169">
        <f>+Inputs!L10</f>
        <v>0.43557951482479912</v>
      </c>
      <c r="E16" s="34">
        <f>+E15*0.42</f>
        <v>121.08641453777858</v>
      </c>
      <c r="F16" s="34">
        <f t="shared" ref="F16:N16" si="5">+F15*0.42</f>
        <v>126.19057468684514</v>
      </c>
      <c r="G16" s="34">
        <f t="shared" si="5"/>
        <v>130.83466413709161</v>
      </c>
      <c r="H16" s="34">
        <f t="shared" si="5"/>
        <v>135.63679914956245</v>
      </c>
      <c r="I16" s="34">
        <f t="shared" si="5"/>
        <v>140.60458711979695</v>
      </c>
      <c r="J16" s="34">
        <f t="shared" si="5"/>
        <v>145.74624766898941</v>
      </c>
      <c r="K16" s="34">
        <f t="shared" si="5"/>
        <v>151.06786633740407</v>
      </c>
      <c r="L16" s="34">
        <f t="shared" si="5"/>
        <v>156.57574165921335</v>
      </c>
      <c r="M16" s="34">
        <f t="shared" si="5"/>
        <v>162.27639261728592</v>
      </c>
      <c r="N16" s="34">
        <f t="shared" si="5"/>
        <v>168.17656635889074</v>
      </c>
    </row>
    <row r="17" spans="1:14" s="22" customFormat="1" x14ac:dyDescent="0.2">
      <c r="A17" s="30" t="s">
        <v>149</v>
      </c>
      <c r="B17" s="29">
        <f>+B15-B16</f>
        <v>68.100000000000364</v>
      </c>
      <c r="C17" s="29">
        <f>+C15-C16</f>
        <v>104.69999999999946</v>
      </c>
      <c r="D17" s="44"/>
      <c r="E17" s="29">
        <f t="shared" ref="E17:N17" si="6">+E15-E16</f>
        <v>167.21457245693233</v>
      </c>
      <c r="F17" s="29">
        <f t="shared" si="6"/>
        <v>174.26317456754805</v>
      </c>
      <c r="G17" s="29">
        <f t="shared" si="6"/>
        <v>180.67644095122174</v>
      </c>
      <c r="H17" s="29">
        <f t="shared" si="6"/>
        <v>187.30796073034819</v>
      </c>
      <c r="I17" s="29">
        <f t="shared" si="6"/>
        <v>194.16823935591006</v>
      </c>
      <c r="J17" s="29">
        <f t="shared" si="6"/>
        <v>201.26862773336634</v>
      </c>
      <c r="K17" s="29">
        <f t="shared" si="6"/>
        <v>208.61752970403418</v>
      </c>
      <c r="L17" s="29">
        <f t="shared" si="6"/>
        <v>216.22364324367561</v>
      </c>
      <c r="M17" s="29">
        <f t="shared" si="6"/>
        <v>224.09597075720438</v>
      </c>
      <c r="N17" s="29">
        <f t="shared" si="6"/>
        <v>232.24382973370626</v>
      </c>
    </row>
    <row r="18" spans="1:14" s="23" customFormat="1" x14ac:dyDescent="0.2">
      <c r="A18" s="35" t="s">
        <v>150</v>
      </c>
      <c r="B18" s="152">
        <f>B14*(1-(B16/B15))</f>
        <v>36.144558359621541</v>
      </c>
      <c r="C18" s="152">
        <f>C14*(1-(C16/C15))</f>
        <v>31.381778975741167</v>
      </c>
      <c r="D18" s="13"/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4" s="21" customFormat="1" x14ac:dyDescent="0.2">
      <c r="A19" s="11" t="s">
        <v>151</v>
      </c>
      <c r="B19" s="36">
        <f>B17+B18</f>
        <v>104.24455835962191</v>
      </c>
      <c r="C19" s="36">
        <f>C17+C18</f>
        <v>136.08177897574063</v>
      </c>
      <c r="D19" s="26"/>
      <c r="E19" s="36">
        <f>+E17</f>
        <v>167.21457245693233</v>
      </c>
      <c r="F19" s="36">
        <f t="shared" ref="F19:N19" si="7">+F17</f>
        <v>174.26317456754805</v>
      </c>
      <c r="G19" s="36">
        <f t="shared" si="7"/>
        <v>180.67644095122174</v>
      </c>
      <c r="H19" s="36">
        <f t="shared" si="7"/>
        <v>187.30796073034819</v>
      </c>
      <c r="I19" s="36">
        <f t="shared" si="7"/>
        <v>194.16823935591006</v>
      </c>
      <c r="J19" s="36">
        <f t="shared" si="7"/>
        <v>201.26862773336634</v>
      </c>
      <c r="K19" s="36">
        <f t="shared" si="7"/>
        <v>208.61752970403418</v>
      </c>
      <c r="L19" s="36">
        <f t="shared" si="7"/>
        <v>216.22364324367561</v>
      </c>
      <c r="M19" s="36">
        <f t="shared" si="7"/>
        <v>224.09597075720438</v>
      </c>
      <c r="N19" s="36">
        <f t="shared" si="7"/>
        <v>232.24382973370626</v>
      </c>
    </row>
    <row r="20" spans="1:14" s="22" customFormat="1" x14ac:dyDescent="0.2">
      <c r="A20" s="9" t="s">
        <v>152</v>
      </c>
      <c r="B20" s="27">
        <f>+B11</f>
        <v>105.9</v>
      </c>
      <c r="C20" s="27">
        <f>+C11</f>
        <v>105.79999999999998</v>
      </c>
      <c r="D20" s="13"/>
      <c r="E20" s="27">
        <f t="shared" ref="E20:N20" si="8">+E11</f>
        <v>111.68313271442835</v>
      </c>
      <c r="F20" s="27">
        <f t="shared" si="8"/>
        <v>116.15808867729409</v>
      </c>
      <c r="G20" s="27">
        <f t="shared" si="8"/>
        <v>120.22968815115878</v>
      </c>
      <c r="H20" s="27">
        <f t="shared" si="8"/>
        <v>124.43985046600511</v>
      </c>
      <c r="I20" s="27">
        <f t="shared" si="8"/>
        <v>128.79524523231527</v>
      </c>
      <c r="J20" s="27">
        <f t="shared" si="8"/>
        <v>133.30307881544633</v>
      </c>
      <c r="K20" s="27">
        <f t="shared" si="8"/>
        <v>137.96868657398693</v>
      </c>
      <c r="L20" s="27">
        <f t="shared" si="8"/>
        <v>142.79759060407645</v>
      </c>
      <c r="M20" s="27">
        <f t="shared" si="8"/>
        <v>147.79550627521911</v>
      </c>
      <c r="N20" s="27">
        <f t="shared" si="8"/>
        <v>152.96834899485179</v>
      </c>
    </row>
    <row r="21" spans="1:14" s="22" customFormat="1" x14ac:dyDescent="0.2">
      <c r="A21" s="9" t="s">
        <v>153</v>
      </c>
      <c r="B21" s="27">
        <f>6.8+4.9+10</f>
        <v>21.7</v>
      </c>
      <c r="C21" s="27">
        <f>6.2+4.8+10+((8))</f>
        <v>29</v>
      </c>
      <c r="D21" s="40" t="s">
        <v>154</v>
      </c>
      <c r="E21" s="27">
        <f>IF(E55=0,0,C56-E56+C55-E55)</f>
        <v>11.74703909457412</v>
      </c>
      <c r="F21" s="27">
        <f>E56-F56+E55-F55</f>
        <v>12.525662345674448</v>
      </c>
      <c r="G21" s="27">
        <f t="shared" ref="G21:N21" si="9">F56-G56+F55-G55</f>
        <v>12.748690272012425</v>
      </c>
      <c r="H21" s="27">
        <f t="shared" si="9"/>
        <v>12.672074712490428</v>
      </c>
      <c r="I21" s="27">
        <f t="shared" si="9"/>
        <v>12.591771324866329</v>
      </c>
      <c r="J21" s="27">
        <f t="shared" si="9"/>
        <v>12.507483321236634</v>
      </c>
      <c r="K21" s="27">
        <f t="shared" si="9"/>
        <v>12.42024523747989</v>
      </c>
      <c r="L21" s="27">
        <f t="shared" si="9"/>
        <v>12.329953820791673</v>
      </c>
      <c r="M21" s="27">
        <f t="shared" si="9"/>
        <v>12.236502204519411</v>
      </c>
      <c r="N21" s="27">
        <f t="shared" si="9"/>
        <v>12.139779781677589</v>
      </c>
    </row>
    <row r="22" spans="1:14" s="22" customFormat="1" x14ac:dyDescent="0.2">
      <c r="A22" s="9" t="s">
        <v>155</v>
      </c>
      <c r="B22" s="27">
        <v>0</v>
      </c>
      <c r="C22" s="27">
        <v>0</v>
      </c>
      <c r="D22" s="40" t="s">
        <v>154</v>
      </c>
      <c r="E22" s="27">
        <f>IF(E64=0,0,+E64-C64+E62-C62)</f>
        <v>11.43818902984799</v>
      </c>
      <c r="F22" s="27">
        <f>+F64-E64+F62-E62</f>
        <v>8.7003633417909043</v>
      </c>
      <c r="G22" s="27">
        <f t="shared" ref="G22:N22" si="10">+G64-F64+G62-F62</f>
        <v>7.916143778581926</v>
      </c>
      <c r="H22" s="27">
        <f t="shared" si="10"/>
        <v>8.1855424212088224</v>
      </c>
      <c r="I22" s="27">
        <f t="shared" si="10"/>
        <v>8.4679083500000161</v>
      </c>
      <c r="J22" s="27">
        <f t="shared" si="10"/>
        <v>8.7642851422500598</v>
      </c>
      <c r="K22" s="27">
        <f t="shared" si="10"/>
        <v>9.0710351222287784</v>
      </c>
      <c r="L22" s="27">
        <f t="shared" si="10"/>
        <v>9.3885213515067392</v>
      </c>
      <c r="M22" s="27">
        <f t="shared" si="10"/>
        <v>9.7171195988095178</v>
      </c>
      <c r="N22" s="27">
        <f t="shared" si="10"/>
        <v>10.057218784767826</v>
      </c>
    </row>
    <row r="23" spans="1:14" s="22" customFormat="1" x14ac:dyDescent="0.2">
      <c r="A23" s="33" t="s">
        <v>156</v>
      </c>
      <c r="B23" s="34">
        <v>1.5</v>
      </c>
      <c r="C23" s="34">
        <v>11.2</v>
      </c>
      <c r="D23" s="41" t="s">
        <v>154</v>
      </c>
      <c r="E23" s="34">
        <f>IF(E63=0,0,+C51-E51+E63-C63)</f>
        <v>5.5161319968931366</v>
      </c>
      <c r="F23" s="34">
        <f>+E51-F51+F63-E63</f>
        <v>4.1957999198135951</v>
      </c>
      <c r="G23" s="34">
        <f t="shared" ref="G23:N23" si="11">+F51-G51+G63-F63</f>
        <v>3.8176055558353426</v>
      </c>
      <c r="H23" s="34">
        <f t="shared" si="11"/>
        <v>3.9475245901016933</v>
      </c>
      <c r="I23" s="34">
        <f t="shared" si="11"/>
        <v>4.0836971721925011</v>
      </c>
      <c r="J23" s="34">
        <f t="shared" si="11"/>
        <v>4.2266265732192778</v>
      </c>
      <c r="K23" s="34">
        <f t="shared" si="11"/>
        <v>4.3745585032819463</v>
      </c>
      <c r="L23" s="34">
        <f t="shared" si="11"/>
        <v>4.527668050896807</v>
      </c>
      <c r="M23" s="34">
        <f t="shared" si="11"/>
        <v>4.6861364326781825</v>
      </c>
      <c r="N23" s="34">
        <f t="shared" si="11"/>
        <v>4.8501512078219093</v>
      </c>
    </row>
    <row r="24" spans="1:14" s="21" customFormat="1" x14ac:dyDescent="0.2">
      <c r="A24" s="11" t="s">
        <v>157</v>
      </c>
      <c r="B24" s="36">
        <f>SUM(B19:B23)</f>
        <v>233.34455835962189</v>
      </c>
      <c r="C24" s="36">
        <f>SUM(C19:C23)</f>
        <v>282.08177897574063</v>
      </c>
      <c r="D24" s="26"/>
      <c r="E24" s="36">
        <f t="shared" ref="E24:N24" si="12">SUM(E19:E23)</f>
        <v>307.59906529267596</v>
      </c>
      <c r="F24" s="36">
        <f t="shared" si="12"/>
        <v>315.84308885212101</v>
      </c>
      <c r="G24" s="36">
        <f t="shared" si="12"/>
        <v>325.38856870881023</v>
      </c>
      <c r="H24" s="36">
        <f t="shared" si="12"/>
        <v>336.55295292015421</v>
      </c>
      <c r="I24" s="36">
        <f t="shared" si="12"/>
        <v>348.1068614352842</v>
      </c>
      <c r="J24" s="36">
        <f t="shared" si="12"/>
        <v>360.07010158551867</v>
      </c>
      <c r="K24" s="36">
        <f t="shared" si="12"/>
        <v>372.45205514101167</v>
      </c>
      <c r="L24" s="36">
        <f t="shared" si="12"/>
        <v>385.26737707094725</v>
      </c>
      <c r="M24" s="36">
        <f t="shared" si="12"/>
        <v>398.53123526843058</v>
      </c>
      <c r="N24" s="36">
        <f t="shared" si="12"/>
        <v>412.25932850282538</v>
      </c>
    </row>
    <row r="25" spans="1:14" s="22" customFormat="1" x14ac:dyDescent="0.2">
      <c r="A25" s="32" t="s">
        <v>158</v>
      </c>
      <c r="B25" s="27">
        <v>13.7</v>
      </c>
      <c r="C25" s="27">
        <v>-13.3</v>
      </c>
      <c r="D25" s="13" t="s">
        <v>154</v>
      </c>
      <c r="E25" s="27">
        <f>IF(E49=0,0,C49-E49)</f>
        <v>-2.5022776195583845</v>
      </c>
      <c r="F25" s="27">
        <f t="shared" ref="F25:N25" si="13">E49-F49</f>
        <v>-1.9033366571735115</v>
      </c>
      <c r="G25" s="27">
        <f t="shared" si="13"/>
        <v>-1.731776713836588</v>
      </c>
      <c r="H25" s="27">
        <f t="shared" si="13"/>
        <v>-1.790711759622738</v>
      </c>
      <c r="I25" s="27">
        <f t="shared" si="13"/>
        <v>-1.8524835962566826</v>
      </c>
      <c r="J25" s="27">
        <f t="shared" si="13"/>
        <v>-1.9173205221256779</v>
      </c>
      <c r="K25" s="27">
        <f t="shared" si="13"/>
        <v>-1.9844267404000746</v>
      </c>
      <c r="L25" s="27">
        <f t="shared" si="13"/>
        <v>-2.0538816763140701</v>
      </c>
      <c r="M25" s="27">
        <f t="shared" si="13"/>
        <v>-2.1257675349850658</v>
      </c>
      <c r="N25" s="27">
        <f t="shared" si="13"/>
        <v>-2.2001693987095408</v>
      </c>
    </row>
    <row r="26" spans="1:14" s="22" customFormat="1" x14ac:dyDescent="0.2">
      <c r="A26" s="32" t="s">
        <v>159</v>
      </c>
      <c r="B26" s="27">
        <f>3.7-10.9-7.5</f>
        <v>-14.7</v>
      </c>
      <c r="C26" s="27">
        <f>10.6+1.7-3.6</f>
        <v>8.6999999999999993</v>
      </c>
      <c r="D26" s="13" t="s">
        <v>154</v>
      </c>
      <c r="E26" s="27">
        <f>IF(E52=0,0,C50+C52-E50-E52)</f>
        <v>-9.1654557901423317</v>
      </c>
      <c r="F26" s="27">
        <f>E50+E52-F50-F52</f>
        <v>-15.51707781184151</v>
      </c>
      <c r="G26" s="27">
        <f t="shared" ref="G26:N26" si="14">F50+F52-G50-G52</f>
        <v>-14.118424042356828</v>
      </c>
      <c r="H26" s="27">
        <f t="shared" si="14"/>
        <v>-14.598895895752555</v>
      </c>
      <c r="I26" s="27">
        <f t="shared" si="14"/>
        <v>-15.102494873903211</v>
      </c>
      <c r="J26" s="27">
        <f t="shared" si="14"/>
        <v>-15.631082194489871</v>
      </c>
      <c r="K26" s="27">
        <f t="shared" si="14"/>
        <v>-16.178170071297011</v>
      </c>
      <c r="L26" s="27">
        <f t="shared" si="14"/>
        <v>-16.744406023792394</v>
      </c>
      <c r="M26" s="27">
        <f t="shared" si="14"/>
        <v>-17.330460234625093</v>
      </c>
      <c r="N26" s="27">
        <f t="shared" si="14"/>
        <v>-17.937026342836973</v>
      </c>
    </row>
    <row r="27" spans="1:14" s="22" customFormat="1" x14ac:dyDescent="0.2">
      <c r="A27" s="32" t="s">
        <v>160</v>
      </c>
      <c r="B27" s="27">
        <v>11.7</v>
      </c>
      <c r="C27" s="27">
        <v>7.2</v>
      </c>
      <c r="D27" s="13" t="s">
        <v>154</v>
      </c>
      <c r="E27" s="27">
        <f>IF(E59=0,0,+E59-C59)</f>
        <v>18.861612634537835</v>
      </c>
      <c r="F27" s="27">
        <f>+F59-E59</f>
        <v>14.346928758072295</v>
      </c>
      <c r="G27" s="27">
        <f t="shared" ref="G27:N27" si="15">+G59-F59</f>
        <v>13.053748029630469</v>
      </c>
      <c r="H27" s="27">
        <f t="shared" si="15"/>
        <v>13.497987308089591</v>
      </c>
      <c r="I27" s="27">
        <f t="shared" si="15"/>
        <v>13.963609685561551</v>
      </c>
      <c r="J27" s="27">
        <f t="shared" si="15"/>
        <v>14.452336024556189</v>
      </c>
      <c r="K27" s="27">
        <f t="shared" si="15"/>
        <v>14.95816778541564</v>
      </c>
      <c r="L27" s="27">
        <f t="shared" si="15"/>
        <v>15.4817036579052</v>
      </c>
      <c r="M27" s="27">
        <f t="shared" si="15"/>
        <v>16.023563285931857</v>
      </c>
      <c r="N27" s="27">
        <f t="shared" si="15"/>
        <v>16.584388000939498</v>
      </c>
    </row>
    <row r="28" spans="1:14" s="22" customFormat="1" x14ac:dyDescent="0.2">
      <c r="A28" s="34" t="s">
        <v>161</v>
      </c>
      <c r="B28" s="34">
        <f>16.7+14.7</f>
        <v>31.4</v>
      </c>
      <c r="C28" s="34">
        <f>2.2+12.7</f>
        <v>14.899999999999999</v>
      </c>
      <c r="D28" s="42" t="s">
        <v>154</v>
      </c>
      <c r="E28" s="34">
        <f>IF(E60=0,0,E60-C60)</f>
        <v>14.774559189259151</v>
      </c>
      <c r="F28" s="34">
        <f t="shared" ref="F28:N28" si="16">F60-E60</f>
        <v>11.238145551355615</v>
      </c>
      <c r="G28" s="34">
        <f t="shared" si="16"/>
        <v>10.225179397030672</v>
      </c>
      <c r="H28" s="34">
        <f t="shared" si="16"/>
        <v>10.573158100705825</v>
      </c>
      <c r="I28" s="34">
        <f t="shared" si="16"/>
        <v>10.93788647834225</v>
      </c>
      <c r="J28" s="34">
        <f t="shared" si="16"/>
        <v>11.320712505084259</v>
      </c>
      <c r="K28" s="34">
        <f t="shared" si="16"/>
        <v>11.71693744276223</v>
      </c>
      <c r="L28" s="34">
        <f t="shared" si="16"/>
        <v>12.127030253258852</v>
      </c>
      <c r="M28" s="34">
        <f t="shared" si="16"/>
        <v>12.551476312122929</v>
      </c>
      <c r="N28" s="34">
        <f t="shared" si="16"/>
        <v>12.990777983047224</v>
      </c>
    </row>
    <row r="29" spans="1:14" s="21" customFormat="1" x14ac:dyDescent="0.2">
      <c r="A29" s="11" t="s">
        <v>162</v>
      </c>
      <c r="B29" s="36">
        <f>SUM(B24:B28)</f>
        <v>275.44455835962185</v>
      </c>
      <c r="C29" s="36">
        <f>SUM(C24:C28)</f>
        <v>299.58177897574058</v>
      </c>
      <c r="D29" s="26"/>
      <c r="E29" s="36">
        <f t="shared" ref="E29:N29" si="17">SUM(E24:E28)</f>
        <v>329.56750370677219</v>
      </c>
      <c r="F29" s="36">
        <f t="shared" si="17"/>
        <v>324.00774869253394</v>
      </c>
      <c r="G29" s="36">
        <f t="shared" si="17"/>
        <v>332.81729537927794</v>
      </c>
      <c r="H29" s="36">
        <f t="shared" si="17"/>
        <v>344.23449067357433</v>
      </c>
      <c r="I29" s="36">
        <f t="shared" si="17"/>
        <v>356.05337912902814</v>
      </c>
      <c r="J29" s="36">
        <f t="shared" si="17"/>
        <v>368.29474739854356</v>
      </c>
      <c r="K29" s="36">
        <f t="shared" si="17"/>
        <v>380.96456355749245</v>
      </c>
      <c r="L29" s="36">
        <f t="shared" si="17"/>
        <v>394.07782328200483</v>
      </c>
      <c r="M29" s="36">
        <f t="shared" si="17"/>
        <v>407.6500470968752</v>
      </c>
      <c r="N29" s="36">
        <f t="shared" si="17"/>
        <v>421.69729874526558</v>
      </c>
    </row>
    <row r="30" spans="1:14" s="22" customFormat="1" x14ac:dyDescent="0.2">
      <c r="A30" s="9" t="s">
        <v>163</v>
      </c>
      <c r="B30" s="27">
        <v>-91.2</v>
      </c>
      <c r="C30" s="27">
        <v>-99.3</v>
      </c>
      <c r="D30" s="13"/>
      <c r="E30" s="27">
        <f>IF(E54=0,0,+C54-E54-E20)</f>
        <v>-178.08802012057541</v>
      </c>
      <c r="F30" s="27">
        <f>+E54-F54-F20</f>
        <v>-166.66841392166322</v>
      </c>
      <c r="G30" s="27">
        <f t="shared" ref="G30:N30" si="18">+F54-G54-G20</f>
        <v>-166.18719374368442</v>
      </c>
      <c r="H30" s="27">
        <f t="shared" si="18"/>
        <v>-171.9613612069266</v>
      </c>
      <c r="I30" s="27">
        <f t="shared" si="18"/>
        <v>-177.95604324675384</v>
      </c>
      <c r="J30" s="27">
        <f t="shared" si="18"/>
        <v>-184.18450476039044</v>
      </c>
      <c r="K30" s="27">
        <f t="shared" si="18"/>
        <v>-190.63096242700396</v>
      </c>
      <c r="L30" s="27">
        <f t="shared" si="18"/>
        <v>-197.30304611194896</v>
      </c>
      <c r="M30" s="27">
        <f t="shared" si="18"/>
        <v>-204.20865272586724</v>
      </c>
      <c r="N30" s="27">
        <f t="shared" si="18"/>
        <v>-211.35595557127272</v>
      </c>
    </row>
    <row r="31" spans="1:14" s="21" customFormat="1" x14ac:dyDescent="0.2">
      <c r="A31" s="11" t="s">
        <v>164</v>
      </c>
      <c r="B31" s="36">
        <f>B29+B30</f>
        <v>184.24455835962186</v>
      </c>
      <c r="C31" s="36">
        <f>C29+C30</f>
        <v>200.28177897574056</v>
      </c>
      <c r="D31" s="11"/>
      <c r="E31" s="36">
        <f t="shared" ref="E31:N31" si="19">E29+E30</f>
        <v>151.47948358619678</v>
      </c>
      <c r="F31" s="36">
        <f t="shared" si="19"/>
        <v>157.33933477087072</v>
      </c>
      <c r="G31" s="36">
        <f t="shared" si="19"/>
        <v>166.63010163559352</v>
      </c>
      <c r="H31" s="36">
        <f t="shared" si="19"/>
        <v>172.27312946664773</v>
      </c>
      <c r="I31" s="36">
        <f t="shared" si="19"/>
        <v>178.09733588227431</v>
      </c>
      <c r="J31" s="36">
        <f t="shared" si="19"/>
        <v>184.11024263815312</v>
      </c>
      <c r="K31" s="36">
        <f t="shared" si="19"/>
        <v>190.33360113048849</v>
      </c>
      <c r="L31" s="36">
        <f t="shared" si="19"/>
        <v>196.77477717005587</v>
      </c>
      <c r="M31" s="36">
        <f t="shared" si="19"/>
        <v>203.44139437100796</v>
      </c>
      <c r="N31" s="36">
        <f t="shared" si="19"/>
        <v>210.34134317399287</v>
      </c>
    </row>
    <row r="32" spans="1:14" s="21" customFormat="1" x14ac:dyDescent="0.2">
      <c r="A32" s="11" t="s">
        <v>165</v>
      </c>
      <c r="B32" s="36"/>
      <c r="C32" s="170">
        <f>+Inputs!E11</f>
        <v>7</v>
      </c>
      <c r="D32" s="11"/>
      <c r="E32" s="36"/>
      <c r="F32" s="36"/>
      <c r="G32" s="36"/>
      <c r="H32" s="36"/>
      <c r="I32" s="36"/>
      <c r="J32" s="36"/>
      <c r="K32" s="36"/>
      <c r="L32" s="36"/>
      <c r="M32" s="36"/>
      <c r="N32" s="173">
        <f>((+N13+N12+N11)*$C$32)</f>
        <v>3978.7212156121413</v>
      </c>
    </row>
    <row r="33" spans="1:14" s="21" customFormat="1" x14ac:dyDescent="0.2">
      <c r="A33" s="11" t="s">
        <v>166</v>
      </c>
      <c r="B33" s="36"/>
      <c r="C33" s="172"/>
      <c r="D33" s="11"/>
      <c r="E33" s="36">
        <f>SUM(E31:E32)</f>
        <v>151.47948358619678</v>
      </c>
      <c r="F33" s="36">
        <f t="shared" ref="F33:N33" si="20">SUM(F31:F32)</f>
        <v>157.33933477087072</v>
      </c>
      <c r="G33" s="36">
        <f t="shared" si="20"/>
        <v>166.63010163559352</v>
      </c>
      <c r="H33" s="36">
        <f t="shared" si="20"/>
        <v>172.27312946664773</v>
      </c>
      <c r="I33" s="36">
        <f t="shared" si="20"/>
        <v>178.09733588227431</v>
      </c>
      <c r="J33" s="36">
        <f t="shared" si="20"/>
        <v>184.11024263815312</v>
      </c>
      <c r="K33" s="36">
        <f t="shared" si="20"/>
        <v>190.33360113048849</v>
      </c>
      <c r="L33" s="36">
        <f t="shared" si="20"/>
        <v>196.77477717005587</v>
      </c>
      <c r="M33" s="36">
        <f t="shared" si="20"/>
        <v>203.44139437100796</v>
      </c>
      <c r="N33" s="36">
        <f t="shared" si="20"/>
        <v>4189.0625587861341</v>
      </c>
    </row>
    <row r="34" spans="1:14" s="21" customFormat="1" x14ac:dyDescent="0.2">
      <c r="A34" s="11"/>
      <c r="B34" s="36"/>
      <c r="C34" s="172"/>
      <c r="D34" s="11"/>
      <c r="E34" s="36"/>
      <c r="F34" s="36"/>
      <c r="G34" s="36"/>
      <c r="H34" s="36"/>
      <c r="I34" s="36"/>
      <c r="J34" s="36"/>
      <c r="K34" s="36"/>
      <c r="L34" s="36"/>
      <c r="M34" s="36"/>
      <c r="N34" s="171"/>
    </row>
    <row r="35" spans="1:14" s="21" customFormat="1" x14ac:dyDescent="0.2">
      <c r="A35" s="11" t="s">
        <v>167</v>
      </c>
      <c r="B35" s="36"/>
      <c r="C35" s="174">
        <f>+Inputs!E10</f>
        <v>0.12</v>
      </c>
      <c r="D35"/>
      <c r="E35" s="177">
        <f>NPV(C35,E33:N33)</f>
        <v>2270.7997104395326</v>
      </c>
      <c r="F35" s="36"/>
      <c r="G35" s="36"/>
      <c r="H35" s="36"/>
      <c r="I35" s="36"/>
      <c r="J35" s="36"/>
      <c r="K35" s="36"/>
      <c r="L35" s="36"/>
      <c r="M35" s="36"/>
      <c r="N35" s="171"/>
    </row>
    <row r="36" spans="1:14" s="24" customFormat="1" x14ac:dyDescent="0.2">
      <c r="A36" s="37" t="s">
        <v>168</v>
      </c>
      <c r="B36" s="27"/>
      <c r="C36" s="27"/>
      <c r="D36"/>
      <c r="E36" s="178">
        <f>IF(E35=0,0,-(C66))</f>
        <v>-454.4</v>
      </c>
      <c r="F36" s="43"/>
      <c r="G36" s="43"/>
      <c r="H36" s="176"/>
      <c r="I36" s="43"/>
      <c r="J36" s="43"/>
      <c r="K36" s="43"/>
      <c r="L36" s="43"/>
      <c r="M36" s="43"/>
      <c r="N36" s="43"/>
    </row>
    <row r="37" spans="1:14" s="22" customFormat="1" x14ac:dyDescent="0.2">
      <c r="A37" s="38" t="s">
        <v>169</v>
      </c>
      <c r="B37" s="27"/>
      <c r="C37" s="27"/>
      <c r="D37" s="9"/>
      <c r="E37" s="179">
        <v>0</v>
      </c>
      <c r="F37" s="27"/>
      <c r="G37" s="27"/>
      <c r="H37" s="27"/>
      <c r="I37" s="27"/>
      <c r="J37" s="27"/>
      <c r="K37" s="27"/>
      <c r="L37" s="27"/>
      <c r="M37" s="27"/>
      <c r="N37" s="27"/>
    </row>
    <row r="38" spans="1:14" s="22" customFormat="1" x14ac:dyDescent="0.2">
      <c r="A38" s="38" t="s">
        <v>170</v>
      </c>
      <c r="B38" s="32"/>
      <c r="C38" s="32"/>
      <c r="D38" s="19"/>
      <c r="E38" s="178">
        <f>SUM(E35:E37)</f>
        <v>1816.3997104395326</v>
      </c>
      <c r="F38" s="32"/>
      <c r="G38" s="32"/>
      <c r="H38" s="32"/>
      <c r="I38" s="32"/>
      <c r="J38" s="32"/>
      <c r="K38" s="32"/>
      <c r="L38" s="32"/>
      <c r="M38" s="32"/>
      <c r="N38" s="32"/>
    </row>
    <row r="39" spans="1:14" s="22" customFormat="1" x14ac:dyDescent="0.2">
      <c r="A39" s="9" t="s">
        <v>171</v>
      </c>
      <c r="B39" s="27"/>
      <c r="C39" s="27"/>
      <c r="D39" s="9"/>
      <c r="E39" s="178">
        <f>+Inputs!E30/1000000</f>
        <v>44.174284999999998</v>
      </c>
      <c r="F39" s="27"/>
      <c r="G39" s="27"/>
      <c r="H39" s="27"/>
      <c r="I39" s="27"/>
      <c r="J39" s="27"/>
      <c r="K39" s="27"/>
      <c r="L39" s="27"/>
      <c r="M39" s="27"/>
      <c r="N39" s="27"/>
    </row>
    <row r="40" spans="1:14" s="25" customFormat="1" x14ac:dyDescent="0.2">
      <c r="A40" s="10" t="s">
        <v>172</v>
      </c>
      <c r="B40" s="36"/>
      <c r="C40" s="36"/>
      <c r="D40" s="10"/>
      <c r="E40" s="180">
        <f>E38/E39</f>
        <v>41.118938550777507</v>
      </c>
      <c r="F40" s="175"/>
      <c r="G40" s="175"/>
      <c r="H40" s="175"/>
      <c r="I40" s="175"/>
      <c r="J40" s="175"/>
      <c r="K40" s="175"/>
      <c r="L40" s="175"/>
      <c r="M40" s="175"/>
      <c r="N40" s="175"/>
    </row>
    <row r="41" spans="1:14" s="22" customFormat="1" x14ac:dyDescent="0.2">
      <c r="A41" s="9"/>
      <c r="B41" s="27"/>
      <c r="C41" s="27"/>
      <c r="D41" s="9"/>
      <c r="E41" s="181"/>
      <c r="F41" s="9"/>
      <c r="G41" s="9"/>
      <c r="H41" s="9"/>
      <c r="I41" s="9"/>
      <c r="J41" s="9"/>
      <c r="K41" s="9"/>
      <c r="L41" s="9"/>
      <c r="M41" s="9"/>
      <c r="N41" s="9"/>
    </row>
    <row r="42" spans="1:14" s="22" customFormat="1" x14ac:dyDescent="0.2">
      <c r="A42" s="3" t="s">
        <v>139</v>
      </c>
      <c r="B42" s="111"/>
      <c r="C42" s="111"/>
      <c r="D42" s="112"/>
      <c r="E42" s="111"/>
      <c r="F42" s="112"/>
      <c r="G42" s="112"/>
      <c r="H42" s="112"/>
      <c r="I42" s="112"/>
      <c r="J42" s="112"/>
      <c r="K42" s="112"/>
      <c r="L42" s="112"/>
      <c r="M42" s="112"/>
      <c r="N42" s="112"/>
    </row>
    <row r="43" spans="1:14" s="22" customFormat="1" x14ac:dyDescent="0.2">
      <c r="A43" s="3" t="str">
        <f>+A2</f>
        <v>Vons Companies, Inc.</v>
      </c>
      <c r="B43" s="111"/>
      <c r="C43" s="111"/>
      <c r="D43" s="112"/>
      <c r="E43" s="111"/>
      <c r="F43" s="112"/>
      <c r="G43" s="112"/>
      <c r="H43" s="112"/>
      <c r="I43" s="112"/>
      <c r="J43" s="112"/>
      <c r="K43" s="112"/>
      <c r="L43" s="112"/>
      <c r="M43" s="112"/>
      <c r="N43" s="112"/>
    </row>
    <row r="44" spans="1:14" s="22" customFormat="1" x14ac:dyDescent="0.2">
      <c r="A44" s="3" t="s">
        <v>140</v>
      </c>
      <c r="B44" s="111"/>
      <c r="C44" s="111"/>
      <c r="D44" s="112"/>
      <c r="E44" s="111"/>
      <c r="F44" s="112"/>
      <c r="G44" s="112"/>
      <c r="H44" s="112"/>
      <c r="I44" s="112"/>
      <c r="J44" s="112"/>
      <c r="K44" s="112"/>
      <c r="L44" s="112"/>
      <c r="M44" s="112"/>
      <c r="N44" s="112"/>
    </row>
    <row r="45" spans="1:14" s="22" customFormat="1" x14ac:dyDescent="0.2">
      <c r="A45" s="3"/>
      <c r="B45" s="111"/>
      <c r="C45" s="111"/>
      <c r="D45" s="112"/>
      <c r="E45" s="111"/>
      <c r="F45" s="112"/>
      <c r="G45" s="112"/>
      <c r="H45" s="112"/>
      <c r="I45" s="112"/>
      <c r="J45" s="112"/>
      <c r="K45" s="112"/>
      <c r="L45" s="112"/>
      <c r="M45" s="112"/>
      <c r="N45" s="112"/>
    </row>
    <row r="46" spans="1:14" s="22" customFormat="1" x14ac:dyDescent="0.2">
      <c r="A46" s="11"/>
      <c r="B46" s="150" t="str">
        <f>+B5</f>
        <v>Actual</v>
      </c>
      <c r="C46" s="150" t="str">
        <f>+C5</f>
        <v>Actual</v>
      </c>
      <c r="D46" s="9"/>
      <c r="E46" s="150" t="str">
        <f t="shared" ref="E46:N46" si="21">+E5</f>
        <v>Forecast</v>
      </c>
      <c r="F46" s="150" t="str">
        <f t="shared" si="21"/>
        <v>Forecast</v>
      </c>
      <c r="G46" s="150" t="str">
        <f t="shared" si="21"/>
        <v>Forecast</v>
      </c>
      <c r="H46" s="150" t="str">
        <f t="shared" si="21"/>
        <v>Forecast</v>
      </c>
      <c r="I46" s="150" t="str">
        <f t="shared" si="21"/>
        <v>Forecast</v>
      </c>
      <c r="J46" s="150" t="str">
        <f t="shared" si="21"/>
        <v>Forecast</v>
      </c>
      <c r="K46" s="150" t="str">
        <f t="shared" si="21"/>
        <v>Forecast</v>
      </c>
      <c r="L46" s="150" t="str">
        <f t="shared" si="21"/>
        <v>Forecast</v>
      </c>
      <c r="M46" s="150" t="str">
        <f t="shared" si="21"/>
        <v>Forecast</v>
      </c>
      <c r="N46" s="150" t="str">
        <f t="shared" si="21"/>
        <v>Forecast</v>
      </c>
    </row>
    <row r="47" spans="1:14" s="21" customFormat="1" x14ac:dyDescent="0.2">
      <c r="A47" s="46" t="s">
        <v>143</v>
      </c>
      <c r="B47" s="47">
        <f>+B6</f>
        <v>1995</v>
      </c>
      <c r="C47" s="47">
        <f>+C6</f>
        <v>1996</v>
      </c>
      <c r="D47" s="153" t="s">
        <v>173</v>
      </c>
      <c r="E47" s="47">
        <f t="shared" ref="E47:N47" si="22">+E6</f>
        <v>1997</v>
      </c>
      <c r="F47" s="47">
        <f t="shared" si="22"/>
        <v>1998</v>
      </c>
      <c r="G47" s="47">
        <f t="shared" si="22"/>
        <v>1999</v>
      </c>
      <c r="H47" s="47">
        <f t="shared" si="22"/>
        <v>2000</v>
      </c>
      <c r="I47" s="47">
        <f t="shared" si="22"/>
        <v>2001</v>
      </c>
      <c r="J47" s="47">
        <f t="shared" si="22"/>
        <v>2002</v>
      </c>
      <c r="K47" s="47">
        <f t="shared" si="22"/>
        <v>2003</v>
      </c>
      <c r="L47" s="47">
        <f t="shared" si="22"/>
        <v>2004</v>
      </c>
      <c r="M47" s="47">
        <f t="shared" si="22"/>
        <v>2005</v>
      </c>
      <c r="N47" s="48">
        <f t="shared" si="22"/>
        <v>2006</v>
      </c>
    </row>
    <row r="48" spans="1:14" s="22" customFormat="1" x14ac:dyDescent="0.2">
      <c r="A48" s="9" t="s">
        <v>174</v>
      </c>
      <c r="B48" s="27">
        <f>+Vons!D8</f>
        <v>9.4</v>
      </c>
      <c r="C48" s="27">
        <f>+Vons!B8</f>
        <v>9.3000000000000007</v>
      </c>
      <c r="D48" s="40"/>
      <c r="E48" s="168">
        <f>'Cmn-Sized'!I10*DCF!E$7</f>
        <v>9.817137374708734</v>
      </c>
      <c r="F48" s="168">
        <f>'Cmn-Sized'!J10*DCF!F$7</f>
        <v>10.210493617191258</v>
      </c>
      <c r="G48" s="168">
        <f>'Cmn-Sized'!K10*DCF!G$7</f>
        <v>10.56839413805082</v>
      </c>
      <c r="H48" s="168">
        <f>'Cmn-Sized'!L10*DCF!H$7</f>
        <v>10.938474568372852</v>
      </c>
      <c r="I48" s="168">
        <f>'Cmn-Sized'!M10*DCF!I$7</f>
        <v>11.321321178265901</v>
      </c>
      <c r="J48" s="168">
        <f>'Cmn-Sized'!N10*DCF!J$7</f>
        <v>11.717567419505208</v>
      </c>
      <c r="K48" s="168">
        <f>'Cmn-Sized'!O10*DCF!K$7</f>
        <v>12.127682279187889</v>
      </c>
      <c r="L48" s="168">
        <f>'Cmn-Sized'!P10*DCF!L$7</f>
        <v>12.552151158959465</v>
      </c>
      <c r="M48" s="168">
        <f>'Cmn-Sized'!Q10*DCF!M$7</f>
        <v>12.991476449523045</v>
      </c>
      <c r="N48" s="168">
        <f>'Cmn-Sized'!R10*DCF!N$7</f>
        <v>13.446178125256351</v>
      </c>
    </row>
    <row r="49" spans="1:14" s="22" customFormat="1" x14ac:dyDescent="0.2">
      <c r="A49" s="9" t="s">
        <v>175</v>
      </c>
      <c r="B49" s="27">
        <f>+Vons!D9</f>
        <v>31.7</v>
      </c>
      <c r="C49" s="27">
        <f>+Vons!B9</f>
        <v>45</v>
      </c>
      <c r="D49" s="40"/>
      <c r="E49" s="168">
        <f>'Cmn-Sized'!I11*DCF!E$7</f>
        <v>47.502277619558384</v>
      </c>
      <c r="F49" s="168">
        <f>'Cmn-Sized'!J11*DCF!F$7</f>
        <v>49.405614276731896</v>
      </c>
      <c r="G49" s="168">
        <f>'Cmn-Sized'!K11*DCF!G$7</f>
        <v>51.137390990568484</v>
      </c>
      <c r="H49" s="168">
        <f>'Cmn-Sized'!L11*DCF!H$7</f>
        <v>52.928102750191222</v>
      </c>
      <c r="I49" s="168">
        <f>'Cmn-Sized'!M11*DCF!I$7</f>
        <v>54.780586346447905</v>
      </c>
      <c r="J49" s="168">
        <f>'Cmn-Sized'!N11*DCF!J$7</f>
        <v>56.697906868573583</v>
      </c>
      <c r="K49" s="168">
        <f>'Cmn-Sized'!O11*DCF!K$7</f>
        <v>58.682333608973657</v>
      </c>
      <c r="L49" s="168">
        <f>'Cmn-Sized'!P11*DCF!L$7</f>
        <v>60.736215285287727</v>
      </c>
      <c r="M49" s="168">
        <f>'Cmn-Sized'!Q11*DCF!M$7</f>
        <v>62.861982820272793</v>
      </c>
      <c r="N49" s="168">
        <f>'Cmn-Sized'!R11*DCF!N$7</f>
        <v>65.062152218982334</v>
      </c>
    </row>
    <row r="50" spans="1:14" s="22" customFormat="1" x14ac:dyDescent="0.2">
      <c r="A50" s="9" t="s">
        <v>176</v>
      </c>
      <c r="B50" s="27">
        <f>+Vons!D10</f>
        <v>350.7</v>
      </c>
      <c r="C50" s="27">
        <f>+Vons!B10</f>
        <v>335.3</v>
      </c>
      <c r="D50" s="40"/>
      <c r="E50" s="168">
        <f>'Cmn-Sized'!I12*DCF!E$7</f>
        <v>353.94474857417612</v>
      </c>
      <c r="F50" s="168">
        <f>'Cmn-Sized'!J12*DCF!F$7</f>
        <v>368.12672148862674</v>
      </c>
      <c r="G50" s="168">
        <f>'Cmn-Sized'!K12*DCF!G$7</f>
        <v>381.03038220305802</v>
      </c>
      <c r="H50" s="168">
        <f>'Cmn-Sized'!L12*DCF!H$7</f>
        <v>394.37317449198036</v>
      </c>
      <c r="I50" s="168">
        <f>'Cmn-Sized'!M12*DCF!I$7</f>
        <v>408.17623559919963</v>
      </c>
      <c r="J50" s="168">
        <f>'Cmn-Sized'!N12*DCF!J$7</f>
        <v>422.46240384517159</v>
      </c>
      <c r="K50" s="168">
        <f>'Cmn-Sized'!O12*DCF!K$7</f>
        <v>437.24858797975259</v>
      </c>
      <c r="L50" s="168">
        <f>'Cmn-Sized'!P12*DCF!L$7</f>
        <v>452.55228855904392</v>
      </c>
      <c r="M50" s="168">
        <f>'Cmn-Sized'!Q12*DCF!M$7</f>
        <v>468.39161865861041</v>
      </c>
      <c r="N50" s="168">
        <f>'Cmn-Sized'!R12*DCF!N$7</f>
        <v>484.78532531166172</v>
      </c>
    </row>
    <row r="51" spans="1:14" s="22" customFormat="1" x14ac:dyDescent="0.2">
      <c r="A51" s="9" t="s">
        <v>177</v>
      </c>
      <c r="B51" s="27">
        <f>+Vons!D11</f>
        <v>30.9</v>
      </c>
      <c r="C51" s="27">
        <f>+Vons!B11</f>
        <v>32.5</v>
      </c>
      <c r="D51" s="40"/>
      <c r="E51" s="168">
        <f>'Cmn-Sized'!I13*DCF!E$7</f>
        <v>34.307200503014386</v>
      </c>
      <c r="F51" s="168">
        <f>'Cmn-Sized'!J13*DCF!F$7</f>
        <v>35.681832533195255</v>
      </c>
      <c r="G51" s="168">
        <f>'Cmn-Sized'!K13*DCF!G$7</f>
        <v>36.932560159855015</v>
      </c>
      <c r="H51" s="168">
        <f>'Cmn-Sized'!L13*DCF!H$7</f>
        <v>38.225851986249211</v>
      </c>
      <c r="I51" s="168">
        <f>'Cmn-Sized'!M13*DCF!I$7</f>
        <v>39.56375680576793</v>
      </c>
      <c r="J51" s="168">
        <f>'Cmn-Sized'!N13*DCF!J$7</f>
        <v>40.94848829396981</v>
      </c>
      <c r="K51" s="168">
        <f>'Cmn-Sized'!O13*DCF!K$7</f>
        <v>42.381685384258745</v>
      </c>
      <c r="L51" s="168">
        <f>'Cmn-Sized'!P13*DCF!L$7</f>
        <v>43.8650443727078</v>
      </c>
      <c r="M51" s="168">
        <f>'Cmn-Sized'!Q13*DCF!M$7</f>
        <v>45.400320925752574</v>
      </c>
      <c r="N51" s="168">
        <f>'Cmn-Sized'!R13*DCF!N$7</f>
        <v>46.989332158153907</v>
      </c>
    </row>
    <row r="52" spans="1:14" s="22" customFormat="1" x14ac:dyDescent="0.2">
      <c r="A52" s="33" t="s">
        <v>178</v>
      </c>
      <c r="B52" s="34">
        <f>+Vons!D12</f>
        <v>29.6</v>
      </c>
      <c r="C52" s="34">
        <f>+Vons!B12</f>
        <v>42.8</v>
      </c>
      <c r="D52" s="40"/>
      <c r="E52" s="168">
        <f>'Cmn-Sized'!I14*DCF!E$7</f>
        <v>33.320707215966237</v>
      </c>
      <c r="F52" s="168">
        <f>'Cmn-Sized'!J14*DCF!F$7</f>
        <v>34.655812113357136</v>
      </c>
      <c r="G52" s="168">
        <f>'Cmn-Sized'!K14*DCF!G$7</f>
        <v>35.870575441282661</v>
      </c>
      <c r="H52" s="168">
        <f>'Cmn-Sized'!L14*DCF!H$7</f>
        <v>37.126679048112869</v>
      </c>
      <c r="I52" s="168">
        <f>'Cmn-Sized'!M14*DCF!I$7</f>
        <v>38.426112814796809</v>
      </c>
      <c r="J52" s="168">
        <f>'Cmn-Sized'!N14*DCF!J$7</f>
        <v>39.771026763314701</v>
      </c>
      <c r="K52" s="168">
        <f>'Cmn-Sized'!O14*DCF!K$7</f>
        <v>41.163012700030713</v>
      </c>
      <c r="L52" s="168">
        <f>'Cmn-Sized'!P14*DCF!L$7</f>
        <v>42.603718144531783</v>
      </c>
      <c r="M52" s="168">
        <f>'Cmn-Sized'!Q14*DCF!M$7</f>
        <v>44.094848279590394</v>
      </c>
      <c r="N52" s="168">
        <f>'Cmn-Sized'!R14*DCF!N$7</f>
        <v>45.638167969376056</v>
      </c>
    </row>
    <row r="53" spans="1:14" s="22" customFormat="1" x14ac:dyDescent="0.2">
      <c r="A53" s="9" t="s">
        <v>179</v>
      </c>
      <c r="B53" s="27">
        <f>SUM(B48:B52)</f>
        <v>452.3</v>
      </c>
      <c r="C53" s="27">
        <f>SUM(C48:C52)</f>
        <v>464.90000000000003</v>
      </c>
      <c r="D53" s="40"/>
      <c r="E53" s="27">
        <f t="shared" ref="E53:N53" si="23">SUM(E48:E52)</f>
        <v>478.89207128742385</v>
      </c>
      <c r="F53" s="27">
        <f t="shared" si="23"/>
        <v>498.08047402910222</v>
      </c>
      <c r="G53" s="27">
        <f t="shared" si="23"/>
        <v>515.53930293281508</v>
      </c>
      <c r="H53" s="27">
        <f t="shared" si="23"/>
        <v>533.59228284490655</v>
      </c>
      <c r="I53" s="27">
        <f t="shared" si="23"/>
        <v>552.26801274447826</v>
      </c>
      <c r="J53" s="27">
        <f t="shared" si="23"/>
        <v>571.59739319053494</v>
      </c>
      <c r="K53" s="27">
        <f t="shared" si="23"/>
        <v>591.60330195220354</v>
      </c>
      <c r="L53" s="27">
        <f t="shared" si="23"/>
        <v>612.30941752053059</v>
      </c>
      <c r="M53" s="27">
        <f t="shared" si="23"/>
        <v>633.74024713374911</v>
      </c>
      <c r="N53" s="27">
        <f t="shared" si="23"/>
        <v>655.92115578343044</v>
      </c>
    </row>
    <row r="54" spans="1:14" s="22" customFormat="1" x14ac:dyDescent="0.2">
      <c r="A54" s="9" t="s">
        <v>180</v>
      </c>
      <c r="B54" s="27">
        <f>+Vons!D14</f>
        <v>1192.5</v>
      </c>
      <c r="C54" s="27">
        <f>+Vons!B14</f>
        <v>1194.2</v>
      </c>
      <c r="D54" s="94"/>
      <c r="E54" s="168">
        <f>'Additional Calculations'!D19</f>
        <v>1260.6048874061471</v>
      </c>
      <c r="F54" s="168">
        <f>'Additional Calculations'!E19</f>
        <v>1311.1152126505162</v>
      </c>
      <c r="G54" s="168">
        <f>'Additional Calculations'!F19</f>
        <v>1357.0727182430419</v>
      </c>
      <c r="H54" s="168">
        <f>'Additional Calculations'!G19</f>
        <v>1404.5942289839634</v>
      </c>
      <c r="I54" s="168">
        <f>'Additional Calculations'!H19</f>
        <v>1453.7550269984019</v>
      </c>
      <c r="J54" s="168">
        <f>'Additional Calculations'!I19</f>
        <v>1504.6364529433461</v>
      </c>
      <c r="K54" s="168">
        <f>'Additional Calculations'!J19</f>
        <v>1557.2987287963631</v>
      </c>
      <c r="L54" s="168">
        <f>'Additional Calculations'!K19</f>
        <v>1611.8041843042356</v>
      </c>
      <c r="M54" s="168">
        <f>'Additional Calculations'!L19</f>
        <v>1668.2173307548837</v>
      </c>
      <c r="N54" s="168">
        <f>'Additional Calculations'!M19</f>
        <v>1726.6049373313047</v>
      </c>
    </row>
    <row r="55" spans="1:14" s="22" customFormat="1" x14ac:dyDescent="0.2">
      <c r="A55" s="9" t="s">
        <v>64</v>
      </c>
      <c r="B55" s="27">
        <f>+Vons!D15</f>
        <v>482.8</v>
      </c>
      <c r="C55" s="27">
        <f>+Vons!B15</f>
        <v>467.8</v>
      </c>
      <c r="D55" s="94" t="s">
        <v>181</v>
      </c>
      <c r="E55" s="168">
        <f>C55-E12</f>
        <v>452.8</v>
      </c>
      <c r="F55" s="168">
        <f>E55-F12</f>
        <v>437.8</v>
      </c>
      <c r="G55" s="168">
        <f t="shared" ref="G55:N55" si="24">F55-G12</f>
        <v>422.8</v>
      </c>
      <c r="H55" s="168">
        <f t="shared" si="24"/>
        <v>407.8</v>
      </c>
      <c r="I55" s="168">
        <f t="shared" si="24"/>
        <v>392.8</v>
      </c>
      <c r="J55" s="168">
        <f t="shared" si="24"/>
        <v>377.8</v>
      </c>
      <c r="K55" s="168">
        <f t="shared" si="24"/>
        <v>362.8</v>
      </c>
      <c r="L55" s="168">
        <f t="shared" si="24"/>
        <v>347.8</v>
      </c>
      <c r="M55" s="168">
        <f t="shared" si="24"/>
        <v>332.8</v>
      </c>
      <c r="N55" s="168">
        <f t="shared" si="24"/>
        <v>317.8</v>
      </c>
    </row>
    <row r="56" spans="1:14" s="22" customFormat="1" x14ac:dyDescent="0.2">
      <c r="A56" s="33" t="s">
        <v>82</v>
      </c>
      <c r="B56" s="27">
        <f>+Vons!D16</f>
        <v>58.9</v>
      </c>
      <c r="C56" s="27">
        <f>+Vons!B16</f>
        <v>58.5</v>
      </c>
      <c r="D56" s="41"/>
      <c r="E56" s="182">
        <f>'Cmn-Sized'!I18*DCF!E7</f>
        <v>61.752960905425894</v>
      </c>
      <c r="F56" s="182">
        <f>'Cmn-Sized'!J18*DCF!F7</f>
        <v>64.227298559751461</v>
      </c>
      <c r="G56" s="182">
        <f>'Cmn-Sized'!K18*DCF!G7</f>
        <v>66.478608287739021</v>
      </c>
      <c r="H56" s="182">
        <f>'Cmn-Sized'!L18*DCF!H7</f>
        <v>68.806533575248579</v>
      </c>
      <c r="I56" s="182">
        <f>'Cmn-Sized'!M18*DCF!I7</f>
        <v>71.214762250382265</v>
      </c>
      <c r="J56" s="182">
        <f>'Cmn-Sized'!N18*DCF!J7</f>
        <v>73.707278929145644</v>
      </c>
      <c r="K56" s="182">
        <f>'Cmn-Sized'!O18*DCF!K7</f>
        <v>76.287033691665741</v>
      </c>
      <c r="L56" s="182">
        <f>'Cmn-Sized'!P18*DCF!L7</f>
        <v>78.95707987087404</v>
      </c>
      <c r="M56" s="182">
        <f>'Cmn-Sized'!Q18*DCF!M7</f>
        <v>81.720577666354629</v>
      </c>
      <c r="N56" s="182">
        <f>'Cmn-Sized'!R18*DCF!N7</f>
        <v>84.580797884677025</v>
      </c>
    </row>
    <row r="57" spans="1:14" s="22" customFormat="1" x14ac:dyDescent="0.2">
      <c r="A57" s="30" t="s">
        <v>83</v>
      </c>
      <c r="B57" s="29">
        <f>SUM(B53:B56)</f>
        <v>2186.5</v>
      </c>
      <c r="C57" s="29">
        <f>SUM(C53:C56)</f>
        <v>2185.4</v>
      </c>
      <c r="D57" s="34"/>
      <c r="E57" s="29">
        <f t="shared" ref="E57:N57" si="25">SUM(E53:E56)</f>
        <v>2254.0499195989969</v>
      </c>
      <c r="F57" s="29">
        <f t="shared" si="25"/>
        <v>2311.2229852393702</v>
      </c>
      <c r="G57" s="29">
        <f t="shared" si="25"/>
        <v>2361.8906294635963</v>
      </c>
      <c r="H57" s="29">
        <f t="shared" si="25"/>
        <v>2414.7930454041184</v>
      </c>
      <c r="I57" s="29">
        <f t="shared" si="25"/>
        <v>2470.0378019932623</v>
      </c>
      <c r="J57" s="29">
        <f t="shared" si="25"/>
        <v>2527.7411250630266</v>
      </c>
      <c r="K57" s="29">
        <f t="shared" si="25"/>
        <v>2587.9890644402326</v>
      </c>
      <c r="L57" s="29">
        <f t="shared" si="25"/>
        <v>2650.8706816956405</v>
      </c>
      <c r="M57" s="29">
        <f t="shared" si="25"/>
        <v>2716.4781555549876</v>
      </c>
      <c r="N57" s="29">
        <f t="shared" si="25"/>
        <v>2784.9068909994121</v>
      </c>
    </row>
    <row r="58" spans="1:14" s="22" customFormat="1" x14ac:dyDescent="0.2">
      <c r="A58" s="9"/>
      <c r="B58" s="27"/>
      <c r="C58" s="27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1:14" s="22" customFormat="1" x14ac:dyDescent="0.2">
      <c r="A59" s="9" t="s">
        <v>182</v>
      </c>
      <c r="B59" s="27">
        <f>+Vons!D21</f>
        <v>304.2</v>
      </c>
      <c r="C59" s="27">
        <f>+Vons!B21</f>
        <v>339.2</v>
      </c>
      <c r="D59" s="40"/>
      <c r="E59" s="168">
        <f>'Cmn-Sized'!I23*DCF!E7</f>
        <v>358.06161263453782</v>
      </c>
      <c r="F59" s="168">
        <f>'Cmn-Sized'!J23*DCF!F7</f>
        <v>372.40854139261012</v>
      </c>
      <c r="G59" s="168">
        <f>'Cmn-Sized'!K23*DCF!G7</f>
        <v>385.46228942224059</v>
      </c>
      <c r="H59" s="168">
        <f>'Cmn-Sized'!L23*DCF!H7</f>
        <v>398.96027673033018</v>
      </c>
      <c r="I59" s="168">
        <f>'Cmn-Sized'!M23*DCF!I7</f>
        <v>412.92388641589173</v>
      </c>
      <c r="J59" s="168">
        <f>'Cmn-Sized'!N23*DCF!J7</f>
        <v>427.37622244044792</v>
      </c>
      <c r="K59" s="168">
        <f>'Cmn-Sized'!O23*DCF!K7</f>
        <v>442.33439022586356</v>
      </c>
      <c r="L59" s="168">
        <f>'Cmn-Sized'!P23*DCF!L7</f>
        <v>457.81609388376876</v>
      </c>
      <c r="M59" s="168">
        <f>'Cmn-Sized'!Q23*DCF!M7</f>
        <v>473.83965716970062</v>
      </c>
      <c r="N59" s="168">
        <f>'Cmn-Sized'!R23*DCF!N7</f>
        <v>490.42404517064011</v>
      </c>
    </row>
    <row r="60" spans="1:14" s="22" customFormat="1" x14ac:dyDescent="0.2">
      <c r="A60" s="33" t="s">
        <v>183</v>
      </c>
      <c r="B60" s="34">
        <f>+Vons!D22</f>
        <v>263.5</v>
      </c>
      <c r="C60" s="34">
        <f>+Vons!B22</f>
        <v>265.7</v>
      </c>
      <c r="D60" s="40"/>
      <c r="E60" s="182">
        <f>'Cmn-Sized'!I24*DCF!E7</f>
        <v>280.47455918925914</v>
      </c>
      <c r="F60" s="182">
        <f>'Cmn-Sized'!J24*DCF!F7</f>
        <v>291.71270474061475</v>
      </c>
      <c r="G60" s="182">
        <f>'Cmn-Sized'!K24*DCF!G7</f>
        <v>301.93788413764543</v>
      </c>
      <c r="H60" s="182">
        <f>'Cmn-Sized'!L24*DCF!H7</f>
        <v>312.51104223835125</v>
      </c>
      <c r="I60" s="182">
        <f>'Cmn-Sized'!M24*DCF!I7</f>
        <v>323.4489287166935</v>
      </c>
      <c r="J60" s="182">
        <f>'Cmn-Sized'!N24*DCF!J7</f>
        <v>334.76964122177776</v>
      </c>
      <c r="K60" s="182">
        <f>'Cmn-Sized'!O24*DCF!K7</f>
        <v>346.48657866453999</v>
      </c>
      <c r="L60" s="182">
        <f>'Cmn-Sized'!P24*DCF!L7</f>
        <v>358.61360891779884</v>
      </c>
      <c r="M60" s="182">
        <f>'Cmn-Sized'!Q24*DCF!M7</f>
        <v>371.16508522992177</v>
      </c>
      <c r="N60" s="182">
        <f>'Cmn-Sized'!R24*DCF!N7</f>
        <v>384.155863212969</v>
      </c>
    </row>
    <row r="61" spans="1:14" s="22" customFormat="1" x14ac:dyDescent="0.2">
      <c r="A61" s="9" t="s">
        <v>184</v>
      </c>
      <c r="B61" s="27">
        <f>SUM(B59:B60)</f>
        <v>567.70000000000005</v>
      </c>
      <c r="C61" s="27">
        <f>SUM(C59:C60)</f>
        <v>604.9</v>
      </c>
      <c r="D61" s="13"/>
      <c r="E61" s="27">
        <f t="shared" ref="E61:N61" si="26">SUM(E59:E60)</f>
        <v>638.53617182379696</v>
      </c>
      <c r="F61" s="27">
        <f t="shared" si="26"/>
        <v>664.12124613322487</v>
      </c>
      <c r="G61" s="27">
        <f t="shared" si="26"/>
        <v>687.40017355988607</v>
      </c>
      <c r="H61" s="27">
        <f t="shared" si="26"/>
        <v>711.47131896868143</v>
      </c>
      <c r="I61" s="27">
        <f t="shared" si="26"/>
        <v>736.37281513258517</v>
      </c>
      <c r="J61" s="27">
        <f t="shared" si="26"/>
        <v>762.14586366222568</v>
      </c>
      <c r="K61" s="27">
        <f t="shared" si="26"/>
        <v>788.82096889040349</v>
      </c>
      <c r="L61" s="27">
        <f t="shared" si="26"/>
        <v>816.4297028015676</v>
      </c>
      <c r="M61" s="27">
        <f t="shared" si="26"/>
        <v>845.00474239962239</v>
      </c>
      <c r="N61" s="27">
        <f t="shared" si="26"/>
        <v>874.57990838360911</v>
      </c>
    </row>
    <row r="62" spans="1:14" s="22" customFormat="1" x14ac:dyDescent="0.2">
      <c r="A62" s="19" t="s">
        <v>90</v>
      </c>
      <c r="B62" s="27">
        <f>+Vons!D25</f>
        <v>128</v>
      </c>
      <c r="C62" s="27">
        <f>+Vons!B25</f>
        <v>143.4</v>
      </c>
      <c r="D62" s="13"/>
      <c r="E62" s="168">
        <f>'Cmn-Sized'!I27*DCF!E$7</f>
        <v>151.37392468099273</v>
      </c>
      <c r="F62" s="168">
        <f>'Cmn-Sized'!J27*DCF!F$7</f>
        <v>157.43922416185231</v>
      </c>
      <c r="G62" s="168">
        <f>'Cmn-Sized'!K27*DCF!G$7</f>
        <v>162.95781928994489</v>
      </c>
      <c r="H62" s="168">
        <f>'Cmn-Sized'!L27*DCF!H$7</f>
        <v>168.66422076394269</v>
      </c>
      <c r="I62" s="168">
        <f>'Cmn-Sized'!M27*DCF!I$7</f>
        <v>174.56746849068065</v>
      </c>
      <c r="J62" s="168">
        <f>'Cmn-Sized'!N27*DCF!J$7</f>
        <v>180.67732988785448</v>
      </c>
      <c r="K62" s="168">
        <f>'Cmn-Sized'!O27*DCF!K$7</f>
        <v>187.00103643392939</v>
      </c>
      <c r="L62" s="168">
        <f>'Cmn-Sized'!P27*DCF!L$7</f>
        <v>193.54607270911688</v>
      </c>
      <c r="M62" s="168">
        <f>'Cmn-Sized'!Q27*DCF!M$7</f>
        <v>200.32018525393596</v>
      </c>
      <c r="N62" s="168">
        <f>'Cmn-Sized'!R27*DCF!N$7</f>
        <v>207.33139173782371</v>
      </c>
    </row>
    <row r="63" spans="1:14" s="22" customFormat="1" x14ac:dyDescent="0.2">
      <c r="A63" s="19" t="s">
        <v>91</v>
      </c>
      <c r="B63" s="27">
        <f>+Vons!D26</f>
        <v>118.9</v>
      </c>
      <c r="C63" s="27">
        <f>+Vons!B26</f>
        <v>131.69999999999999</v>
      </c>
      <c r="D63" s="13"/>
      <c r="E63" s="168">
        <f>'Cmn-Sized'!I28*DCF!E$7</f>
        <v>139.02333249990753</v>
      </c>
      <c r="F63" s="168">
        <f>'Cmn-Sized'!J28*DCF!F$7</f>
        <v>144.59376444990198</v>
      </c>
      <c r="G63" s="168">
        <f>'Cmn-Sized'!K28*DCF!G$7</f>
        <v>149.66209763239709</v>
      </c>
      <c r="H63" s="168">
        <f>'Cmn-Sized'!L28*DCF!H$7</f>
        <v>154.90291404889297</v>
      </c>
      <c r="I63" s="168">
        <f>'Cmn-Sized'!M28*DCF!I$7</f>
        <v>160.32451604060418</v>
      </c>
      <c r="J63" s="168">
        <f>'Cmn-Sized'!N28*DCF!J$7</f>
        <v>165.93587410202534</v>
      </c>
      <c r="K63" s="168">
        <f>'Cmn-Sized'!O28*DCF!K$7</f>
        <v>171.74362969559621</v>
      </c>
      <c r="L63" s="168">
        <f>'Cmn-Sized'!P28*DCF!L$7</f>
        <v>177.75465673494207</v>
      </c>
      <c r="M63" s="168">
        <f>'Cmn-Sized'!Q28*DCF!M$7</f>
        <v>183.97606972066504</v>
      </c>
      <c r="N63" s="168">
        <f>'Cmn-Sized'!R28*DCF!N$7</f>
        <v>190.41523216088828</v>
      </c>
    </row>
    <row r="64" spans="1:14" s="22" customFormat="1" x14ac:dyDescent="0.2">
      <c r="A64" s="19" t="s">
        <v>92</v>
      </c>
      <c r="B64" s="27">
        <f>+Vons!D27</f>
        <v>65</v>
      </c>
      <c r="C64" s="27">
        <f>+Vons!B27</f>
        <v>62.3</v>
      </c>
      <c r="D64" s="13"/>
      <c r="E64" s="168">
        <f>'Cmn-Sized'!I29*DCF!E$7</f>
        <v>65.764264348855264</v>
      </c>
      <c r="F64" s="168">
        <f>'Cmn-Sized'!J29*DCF!F$7</f>
        <v>68.399328209786589</v>
      </c>
      <c r="G64" s="168">
        <f>'Cmn-Sized'!K29*DCF!G$7</f>
        <v>70.796876860275916</v>
      </c>
      <c r="H64" s="168">
        <f>'Cmn-Sized'!L29*DCF!H$7</f>
        <v>73.276017807486937</v>
      </c>
      <c r="I64" s="168">
        <f>'Cmn-Sized'!M29*DCF!I$7</f>
        <v>75.84067843074898</v>
      </c>
      <c r="J64" s="168">
        <f>'Cmn-Sized'!N29*DCF!J$7</f>
        <v>78.495102175825195</v>
      </c>
      <c r="K64" s="168">
        <f>'Cmn-Sized'!O29*DCF!K$7</f>
        <v>81.242430751979072</v>
      </c>
      <c r="L64" s="168">
        <f>'Cmn-Sized'!P29*DCF!L$7</f>
        <v>84.085915828298326</v>
      </c>
      <c r="M64" s="168">
        <f>'Cmn-Sized'!Q29*DCF!M$7</f>
        <v>87.028922882288768</v>
      </c>
      <c r="N64" s="168">
        <f>'Cmn-Sized'!R29*DCF!N$7</f>
        <v>90.074935183168861</v>
      </c>
    </row>
    <row r="65" spans="1:14" s="22" customFormat="1" x14ac:dyDescent="0.2">
      <c r="A65" s="19" t="s">
        <v>93</v>
      </c>
      <c r="B65" s="27">
        <f>+Vons!D28</f>
        <v>53.4</v>
      </c>
      <c r="C65" s="27">
        <f>+Vons!B28</f>
        <v>50.3</v>
      </c>
      <c r="D65" s="40" t="s">
        <v>185</v>
      </c>
      <c r="E65" s="168">
        <f>C65-3</f>
        <v>47.3</v>
      </c>
      <c r="F65" s="168">
        <f>E65-3</f>
        <v>44.3</v>
      </c>
      <c r="G65" s="168">
        <f t="shared" ref="G65:N65" si="27">F65-3</f>
        <v>41.3</v>
      </c>
      <c r="H65" s="168">
        <f t="shared" si="27"/>
        <v>38.299999999999997</v>
      </c>
      <c r="I65" s="168">
        <f t="shared" si="27"/>
        <v>35.299999999999997</v>
      </c>
      <c r="J65" s="168">
        <f t="shared" si="27"/>
        <v>32.299999999999997</v>
      </c>
      <c r="K65" s="168">
        <f t="shared" si="27"/>
        <v>29.299999999999997</v>
      </c>
      <c r="L65" s="168">
        <f t="shared" si="27"/>
        <v>26.299999999999997</v>
      </c>
      <c r="M65" s="168">
        <f t="shared" si="27"/>
        <v>23.299999999999997</v>
      </c>
      <c r="N65" s="168">
        <f t="shared" si="27"/>
        <v>20.299999999999997</v>
      </c>
    </row>
    <row r="66" spans="1:14" s="22" customFormat="1" x14ac:dyDescent="0.2">
      <c r="A66" s="33" t="s">
        <v>186</v>
      </c>
      <c r="B66" s="34">
        <f>+Vons!D29+Vons!D23</f>
        <v>630.20000000000005</v>
      </c>
      <c r="C66" s="34">
        <f>+Vons!B29+Vons!B23</f>
        <v>454.4</v>
      </c>
      <c r="D66" s="45" t="s">
        <v>187</v>
      </c>
      <c r="E66" s="182">
        <f>'Additional Calculations'!$E$28*DCF!E57</f>
        <v>468.67405667877006</v>
      </c>
      <c r="F66" s="182">
        <f>'Additional Calculations'!$E$28*DCF!F57</f>
        <v>480.56178479581303</v>
      </c>
      <c r="G66" s="182">
        <f>'Additional Calculations'!$E$28*DCF!G57</f>
        <v>491.09687106628445</v>
      </c>
      <c r="H66" s="182">
        <f>'Additional Calculations'!$E$28*DCF!H57</f>
        <v>502.09662296679386</v>
      </c>
      <c r="I66" s="182">
        <f>'Additional Calculations'!$E$28*DCF!I57</f>
        <v>513.58340680229628</v>
      </c>
      <c r="J66" s="182">
        <f>'Additional Calculations'!$E$28*DCF!J57</f>
        <v>525.58138886640393</v>
      </c>
      <c r="K66" s="182">
        <f>'Additional Calculations'!$E$28*DCF!K57</f>
        <v>538.10846109711792</v>
      </c>
      <c r="L66" s="182">
        <f>'Additional Calculations'!$E$28*DCF!L57</f>
        <v>551.18314165026948</v>
      </c>
      <c r="M66" s="182">
        <f>'Additional Calculations'!$E$28*DCF!M57</f>
        <v>564.82459681714386</v>
      </c>
      <c r="N66" s="182">
        <f>'Additional Calculations'!$E$28*DCF!N57</f>
        <v>579.05266370922152</v>
      </c>
    </row>
    <row r="67" spans="1:14" s="22" customFormat="1" x14ac:dyDescent="0.2">
      <c r="A67" s="9" t="s">
        <v>188</v>
      </c>
      <c r="B67" s="27">
        <f>SUM(B61:B66)</f>
        <v>1563.2</v>
      </c>
      <c r="C67" s="27">
        <f>SUM(C61:C66)</f>
        <v>1447</v>
      </c>
      <c r="D67" s="13"/>
      <c r="E67" s="27">
        <f t="shared" ref="E67:N67" si="28">SUM(E61:E66)</f>
        <v>1510.6717500323225</v>
      </c>
      <c r="F67" s="27">
        <f t="shared" si="28"/>
        <v>1559.4153477505788</v>
      </c>
      <c r="G67" s="27">
        <f t="shared" si="28"/>
        <v>1603.2138384087882</v>
      </c>
      <c r="H67" s="27">
        <f t="shared" si="28"/>
        <v>1648.7110945557977</v>
      </c>
      <c r="I67" s="27">
        <f t="shared" si="28"/>
        <v>1695.9888848969154</v>
      </c>
      <c r="J67" s="27">
        <f t="shared" si="28"/>
        <v>1745.1355586943346</v>
      </c>
      <c r="K67" s="27">
        <f t="shared" si="28"/>
        <v>1796.216526869026</v>
      </c>
      <c r="L67" s="27">
        <f t="shared" si="28"/>
        <v>1849.2994897241942</v>
      </c>
      <c r="M67" s="27">
        <f t="shared" si="28"/>
        <v>1904.454517073656</v>
      </c>
      <c r="N67" s="27">
        <f t="shared" si="28"/>
        <v>1961.7541311747113</v>
      </c>
    </row>
    <row r="68" spans="1:14" s="22" customFormat="1" x14ac:dyDescent="0.2">
      <c r="A68" s="33" t="s">
        <v>189</v>
      </c>
      <c r="B68" s="34">
        <f>+Vons!D30</f>
        <v>623.29999999999995</v>
      </c>
      <c r="C68" s="34">
        <f>+Vons!B30</f>
        <v>738.4</v>
      </c>
      <c r="D68" s="42" t="s">
        <v>190</v>
      </c>
      <c r="E68" s="119">
        <f t="shared" ref="E68:N68" si="29">E69-E67</f>
        <v>743.37816956667439</v>
      </c>
      <c r="F68" s="119">
        <f t="shared" si="29"/>
        <v>751.80763748879144</v>
      </c>
      <c r="G68" s="119">
        <f t="shared" si="29"/>
        <v>758.67679105480806</v>
      </c>
      <c r="H68" s="119">
        <f t="shared" si="29"/>
        <v>766.08195084832073</v>
      </c>
      <c r="I68" s="119">
        <f t="shared" si="29"/>
        <v>774.04891709634694</v>
      </c>
      <c r="J68" s="119">
        <f t="shared" si="29"/>
        <v>782.60556636869205</v>
      </c>
      <c r="K68" s="119">
        <f t="shared" si="29"/>
        <v>791.77253757120661</v>
      </c>
      <c r="L68" s="119">
        <f t="shared" si="29"/>
        <v>801.5711919714463</v>
      </c>
      <c r="M68" s="119">
        <f t="shared" si="29"/>
        <v>812.02363848133155</v>
      </c>
      <c r="N68" s="119">
        <f t="shared" si="29"/>
        <v>823.15275982470075</v>
      </c>
    </row>
    <row r="69" spans="1:14" s="22" customFormat="1" x14ac:dyDescent="0.2">
      <c r="A69" s="30" t="s">
        <v>191</v>
      </c>
      <c r="B69" s="29">
        <f>B68+B67</f>
        <v>2186.5</v>
      </c>
      <c r="C69" s="29">
        <f>C68+C67</f>
        <v>2185.4</v>
      </c>
      <c r="D69" s="42"/>
      <c r="E69" s="34">
        <f t="shared" ref="E69:N69" si="30">E57</f>
        <v>2254.0499195989969</v>
      </c>
      <c r="F69" s="34">
        <f t="shared" si="30"/>
        <v>2311.2229852393702</v>
      </c>
      <c r="G69" s="34">
        <f t="shared" si="30"/>
        <v>2361.8906294635963</v>
      </c>
      <c r="H69" s="34">
        <f t="shared" si="30"/>
        <v>2414.7930454041184</v>
      </c>
      <c r="I69" s="34">
        <f t="shared" si="30"/>
        <v>2470.0378019932623</v>
      </c>
      <c r="J69" s="34">
        <f t="shared" si="30"/>
        <v>2527.7411250630266</v>
      </c>
      <c r="K69" s="34">
        <f t="shared" si="30"/>
        <v>2587.9890644402326</v>
      </c>
      <c r="L69" s="34">
        <f t="shared" si="30"/>
        <v>2650.8706816956405</v>
      </c>
      <c r="M69" s="34">
        <f t="shared" si="30"/>
        <v>2716.4781555549876</v>
      </c>
      <c r="N69" s="34">
        <f t="shared" si="30"/>
        <v>2784.9068909994121</v>
      </c>
    </row>
    <row r="70" spans="1:14" s="22" customFormat="1" x14ac:dyDescent="0.2">
      <c r="A70" s="9" t="s">
        <v>192</v>
      </c>
      <c r="B70" s="12">
        <f>B16/B15</f>
        <v>0.46293375394321634</v>
      </c>
      <c r="C70" s="12">
        <f>C16/C15</f>
        <v>0.43557951482479912</v>
      </c>
      <c r="D70" s="13" t="s">
        <v>193</v>
      </c>
      <c r="E70" s="159">
        <f>E68-(C68+E81+E76)</f>
        <v>0</v>
      </c>
      <c r="F70" s="160">
        <f>F68-(E68+F81+F76)</f>
        <v>0</v>
      </c>
      <c r="G70" s="160">
        <f t="shared" ref="G70:N70" si="31">G68-(F68+G81+G76)</f>
        <v>0</v>
      </c>
      <c r="H70" s="160">
        <f t="shared" si="31"/>
        <v>0</v>
      </c>
      <c r="I70" s="160">
        <f t="shared" si="31"/>
        <v>0</v>
      </c>
      <c r="J70" s="160">
        <f t="shared" si="31"/>
        <v>0</v>
      </c>
      <c r="K70" s="160">
        <f t="shared" si="31"/>
        <v>0</v>
      </c>
      <c r="L70" s="160">
        <f t="shared" si="31"/>
        <v>0</v>
      </c>
      <c r="M70" s="160">
        <f t="shared" si="31"/>
        <v>0</v>
      </c>
      <c r="N70" s="161">
        <f t="shared" si="31"/>
        <v>0</v>
      </c>
    </row>
    <row r="71" spans="1:14" s="22" customFormat="1" x14ac:dyDescent="0.2">
      <c r="A71" s="9"/>
      <c r="B71" s="27"/>
      <c r="C71" s="27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1:14" s="22" customFormat="1" x14ac:dyDescent="0.2">
      <c r="A72" s="9" t="s">
        <v>194</v>
      </c>
      <c r="B72" s="27"/>
      <c r="C72" s="27">
        <f>C31</f>
        <v>200.28177897574056</v>
      </c>
      <c r="D72" s="9"/>
      <c r="E72" s="27">
        <f t="shared" ref="E72:N72" si="32">E31</f>
        <v>151.47948358619678</v>
      </c>
      <c r="F72" s="27">
        <f t="shared" si="32"/>
        <v>157.33933477087072</v>
      </c>
      <c r="G72" s="27">
        <f t="shared" si="32"/>
        <v>166.63010163559352</v>
      </c>
      <c r="H72" s="27">
        <f t="shared" si="32"/>
        <v>172.27312946664773</v>
      </c>
      <c r="I72" s="27">
        <f t="shared" si="32"/>
        <v>178.09733588227431</v>
      </c>
      <c r="J72" s="27">
        <f t="shared" si="32"/>
        <v>184.11024263815312</v>
      </c>
      <c r="K72" s="27">
        <f t="shared" si="32"/>
        <v>190.33360113048849</v>
      </c>
      <c r="L72" s="27">
        <f t="shared" si="32"/>
        <v>196.77477717005587</v>
      </c>
      <c r="M72" s="27">
        <f t="shared" si="32"/>
        <v>203.44139437100796</v>
      </c>
      <c r="N72" s="27">
        <f t="shared" si="32"/>
        <v>210.34134317399287</v>
      </c>
    </row>
    <row r="73" spans="1:14" s="22" customFormat="1" x14ac:dyDescent="0.2">
      <c r="A73" s="9" t="s">
        <v>195</v>
      </c>
      <c r="B73" s="27"/>
      <c r="C73" s="27">
        <f>-C18</f>
        <v>-31.381778975741167</v>
      </c>
      <c r="D73" s="40" t="s">
        <v>196</v>
      </c>
      <c r="E73" s="27">
        <f>IF(E15=0,0,-((C66+C59+E66+E59)/2)*(($B$14/$B$66))*(1-(+E16/E15)))</f>
        <v>-50.18103976196101</v>
      </c>
      <c r="F73" s="27">
        <f>IF(F15=0,0,-((E66+E59+F66+F59)/2)*($B$14/$B$66)*(1-(F16/F15)))</f>
        <v>-52.019711066657074</v>
      </c>
      <c r="G73" s="27">
        <f>IF(G15=0,0,-((F66+F59+G66+G59)/2)*($B$14/$B$66)*(1-(G16/G15)))</f>
        <v>-53.562721344769919</v>
      </c>
      <c r="H73" s="27">
        <f t="shared" ref="H73:N73" si="33">IF(H15=0,0,-((G66+G59+H66+H59)/2)*($B$14/$B$66)*(1-(H16/H15)))</f>
        <v>-55.051940093055087</v>
      </c>
      <c r="I73" s="27">
        <f t="shared" si="33"/>
        <v>-56.598810461961506</v>
      </c>
      <c r="J73" s="27">
        <f t="shared" si="33"/>
        <v>-58.206151287869254</v>
      </c>
      <c r="K73" s="27">
        <f t="shared" si="33"/>
        <v>-59.87651036043551</v>
      </c>
      <c r="L73" s="27">
        <f t="shared" si="33"/>
        <v>-61.612093318293326</v>
      </c>
      <c r="M73" s="27">
        <f t="shared" si="33"/>
        <v>-63.415182997427912</v>
      </c>
      <c r="N73" s="27">
        <f t="shared" si="33"/>
        <v>-65.288142133083952</v>
      </c>
    </row>
    <row r="74" spans="1:14" s="22" customFormat="1" x14ac:dyDescent="0.2">
      <c r="A74" s="9" t="s">
        <v>197</v>
      </c>
      <c r="B74" s="27"/>
      <c r="C74" s="27">
        <f>C66-B66+C65-B65</f>
        <v>-178.90000000000006</v>
      </c>
      <c r="D74" s="40" t="s">
        <v>154</v>
      </c>
      <c r="E74" s="27">
        <f>IF(E65=0,0,E66-C66+E65-C65)</f>
        <v>11.27405667877008</v>
      </c>
      <c r="F74" s="27">
        <f>F66-E66+F65-E65</f>
        <v>8.8877281170429683</v>
      </c>
      <c r="G74" s="27">
        <f t="shared" ref="G74:N74" si="34">G66-F66+G65-F65</f>
        <v>7.5350862704714245</v>
      </c>
      <c r="H74" s="27">
        <f t="shared" si="34"/>
        <v>7.9997519005094091</v>
      </c>
      <c r="I74" s="27">
        <f t="shared" si="34"/>
        <v>8.4867838355024219</v>
      </c>
      <c r="J74" s="27">
        <f t="shared" si="34"/>
        <v>8.9979820641076458</v>
      </c>
      <c r="K74" s="27">
        <f t="shared" si="34"/>
        <v>9.5270722307139977</v>
      </c>
      <c r="L74" s="27">
        <f t="shared" si="34"/>
        <v>10.074680553151552</v>
      </c>
      <c r="M74" s="27">
        <f t="shared" si="34"/>
        <v>10.64145516687438</v>
      </c>
      <c r="N74" s="27">
        <f t="shared" si="34"/>
        <v>11.228066892077663</v>
      </c>
    </row>
    <row r="75" spans="1:14" s="22" customFormat="1" x14ac:dyDescent="0.2">
      <c r="A75" s="9" t="s">
        <v>198</v>
      </c>
      <c r="B75" s="27"/>
      <c r="C75" s="27">
        <f>SUM(C72:C74)</f>
        <v>-10.000000000000654</v>
      </c>
      <c r="D75" s="40"/>
      <c r="E75" s="27">
        <f t="shared" ref="E75:N75" si="35">SUM(E72:E74)</f>
        <v>112.57250050300584</v>
      </c>
      <c r="F75" s="27">
        <f t="shared" si="35"/>
        <v>114.20735182125662</v>
      </c>
      <c r="G75" s="27">
        <f t="shared" si="35"/>
        <v>120.60246656129502</v>
      </c>
      <c r="H75" s="27">
        <f t="shared" si="35"/>
        <v>125.22094127410205</v>
      </c>
      <c r="I75" s="27">
        <f t="shared" si="35"/>
        <v>129.98530925581522</v>
      </c>
      <c r="J75" s="27">
        <f t="shared" si="35"/>
        <v>134.90207341439151</v>
      </c>
      <c r="K75" s="27">
        <f t="shared" si="35"/>
        <v>139.98416300076698</v>
      </c>
      <c r="L75" s="27">
        <f t="shared" si="35"/>
        <v>145.2373644049141</v>
      </c>
      <c r="M75" s="27">
        <f t="shared" si="35"/>
        <v>150.66766654045443</v>
      </c>
      <c r="N75" s="27">
        <f t="shared" si="35"/>
        <v>156.28126793298657</v>
      </c>
    </row>
    <row r="76" spans="1:14" s="22" customFormat="1" x14ac:dyDescent="0.2">
      <c r="A76" s="9" t="s">
        <v>199</v>
      </c>
      <c r="B76" s="27"/>
      <c r="C76" s="27">
        <f>C68-B68-C81</f>
        <v>10.40000000000056</v>
      </c>
      <c r="D76" s="40" t="s">
        <v>154</v>
      </c>
      <c r="E76" s="27">
        <f>IF(E68=0,0,E68-C68-E81)</f>
        <v>-112.0553631282969</v>
      </c>
      <c r="F76" s="27">
        <f>F68-E68-F81</f>
        <v>-113.81399557877393</v>
      </c>
      <c r="G76" s="27">
        <f t="shared" ref="G76:N76" si="36">G68-F68-G81</f>
        <v>-120.24456604043519</v>
      </c>
      <c r="H76" s="27">
        <f t="shared" si="36"/>
        <v>-124.85086084378042</v>
      </c>
      <c r="I76" s="27">
        <f t="shared" si="36"/>
        <v>-129.60246264592234</v>
      </c>
      <c r="J76" s="27">
        <f t="shared" si="36"/>
        <v>-134.50582717315197</v>
      </c>
      <c r="K76" s="27">
        <f t="shared" si="36"/>
        <v>-139.57404814108412</v>
      </c>
      <c r="L76" s="27">
        <f t="shared" si="36"/>
        <v>-144.81289552514261</v>
      </c>
      <c r="M76" s="27">
        <f t="shared" si="36"/>
        <v>-150.22834124989123</v>
      </c>
      <c r="N76" s="27">
        <f t="shared" si="36"/>
        <v>-155.82656625725309</v>
      </c>
    </row>
    <row r="77" spans="1:14" s="22" customFormat="1" x14ac:dyDescent="0.2">
      <c r="A77" s="9" t="s">
        <v>200</v>
      </c>
      <c r="B77" s="27"/>
      <c r="C77" s="27">
        <f>C75+C76</f>
        <v>0.39999999999990621</v>
      </c>
      <c r="D77" s="40"/>
      <c r="E77" s="27">
        <f>E75+E76</f>
        <v>0.51713737470893761</v>
      </c>
      <c r="F77" s="27">
        <f t="shared" ref="F77:N77" si="37">F75+F76</f>
        <v>0.39335624248269596</v>
      </c>
      <c r="G77" s="27">
        <f t="shared" si="37"/>
        <v>0.35790052085982893</v>
      </c>
      <c r="H77" s="27">
        <f t="shared" si="37"/>
        <v>0.37008043032162163</v>
      </c>
      <c r="I77" s="27">
        <f t="shared" si="37"/>
        <v>0.38284660989288</v>
      </c>
      <c r="J77" s="27">
        <f t="shared" si="37"/>
        <v>0.39624624123953822</v>
      </c>
      <c r="K77" s="27">
        <f t="shared" si="37"/>
        <v>0.41011485968286365</v>
      </c>
      <c r="L77" s="27">
        <f t="shared" si="37"/>
        <v>0.42446887977149572</v>
      </c>
      <c r="M77" s="27">
        <f t="shared" si="37"/>
        <v>0.43932529056320391</v>
      </c>
      <c r="N77" s="27">
        <f t="shared" si="37"/>
        <v>0.45470167573347453</v>
      </c>
    </row>
    <row r="78" spans="1:14" s="22" customFormat="1" x14ac:dyDescent="0.2">
      <c r="A78" s="9" t="s">
        <v>201</v>
      </c>
      <c r="B78" s="27"/>
      <c r="C78" s="27">
        <f>+C48-B48</f>
        <v>-9.9999999999999645E-2</v>
      </c>
      <c r="D78" s="40" t="s">
        <v>154</v>
      </c>
      <c r="E78" s="27">
        <f>IF(E48=0,0,E48-C48)</f>
        <v>0.51713737470873333</v>
      </c>
      <c r="F78" s="27">
        <f t="shared" ref="F78:N78" si="38">F48-E48</f>
        <v>0.39335624248252365</v>
      </c>
      <c r="G78" s="27">
        <f t="shared" si="38"/>
        <v>0.35790052085956248</v>
      </c>
      <c r="H78" s="27">
        <f t="shared" si="38"/>
        <v>0.37008043032203197</v>
      </c>
      <c r="I78" s="27">
        <f t="shared" si="38"/>
        <v>0.38284660989304875</v>
      </c>
      <c r="J78" s="27">
        <f t="shared" si="38"/>
        <v>0.3962462412393073</v>
      </c>
      <c r="K78" s="27">
        <f t="shared" si="38"/>
        <v>0.41011485968268069</v>
      </c>
      <c r="L78" s="27">
        <f t="shared" si="38"/>
        <v>0.42446887977157566</v>
      </c>
      <c r="M78" s="27">
        <f t="shared" si="38"/>
        <v>0.4393252905635805</v>
      </c>
      <c r="N78" s="27">
        <f t="shared" si="38"/>
        <v>0.45470167573330578</v>
      </c>
    </row>
    <row r="79" spans="1:14" s="22" customFormat="1" x14ac:dyDescent="0.2">
      <c r="A79" s="9"/>
      <c r="B79" s="27"/>
      <c r="C79" s="27">
        <f>C77-C78</f>
        <v>0.49999999999990585</v>
      </c>
      <c r="D79" s="40" t="s">
        <v>193</v>
      </c>
      <c r="E79" s="162">
        <f>E77-E78</f>
        <v>2.042810365310288E-13</v>
      </c>
      <c r="F79" s="163">
        <f t="shared" ref="F79:N79" si="39">F77-F78</f>
        <v>1.723066134218243E-13</v>
      </c>
      <c r="G79" s="163">
        <f t="shared" si="39"/>
        <v>2.6645352591003757E-13</v>
      </c>
      <c r="H79" s="163">
        <f t="shared" si="39"/>
        <v>-4.1033842990145786E-13</v>
      </c>
      <c r="I79" s="163">
        <f t="shared" si="39"/>
        <v>-1.6875389974302379E-13</v>
      </c>
      <c r="J79" s="163">
        <f t="shared" si="39"/>
        <v>2.3092638912203256E-13</v>
      </c>
      <c r="K79" s="163">
        <f t="shared" si="39"/>
        <v>1.829647544582258E-13</v>
      </c>
      <c r="L79" s="163">
        <f t="shared" si="39"/>
        <v>-7.9936057773011271E-14</v>
      </c>
      <c r="M79" s="163">
        <f t="shared" si="39"/>
        <v>-3.765876499528531E-13</v>
      </c>
      <c r="N79" s="164">
        <f t="shared" si="39"/>
        <v>1.6875389974302379E-13</v>
      </c>
    </row>
    <row r="80" spans="1:14" s="22" customFormat="1" ht="32.1" customHeight="1" x14ac:dyDescent="0.2">
      <c r="A80" s="9"/>
      <c r="B80" s="27"/>
      <c r="C80" s="27"/>
      <c r="D80" s="27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1:14" s="22" customFormat="1" x14ac:dyDescent="0.2">
      <c r="A81" s="9" t="s">
        <v>202</v>
      </c>
      <c r="B81" s="27">
        <f>B82-B18</f>
        <v>68.100000000000364</v>
      </c>
      <c r="C81" s="27">
        <f>C82-C18</f>
        <v>104.69999999999946</v>
      </c>
      <c r="D81" s="40" t="s">
        <v>203</v>
      </c>
      <c r="E81" s="27">
        <f t="shared" ref="E81:N81" si="40">E82+E73</f>
        <v>117.03353269497131</v>
      </c>
      <c r="F81" s="27">
        <f t="shared" si="40"/>
        <v>122.24346350089098</v>
      </c>
      <c r="G81" s="27">
        <f t="shared" si="40"/>
        <v>127.11371960645181</v>
      </c>
      <c r="H81" s="27">
        <f t="shared" si="40"/>
        <v>132.25602063729309</v>
      </c>
      <c r="I81" s="27">
        <f t="shared" si="40"/>
        <v>137.56942889394855</v>
      </c>
      <c r="J81" s="27">
        <f t="shared" si="40"/>
        <v>143.06247644549708</v>
      </c>
      <c r="K81" s="27">
        <f t="shared" si="40"/>
        <v>148.74101934359868</v>
      </c>
      <c r="L81" s="27">
        <f t="shared" si="40"/>
        <v>154.61154992538229</v>
      </c>
      <c r="M81" s="27">
        <f t="shared" si="40"/>
        <v>160.68078775977648</v>
      </c>
      <c r="N81" s="27">
        <f t="shared" si="40"/>
        <v>166.9556876006223</v>
      </c>
    </row>
    <row r="82" spans="1:14" s="22" customFormat="1" x14ac:dyDescent="0.2">
      <c r="A82" s="9" t="s">
        <v>204</v>
      </c>
      <c r="B82" s="27">
        <f>B19</f>
        <v>104.24455835962191</v>
      </c>
      <c r="C82" s="27">
        <f>C19</f>
        <v>136.08177897574063</v>
      </c>
      <c r="D82" s="40"/>
      <c r="E82" s="27">
        <f t="shared" ref="E82:N82" si="41">E19</f>
        <v>167.21457245693233</v>
      </c>
      <c r="F82" s="27">
        <f t="shared" si="41"/>
        <v>174.26317456754805</v>
      </c>
      <c r="G82" s="27">
        <f t="shared" si="41"/>
        <v>180.67644095122174</v>
      </c>
      <c r="H82" s="27">
        <f t="shared" si="41"/>
        <v>187.30796073034819</v>
      </c>
      <c r="I82" s="27">
        <f t="shared" si="41"/>
        <v>194.16823935591006</v>
      </c>
      <c r="J82" s="27">
        <f t="shared" si="41"/>
        <v>201.26862773336634</v>
      </c>
      <c r="K82" s="27">
        <f t="shared" si="41"/>
        <v>208.61752970403418</v>
      </c>
      <c r="L82" s="27">
        <f t="shared" si="41"/>
        <v>216.22364324367561</v>
      </c>
      <c r="M82" s="27">
        <f t="shared" si="41"/>
        <v>224.09597075720438</v>
      </c>
      <c r="N82" s="27">
        <f t="shared" si="41"/>
        <v>232.24382973370626</v>
      </c>
    </row>
    <row r="83" spans="1:14" s="21" customFormat="1" x14ac:dyDescent="0.2">
      <c r="A83" s="11" t="s">
        <v>205</v>
      </c>
      <c r="B83" s="36"/>
      <c r="C83" s="36"/>
      <c r="D83" s="110" t="s">
        <v>206</v>
      </c>
      <c r="E83" s="154">
        <f>IF(C68=0,0,E81/C68)</f>
        <v>0.15849611686751261</v>
      </c>
      <c r="F83" s="154">
        <f>IF(E68=0,0,F81/E68)</f>
        <v>0.16444317106076498</v>
      </c>
      <c r="G83" s="154">
        <f>IF(F68=0,0,G81/F68)</f>
        <v>0.16907745182137354</v>
      </c>
      <c r="H83" s="154">
        <f t="shared" ref="H83:N83" si="42">IF(G68=0,0,H81/G68)</f>
        <v>0.17432459012409501</v>
      </c>
      <c r="I83" s="154">
        <f t="shared" si="42"/>
        <v>0.17957534274448192</v>
      </c>
      <c r="J83" s="154">
        <f t="shared" si="42"/>
        <v>0.18482355996590058</v>
      </c>
      <c r="K83" s="154">
        <f t="shared" si="42"/>
        <v>0.19005872911658481</v>
      </c>
      <c r="L83" s="154">
        <f t="shared" si="42"/>
        <v>0.19527268576358975</v>
      </c>
      <c r="M83" s="154">
        <f t="shared" si="42"/>
        <v>0.20045728859664441</v>
      </c>
      <c r="N83" s="154">
        <f t="shared" si="42"/>
        <v>0.20560446727002593</v>
      </c>
    </row>
    <row r="84" spans="1:14" s="22" customFormat="1" x14ac:dyDescent="0.2">
      <c r="A84" s="9" t="s">
        <v>207</v>
      </c>
      <c r="B84" s="27"/>
      <c r="C84" s="27"/>
      <c r="D84" s="156" t="s">
        <v>208</v>
      </c>
      <c r="E84" s="155">
        <f>IF(E7=0,0,E82/E7)</f>
        <v>2.9294339225116688E-2</v>
      </c>
      <c r="F84" s="155">
        <f>IF(F7=0,0,F82/F7)</f>
        <v>2.9353056804654821E-2</v>
      </c>
      <c r="G84" s="155">
        <f>IF(G7=0,0,G82/G7)</f>
        <v>2.9402684064363995E-2</v>
      </c>
      <c r="H84" s="155">
        <f t="shared" ref="H84:N84" si="43">IF(H7=0,0,H82/H7)</f>
        <v>2.945058500722586E-2</v>
      </c>
      <c r="I84" s="155">
        <f t="shared" si="43"/>
        <v>2.9496842771387873E-2</v>
      </c>
      <c r="J84" s="155">
        <f t="shared" si="43"/>
        <v>2.9541536263331808E-2</v>
      </c>
      <c r="K84" s="155">
        <f t="shared" si="43"/>
        <v>2.9584718381152116E-2</v>
      </c>
      <c r="L84" s="155">
        <f t="shared" si="43"/>
        <v>2.9626440234118631E-2</v>
      </c>
      <c r="M84" s="155">
        <f t="shared" si="43"/>
        <v>2.9666751203168387E-2</v>
      </c>
      <c r="N84" s="155">
        <f t="shared" si="43"/>
        <v>2.9705698999351677E-2</v>
      </c>
    </row>
    <row r="85" spans="1:14" s="22" customFormat="1" x14ac:dyDescent="0.2">
      <c r="A85" s="9" t="s">
        <v>209</v>
      </c>
      <c r="B85" s="27"/>
      <c r="C85" s="27"/>
      <c r="D85" s="40" t="s">
        <v>210</v>
      </c>
      <c r="E85" s="158">
        <f>IF((C57+E57)=0,0,E7/(C57+E57)*2)</f>
        <v>2.5715279610657684</v>
      </c>
      <c r="F85" s="158">
        <f>IF((F57+E57)=0,0,F7/(F57+E57)*2)</f>
        <v>2.6008513908152406</v>
      </c>
      <c r="G85" s="158">
        <f>IF((G57+F57)=0,0,G7/(G57+F57)*2)</f>
        <v>2.6298937647851659</v>
      </c>
      <c r="H85" s="158">
        <f t="shared" ref="H85:N85" si="44">IF((H57+G57)=0,0,H7/(H57+G57)*2)</f>
        <v>2.6629672364274093</v>
      </c>
      <c r="I85" s="158">
        <f t="shared" si="44"/>
        <v>2.6951511445556222</v>
      </c>
      <c r="J85" s="158">
        <f t="shared" si="44"/>
        <v>2.7264401164850725</v>
      </c>
      <c r="K85" s="158">
        <f t="shared" si="44"/>
        <v>2.7568029413648873</v>
      </c>
      <c r="L85" s="158">
        <f t="shared" si="44"/>
        <v>2.7862297984968758</v>
      </c>
      <c r="M85" s="158">
        <f t="shared" si="44"/>
        <v>2.8147137334727952</v>
      </c>
      <c r="N85" s="158">
        <f t="shared" si="44"/>
        <v>2.8422505640286055</v>
      </c>
    </row>
    <row r="86" spans="1:14" s="22" customFormat="1" x14ac:dyDescent="0.2">
      <c r="A86" s="9" t="s">
        <v>211</v>
      </c>
      <c r="B86" s="27"/>
      <c r="C86" s="27"/>
      <c r="D86" s="40" t="s">
        <v>212</v>
      </c>
      <c r="E86" s="158">
        <f>IF(E82=0,0,(E57+C57)/(C68+E68)*E81/E82)</f>
        <v>2.0969214428596108</v>
      </c>
      <c r="F86" s="158">
        <f>IF(F82=0,0,(E57+F57)/(E68+F68)*F81/F82)</f>
        <v>2.1418625780451324</v>
      </c>
      <c r="G86" s="158">
        <f>IF(G82=0,0,(F57+G57)/(F68+G68)*G81/G82)</f>
        <v>2.1766118416732829</v>
      </c>
      <c r="H86" s="158">
        <f t="shared" ref="H86:N86" si="45">IF(H82=0,0,(G57+H57)/(G68+H68)*H81/H82)</f>
        <v>2.2119971640732685</v>
      </c>
      <c r="I86" s="158">
        <f t="shared" si="45"/>
        <v>2.2471685389717901</v>
      </c>
      <c r="J86" s="158">
        <f t="shared" si="45"/>
        <v>2.2820989316038141</v>
      </c>
      <c r="K86" s="158">
        <f t="shared" si="45"/>
        <v>2.3167466569504813</v>
      </c>
      <c r="L86" s="158">
        <f t="shared" si="45"/>
        <v>2.3510726497055869</v>
      </c>
      <c r="M86" s="158">
        <f t="shared" si="45"/>
        <v>2.3850376133639006</v>
      </c>
      <c r="N86" s="158">
        <f t="shared" si="45"/>
        <v>2.4186023289064122</v>
      </c>
    </row>
    <row r="87" spans="1:14" s="22" customFormat="1" x14ac:dyDescent="0.2">
      <c r="A87" s="157" t="s">
        <v>213</v>
      </c>
      <c r="B87" s="27"/>
      <c r="C87" s="27"/>
      <c r="D87" s="40"/>
      <c r="E87" s="155">
        <f t="shared" ref="E87:N87" si="46">E84*E85*E86</f>
        <v>0.15796363463661525</v>
      </c>
      <c r="F87" s="155">
        <f t="shared" si="46"/>
        <v>0.16351608331760495</v>
      </c>
      <c r="G87" s="155">
        <f t="shared" si="46"/>
        <v>0.16830854685342783</v>
      </c>
      <c r="H87" s="155">
        <f t="shared" si="46"/>
        <v>0.1734779634346843</v>
      </c>
      <c r="I87" s="155">
        <f t="shared" si="46"/>
        <v>0.17864641473946619</v>
      </c>
      <c r="J87" s="155">
        <f t="shared" si="46"/>
        <v>0.18380761815177743</v>
      </c>
      <c r="K87" s="155">
        <f t="shared" si="46"/>
        <v>0.18895209349186531</v>
      </c>
      <c r="L87" s="155">
        <f t="shared" si="46"/>
        <v>0.19407180893699741</v>
      </c>
      <c r="M87" s="155">
        <f t="shared" si="46"/>
        <v>0.1991587785574265</v>
      </c>
      <c r="N87" s="155">
        <f t="shared" si="46"/>
        <v>0.20420510933692629</v>
      </c>
    </row>
    <row r="88" spans="1:14" s="21" customFormat="1" x14ac:dyDescent="0.2">
      <c r="A88" s="11" t="s">
        <v>214</v>
      </c>
      <c r="B88" s="36"/>
      <c r="C88" s="36"/>
      <c r="D88" s="110" t="s">
        <v>215</v>
      </c>
      <c r="E88" s="155">
        <f>IF(E850,0,E82/(E57+C57)*2)</f>
        <v>7.5331212418333279E-2</v>
      </c>
      <c r="F88" s="155">
        <f>IF(F85=0,0,F82/(F57+E57)*2)</f>
        <v>7.6342938615065248E-2</v>
      </c>
      <c r="G88" s="155">
        <f>IF(G85=0,0,G82/(G57+F57)*2)</f>
        <v>7.7325935488819025E-2</v>
      </c>
      <c r="H88" s="155">
        <f t="shared" ref="H88:N88" si="47">IF(H85=0,0,H82/(H57+G57)*2)</f>
        <v>7.8425942967862747E-2</v>
      </c>
      <c r="I88" s="155">
        <f t="shared" si="47"/>
        <v>7.9498449556083248E-2</v>
      </c>
      <c r="J88" s="155">
        <f t="shared" si="47"/>
        <v>8.0543229570946367E-2</v>
      </c>
      <c r="K88" s="155">
        <f t="shared" si="47"/>
        <v>8.1559238652611998E-2</v>
      </c>
      <c r="L88" s="155">
        <f t="shared" si="47"/>
        <v>8.2546070603688085E-2</v>
      </c>
      <c r="M88" s="155">
        <f t="shared" si="47"/>
        <v>8.3503412039078628E-2</v>
      </c>
      <c r="N88" s="155">
        <f t="shared" si="47"/>
        <v>8.4431039735771291E-2</v>
      </c>
    </row>
    <row r="89" spans="1:14" s="22" customFormat="1" x14ac:dyDescent="0.2">
      <c r="A89" s="9"/>
      <c r="B89" s="27"/>
      <c r="C89" s="27"/>
      <c r="D89" s="9"/>
      <c r="E89" s="39"/>
      <c r="F89" s="39"/>
      <c r="G89" s="9"/>
      <c r="H89" s="9"/>
      <c r="I89" s="9"/>
      <c r="J89" s="9"/>
      <c r="K89" s="9"/>
      <c r="L89" s="9"/>
      <c r="M89" s="9"/>
      <c r="N89" s="9"/>
    </row>
    <row r="90" spans="1:14" s="22" customForma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s="22" customForma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2">
      <c r="A92" s="304" t="s">
        <v>216</v>
      </c>
      <c r="B92" s="305"/>
      <c r="C92" s="305"/>
      <c r="D92" s="305"/>
      <c r="E92" s="305"/>
      <c r="F92" s="305"/>
      <c r="G92" s="305"/>
      <c r="H92" s="305"/>
      <c r="I92" s="305"/>
      <c r="J92" s="305"/>
      <c r="K92" s="305"/>
      <c r="L92" s="305"/>
      <c r="M92" s="2"/>
      <c r="N92" s="2"/>
    </row>
    <row r="93" spans="1:14" x14ac:dyDescent="0.2">
      <c r="A93" s="306" t="str">
        <f>+A2</f>
        <v>Vons Companies, Inc.</v>
      </c>
      <c r="B93" s="305"/>
      <c r="C93" s="305"/>
      <c r="D93" s="305"/>
      <c r="E93" s="305"/>
      <c r="F93" s="305"/>
      <c r="G93" s="305"/>
      <c r="H93" s="305"/>
      <c r="I93" s="305"/>
      <c r="J93" s="305"/>
      <c r="K93" s="305"/>
      <c r="L93" s="305"/>
      <c r="M93" s="2"/>
      <c r="N93" s="2"/>
    </row>
    <row r="94" spans="1:14" x14ac:dyDescent="0.2">
      <c r="A94" s="306" t="s">
        <v>217</v>
      </c>
      <c r="B94" s="305"/>
      <c r="C94" s="305"/>
      <c r="D94" s="305"/>
      <c r="E94" s="305"/>
      <c r="F94" s="305"/>
      <c r="G94" s="305"/>
      <c r="H94" s="305"/>
      <c r="I94" s="305"/>
      <c r="J94" s="305"/>
      <c r="K94" s="305"/>
      <c r="L94" s="305"/>
      <c r="M94" s="2"/>
      <c r="N94" s="2"/>
    </row>
    <row r="95" spans="1:14" x14ac:dyDescent="0.2">
      <c r="A95" s="307"/>
      <c r="B95" s="307"/>
      <c r="C95" s="307"/>
      <c r="D95" s="307"/>
      <c r="E95" s="307"/>
      <c r="F95" s="307"/>
      <c r="G95" s="307"/>
      <c r="H95" s="307"/>
      <c r="I95" s="307"/>
      <c r="J95" s="307"/>
      <c r="K95" s="307"/>
      <c r="L95" s="307"/>
    </row>
    <row r="96" spans="1:14" x14ac:dyDescent="0.2">
      <c r="A96" s="307"/>
      <c r="B96" s="307"/>
      <c r="C96" s="307"/>
      <c r="D96" s="307"/>
      <c r="E96" s="307"/>
      <c r="F96" s="307"/>
      <c r="G96" s="307"/>
      <c r="H96" s="307"/>
      <c r="I96" s="307"/>
      <c r="J96" s="307"/>
      <c r="K96" s="307"/>
      <c r="L96" s="307"/>
    </row>
    <row r="97" spans="1:13" x14ac:dyDescent="0.2">
      <c r="A97" s="307"/>
      <c r="B97" s="307"/>
      <c r="C97" s="307"/>
      <c r="D97" s="307"/>
      <c r="E97" s="305" t="s">
        <v>218</v>
      </c>
      <c r="F97" s="305"/>
      <c r="G97" s="305"/>
      <c r="H97" s="305"/>
      <c r="I97" s="305"/>
      <c r="J97" s="307"/>
      <c r="K97" s="307"/>
      <c r="L97" s="307"/>
    </row>
    <row r="98" spans="1:13" x14ac:dyDescent="0.2">
      <c r="A98" s="307"/>
      <c r="B98" s="307"/>
      <c r="C98" s="308"/>
      <c r="D98" s="309">
        <f>+E40</f>
        <v>41.118938550777507</v>
      </c>
      <c r="E98" s="310">
        <v>6</v>
      </c>
      <c r="F98" s="310">
        <v>6.5</v>
      </c>
      <c r="G98" s="310">
        <v>7</v>
      </c>
      <c r="H98" s="310">
        <v>7.5</v>
      </c>
      <c r="I98" s="310">
        <v>8</v>
      </c>
      <c r="J98" s="307"/>
      <c r="K98" s="311"/>
      <c r="L98" s="311"/>
      <c r="M98" s="114"/>
    </row>
    <row r="99" spans="1:13" x14ac:dyDescent="0.2">
      <c r="A99" s="307"/>
      <c r="B99" s="311"/>
      <c r="C99" s="312"/>
      <c r="D99" s="277">
        <v>8.5000000000000006E-2</v>
      </c>
      <c r="E99" s="313">
        <f t="dataTable" ref="E99:I109" dt2D="1" dtr="0" r1="C32" r2="C35"/>
        <v>50.117371510339872</v>
      </c>
      <c r="F99" s="313">
        <v>52.962805817010626</v>
      </c>
      <c r="G99" s="313">
        <v>55.808240123681365</v>
      </c>
      <c r="H99" s="313">
        <v>58.653674430352119</v>
      </c>
      <c r="I99" s="313">
        <v>61.49910873702288</v>
      </c>
      <c r="J99" s="307"/>
      <c r="K99" s="311"/>
      <c r="L99" s="311"/>
      <c r="M99" s="114"/>
    </row>
    <row r="100" spans="1:13" x14ac:dyDescent="0.2">
      <c r="A100" s="307"/>
      <c r="B100" s="311"/>
      <c r="C100" s="312"/>
      <c r="D100" s="314">
        <v>0.09</v>
      </c>
      <c r="E100" s="115">
        <v>47.973576114694637</v>
      </c>
      <c r="F100" s="115">
        <v>50.691147530313664</v>
      </c>
      <c r="G100" s="115">
        <v>53.408718945932705</v>
      </c>
      <c r="H100" s="115">
        <v>56.126290361551732</v>
      </c>
      <c r="I100" s="115">
        <v>58.843861777170773</v>
      </c>
      <c r="J100" s="307"/>
      <c r="K100" s="311"/>
      <c r="L100" s="311"/>
      <c r="M100" s="114"/>
    </row>
    <row r="101" spans="1:13" x14ac:dyDescent="0.2">
      <c r="A101" s="307"/>
      <c r="B101" s="311"/>
      <c r="C101" s="312"/>
      <c r="D101" s="314">
        <v>9.5000000000000001E-2</v>
      </c>
      <c r="E101" s="115">
        <v>45.926381962414155</v>
      </c>
      <c r="F101" s="115">
        <v>48.522382352978674</v>
      </c>
      <c r="G101" s="115">
        <v>51.118382743543165</v>
      </c>
      <c r="H101" s="115">
        <v>53.714383134107678</v>
      </c>
      <c r="I101" s="115">
        <v>56.310383524672183</v>
      </c>
      <c r="J101" s="307"/>
      <c r="K101" s="311"/>
      <c r="L101" s="311"/>
      <c r="M101" s="114"/>
    </row>
    <row r="102" spans="1:13" x14ac:dyDescent="0.2">
      <c r="A102" s="307"/>
      <c r="B102" s="311"/>
      <c r="C102" s="312"/>
      <c r="D102" s="314">
        <v>0.1</v>
      </c>
      <c r="E102" s="115">
        <v>43.970856427595784</v>
      </c>
      <c r="F102" s="115">
        <v>46.45124141238658</v>
      </c>
      <c r="G102" s="115">
        <v>48.931626397177375</v>
      </c>
      <c r="H102" s="115">
        <v>51.412011381968171</v>
      </c>
      <c r="I102" s="115">
        <v>53.892396366758973</v>
      </c>
      <c r="J102" s="307"/>
      <c r="K102" s="311"/>
      <c r="L102" s="311"/>
      <c r="M102" s="114"/>
    </row>
    <row r="103" spans="1:13" x14ac:dyDescent="0.2">
      <c r="A103" s="307"/>
      <c r="B103" s="311"/>
      <c r="C103" s="314" t="s">
        <v>219</v>
      </c>
      <c r="D103" s="314">
        <v>0.105</v>
      </c>
      <c r="E103" s="115">
        <v>42.102343416665093</v>
      </c>
      <c r="F103" s="115">
        <v>44.472751748637329</v>
      </c>
      <c r="G103" s="115">
        <v>46.843160080609557</v>
      </c>
      <c r="H103" s="115">
        <v>49.213568412581793</v>
      </c>
      <c r="I103" s="115">
        <v>51.583976744554015</v>
      </c>
      <c r="J103" s="307"/>
      <c r="K103" s="311"/>
      <c r="L103" s="311"/>
      <c r="M103" s="114"/>
    </row>
    <row r="104" spans="1:13" x14ac:dyDescent="0.2">
      <c r="A104" s="307"/>
      <c r="B104" s="311"/>
      <c r="C104" s="314"/>
      <c r="D104" s="314">
        <v>0.11</v>
      </c>
      <c r="E104" s="115">
        <v>40.316446594630982</v>
      </c>
      <c r="F104" s="115">
        <v>42.582218343170837</v>
      </c>
      <c r="G104" s="303">
        <v>44.847990091710706</v>
      </c>
      <c r="H104" s="115">
        <v>47.113761840250568</v>
      </c>
      <c r="I104" s="115">
        <v>49.379533588790423</v>
      </c>
      <c r="J104" s="307"/>
      <c r="K104" s="311"/>
      <c r="L104" s="311"/>
      <c r="M104" s="114"/>
    </row>
    <row r="105" spans="1:13" x14ac:dyDescent="0.2">
      <c r="A105" s="307"/>
      <c r="B105" s="311"/>
      <c r="C105" s="314" t="s">
        <v>220</v>
      </c>
      <c r="D105" s="314">
        <v>0.115</v>
      </c>
      <c r="E105" s="115">
        <v>38.609013702397256</v>
      </c>
      <c r="F105" s="115">
        <v>40.77520731739078</v>
      </c>
      <c r="G105" s="115">
        <v>42.941400932384298</v>
      </c>
      <c r="H105" s="115">
        <v>45.107594547377815</v>
      </c>
      <c r="I105" s="115">
        <v>47.273788162371346</v>
      </c>
      <c r="J105" s="307"/>
      <c r="K105" s="311"/>
      <c r="L105" s="311"/>
      <c r="M105" s="114"/>
    </row>
    <row r="106" spans="1:13" x14ac:dyDescent="0.2">
      <c r="A106" s="307"/>
      <c r="B106" s="311"/>
      <c r="C106" s="312"/>
      <c r="D106" s="314">
        <v>0.12</v>
      </c>
      <c r="E106" s="115">
        <v>36.976121889511113</v>
      </c>
      <c r="F106" s="115">
        <v>39.047530220144317</v>
      </c>
      <c r="G106" s="115">
        <v>41.118938550777507</v>
      </c>
      <c r="H106" s="115">
        <v>43.190346881410704</v>
      </c>
      <c r="I106" s="115">
        <v>45.261755212043894</v>
      </c>
      <c r="J106" s="307"/>
      <c r="K106" s="311"/>
      <c r="L106" s="311"/>
      <c r="M106" s="114"/>
    </row>
    <row r="107" spans="1:13" x14ac:dyDescent="0.2">
      <c r="A107" s="307"/>
      <c r="B107" s="311"/>
      <c r="C107" s="312"/>
      <c r="D107" s="314">
        <v>0.125</v>
      </c>
      <c r="E107" s="115">
        <v>35.414063992289272</v>
      </c>
      <c r="F107" s="115">
        <v>37.395229328881882</v>
      </c>
      <c r="G107" s="115">
        <v>39.376394665474493</v>
      </c>
      <c r="H107" s="115">
        <v>41.357560002067103</v>
      </c>
      <c r="I107" s="115">
        <v>43.3387253386597</v>
      </c>
      <c r="J107" s="307"/>
      <c r="K107" s="311"/>
      <c r="L107" s="311"/>
      <c r="M107" s="114"/>
    </row>
    <row r="108" spans="1:13" x14ac:dyDescent="0.2">
      <c r="A108" s="307"/>
      <c r="B108" s="307"/>
      <c r="C108" s="312"/>
      <c r="D108" s="314">
        <v>0.13</v>
      </c>
      <c r="E108" s="115">
        <v>33.919335692384578</v>
      </c>
      <c r="F108" s="115">
        <v>35.814563894819464</v>
      </c>
      <c r="G108" s="115">
        <v>37.709792097254351</v>
      </c>
      <c r="H108" s="115">
        <v>39.605020299689237</v>
      </c>
      <c r="I108" s="115">
        <v>41.500248502124137</v>
      </c>
      <c r="J108" s="307"/>
      <c r="K108" s="311"/>
      <c r="L108" s="311"/>
      <c r="M108" s="114"/>
    </row>
    <row r="109" spans="1:13" x14ac:dyDescent="0.2">
      <c r="A109" s="307"/>
      <c r="B109" s="307"/>
      <c r="C109" s="307"/>
      <c r="D109" s="314">
        <v>0.13500000000000001</v>
      </c>
      <c r="E109" s="307">
        <v>32.488623495587966</v>
      </c>
      <c r="F109" s="307">
        <v>34.30199726750638</v>
      </c>
      <c r="G109" s="307">
        <v>36.115371039424801</v>
      </c>
      <c r="H109" s="307">
        <v>37.928744811343222</v>
      </c>
      <c r="I109" s="307">
        <v>39.742118583261643</v>
      </c>
      <c r="J109" s="307"/>
      <c r="K109" s="311"/>
      <c r="L109" s="311"/>
      <c r="M109" s="114"/>
    </row>
    <row r="110" spans="1:13" x14ac:dyDescent="0.2">
      <c r="A110" s="307"/>
      <c r="B110" s="307"/>
      <c r="C110" s="307"/>
      <c r="D110" s="314"/>
      <c r="E110" s="307"/>
      <c r="F110" s="307"/>
      <c r="G110" s="307"/>
      <c r="H110" s="307"/>
      <c r="I110" s="307"/>
      <c r="J110" s="307"/>
      <c r="K110" s="307"/>
      <c r="L110" s="307"/>
      <c r="M110" s="114"/>
    </row>
    <row r="111" spans="1:13" x14ac:dyDescent="0.2">
      <c r="A111" s="307"/>
      <c r="B111" s="307"/>
      <c r="C111" s="307"/>
      <c r="D111" s="307"/>
      <c r="E111" s="307"/>
      <c r="F111" s="307"/>
      <c r="G111" s="307"/>
      <c r="H111" s="307"/>
      <c r="I111" s="307"/>
      <c r="J111" s="307"/>
      <c r="K111" s="307"/>
      <c r="L111" s="307"/>
      <c r="M111" s="114"/>
    </row>
    <row r="112" spans="1:13" x14ac:dyDescent="0.2">
      <c r="A112" s="307"/>
      <c r="B112" s="307"/>
      <c r="C112" s="307"/>
      <c r="D112" s="307"/>
      <c r="E112" s="307"/>
      <c r="F112" s="307"/>
      <c r="G112" s="307"/>
      <c r="H112" s="307"/>
      <c r="I112" s="307"/>
      <c r="J112" s="307"/>
      <c r="K112" s="307"/>
      <c r="L112" s="307"/>
      <c r="M112" s="114"/>
    </row>
    <row r="113" spans="1:13" x14ac:dyDescent="0.2">
      <c r="A113" s="307"/>
      <c r="B113" s="307"/>
      <c r="C113" s="307"/>
      <c r="D113" s="307"/>
      <c r="E113" s="307"/>
      <c r="F113" s="307"/>
      <c r="G113" s="307"/>
      <c r="H113" s="307"/>
      <c r="I113" s="307"/>
      <c r="J113" s="307"/>
      <c r="K113" s="307"/>
      <c r="L113" s="307"/>
      <c r="M113" s="114"/>
    </row>
    <row r="114" spans="1:13" x14ac:dyDescent="0.2">
      <c r="A114" s="307"/>
      <c r="B114" s="307"/>
      <c r="C114" s="307"/>
      <c r="D114" s="307"/>
      <c r="E114" s="307"/>
      <c r="F114" s="307"/>
      <c r="G114" s="307"/>
      <c r="H114" s="307"/>
      <c r="I114" s="307"/>
      <c r="J114" s="307"/>
      <c r="K114" s="307"/>
      <c r="L114" s="307"/>
      <c r="M114" s="114"/>
    </row>
    <row r="115" spans="1:13" x14ac:dyDescent="0.2">
      <c r="A115" s="307"/>
      <c r="B115" s="307"/>
      <c r="C115" s="307"/>
      <c r="D115" s="307"/>
      <c r="E115" s="307"/>
      <c r="F115" s="307"/>
      <c r="G115" s="307"/>
      <c r="H115" s="307"/>
      <c r="I115" s="307"/>
      <c r="J115" s="307"/>
      <c r="K115" s="307"/>
      <c r="L115" s="307"/>
    </row>
    <row r="116" spans="1:13" x14ac:dyDescent="0.2">
      <c r="A116" s="307"/>
      <c r="B116" s="307"/>
      <c r="C116" s="307"/>
      <c r="D116" s="307"/>
      <c r="E116" s="307"/>
      <c r="F116" s="307"/>
      <c r="G116" s="307"/>
      <c r="H116" s="307"/>
      <c r="I116" s="307"/>
      <c r="J116" s="307"/>
      <c r="K116" s="307"/>
      <c r="L116" s="307"/>
    </row>
    <row r="117" spans="1:13" x14ac:dyDescent="0.2">
      <c r="A117" s="307"/>
      <c r="B117" s="307"/>
      <c r="C117" s="307"/>
      <c r="D117" s="307"/>
      <c r="E117" s="307"/>
      <c r="F117" s="307"/>
      <c r="G117" s="307"/>
      <c r="H117" s="307"/>
      <c r="I117" s="307"/>
      <c r="J117" s="307"/>
      <c r="K117" s="307"/>
      <c r="L117" s="307"/>
    </row>
    <row r="118" spans="1:13" x14ac:dyDescent="0.2">
      <c r="A118" s="307"/>
      <c r="B118" s="307"/>
      <c r="C118" s="307"/>
      <c r="D118" s="307"/>
      <c r="E118" s="307"/>
      <c r="F118" s="307"/>
      <c r="G118" s="307"/>
      <c r="H118" s="307"/>
      <c r="I118" s="307"/>
      <c r="J118" s="307"/>
      <c r="K118" s="307"/>
      <c r="L118" s="307"/>
    </row>
  </sheetData>
  <sheetProtection password="CFB3" sheet="1" objects="1" scenarios="1"/>
  <phoneticPr fontId="0" type="noConversion"/>
  <printOptions horizontalCentered="1" verticalCentered="1"/>
  <pageMargins left="0.5" right="0.5" top="0.5" bottom="0.5" header="0.5" footer="0.5"/>
  <pageSetup scale="80" orientation="landscape" r:id="rId1"/>
  <headerFooter alignWithMargins="0"/>
  <rowBreaks count="2" manualBreakCount="2">
    <brk id="41" max="65535" man="1"/>
    <brk id="91" max="65535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34"/>
  <sheetViews>
    <sheetView showGridLines="0" zoomScale="75" workbookViewId="0"/>
  </sheetViews>
  <sheetFormatPr defaultRowHeight="12.75" x14ac:dyDescent="0.2"/>
  <cols>
    <col min="1" max="1" width="3.7109375" style="1" customWidth="1"/>
    <col min="2" max="2" width="30.140625" style="1" customWidth="1"/>
    <col min="3" max="3" width="15.140625" style="1" customWidth="1"/>
    <col min="4" max="4" width="10.7109375" style="1" customWidth="1"/>
    <col min="5" max="5" width="10.5703125" style="1" customWidth="1"/>
    <col min="6" max="6" width="3.7109375" style="1" customWidth="1"/>
    <col min="7" max="7" width="9.5703125" style="1" customWidth="1"/>
    <col min="8" max="8" width="10.7109375" style="1" customWidth="1"/>
    <col min="9" max="9" width="9" style="1" customWidth="1"/>
    <col min="10" max="10" width="3.28515625" style="1" customWidth="1"/>
    <col min="11" max="12" width="9.140625" style="1"/>
    <col min="13" max="13" width="3.140625" style="1" customWidth="1"/>
    <col min="14" max="16384" width="9.140625" style="1"/>
  </cols>
  <sheetData>
    <row r="1" spans="2:18" x14ac:dyDescent="0.2">
      <c r="B1" s="186" t="s">
        <v>221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2:18" x14ac:dyDescent="0.2">
      <c r="B2" s="186" t="str">
        <f>+Inputs!E4</f>
        <v>Vons Companies, Inc.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2:18" x14ac:dyDescent="0.2">
      <c r="B3" s="186" t="s">
        <v>222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2:18" x14ac:dyDescent="0.2">
      <c r="B4" s="187" t="str">
        <f>+Inputs!K4</f>
        <v>Dollars in millions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6" spans="2:18" x14ac:dyDescent="0.2">
      <c r="L6" s="13" t="s">
        <v>223</v>
      </c>
    </row>
    <row r="7" spans="2:18" x14ac:dyDescent="0.2">
      <c r="K7" s="13" t="s">
        <v>68</v>
      </c>
      <c r="L7" s="13" t="s">
        <v>224</v>
      </c>
      <c r="M7" s="13"/>
      <c r="N7" s="133" t="s">
        <v>225</v>
      </c>
      <c r="O7" s="133"/>
      <c r="P7" s="133"/>
      <c r="Q7" s="133"/>
      <c r="R7" s="133"/>
    </row>
    <row r="8" spans="2:18" x14ac:dyDescent="0.2">
      <c r="D8" s="13" t="s">
        <v>226</v>
      </c>
      <c r="E8" s="13" t="s">
        <v>227</v>
      </c>
      <c r="F8" s="9"/>
      <c r="G8" s="133">
        <v>1996</v>
      </c>
      <c r="H8" s="133"/>
      <c r="I8" s="133"/>
      <c r="K8" s="13" t="s">
        <v>228</v>
      </c>
      <c r="L8" s="13" t="s">
        <v>228</v>
      </c>
      <c r="M8" s="13"/>
      <c r="N8" s="13"/>
      <c r="O8" s="13"/>
      <c r="P8" s="13"/>
      <c r="Q8" s="13" t="s">
        <v>229</v>
      </c>
      <c r="R8" s="13" t="s">
        <v>230</v>
      </c>
    </row>
    <row r="9" spans="2:18" x14ac:dyDescent="0.2">
      <c r="D9" s="131" t="s">
        <v>231</v>
      </c>
      <c r="E9" s="132" t="s">
        <v>232</v>
      </c>
      <c r="F9" s="134"/>
      <c r="G9" s="42" t="s">
        <v>98</v>
      </c>
      <c r="H9" s="42" t="s">
        <v>233</v>
      </c>
      <c r="I9" s="42" t="s">
        <v>149</v>
      </c>
      <c r="K9" s="135" t="s">
        <v>234</v>
      </c>
      <c r="L9" s="135" t="s">
        <v>234</v>
      </c>
      <c r="M9" s="135"/>
      <c r="N9" s="132" t="s">
        <v>98</v>
      </c>
      <c r="O9" s="132" t="s">
        <v>233</v>
      </c>
      <c r="P9" s="132" t="s">
        <v>235</v>
      </c>
      <c r="Q9" s="132" t="s">
        <v>236</v>
      </c>
      <c r="R9" s="132" t="s">
        <v>237</v>
      </c>
    </row>
    <row r="10" spans="2:18" x14ac:dyDescent="0.2">
      <c r="N10" s="127"/>
      <c r="O10" s="127"/>
      <c r="P10" s="127"/>
      <c r="Q10" s="127"/>
      <c r="R10" s="127"/>
    </row>
    <row r="11" spans="2:18" x14ac:dyDescent="0.2">
      <c r="B11" s="1" t="s">
        <v>238</v>
      </c>
      <c r="C11" s="13" t="s">
        <v>239</v>
      </c>
      <c r="D11" s="229">
        <v>20</v>
      </c>
      <c r="E11" s="189">
        <v>7.1</v>
      </c>
      <c r="G11" s="189">
        <v>1126.5999999999999</v>
      </c>
      <c r="H11" s="189">
        <v>34.9</v>
      </c>
      <c r="I11" s="189">
        <v>3.9</v>
      </c>
      <c r="K11" s="229">
        <v>15.88</v>
      </c>
      <c r="L11" s="229">
        <v>5.5</v>
      </c>
      <c r="M11" s="229"/>
      <c r="N11" s="315"/>
      <c r="O11" s="280"/>
      <c r="P11" s="280"/>
      <c r="Q11" s="280"/>
      <c r="R11" s="316"/>
    </row>
    <row r="12" spans="2:18" x14ac:dyDescent="0.2">
      <c r="B12" s="1" t="s">
        <v>240</v>
      </c>
      <c r="C12" s="13" t="s">
        <v>239</v>
      </c>
      <c r="D12" s="229">
        <v>8.625</v>
      </c>
      <c r="E12" s="189">
        <v>470.2</v>
      </c>
      <c r="G12" s="189">
        <v>9005.9</v>
      </c>
      <c r="H12" s="189">
        <v>593.20000000000005</v>
      </c>
      <c r="I12" s="189">
        <v>206.1</v>
      </c>
      <c r="K12" s="229">
        <v>2.59</v>
      </c>
      <c r="L12" s="229">
        <v>0.67</v>
      </c>
      <c r="M12" s="229"/>
      <c r="N12" s="315"/>
      <c r="O12" s="280"/>
      <c r="P12" s="280"/>
      <c r="Q12" s="280"/>
      <c r="R12" s="316"/>
    </row>
    <row r="13" spans="2:18" x14ac:dyDescent="0.2">
      <c r="B13" s="1" t="s">
        <v>241</v>
      </c>
      <c r="C13" s="13" t="s">
        <v>239</v>
      </c>
      <c r="D13" s="229">
        <v>32.875</v>
      </c>
      <c r="E13" s="189">
        <v>59.4</v>
      </c>
      <c r="G13" s="189">
        <v>3860.6</v>
      </c>
      <c r="H13" s="189">
        <v>274.89999999999998</v>
      </c>
      <c r="I13" s="189">
        <v>102.2</v>
      </c>
      <c r="K13" s="229">
        <v>13.82</v>
      </c>
      <c r="L13" s="229">
        <v>3.35</v>
      </c>
      <c r="M13" s="229"/>
      <c r="N13" s="315"/>
      <c r="O13" s="280"/>
      <c r="P13" s="280"/>
      <c r="Q13" s="280"/>
      <c r="R13" s="316"/>
    </row>
    <row r="14" spans="2:18" x14ac:dyDescent="0.2">
      <c r="B14" s="1" t="s">
        <v>242</v>
      </c>
      <c r="C14" s="13" t="s">
        <v>239</v>
      </c>
      <c r="D14" s="229">
        <v>32.25</v>
      </c>
      <c r="E14" s="189">
        <v>42.3</v>
      </c>
      <c r="G14" s="189">
        <v>2957.6</v>
      </c>
      <c r="H14" s="189">
        <v>224.2</v>
      </c>
      <c r="I14" s="189">
        <v>75.2</v>
      </c>
      <c r="K14" s="229">
        <v>13.46</v>
      </c>
      <c r="L14" s="229">
        <v>4.76</v>
      </c>
      <c r="M14" s="229"/>
      <c r="N14" s="315"/>
      <c r="O14" s="280"/>
      <c r="P14" s="280"/>
      <c r="Q14" s="280"/>
      <c r="R14" s="316"/>
    </row>
    <row r="15" spans="2:18" x14ac:dyDescent="0.2">
      <c r="B15" s="1" t="s">
        <v>243</v>
      </c>
      <c r="C15" s="13" t="s">
        <v>239</v>
      </c>
      <c r="D15" s="229">
        <v>34.75</v>
      </c>
      <c r="E15" s="189">
        <v>14.9</v>
      </c>
      <c r="G15" s="189">
        <v>805.3</v>
      </c>
      <c r="H15" s="189">
        <v>64.8</v>
      </c>
      <c r="I15" s="189">
        <v>25.4</v>
      </c>
      <c r="K15" s="229">
        <v>5.24</v>
      </c>
      <c r="L15" s="229">
        <v>3.42</v>
      </c>
      <c r="M15" s="229"/>
      <c r="N15" s="315"/>
      <c r="O15" s="280"/>
      <c r="P15" s="280"/>
      <c r="Q15" s="280"/>
      <c r="R15" s="316"/>
    </row>
    <row r="16" spans="2:18" x14ac:dyDescent="0.2">
      <c r="B16" s="1" t="s">
        <v>244</v>
      </c>
      <c r="C16" s="13" t="s">
        <v>239</v>
      </c>
      <c r="D16" s="229">
        <v>32.875</v>
      </c>
      <c r="E16" s="189">
        <v>42.3</v>
      </c>
      <c r="G16" s="189">
        <v>1753.2</v>
      </c>
      <c r="H16" s="189">
        <v>128.80000000000001</v>
      </c>
      <c r="I16" s="189">
        <v>78.900000000000006</v>
      </c>
      <c r="K16" s="229">
        <v>19.47</v>
      </c>
      <c r="L16" s="229">
        <v>2.4500000000000002</v>
      </c>
      <c r="M16" s="229"/>
      <c r="N16" s="315"/>
      <c r="O16" s="280"/>
      <c r="P16" s="280"/>
      <c r="Q16" s="280"/>
      <c r="R16" s="316"/>
    </row>
    <row r="17" spans="2:18" x14ac:dyDescent="0.2">
      <c r="B17" s="1" t="s">
        <v>245</v>
      </c>
      <c r="C17" s="13" t="s">
        <v>239</v>
      </c>
      <c r="D17" s="229">
        <v>31.5</v>
      </c>
      <c r="E17" s="189">
        <v>151.6</v>
      </c>
      <c r="G17" s="189">
        <v>12955.5</v>
      </c>
      <c r="H17" s="189">
        <v>538.79999999999995</v>
      </c>
      <c r="I17" s="189">
        <v>255.6</v>
      </c>
      <c r="K17" s="229">
        <v>8.85</v>
      </c>
      <c r="L17" s="229">
        <v>3.69</v>
      </c>
      <c r="M17" s="229"/>
      <c r="N17" s="315"/>
      <c r="O17" s="280"/>
      <c r="P17" s="280"/>
      <c r="Q17" s="280"/>
      <c r="R17" s="316"/>
    </row>
    <row r="18" spans="2:18" x14ac:dyDescent="0.2">
      <c r="B18" s="1" t="s">
        <v>246</v>
      </c>
      <c r="C18" s="13" t="s">
        <v>247</v>
      </c>
      <c r="D18" s="229">
        <v>19.375</v>
      </c>
      <c r="E18" s="189">
        <v>293.89999999999998</v>
      </c>
      <c r="G18" s="189">
        <v>18308.900000000001</v>
      </c>
      <c r="H18" s="189">
        <v>1111.4000000000001</v>
      </c>
      <c r="I18" s="189">
        <v>316.8</v>
      </c>
      <c r="K18" s="229">
        <v>8.0399999999999991</v>
      </c>
      <c r="L18" s="229">
        <v>2</v>
      </c>
      <c r="M18" s="229"/>
      <c r="N18" s="315"/>
      <c r="O18" s="280"/>
      <c r="P18" s="280"/>
      <c r="Q18" s="280"/>
      <c r="R18" s="316"/>
    </row>
    <row r="19" spans="2:18" x14ac:dyDescent="0.2">
      <c r="B19" s="1" t="s">
        <v>248</v>
      </c>
      <c r="C19" s="13" t="s">
        <v>247</v>
      </c>
      <c r="D19" s="229">
        <v>30.625</v>
      </c>
      <c r="E19" s="189">
        <v>38.200000000000003</v>
      </c>
      <c r="G19" s="189">
        <v>10101.4</v>
      </c>
      <c r="H19" s="189">
        <v>377.2</v>
      </c>
      <c r="I19" s="189">
        <v>57.2</v>
      </c>
      <c r="K19" s="229">
        <v>21.53</v>
      </c>
      <c r="L19" s="229">
        <v>6.85</v>
      </c>
      <c r="M19" s="229"/>
      <c r="N19" s="315"/>
      <c r="O19" s="280"/>
      <c r="P19" s="280"/>
      <c r="Q19" s="280"/>
      <c r="R19" s="316"/>
    </row>
    <row r="20" spans="2:18" x14ac:dyDescent="0.2">
      <c r="B20" s="1" t="s">
        <v>249</v>
      </c>
      <c r="C20" s="13" t="s">
        <v>250</v>
      </c>
      <c r="D20" s="229">
        <v>21.5625</v>
      </c>
      <c r="E20" s="189">
        <v>262.8</v>
      </c>
      <c r="G20" s="189">
        <v>25170.9</v>
      </c>
      <c r="H20" s="189">
        <v>1211.0999999999999</v>
      </c>
      <c r="I20" s="189">
        <v>349.9</v>
      </c>
      <c r="K20" s="229">
        <v>-4.66</v>
      </c>
      <c r="L20" s="229">
        <v>1.82</v>
      </c>
      <c r="M20" s="229"/>
      <c r="N20" s="315"/>
      <c r="O20" s="280"/>
      <c r="P20" s="280"/>
      <c r="Q20" s="280"/>
      <c r="R20" s="316"/>
    </row>
    <row r="21" spans="2:18" x14ac:dyDescent="0.2">
      <c r="B21" s="1" t="s">
        <v>251</v>
      </c>
      <c r="C21" s="13" t="s">
        <v>250</v>
      </c>
      <c r="D21" s="229">
        <v>29.375</v>
      </c>
      <c r="E21" s="189">
        <v>19.5</v>
      </c>
      <c r="G21" s="189">
        <v>2890</v>
      </c>
      <c r="H21" s="189">
        <v>197.5</v>
      </c>
      <c r="I21" s="189">
        <v>-164.2</v>
      </c>
      <c r="K21" s="229">
        <v>-7.73</v>
      </c>
      <c r="L21" s="229">
        <v>4.21</v>
      </c>
      <c r="M21" s="229"/>
      <c r="N21" s="315"/>
      <c r="O21" s="280"/>
      <c r="P21" s="280"/>
      <c r="Q21" s="280"/>
      <c r="R21" s="316"/>
    </row>
    <row r="22" spans="2:18" x14ac:dyDescent="0.2">
      <c r="B22" s="127"/>
      <c r="C22" s="127"/>
      <c r="D22" s="127"/>
      <c r="E22" s="127"/>
      <c r="F22" s="127"/>
      <c r="G22" s="127"/>
      <c r="H22" s="127"/>
      <c r="I22" s="127"/>
      <c r="J22" s="127"/>
      <c r="K22" s="127"/>
      <c r="L22" s="127"/>
      <c r="M22" s="127"/>
      <c r="N22" s="315"/>
      <c r="O22" s="279"/>
      <c r="P22" s="279"/>
      <c r="Q22" s="279"/>
      <c r="R22" s="317"/>
    </row>
    <row r="23" spans="2:18" x14ac:dyDescent="0.2">
      <c r="B23" s="290"/>
      <c r="C23" s="279"/>
      <c r="D23" s="279"/>
      <c r="E23" s="279"/>
      <c r="F23" s="279"/>
      <c r="G23" s="279"/>
      <c r="H23" s="279"/>
      <c r="I23" s="279"/>
      <c r="J23" s="279"/>
      <c r="K23" s="279"/>
      <c r="L23" s="279"/>
      <c r="M23" s="279"/>
      <c r="N23" s="280"/>
      <c r="O23" s="279"/>
      <c r="P23" s="279"/>
      <c r="Q23" s="279"/>
      <c r="R23" s="317"/>
    </row>
    <row r="24" spans="2:18" x14ac:dyDescent="0.2">
      <c r="B24" s="290"/>
      <c r="C24" s="279"/>
      <c r="D24" s="279"/>
      <c r="E24" s="279"/>
      <c r="F24" s="279"/>
      <c r="G24" s="279"/>
      <c r="H24" s="279"/>
      <c r="I24" s="279"/>
      <c r="J24" s="279"/>
      <c r="K24" s="279"/>
      <c r="L24" s="279"/>
      <c r="M24" s="279"/>
      <c r="N24" s="280"/>
      <c r="O24" s="280"/>
      <c r="P24" s="280"/>
      <c r="Q24" s="280"/>
      <c r="R24" s="316"/>
    </row>
    <row r="25" spans="2:18" x14ac:dyDescent="0.2">
      <c r="B25" s="290"/>
      <c r="C25" s="279"/>
      <c r="D25" s="279"/>
      <c r="E25" s="279"/>
      <c r="F25" s="279"/>
      <c r="G25" s="279"/>
      <c r="H25" s="279"/>
      <c r="I25" s="279"/>
      <c r="J25" s="279"/>
      <c r="K25" s="279"/>
      <c r="L25" s="279"/>
      <c r="M25" s="279"/>
      <c r="N25" s="280"/>
      <c r="O25" s="280"/>
      <c r="P25" s="280"/>
      <c r="Q25" s="280"/>
      <c r="R25" s="316"/>
    </row>
    <row r="26" spans="2:18" x14ac:dyDescent="0.2">
      <c r="B26" s="290"/>
      <c r="C26" s="279"/>
      <c r="D26" s="279"/>
      <c r="E26" s="279"/>
      <c r="F26" s="279"/>
      <c r="G26" s="279"/>
      <c r="H26" s="279"/>
      <c r="I26" s="279"/>
      <c r="J26" s="279"/>
      <c r="K26" s="279"/>
      <c r="L26" s="279"/>
      <c r="M26" s="279"/>
      <c r="N26" s="280"/>
      <c r="O26" s="279"/>
      <c r="P26" s="279"/>
      <c r="Q26" s="279"/>
      <c r="R26" s="317"/>
    </row>
    <row r="27" spans="2:18" x14ac:dyDescent="0.2">
      <c r="B27" s="290"/>
      <c r="C27" s="279"/>
      <c r="D27" s="279"/>
      <c r="E27" s="279"/>
      <c r="F27" s="279"/>
      <c r="G27" s="279"/>
      <c r="H27" s="279"/>
      <c r="I27" s="279"/>
      <c r="J27" s="279"/>
      <c r="K27" s="279"/>
      <c r="L27" s="279"/>
      <c r="M27" s="279"/>
      <c r="N27" s="281"/>
      <c r="O27" s="281"/>
      <c r="P27" s="281"/>
      <c r="Q27" s="282"/>
      <c r="R27" s="318"/>
    </row>
    <row r="28" spans="2:18" x14ac:dyDescent="0.2">
      <c r="B28" s="290"/>
      <c r="C28" s="279"/>
      <c r="D28" s="279"/>
      <c r="E28" s="279"/>
      <c r="F28" s="279"/>
      <c r="G28" s="279"/>
      <c r="H28" s="279"/>
      <c r="I28" s="279"/>
      <c r="J28" s="279"/>
      <c r="K28" s="279"/>
      <c r="L28" s="279"/>
      <c r="M28" s="279"/>
      <c r="N28" s="279"/>
      <c r="O28" s="279"/>
      <c r="P28" s="279"/>
      <c r="Q28" s="279"/>
      <c r="R28" s="317"/>
    </row>
    <row r="29" spans="2:18" x14ac:dyDescent="0.2">
      <c r="B29" s="290"/>
      <c r="C29" s="279"/>
      <c r="D29" s="279"/>
      <c r="E29" s="279"/>
      <c r="F29" s="279"/>
      <c r="G29" s="279"/>
      <c r="H29" s="279"/>
      <c r="I29" s="279"/>
      <c r="J29" s="279"/>
      <c r="K29" s="279"/>
      <c r="L29" s="279"/>
      <c r="M29" s="279"/>
      <c r="N29" s="282"/>
      <c r="O29" s="282"/>
      <c r="P29" s="282"/>
      <c r="Q29" s="282"/>
      <c r="R29" s="319"/>
    </row>
    <row r="30" spans="2:18" x14ac:dyDescent="0.2">
      <c r="B30" s="290"/>
      <c r="C30" s="279"/>
      <c r="D30" s="279"/>
      <c r="E30" s="279"/>
      <c r="F30" s="279"/>
      <c r="G30" s="279"/>
      <c r="H30" s="279"/>
      <c r="I30" s="279"/>
      <c r="J30" s="279"/>
      <c r="K30" s="279"/>
      <c r="L30" s="279"/>
      <c r="M30" s="279"/>
      <c r="N30" s="279"/>
      <c r="O30" s="279"/>
      <c r="P30" s="279"/>
      <c r="Q30" s="279"/>
      <c r="R30" s="317"/>
    </row>
    <row r="31" spans="2:18" x14ac:dyDescent="0.2">
      <c r="B31" s="290"/>
      <c r="C31" s="279"/>
      <c r="D31" s="279"/>
      <c r="E31" s="279"/>
      <c r="F31" s="279"/>
      <c r="G31" s="279"/>
      <c r="H31" s="279"/>
      <c r="I31" s="279"/>
      <c r="J31" s="279"/>
      <c r="K31" s="279"/>
      <c r="L31" s="279"/>
      <c r="M31" s="279"/>
      <c r="N31" s="279"/>
      <c r="O31" s="279"/>
      <c r="P31" s="279"/>
      <c r="Q31" s="279"/>
      <c r="R31" s="317"/>
    </row>
    <row r="32" spans="2:18" x14ac:dyDescent="0.2">
      <c r="B32" s="290"/>
      <c r="C32" s="279"/>
      <c r="D32" s="279"/>
      <c r="E32" s="279"/>
      <c r="F32" s="279"/>
      <c r="G32" s="279"/>
      <c r="H32" s="279"/>
      <c r="I32" s="279"/>
      <c r="J32" s="279"/>
      <c r="K32" s="279"/>
      <c r="L32" s="279"/>
      <c r="M32" s="279"/>
      <c r="N32" s="279"/>
      <c r="O32" s="279"/>
      <c r="P32" s="279"/>
      <c r="Q32" s="279"/>
      <c r="R32" s="317"/>
    </row>
    <row r="33" spans="2:18" x14ac:dyDescent="0.2">
      <c r="B33" s="290"/>
      <c r="C33" s="279"/>
      <c r="D33" s="279"/>
      <c r="E33" s="279"/>
      <c r="F33" s="279"/>
      <c r="G33" s="279"/>
      <c r="H33" s="279"/>
      <c r="I33" s="279"/>
      <c r="J33" s="279"/>
      <c r="K33" s="279"/>
      <c r="L33" s="279"/>
      <c r="M33" s="279"/>
      <c r="N33" s="279"/>
      <c r="O33" s="279"/>
      <c r="P33" s="279"/>
      <c r="Q33" s="279"/>
      <c r="R33" s="317"/>
    </row>
    <row r="34" spans="2:18" x14ac:dyDescent="0.2">
      <c r="B34" s="291"/>
      <c r="C34" s="292"/>
      <c r="D34" s="292"/>
      <c r="E34" s="292"/>
      <c r="F34" s="292"/>
      <c r="G34" s="292"/>
      <c r="H34" s="292"/>
      <c r="I34" s="292"/>
      <c r="J34" s="292"/>
      <c r="K34" s="292"/>
      <c r="L34" s="292"/>
      <c r="M34" s="292"/>
      <c r="N34" s="292"/>
      <c r="O34" s="292"/>
      <c r="P34" s="292"/>
      <c r="Q34" s="292"/>
      <c r="R34" s="320"/>
    </row>
  </sheetData>
  <sheetProtection password="CFB3" sheet="1" objects="1" scenarios="1"/>
  <phoneticPr fontId="0" type="noConversion"/>
  <printOptions horizontalCentered="1" verticalCentered="1"/>
  <pageMargins left="0.5" right="0.5" top="0.5" bottom="0.5" header="0.5" footer="0.5"/>
  <pageSetup scale="74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9"/>
  <sheetViews>
    <sheetView showGridLines="0" zoomScale="75" workbookViewId="0"/>
  </sheetViews>
  <sheetFormatPr defaultRowHeight="12.75" x14ac:dyDescent="0.2"/>
  <cols>
    <col min="1" max="1" width="9.140625" style="1"/>
    <col min="2" max="2" width="24.140625" style="1" customWidth="1"/>
    <col min="3" max="3" width="9.140625" style="1"/>
    <col min="4" max="4" width="34.7109375" style="1" customWidth="1"/>
    <col min="5" max="16384" width="9.140625" style="1"/>
  </cols>
  <sheetData>
    <row r="1" spans="2:12" x14ac:dyDescent="0.2">
      <c r="B1" s="3" t="s">
        <v>252</v>
      </c>
      <c r="C1" s="2"/>
      <c r="D1" s="2"/>
      <c r="E1" s="2"/>
      <c r="F1" s="2"/>
      <c r="G1" s="2"/>
      <c r="H1" s="2"/>
      <c r="I1" s="2"/>
      <c r="J1" s="2"/>
      <c r="K1" s="2"/>
    </row>
    <row r="2" spans="2:12" x14ac:dyDescent="0.2">
      <c r="B2" s="186" t="str">
        <f>+Inputs!E3&amp;"  &amp;  "&amp;+Inputs!E4&amp;"  Transaction"</f>
        <v>Safeway, Inc.  &amp;  Vons Companies, Inc.  Transaction</v>
      </c>
      <c r="C2" s="2"/>
      <c r="D2" s="2"/>
      <c r="E2" s="2"/>
      <c r="F2" s="2"/>
      <c r="G2" s="2"/>
      <c r="H2" s="2"/>
      <c r="I2" s="2"/>
      <c r="J2" s="2"/>
      <c r="K2" s="2"/>
    </row>
    <row r="3" spans="2:12" x14ac:dyDescent="0.2">
      <c r="B3" s="3" t="s">
        <v>253</v>
      </c>
      <c r="C3" s="2"/>
      <c r="D3" s="2"/>
      <c r="E3" s="2"/>
      <c r="F3" s="2"/>
      <c r="G3" s="2"/>
      <c r="H3" s="2"/>
      <c r="I3" s="2"/>
      <c r="J3" s="2"/>
      <c r="K3" s="2"/>
    </row>
    <row r="6" spans="2:12" x14ac:dyDescent="0.2">
      <c r="B6" s="6" t="s">
        <v>254</v>
      </c>
      <c r="C6" s="6"/>
      <c r="D6" s="6" t="s">
        <v>255</v>
      </c>
      <c r="F6" s="283"/>
      <c r="G6" s="284"/>
      <c r="H6" s="284"/>
      <c r="I6" s="284"/>
      <c r="J6" s="284"/>
      <c r="K6" s="284"/>
      <c r="L6" s="285"/>
    </row>
    <row r="7" spans="2:12" x14ac:dyDescent="0.2">
      <c r="F7" s="286"/>
      <c r="G7" s="297" t="s">
        <v>256</v>
      </c>
      <c r="H7" s="298"/>
      <c r="I7" s="298"/>
      <c r="J7" s="298"/>
      <c r="K7" s="298"/>
      <c r="L7" s="288"/>
    </row>
    <row r="8" spans="2:12" x14ac:dyDescent="0.2">
      <c r="B8" s="1" t="s">
        <v>240</v>
      </c>
      <c r="D8" s="1" t="s">
        <v>257</v>
      </c>
      <c r="F8" s="286"/>
      <c r="G8" s="287"/>
      <c r="H8" s="287"/>
      <c r="I8" s="287"/>
      <c r="J8" s="287"/>
      <c r="K8" s="287"/>
      <c r="L8" s="288"/>
    </row>
    <row r="9" spans="2:12" x14ac:dyDescent="0.2">
      <c r="B9" s="1" t="s">
        <v>258</v>
      </c>
      <c r="D9" s="1" t="s">
        <v>259</v>
      </c>
      <c r="F9" s="290"/>
      <c r="G9" s="213"/>
      <c r="H9" s="213"/>
      <c r="I9" s="295"/>
      <c r="J9" s="295"/>
      <c r="K9" s="295"/>
      <c r="L9" s="288"/>
    </row>
    <row r="10" spans="2:12" x14ac:dyDescent="0.2">
      <c r="B10" s="1" t="s">
        <v>260</v>
      </c>
      <c r="D10" s="1" t="s">
        <v>261</v>
      </c>
      <c r="F10" s="290"/>
      <c r="G10" s="213"/>
      <c r="H10" s="213"/>
      <c r="I10" s="213"/>
      <c r="J10" s="213"/>
      <c r="K10" s="213"/>
      <c r="L10" s="288"/>
    </row>
    <row r="11" spans="2:12" x14ac:dyDescent="0.2">
      <c r="B11" s="1" t="s">
        <v>262</v>
      </c>
      <c r="D11" s="1" t="s">
        <v>263</v>
      </c>
      <c r="F11" s="290"/>
      <c r="G11" s="213"/>
      <c r="H11" s="213"/>
      <c r="I11" s="293"/>
      <c r="J11" s="293"/>
      <c r="K11" s="293"/>
      <c r="L11" s="288"/>
    </row>
    <row r="12" spans="2:12" x14ac:dyDescent="0.2">
      <c r="B12" s="1" t="s">
        <v>264</v>
      </c>
      <c r="D12" s="1" t="s">
        <v>265</v>
      </c>
      <c r="F12" s="290"/>
      <c r="G12" s="213"/>
      <c r="H12" s="213"/>
      <c r="I12" s="294"/>
      <c r="J12" s="294"/>
      <c r="K12" s="294"/>
      <c r="L12" s="288"/>
    </row>
    <row r="13" spans="2:12" x14ac:dyDescent="0.2">
      <c r="B13" s="1" t="s">
        <v>258</v>
      </c>
      <c r="D13" s="1" t="s">
        <v>266</v>
      </c>
      <c r="F13" s="290"/>
      <c r="G13" s="213"/>
      <c r="H13" s="213"/>
      <c r="I13" s="204"/>
      <c r="J13" s="204"/>
      <c r="K13" s="204"/>
      <c r="L13" s="288"/>
    </row>
    <row r="14" spans="2:12" x14ac:dyDescent="0.2">
      <c r="B14" s="1" t="s">
        <v>267</v>
      </c>
      <c r="D14" s="1" t="s">
        <v>268</v>
      </c>
      <c r="F14" s="290"/>
      <c r="G14" s="213"/>
      <c r="H14" s="213"/>
      <c r="I14" s="294"/>
      <c r="J14" s="294"/>
      <c r="K14" s="294"/>
      <c r="L14" s="288"/>
    </row>
    <row r="15" spans="2:12" x14ac:dyDescent="0.2">
      <c r="B15" s="1" t="s">
        <v>259</v>
      </c>
      <c r="D15" s="1" t="s">
        <v>269</v>
      </c>
      <c r="F15" s="290"/>
      <c r="G15" s="213"/>
      <c r="H15" s="213"/>
      <c r="I15" s="204"/>
      <c r="J15" s="204"/>
      <c r="K15" s="204"/>
      <c r="L15" s="288"/>
    </row>
    <row r="16" spans="2:12" x14ac:dyDescent="0.2">
      <c r="B16" s="1" t="s">
        <v>270</v>
      </c>
      <c r="D16" s="1" t="s">
        <v>271</v>
      </c>
      <c r="F16" s="290"/>
      <c r="G16" s="213"/>
      <c r="H16" s="213"/>
      <c r="I16" s="296"/>
      <c r="J16" s="296"/>
      <c r="K16" s="296"/>
      <c r="L16" s="288"/>
    </row>
    <row r="17" spans="2:12" x14ac:dyDescent="0.2">
      <c r="B17" s="1" t="s">
        <v>245</v>
      </c>
      <c r="D17" s="1" t="s">
        <v>272</v>
      </c>
      <c r="F17" s="290"/>
      <c r="G17" s="213"/>
      <c r="H17" s="213"/>
      <c r="I17" s="209"/>
      <c r="J17" s="209"/>
      <c r="K17" s="209"/>
      <c r="L17" s="288"/>
    </row>
    <row r="18" spans="2:12" x14ac:dyDescent="0.2">
      <c r="B18" s="1" t="s">
        <v>243</v>
      </c>
      <c r="D18" s="1" t="s">
        <v>273</v>
      </c>
      <c r="F18" s="290"/>
      <c r="G18" s="213"/>
      <c r="H18" s="213"/>
      <c r="I18" s="213"/>
      <c r="J18" s="213"/>
      <c r="K18" s="213"/>
      <c r="L18" s="288"/>
    </row>
    <row r="19" spans="2:12" x14ac:dyDescent="0.2">
      <c r="B19" s="1" t="s">
        <v>274</v>
      </c>
      <c r="D19" s="1" t="s">
        <v>241</v>
      </c>
      <c r="F19" s="290"/>
      <c r="G19" s="213"/>
      <c r="H19" s="213"/>
      <c r="I19" s="213"/>
      <c r="J19" s="213"/>
      <c r="K19" s="213"/>
      <c r="L19" s="288"/>
    </row>
    <row r="20" spans="2:12" x14ac:dyDescent="0.2">
      <c r="B20" s="1" t="s">
        <v>275</v>
      </c>
      <c r="D20" s="1" t="s">
        <v>276</v>
      </c>
      <c r="F20" s="290"/>
      <c r="G20" s="213"/>
      <c r="H20" s="213"/>
      <c r="I20" s="204"/>
      <c r="J20" s="204"/>
      <c r="K20" s="204"/>
      <c r="L20" s="288"/>
    </row>
    <row r="21" spans="2:12" x14ac:dyDescent="0.2">
      <c r="B21" s="1" t="s">
        <v>242</v>
      </c>
      <c r="D21" s="1" t="s">
        <v>277</v>
      </c>
      <c r="F21" s="290"/>
      <c r="G21" s="213"/>
      <c r="H21" s="213"/>
      <c r="I21" s="294"/>
      <c r="J21" s="294"/>
      <c r="K21" s="294"/>
      <c r="L21" s="288"/>
    </row>
    <row r="22" spans="2:12" x14ac:dyDescent="0.2">
      <c r="B22" s="1" t="s">
        <v>270</v>
      </c>
      <c r="D22" s="1" t="s">
        <v>278</v>
      </c>
      <c r="F22" s="290"/>
      <c r="G22" s="213"/>
      <c r="H22" s="213"/>
      <c r="I22" s="204"/>
      <c r="J22" s="204"/>
      <c r="K22" s="204"/>
      <c r="L22" s="288"/>
    </row>
    <row r="23" spans="2:12" x14ac:dyDescent="0.2">
      <c r="B23" s="1" t="s">
        <v>279</v>
      </c>
      <c r="D23" s="1" t="s">
        <v>280</v>
      </c>
      <c r="F23" s="290"/>
      <c r="G23" s="213"/>
      <c r="H23" s="213"/>
      <c r="I23" s="294"/>
      <c r="J23" s="294"/>
      <c r="K23" s="294"/>
      <c r="L23" s="288"/>
    </row>
    <row r="24" spans="2:12" x14ac:dyDescent="0.2">
      <c r="B24" s="1" t="s">
        <v>281</v>
      </c>
      <c r="D24" s="1" t="s">
        <v>282</v>
      </c>
      <c r="F24" s="290"/>
      <c r="G24" s="213"/>
      <c r="H24" s="213"/>
      <c r="I24" s="204"/>
      <c r="J24" s="204"/>
      <c r="K24" s="204"/>
      <c r="L24" s="288"/>
    </row>
    <row r="25" spans="2:12" x14ac:dyDescent="0.2">
      <c r="B25" s="1" t="s">
        <v>283</v>
      </c>
      <c r="D25" s="1" t="s">
        <v>269</v>
      </c>
      <c r="F25" s="290"/>
      <c r="G25" s="213"/>
      <c r="H25" s="213"/>
      <c r="I25" s="296"/>
      <c r="J25" s="296"/>
      <c r="K25" s="296"/>
      <c r="L25" s="288"/>
    </row>
    <row r="26" spans="2:12" x14ac:dyDescent="0.2">
      <c r="B26" s="1" t="s">
        <v>267</v>
      </c>
      <c r="D26" s="1" t="s">
        <v>284</v>
      </c>
      <c r="F26" s="290"/>
      <c r="G26" s="213"/>
      <c r="H26" s="213"/>
      <c r="I26" s="209"/>
      <c r="J26" s="209"/>
      <c r="K26" s="209"/>
      <c r="L26" s="288"/>
    </row>
    <row r="27" spans="2:12" x14ac:dyDescent="0.2">
      <c r="B27" s="1" t="s">
        <v>283</v>
      </c>
      <c r="D27" s="1" t="s">
        <v>285</v>
      </c>
      <c r="F27" s="290"/>
      <c r="G27" s="213"/>
      <c r="H27" s="213"/>
      <c r="I27" s="213"/>
      <c r="J27" s="213"/>
      <c r="K27" s="213"/>
      <c r="L27" s="288"/>
    </row>
    <row r="28" spans="2:12" x14ac:dyDescent="0.2">
      <c r="B28" s="1" t="s">
        <v>264</v>
      </c>
      <c r="D28" s="1" t="s">
        <v>259</v>
      </c>
      <c r="F28" s="290"/>
      <c r="G28" s="213"/>
      <c r="H28" s="213"/>
      <c r="I28" s="213"/>
      <c r="J28" s="213"/>
      <c r="K28" s="213"/>
      <c r="L28" s="288"/>
    </row>
    <row r="29" spans="2:12" x14ac:dyDescent="0.2">
      <c r="B29" s="1" t="s">
        <v>264</v>
      </c>
      <c r="D29" s="1" t="s">
        <v>286</v>
      </c>
      <c r="F29" s="291"/>
      <c r="G29" s="292"/>
      <c r="H29" s="292"/>
      <c r="I29" s="292"/>
      <c r="J29" s="292"/>
      <c r="K29" s="292"/>
      <c r="L29" s="289"/>
    </row>
  </sheetData>
  <sheetProtection password="CFB3" sheet="1" objects="1" scenarios="1"/>
  <phoneticPr fontId="0" type="noConversion"/>
  <printOptions horizontalCentered="1" verticalCentered="1"/>
  <pageMargins left="0.5" right="0.5" top="0.5" bottom="0.5" header="0.5" footer="0.5"/>
  <pageSetup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8"/>
  <sheetViews>
    <sheetView showGridLines="0" zoomScale="75" workbookViewId="0"/>
  </sheetViews>
  <sheetFormatPr defaultRowHeight="12.75" x14ac:dyDescent="0.2"/>
  <cols>
    <col min="1" max="1" width="3.7109375" style="1" customWidth="1"/>
    <col min="2" max="2" width="33.85546875" style="1" customWidth="1"/>
    <col min="3" max="3" width="9.140625" style="1"/>
    <col min="4" max="4" width="10.7109375" style="1" customWidth="1"/>
    <col min="5" max="5" width="3.7109375" style="1" customWidth="1"/>
    <col min="6" max="6" width="11.140625" style="1" customWidth="1"/>
    <col min="7" max="7" width="3.7109375" style="1" customWidth="1"/>
    <col min="8" max="10" width="10.7109375" style="1" customWidth="1"/>
    <col min="11" max="11" width="3.7109375" style="1" customWidth="1"/>
    <col min="12" max="12" width="10.7109375" style="1" customWidth="1"/>
    <col min="13" max="13" width="11" style="1" customWidth="1"/>
    <col min="14" max="14" width="12.7109375" style="1" customWidth="1"/>
    <col min="15" max="16384" width="9.140625" style="1"/>
  </cols>
  <sheetData>
    <row r="1" spans="2:14" x14ac:dyDescent="0.2">
      <c r="B1" s="186" t="s">
        <v>287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2:14" x14ac:dyDescent="0.2">
      <c r="B2" s="186" t="str">
        <f>+Inputs!E3&amp;"  &amp;  "&amp;+Inputs!E4&amp;"  Transaction"</f>
        <v>Safeway, Inc.  &amp;  Vons Companies, Inc.  Transaction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">
      <c r="B3" s="186" t="s">
        <v>288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">
      <c r="B4" s="187" t="str">
        <f>+Inputs!K4</f>
        <v>Dollars in millions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2:14" ht="12.75" customHeight="1" x14ac:dyDescent="0.2"/>
    <row r="6" spans="2:14" ht="8.25" customHeight="1" x14ac:dyDescent="0.2"/>
    <row r="7" spans="2:14" ht="44.25" customHeight="1" x14ac:dyDescent="0.2">
      <c r="B7" s="185" t="s">
        <v>289</v>
      </c>
      <c r="D7" s="117" t="str">
        <f>+Inputs!E3</f>
        <v>Safeway, Inc.</v>
      </c>
      <c r="E7" s="33"/>
      <c r="F7" s="188" t="str">
        <f>+Inputs!E4</f>
        <v>Vons Companies, Inc.</v>
      </c>
      <c r="G7" s="127"/>
      <c r="H7" s="188" t="s">
        <v>290</v>
      </c>
      <c r="I7" s="188" t="s">
        <v>291</v>
      </c>
      <c r="J7" s="188" t="s">
        <v>292</v>
      </c>
      <c r="K7" s="127"/>
      <c r="L7" s="192" t="s">
        <v>293</v>
      </c>
      <c r="M7" s="188" t="s">
        <v>294</v>
      </c>
      <c r="N7" s="188" t="s">
        <v>295</v>
      </c>
    </row>
    <row r="8" spans="2:14" x14ac:dyDescent="0.2">
      <c r="B8" s="18" t="s">
        <v>72</v>
      </c>
      <c r="D8" s="16"/>
    </row>
    <row r="9" spans="2:14" x14ac:dyDescent="0.2">
      <c r="B9" s="16" t="s">
        <v>73</v>
      </c>
      <c r="D9" s="16"/>
      <c r="I9" s="189"/>
    </row>
    <row r="10" spans="2:14" x14ac:dyDescent="0.2">
      <c r="B10" s="116" t="s">
        <v>74</v>
      </c>
      <c r="D10" s="97">
        <f>+Safeway!B8</f>
        <v>79.7</v>
      </c>
      <c r="F10" s="189">
        <f>+Vons!B8</f>
        <v>9.3000000000000007</v>
      </c>
      <c r="H10" s="189"/>
      <c r="I10" s="189"/>
      <c r="J10" s="189"/>
      <c r="L10" s="189">
        <f>SUM(D10:K10)</f>
        <v>89</v>
      </c>
      <c r="N10" s="189">
        <f>SUM(L10:M10)</f>
        <v>89</v>
      </c>
    </row>
    <row r="11" spans="2:14" x14ac:dyDescent="0.2">
      <c r="B11" s="116" t="s">
        <v>75</v>
      </c>
      <c r="D11" s="97">
        <f>+Safeway!B9</f>
        <v>160.9</v>
      </c>
      <c r="F11" s="189">
        <f>+Vons!B9</f>
        <v>45</v>
      </c>
      <c r="H11" s="189"/>
      <c r="I11" s="189"/>
      <c r="J11" s="189"/>
      <c r="L11" s="189">
        <f t="shared" ref="L11:L19" si="0">SUM(D11:K11)</f>
        <v>205.9</v>
      </c>
      <c r="N11" s="189">
        <f t="shared" ref="N11:N19" si="1">SUM(L11:M11)</f>
        <v>205.9</v>
      </c>
    </row>
    <row r="12" spans="2:14" x14ac:dyDescent="0.2">
      <c r="B12" s="116" t="s">
        <v>76</v>
      </c>
      <c r="D12" s="97">
        <f>+Safeway!B10</f>
        <v>1283.3</v>
      </c>
      <c r="F12" s="189">
        <f>+Vons!B10</f>
        <v>335.3</v>
      </c>
      <c r="H12" s="189"/>
      <c r="I12" s="189">
        <f>+Inputs!K45</f>
        <v>0</v>
      </c>
      <c r="J12" s="189"/>
      <c r="L12" s="189">
        <f t="shared" si="0"/>
        <v>1618.6</v>
      </c>
      <c r="N12" s="189">
        <f t="shared" si="1"/>
        <v>1618.6</v>
      </c>
    </row>
    <row r="13" spans="2:14" x14ac:dyDescent="0.2">
      <c r="B13" s="116" t="s">
        <v>77</v>
      </c>
      <c r="D13" s="97">
        <f>+Safeway!B11</f>
        <v>0</v>
      </c>
      <c r="F13" s="189">
        <f>+Vons!B11</f>
        <v>32.5</v>
      </c>
      <c r="H13" s="189"/>
      <c r="I13" s="189"/>
      <c r="J13" s="189"/>
      <c r="L13" s="189">
        <f t="shared" si="0"/>
        <v>32.5</v>
      </c>
      <c r="N13" s="189">
        <f t="shared" si="1"/>
        <v>32.5</v>
      </c>
    </row>
    <row r="14" spans="2:14" x14ac:dyDescent="0.2">
      <c r="B14" s="116" t="s">
        <v>78</v>
      </c>
      <c r="D14" s="98">
        <f>+Safeway!B12</f>
        <v>130.5</v>
      </c>
      <c r="F14" s="190">
        <f>+Vons!B12</f>
        <v>42.8</v>
      </c>
      <c r="H14" s="189"/>
      <c r="I14" s="189"/>
      <c r="J14" s="189"/>
      <c r="L14" s="190">
        <f t="shared" si="0"/>
        <v>173.3</v>
      </c>
      <c r="N14" s="190">
        <f t="shared" si="1"/>
        <v>173.3</v>
      </c>
    </row>
    <row r="15" spans="2:14" x14ac:dyDescent="0.2">
      <c r="B15" s="116" t="s">
        <v>79</v>
      </c>
      <c r="D15" s="97">
        <f>SUM(D10:D14)</f>
        <v>1654.4</v>
      </c>
      <c r="F15" s="97">
        <f>SUM(F10:F14)</f>
        <v>464.90000000000003</v>
      </c>
      <c r="H15" s="97"/>
      <c r="I15" s="97">
        <f>SUM(I10:I14)</f>
        <v>0</v>
      </c>
      <c r="J15" s="189"/>
      <c r="L15" s="97">
        <f>SUM(L10:L14)</f>
        <v>2119.3000000000002</v>
      </c>
      <c r="N15" s="97">
        <f>SUM(N10:N14)</f>
        <v>2119.3000000000002</v>
      </c>
    </row>
    <row r="16" spans="2:14" x14ac:dyDescent="0.2">
      <c r="B16" s="16" t="s">
        <v>80</v>
      </c>
      <c r="D16" s="97">
        <f>+Safeway!B14</f>
        <v>2756.4</v>
      </c>
      <c r="F16" s="189">
        <f>+Vons!B14</f>
        <v>1194.2</v>
      </c>
      <c r="H16" s="189"/>
      <c r="I16" s="189"/>
      <c r="J16" s="189"/>
      <c r="L16" s="189">
        <f t="shared" si="0"/>
        <v>3950.6000000000004</v>
      </c>
      <c r="N16" s="189">
        <f t="shared" si="1"/>
        <v>3950.6000000000004</v>
      </c>
    </row>
    <row r="17" spans="2:14" x14ac:dyDescent="0.2">
      <c r="B17" s="16" t="s">
        <v>64</v>
      </c>
      <c r="D17" s="97">
        <f>+Safeway!B15</f>
        <v>312.5</v>
      </c>
      <c r="F17" s="189">
        <f>+Vons!B15</f>
        <v>467.8</v>
      </c>
      <c r="H17" s="189"/>
      <c r="I17" s="189">
        <f>+Inputs!K50</f>
        <v>0</v>
      </c>
      <c r="J17" s="189"/>
      <c r="L17" s="189">
        <f t="shared" si="0"/>
        <v>780.3</v>
      </c>
      <c r="N17" s="189">
        <f t="shared" si="1"/>
        <v>780.3</v>
      </c>
    </row>
    <row r="18" spans="2:14" x14ac:dyDescent="0.2">
      <c r="B18" s="16" t="s">
        <v>81</v>
      </c>
      <c r="D18" s="97">
        <f>+Safeway!B16</f>
        <v>362.4</v>
      </c>
      <c r="F18" s="189">
        <v>0</v>
      </c>
      <c r="H18" s="189">
        <f>-Inputs!K37</f>
        <v>0</v>
      </c>
      <c r="I18" s="189"/>
      <c r="J18" s="189"/>
      <c r="L18" s="189">
        <f t="shared" si="0"/>
        <v>362.4</v>
      </c>
      <c r="N18" s="189">
        <f t="shared" si="1"/>
        <v>362.4</v>
      </c>
    </row>
    <row r="19" spans="2:14" x14ac:dyDescent="0.2">
      <c r="B19" s="16" t="s">
        <v>82</v>
      </c>
      <c r="D19" s="98">
        <f>+Safeway!B17</f>
        <v>459.5</v>
      </c>
      <c r="F19" s="190">
        <f>+Vons!B16</f>
        <v>58.5</v>
      </c>
      <c r="H19" s="190"/>
      <c r="I19" s="190">
        <f>+Inputs!K46</f>
        <v>0</v>
      </c>
      <c r="J19" s="190"/>
      <c r="L19" s="190">
        <f t="shared" si="0"/>
        <v>518</v>
      </c>
      <c r="N19" s="190">
        <f t="shared" si="1"/>
        <v>518</v>
      </c>
    </row>
    <row r="20" spans="2:14" x14ac:dyDescent="0.2">
      <c r="B20" s="18" t="s">
        <v>83</v>
      </c>
      <c r="D20" s="99">
        <f>SUM(D15:D19)</f>
        <v>5545.2</v>
      </c>
      <c r="F20" s="99">
        <f>SUM(F15:F19)</f>
        <v>2185.4</v>
      </c>
      <c r="H20" s="99">
        <f>SUM(H15:H19)</f>
        <v>0</v>
      </c>
      <c r="I20" s="99">
        <f>SUM(I15:I19)</f>
        <v>0</v>
      </c>
      <c r="J20" s="99">
        <f>SUM(J15:J19)</f>
        <v>0</v>
      </c>
      <c r="L20" s="99">
        <f>SUM(L15:L19)</f>
        <v>7730.6</v>
      </c>
      <c r="N20" s="99">
        <f>SUM(N15:N19)</f>
        <v>7730.6</v>
      </c>
    </row>
    <row r="21" spans="2:14" x14ac:dyDescent="0.2">
      <c r="B21" s="16"/>
      <c r="D21" s="97"/>
      <c r="H21" s="189"/>
      <c r="I21" s="189"/>
      <c r="J21" s="189"/>
    </row>
    <row r="22" spans="2:14" x14ac:dyDescent="0.2">
      <c r="B22" s="18" t="s">
        <v>84</v>
      </c>
      <c r="D22" s="97"/>
      <c r="H22" s="189"/>
      <c r="I22" s="189"/>
      <c r="J22" s="189"/>
      <c r="M22" s="189"/>
    </row>
    <row r="23" spans="2:14" x14ac:dyDescent="0.2">
      <c r="B23" s="16" t="s">
        <v>85</v>
      </c>
      <c r="D23" s="97"/>
      <c r="H23" s="189"/>
      <c r="I23" s="189"/>
      <c r="J23" s="189"/>
    </row>
    <row r="24" spans="2:14" x14ac:dyDescent="0.2">
      <c r="B24" s="116" t="s">
        <v>86</v>
      </c>
      <c r="D24" s="97">
        <f>+Safeway!B22</f>
        <v>1153.0999999999999</v>
      </c>
      <c r="F24" s="189">
        <f>+Vons!B21</f>
        <v>339.2</v>
      </c>
      <c r="H24" s="189"/>
      <c r="I24" s="189"/>
      <c r="J24" s="189"/>
      <c r="L24" s="189">
        <f t="shared" ref="L24:L33" si="2">SUM(D24:K24)</f>
        <v>1492.3</v>
      </c>
      <c r="N24" s="189">
        <f t="shared" ref="N24:N33" si="3">SUM(L24:M24)</f>
        <v>1492.3</v>
      </c>
    </row>
    <row r="25" spans="2:14" x14ac:dyDescent="0.2">
      <c r="B25" s="116" t="s">
        <v>87</v>
      </c>
      <c r="D25" s="97">
        <f>+Safeway!B23</f>
        <v>621.20000000000005</v>
      </c>
      <c r="F25" s="189">
        <f>+Vons!B22</f>
        <v>265.7</v>
      </c>
      <c r="H25" s="189"/>
      <c r="I25" s="189"/>
      <c r="J25" s="189"/>
      <c r="L25" s="189">
        <f t="shared" si="2"/>
        <v>886.90000000000009</v>
      </c>
      <c r="N25" s="189">
        <f t="shared" si="3"/>
        <v>886.90000000000009</v>
      </c>
    </row>
    <row r="26" spans="2:14" x14ac:dyDescent="0.2">
      <c r="B26" s="116" t="s">
        <v>88</v>
      </c>
      <c r="D26" s="98">
        <f>+Safeway!B24</f>
        <v>255.70000000000002</v>
      </c>
      <c r="F26" s="190">
        <f>+Vons!B23</f>
        <v>154.9</v>
      </c>
      <c r="H26" s="189"/>
      <c r="I26" s="189"/>
      <c r="J26" s="189"/>
      <c r="L26" s="190">
        <f t="shared" si="2"/>
        <v>410.6</v>
      </c>
      <c r="N26" s="190">
        <f t="shared" si="3"/>
        <v>410.6</v>
      </c>
    </row>
    <row r="27" spans="2:14" x14ac:dyDescent="0.2">
      <c r="B27" s="116" t="s">
        <v>89</v>
      </c>
      <c r="D27" s="97">
        <f>SUM(D24:D26)</f>
        <v>2030</v>
      </c>
      <c r="F27" s="97">
        <f>SUM(F24:F26)</f>
        <v>759.8</v>
      </c>
      <c r="H27" s="97"/>
      <c r="I27" s="189"/>
      <c r="J27" s="97"/>
      <c r="L27" s="97">
        <f>SUM(L24:L26)</f>
        <v>2789.7999999999997</v>
      </c>
      <c r="N27" s="97">
        <f>SUM(N24:N26)</f>
        <v>2789.7999999999997</v>
      </c>
    </row>
    <row r="28" spans="2:14" x14ac:dyDescent="0.2">
      <c r="B28" s="16" t="s">
        <v>90</v>
      </c>
      <c r="D28" s="97">
        <f>+Safeway!B26</f>
        <v>0</v>
      </c>
      <c r="F28" s="189">
        <f>+Vons!B25</f>
        <v>143.4</v>
      </c>
      <c r="H28" s="189"/>
      <c r="I28" s="189"/>
      <c r="J28" s="189"/>
      <c r="L28" s="189">
        <f t="shared" si="2"/>
        <v>143.4</v>
      </c>
      <c r="N28" s="189">
        <f t="shared" si="3"/>
        <v>143.4</v>
      </c>
    </row>
    <row r="29" spans="2:14" x14ac:dyDescent="0.2">
      <c r="B29" s="16" t="s">
        <v>91</v>
      </c>
      <c r="D29" s="97">
        <f>+Safeway!B27</f>
        <v>223.8</v>
      </c>
      <c r="F29" s="189">
        <f>+Vons!B26</f>
        <v>131.69999999999999</v>
      </c>
      <c r="H29" s="189"/>
      <c r="I29" s="189">
        <f>-Inputs!K47</f>
        <v>0</v>
      </c>
      <c r="J29" s="189"/>
      <c r="L29" s="189">
        <f t="shared" si="2"/>
        <v>355.5</v>
      </c>
      <c r="N29" s="189">
        <f t="shared" si="3"/>
        <v>355.5</v>
      </c>
    </row>
    <row r="30" spans="2:14" x14ac:dyDescent="0.2">
      <c r="B30" s="16" t="s">
        <v>92</v>
      </c>
      <c r="D30" s="97">
        <f>+Safeway!B28</f>
        <v>376.1</v>
      </c>
      <c r="F30" s="189">
        <f>+Vons!B27</f>
        <v>62.3</v>
      </c>
      <c r="H30" s="189"/>
      <c r="I30" s="189">
        <f>-Inputs!K48+Inputs!K39</f>
        <v>0</v>
      </c>
      <c r="J30" s="189"/>
      <c r="L30" s="189">
        <f t="shared" si="2"/>
        <v>438.40000000000003</v>
      </c>
      <c r="N30" s="189">
        <f t="shared" si="3"/>
        <v>438.40000000000003</v>
      </c>
    </row>
    <row r="31" spans="2:14" x14ac:dyDescent="0.2">
      <c r="B31" s="16" t="s">
        <v>93</v>
      </c>
      <c r="D31" s="97">
        <f>+Safeway!B29</f>
        <v>160.4</v>
      </c>
      <c r="F31" s="189">
        <f>+Vons!B28</f>
        <v>50.3</v>
      </c>
      <c r="H31" s="189"/>
      <c r="I31" s="189"/>
      <c r="J31" s="189"/>
      <c r="L31" s="189">
        <f t="shared" si="2"/>
        <v>210.7</v>
      </c>
      <c r="N31" s="189">
        <f t="shared" si="3"/>
        <v>210.7</v>
      </c>
    </row>
    <row r="32" spans="2:14" x14ac:dyDescent="0.2">
      <c r="B32" s="16" t="s">
        <v>94</v>
      </c>
      <c r="D32" s="97">
        <f>+Safeway!B30</f>
        <v>1568.1</v>
      </c>
      <c r="F32" s="189">
        <f>+Vons!B29</f>
        <v>299.5</v>
      </c>
      <c r="H32" s="189"/>
      <c r="I32" s="189"/>
      <c r="J32" s="189"/>
      <c r="L32" s="189">
        <f t="shared" si="2"/>
        <v>1867.6</v>
      </c>
      <c r="M32" s="189">
        <f>-M33</f>
        <v>0</v>
      </c>
      <c r="N32" s="189">
        <f t="shared" si="3"/>
        <v>1867.6</v>
      </c>
    </row>
    <row r="33" spans="2:15" x14ac:dyDescent="0.2">
      <c r="B33" s="16" t="s">
        <v>95</v>
      </c>
      <c r="D33" s="98">
        <f>+Safeway!B31</f>
        <v>1186.8</v>
      </c>
      <c r="F33" s="190">
        <f>+Vons!B30</f>
        <v>738.4</v>
      </c>
      <c r="H33" s="190"/>
      <c r="I33" s="190">
        <f>IF(Inputs!K36=0,0,-F33)</f>
        <v>0</v>
      </c>
      <c r="J33" s="190">
        <f>+Inputs!K36</f>
        <v>0</v>
      </c>
      <c r="L33" s="190">
        <f t="shared" si="2"/>
        <v>1925.1999999999998</v>
      </c>
      <c r="M33" s="190">
        <f>IF(Inputs!E41&gt;0,-Inputs!E41*(Inputs!K32+(Inputs!E31/1000000))*Inputs!E39,-Inputs!E42*Inputs!E39)</f>
        <v>0</v>
      </c>
      <c r="N33" s="190">
        <f t="shared" si="3"/>
        <v>1925.1999999999998</v>
      </c>
    </row>
    <row r="34" spans="2:15" x14ac:dyDescent="0.2">
      <c r="B34" s="18" t="s">
        <v>96</v>
      </c>
      <c r="D34" s="99">
        <f>SUM(D27:D33)</f>
        <v>5545.2</v>
      </c>
      <c r="F34" s="99">
        <f>SUM(F27:F33)</f>
        <v>2185.3999999999996</v>
      </c>
      <c r="H34" s="99">
        <f t="shared" ref="H34:N34" si="4">SUM(H27:H33)</f>
        <v>0</v>
      </c>
      <c r="I34" s="99">
        <f t="shared" si="4"/>
        <v>0</v>
      </c>
      <c r="J34" s="99">
        <f t="shared" si="4"/>
        <v>0</v>
      </c>
      <c r="L34" s="99">
        <f t="shared" si="4"/>
        <v>7730.5999999999995</v>
      </c>
      <c r="M34" s="99">
        <f t="shared" si="4"/>
        <v>0</v>
      </c>
      <c r="N34" s="99">
        <f t="shared" si="4"/>
        <v>7730.5999999999995</v>
      </c>
    </row>
    <row r="35" spans="2:15" x14ac:dyDescent="0.2">
      <c r="B35" s="16"/>
      <c r="D35" s="16"/>
      <c r="I35" s="189"/>
      <c r="J35" s="189"/>
    </row>
    <row r="36" spans="2:15" x14ac:dyDescent="0.2">
      <c r="B36" s="196" t="s">
        <v>171</v>
      </c>
      <c r="C36" s="197"/>
      <c r="D36" s="215">
        <f>+Inputs!E31/1000000</f>
        <v>232.2</v>
      </c>
      <c r="E36" s="215"/>
      <c r="F36" s="215">
        <f>+Inputs!E30/1000000</f>
        <v>44.174284999999998</v>
      </c>
      <c r="G36" s="197"/>
      <c r="H36" s="197"/>
      <c r="I36" s="215">
        <f>IF(I33=0,0,-F36)</f>
        <v>0</v>
      </c>
      <c r="J36" s="215">
        <f>+Inputs!K32</f>
        <v>0</v>
      </c>
      <c r="K36" s="197"/>
      <c r="L36" s="215">
        <f>SUM(D36:J36)</f>
        <v>276.37428499999999</v>
      </c>
      <c r="M36" s="215">
        <f>IF(Inputs!E39=0,0,Purchase!M33/Inputs!E39)</f>
        <v>0</v>
      </c>
      <c r="N36" s="264">
        <f>SUM(L36:M36)</f>
        <v>276.37428499999999</v>
      </c>
    </row>
    <row r="37" spans="2:15" x14ac:dyDescent="0.2">
      <c r="B37" s="15" t="s">
        <v>296</v>
      </c>
      <c r="C37" s="16"/>
      <c r="D37" s="233">
        <f>+D33/D36</f>
        <v>5.1111111111111116</v>
      </c>
      <c r="E37" s="16"/>
      <c r="F37" s="233">
        <f>+F33/F36</f>
        <v>16.715607281476089</v>
      </c>
      <c r="G37" s="16"/>
      <c r="H37" s="16"/>
      <c r="I37" s="97"/>
      <c r="J37" s="97"/>
      <c r="K37" s="16"/>
      <c r="L37" s="233">
        <f>+L33/L36</f>
        <v>6.9659158050829513</v>
      </c>
      <c r="M37" s="16"/>
      <c r="N37" s="234">
        <f>+N33/N36</f>
        <v>6.9659158050829513</v>
      </c>
    </row>
    <row r="38" spans="2:15" x14ac:dyDescent="0.2">
      <c r="B38" s="126" t="s">
        <v>297</v>
      </c>
      <c r="C38" s="127"/>
      <c r="D38" s="265"/>
      <c r="E38" s="127"/>
      <c r="F38" s="127"/>
      <c r="G38" s="127"/>
      <c r="H38" s="127"/>
      <c r="I38" s="127"/>
      <c r="J38" s="266"/>
      <c r="K38" s="127"/>
      <c r="L38" s="236">
        <f>(+L37-D37)/D37</f>
        <v>0.3628965705597077</v>
      </c>
      <c r="M38" s="127"/>
      <c r="N38" s="237">
        <f>(+N37-D37)/D37</f>
        <v>0.3628965705597077</v>
      </c>
    </row>
    <row r="39" spans="2:15" x14ac:dyDescent="0.2">
      <c r="B39" s="16"/>
      <c r="D39" s="16"/>
      <c r="J39" s="189"/>
    </row>
    <row r="40" spans="2:15" ht="42.75" customHeight="1" x14ac:dyDescent="0.2">
      <c r="B40" s="184" t="s">
        <v>298</v>
      </c>
      <c r="D40" s="117" t="str">
        <f>+D7</f>
        <v>Safeway, Inc.</v>
      </c>
      <c r="E40" s="191"/>
      <c r="F40" s="117" t="str">
        <f>+F7</f>
        <v>Vons Companies, Inc.</v>
      </c>
      <c r="G40" s="191"/>
      <c r="H40" s="117" t="str">
        <f t="shared" ref="H40:N40" si="5">+H7</f>
        <v>Adjust out current ownership</v>
      </c>
      <c r="I40" s="117" t="str">
        <f t="shared" si="5"/>
        <v>Allocate purchase price</v>
      </c>
      <c r="J40" s="117" t="str">
        <f t="shared" si="5"/>
        <v>Issue Safeway stock to Vons</v>
      </c>
      <c r="K40" s="117"/>
      <c r="L40" s="117" t="str">
        <f t="shared" si="5"/>
        <v>Total</v>
      </c>
      <c r="M40" s="117" t="str">
        <f t="shared" si="5"/>
        <v>Stock Repurchase</v>
      </c>
      <c r="N40" s="117" t="str">
        <f t="shared" si="5"/>
        <v>Safeway Post Acquisition</v>
      </c>
      <c r="O40" s="16"/>
    </row>
    <row r="41" spans="2:15" x14ac:dyDescent="0.2">
      <c r="B41" s="16"/>
      <c r="D41" s="16"/>
    </row>
    <row r="42" spans="2:15" x14ac:dyDescent="0.2">
      <c r="B42" s="16" t="s">
        <v>98</v>
      </c>
      <c r="D42" s="97">
        <f>+Safeway!B38</f>
        <v>17269</v>
      </c>
      <c r="F42" s="189">
        <f>+Vons!B37</f>
        <v>5407.4</v>
      </c>
      <c r="L42" s="189">
        <f>SUM(D42:K42)</f>
        <v>22676.400000000001</v>
      </c>
      <c r="N42" s="189">
        <f>SUM(L42:M42)</f>
        <v>22676.400000000001</v>
      </c>
    </row>
    <row r="43" spans="2:15" x14ac:dyDescent="0.2">
      <c r="B43" s="16"/>
      <c r="D43" s="97"/>
    </row>
    <row r="44" spans="2:15" x14ac:dyDescent="0.2">
      <c r="B44" s="16" t="s">
        <v>99</v>
      </c>
      <c r="D44" s="97"/>
    </row>
    <row r="45" spans="2:15" x14ac:dyDescent="0.2">
      <c r="B45" s="16" t="s">
        <v>100</v>
      </c>
      <c r="D45" s="97">
        <f>+Safeway!B41</f>
        <v>12494.8</v>
      </c>
      <c r="F45" s="189">
        <f>+Vons!B40</f>
        <v>4032.7</v>
      </c>
      <c r="L45" s="189">
        <f>SUM(D45:K45)</f>
        <v>16527.5</v>
      </c>
      <c r="N45" s="189">
        <f>SUM(L45:M45)</f>
        <v>16527.5</v>
      </c>
    </row>
    <row r="46" spans="2:15" x14ac:dyDescent="0.2">
      <c r="B46" s="16" t="s">
        <v>101</v>
      </c>
      <c r="D46" s="97">
        <f>+Safeway!B42</f>
        <v>3882.5</v>
      </c>
      <c r="F46" s="189">
        <f>+Vons!B41</f>
        <v>1012.8</v>
      </c>
      <c r="L46" s="189">
        <f>SUM(D46:K46)</f>
        <v>4895.3</v>
      </c>
      <c r="N46" s="189">
        <f>SUM(L46:M46)</f>
        <v>4895.3</v>
      </c>
    </row>
    <row r="47" spans="2:15" x14ac:dyDescent="0.2">
      <c r="B47" s="16" t="s">
        <v>102</v>
      </c>
      <c r="D47" s="97">
        <f>+Safeway!B43</f>
        <v>0</v>
      </c>
      <c r="F47" s="189">
        <f>+Vons!B42</f>
        <v>105.79999999999998</v>
      </c>
      <c r="L47" s="189">
        <f>SUM(D47:K47)</f>
        <v>105.79999999999998</v>
      </c>
      <c r="N47" s="189">
        <f>SUM(L47:M47)</f>
        <v>105.79999999999998</v>
      </c>
    </row>
    <row r="48" spans="2:15" x14ac:dyDescent="0.2">
      <c r="B48" s="16" t="s">
        <v>103</v>
      </c>
      <c r="D48" s="97">
        <f>+Safeway!B44</f>
        <v>0</v>
      </c>
      <c r="F48" s="189">
        <f>+Vons!B43</f>
        <v>15</v>
      </c>
      <c r="I48" s="189">
        <f>IF(Inputs!E34=0,0,+I17/Inputs!E34)</f>
        <v>0</v>
      </c>
      <c r="L48" s="189">
        <f>SUM(D48:K48)</f>
        <v>15</v>
      </c>
      <c r="N48" s="189">
        <f>SUM(L48:M48)</f>
        <v>15</v>
      </c>
    </row>
    <row r="49" spans="2:14" x14ac:dyDescent="0.2">
      <c r="B49" s="16" t="s">
        <v>104</v>
      </c>
      <c r="D49" s="98">
        <f>+Safeway!B45</f>
        <v>0</v>
      </c>
      <c r="F49" s="190">
        <f>+Vons!B44</f>
        <v>0</v>
      </c>
      <c r="L49" s="190">
        <f>SUM(D49:K49)</f>
        <v>0</v>
      </c>
      <c r="N49" s="190">
        <f>SUM(L49:M49)</f>
        <v>0</v>
      </c>
    </row>
    <row r="50" spans="2:14" x14ac:dyDescent="0.2">
      <c r="B50" s="16" t="s">
        <v>105</v>
      </c>
      <c r="D50" s="97">
        <f>SUM(D45:D49)</f>
        <v>16377.3</v>
      </c>
      <c r="F50" s="97">
        <f>SUM(F45:F49)</f>
        <v>5166.3</v>
      </c>
      <c r="I50" s="97">
        <f>SUM(I45:I49)</f>
        <v>0</v>
      </c>
      <c r="L50" s="97">
        <f>SUM(L45:L49)</f>
        <v>21543.599999999999</v>
      </c>
      <c r="N50" s="97">
        <f>SUM(N45:N49)</f>
        <v>21543.599999999999</v>
      </c>
    </row>
    <row r="51" spans="2:14" x14ac:dyDescent="0.2">
      <c r="B51" s="16"/>
      <c r="D51" s="97"/>
    </row>
    <row r="52" spans="2:14" x14ac:dyDescent="0.2">
      <c r="B52" s="16" t="s">
        <v>106</v>
      </c>
      <c r="D52" s="97">
        <f>+D42-D50</f>
        <v>891.70000000000073</v>
      </c>
      <c r="F52" s="97">
        <f>+F42-F50</f>
        <v>241.09999999999945</v>
      </c>
      <c r="I52" s="97">
        <f>+I42-I50</f>
        <v>0</v>
      </c>
      <c r="L52" s="97">
        <f>+L42-L50</f>
        <v>1132.8000000000029</v>
      </c>
      <c r="N52" s="97">
        <f>+N42-N50</f>
        <v>1132.8000000000029</v>
      </c>
    </row>
    <row r="53" spans="2:14" x14ac:dyDescent="0.2">
      <c r="B53" s="16" t="s">
        <v>107</v>
      </c>
      <c r="D53" s="103">
        <f>+D52+D49</f>
        <v>891.70000000000073</v>
      </c>
      <c r="F53" s="103">
        <f>+F52+F49</f>
        <v>241.09999999999945</v>
      </c>
      <c r="I53" s="103">
        <f>+I52+I49</f>
        <v>0</v>
      </c>
      <c r="L53" s="103">
        <f>+L52+L49</f>
        <v>1132.8000000000029</v>
      </c>
      <c r="N53" s="103">
        <f>+N52+N49</f>
        <v>1132.8000000000029</v>
      </c>
    </row>
    <row r="54" spans="2:14" x14ac:dyDescent="0.2">
      <c r="B54" s="16"/>
      <c r="D54" s="97"/>
    </row>
    <row r="55" spans="2:14" x14ac:dyDescent="0.2">
      <c r="B55" s="16" t="s">
        <v>108</v>
      </c>
      <c r="D55" s="97">
        <f>+Safeway!B51</f>
        <v>178.5</v>
      </c>
      <c r="F55" s="189">
        <f>+Vons!B50</f>
        <v>55.6</v>
      </c>
      <c r="L55" s="189">
        <f>SUM(D55:K55)</f>
        <v>234.1</v>
      </c>
      <c r="M55" s="189">
        <f>+M32*Inputs!E44</f>
        <v>0</v>
      </c>
      <c r="N55" s="189">
        <f>SUM(L55:M55)</f>
        <v>234.1</v>
      </c>
    </row>
    <row r="56" spans="2:14" x14ac:dyDescent="0.2">
      <c r="B56" s="16" t="s">
        <v>109</v>
      </c>
      <c r="D56" s="97">
        <f>+Safeway!B52</f>
        <v>50</v>
      </c>
      <c r="F56" s="189">
        <v>0</v>
      </c>
      <c r="H56" s="189">
        <f>IF(Inputs!K36=0,0,-Inputs!E37)</f>
        <v>0</v>
      </c>
      <c r="L56" s="189">
        <f>SUM(D56:K56)</f>
        <v>50</v>
      </c>
      <c r="N56" s="189">
        <f>SUM(L56:M56)</f>
        <v>50</v>
      </c>
    </row>
    <row r="57" spans="2:14" x14ac:dyDescent="0.2">
      <c r="B57" s="16" t="s">
        <v>110</v>
      </c>
      <c r="D57" s="97">
        <f>+Safeway!B53</f>
        <v>4.4000000000000004</v>
      </c>
      <c r="F57" s="189">
        <v>0</v>
      </c>
      <c r="L57" s="189">
        <f>SUM(D57:K57)</f>
        <v>4.4000000000000004</v>
      </c>
      <c r="N57" s="189">
        <f>SUM(L57:M57)</f>
        <v>4.4000000000000004</v>
      </c>
    </row>
    <row r="58" spans="2:14" x14ac:dyDescent="0.2">
      <c r="B58" s="16"/>
      <c r="D58" s="97"/>
    </row>
    <row r="59" spans="2:14" x14ac:dyDescent="0.2">
      <c r="B59" s="16" t="s">
        <v>111</v>
      </c>
      <c r="D59" s="97">
        <f>+D52-D55+D56+D57</f>
        <v>767.6000000000007</v>
      </c>
      <c r="F59" s="97">
        <f>+F52-F55+F56+F57</f>
        <v>185.49999999999946</v>
      </c>
      <c r="H59" s="97">
        <f>+H52-H55+H56+H57</f>
        <v>0</v>
      </c>
      <c r="I59" s="97">
        <f>+I52-I55+I56+I57</f>
        <v>0</v>
      </c>
      <c r="L59" s="97">
        <f>+L52-L55+L56+L57</f>
        <v>953.10000000000286</v>
      </c>
      <c r="M59" s="97">
        <f>+M52-M55+M56+M57</f>
        <v>0</v>
      </c>
      <c r="N59" s="97">
        <f>+N52-N55+N56+N57</f>
        <v>953.10000000000286</v>
      </c>
    </row>
    <row r="60" spans="2:14" x14ac:dyDescent="0.2">
      <c r="B60" s="16" t="s">
        <v>112</v>
      </c>
      <c r="D60" s="98">
        <f>+Safeway!B56</f>
        <v>307</v>
      </c>
      <c r="F60" s="190">
        <f>+Vons!B53</f>
        <v>80.8</v>
      </c>
      <c r="H60" s="190">
        <f>+Inputs!E36*H59</f>
        <v>0</v>
      </c>
      <c r="I60" s="190">
        <f>IF(Inputs!E33="no",0,Purchase!I59*Inputs!E36)</f>
        <v>0</v>
      </c>
      <c r="L60" s="190">
        <f>SUM(D60:K60)</f>
        <v>387.8</v>
      </c>
      <c r="M60" s="190">
        <f>+M59*Inputs!E36</f>
        <v>0</v>
      </c>
      <c r="N60" s="190">
        <f>SUM(L60:M60)</f>
        <v>387.8</v>
      </c>
    </row>
    <row r="61" spans="2:14" x14ac:dyDescent="0.2">
      <c r="B61" s="18" t="s">
        <v>113</v>
      </c>
      <c r="D61" s="99">
        <f>+D59-D60</f>
        <v>460.6000000000007</v>
      </c>
      <c r="F61" s="99">
        <f>+F59-F60</f>
        <v>104.69999999999946</v>
      </c>
      <c r="H61" s="99">
        <f>+H59-H60</f>
        <v>0</v>
      </c>
      <c r="I61" s="99">
        <f>+I59-I60</f>
        <v>0</v>
      </c>
      <c r="L61" s="99">
        <f>+L59-L60</f>
        <v>565.30000000000291</v>
      </c>
      <c r="M61" s="99">
        <f>+M59-M60</f>
        <v>0</v>
      </c>
      <c r="N61" s="99">
        <f>+N59-N60</f>
        <v>565.30000000000291</v>
      </c>
    </row>
    <row r="62" spans="2:14" x14ac:dyDescent="0.2">
      <c r="B62" s="16"/>
    </row>
    <row r="63" spans="2:14" x14ac:dyDescent="0.2">
      <c r="B63" s="223" t="s">
        <v>299</v>
      </c>
    </row>
    <row r="64" spans="2:14" x14ac:dyDescent="0.2">
      <c r="B64" s="16"/>
    </row>
    <row r="65" spans="2:2" x14ac:dyDescent="0.2">
      <c r="B65" s="16"/>
    </row>
    <row r="66" spans="2:2" x14ac:dyDescent="0.2">
      <c r="B66" s="16"/>
    </row>
    <row r="67" spans="2:2" x14ac:dyDescent="0.2">
      <c r="B67" s="16"/>
    </row>
    <row r="68" spans="2:2" x14ac:dyDescent="0.2">
      <c r="B68" s="16"/>
    </row>
  </sheetData>
  <sheetProtection password="CFB3" sheet="1" objects="1" scenarios="1"/>
  <phoneticPr fontId="0" type="noConversion"/>
  <printOptions horizontalCentered="1" verticalCentered="1"/>
  <pageMargins left="0.5" right="0.5" top="0.5" bottom="0.5" header="0.5" footer="0.5"/>
  <pageSetup scale="64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showGridLines="0" zoomScale="75" workbookViewId="0"/>
  </sheetViews>
  <sheetFormatPr defaultRowHeight="12.75" x14ac:dyDescent="0.2"/>
  <cols>
    <col min="1" max="3" width="9.140625" style="1"/>
    <col min="4" max="4" width="11.5703125" style="1" customWidth="1"/>
    <col min="5" max="5" width="19" style="1" customWidth="1"/>
    <col min="6" max="6" width="11" style="1" customWidth="1"/>
    <col min="7" max="16384" width="9.140625" style="1"/>
  </cols>
  <sheetData>
    <row r="1" spans="1:11" x14ac:dyDescent="0.2">
      <c r="A1" s="4"/>
      <c r="B1" s="186" t="s">
        <v>300</v>
      </c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4"/>
      <c r="B2" s="186" t="str">
        <f>+Inputs!E3&amp;"  &amp;  "&amp;+Inputs!E4&amp;"  Transaction"</f>
        <v>Safeway, Inc.  &amp;  Vons Companies, Inc.  Transaction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2">
      <c r="A3" s="4"/>
      <c r="B3" s="186" t="s">
        <v>301</v>
      </c>
      <c r="C3" s="2"/>
      <c r="D3" s="2"/>
      <c r="E3" s="2"/>
      <c r="F3" s="2"/>
      <c r="G3" s="2"/>
      <c r="H3" s="2"/>
      <c r="I3" s="2"/>
      <c r="J3" s="2"/>
      <c r="K3" s="2"/>
    </row>
    <row r="4" spans="1:11" x14ac:dyDescent="0.2">
      <c r="A4" s="4"/>
      <c r="B4" s="187" t="str">
        <f>+Inputs!K4</f>
        <v>Dollars in millions</v>
      </c>
      <c r="C4" s="2"/>
      <c r="D4" s="2"/>
      <c r="E4" s="2"/>
      <c r="F4" s="2"/>
      <c r="G4" s="2"/>
      <c r="H4" s="2"/>
      <c r="I4" s="2"/>
      <c r="J4" s="2"/>
      <c r="K4" s="2"/>
    </row>
    <row r="7" spans="1:11" x14ac:dyDescent="0.2">
      <c r="B7" s="225" t="s">
        <v>302</v>
      </c>
      <c r="C7" s="225"/>
      <c r="D7" s="225"/>
      <c r="G7" s="226">
        <f>+Inputs!L3+1</f>
        <v>1997</v>
      </c>
      <c r="H7" s="226">
        <f>+G7+1</f>
        <v>1998</v>
      </c>
      <c r="I7" s="226">
        <f>+H7+1</f>
        <v>1999</v>
      </c>
      <c r="J7" s="226">
        <f>+I7+1</f>
        <v>2000</v>
      </c>
      <c r="K7" s="226">
        <f>+J7+1</f>
        <v>2001</v>
      </c>
    </row>
    <row r="10" spans="1:11" x14ac:dyDescent="0.2">
      <c r="B10" s="1" t="str">
        <f>+Inputs!E3&amp;"  pre-transaction"</f>
        <v>Safeway, Inc.  pre-transaction</v>
      </c>
      <c r="E10" s="227" t="s">
        <v>303</v>
      </c>
      <c r="G10" s="189">
        <f>+G12*G11</f>
        <v>0</v>
      </c>
      <c r="H10" s="189">
        <f>+H12*H11</f>
        <v>0</v>
      </c>
      <c r="I10" s="189">
        <f>+I12*I11</f>
        <v>0</v>
      </c>
      <c r="J10" s="189">
        <f>+J12*J11</f>
        <v>0</v>
      </c>
      <c r="K10" s="189">
        <f>+K12*K11</f>
        <v>0</v>
      </c>
    </row>
    <row r="11" spans="1:11" x14ac:dyDescent="0.2">
      <c r="E11" s="227" t="s">
        <v>304</v>
      </c>
      <c r="G11" s="228">
        <f>+Inputs!E31/1000000</f>
        <v>232.2</v>
      </c>
      <c r="H11" s="228">
        <f>+G11</f>
        <v>232.2</v>
      </c>
      <c r="I11" s="228">
        <f>+H11</f>
        <v>232.2</v>
      </c>
      <c r="J11" s="228">
        <f>+I11</f>
        <v>232.2</v>
      </c>
      <c r="K11" s="228">
        <f>+J11</f>
        <v>232.2</v>
      </c>
    </row>
    <row r="12" spans="1:11" x14ac:dyDescent="0.2">
      <c r="E12" s="227" t="s">
        <v>305</v>
      </c>
      <c r="G12" s="229">
        <f>+Inputs!G20</f>
        <v>0</v>
      </c>
      <c r="H12" s="229">
        <f>+Inputs!H20</f>
        <v>0</v>
      </c>
      <c r="I12" s="229">
        <f>+H12*(1+Inputs!$L$20)</f>
        <v>0</v>
      </c>
      <c r="J12" s="229">
        <f>+I12*(1+Inputs!$L$20)</f>
        <v>0</v>
      </c>
      <c r="K12" s="229">
        <f>+J12*(1+Inputs!$L$20)</f>
        <v>0</v>
      </c>
    </row>
    <row r="14" spans="1:11" x14ac:dyDescent="0.2">
      <c r="B14" s="1" t="str">
        <f>+Inputs!E4</f>
        <v>Vons Companies, Inc.</v>
      </c>
      <c r="E14" s="227" t="s">
        <v>303</v>
      </c>
      <c r="G14" s="189">
        <f>+DCF!E17+DCF!E73</f>
        <v>117.03353269497131</v>
      </c>
      <c r="H14" s="189">
        <f>+DCF!F17+DCF!F73</f>
        <v>122.24346350089098</v>
      </c>
      <c r="I14" s="189">
        <f>+DCF!G17+DCF!G73</f>
        <v>127.11371960645181</v>
      </c>
      <c r="J14" s="189">
        <f>+DCF!H17+DCF!H73</f>
        <v>132.25602063729309</v>
      </c>
      <c r="K14" s="189">
        <f>+DCF!I17+DCF!I73</f>
        <v>137.56942889394855</v>
      </c>
    </row>
    <row r="15" spans="1:11" x14ac:dyDescent="0.2">
      <c r="E15" s="227" t="s">
        <v>306</v>
      </c>
      <c r="G15" s="190">
        <f>IF(Inputs!G23&gt;0,(Inputs!G23*(1-Inputs!$E$36)),(Inputs!G22*DCF!E10*(1-Inputs!$E$36)))</f>
        <v>0</v>
      </c>
      <c r="H15" s="190">
        <f>IF(Inputs!H23&gt;0,(Inputs!H23*(1-Inputs!$E$36)),(Inputs!H22*DCF!F10*(1-Inputs!$E$36)))</f>
        <v>0</v>
      </c>
      <c r="I15" s="190">
        <f>IF(Inputs!I23&gt;0,(Inputs!I23*(1-Inputs!$E$36)),(Inputs!I22*DCF!G10*(1-Inputs!$E$36)))</f>
        <v>0</v>
      </c>
      <c r="J15" s="190">
        <f>IF(Inputs!J23&gt;0,(Inputs!J23*(1-Inputs!$E$36)),(Inputs!J22*DCF!H10*(1-Inputs!$E$36)))</f>
        <v>0</v>
      </c>
      <c r="K15" s="190">
        <f>IF(Inputs!K23&gt;0,(Inputs!K23*(1-Inputs!$E$36)),(Inputs!K22*DCF!I10*(1-Inputs!$E$36)))</f>
        <v>0</v>
      </c>
    </row>
    <row r="16" spans="1:11" x14ac:dyDescent="0.2">
      <c r="E16" s="227" t="s">
        <v>307</v>
      </c>
      <c r="G16" s="189">
        <f>SUM(G14:G15)</f>
        <v>117.03353269497131</v>
      </c>
      <c r="H16" s="189">
        <f>SUM(H14:H15)</f>
        <v>122.24346350089098</v>
      </c>
      <c r="I16" s="189">
        <f>SUM(I14:I15)</f>
        <v>127.11371960645181</v>
      </c>
      <c r="J16" s="189">
        <f>SUM(J14:J15)</f>
        <v>132.25602063729309</v>
      </c>
      <c r="K16" s="189">
        <f>SUM(K14:K15)</f>
        <v>137.56942889394855</v>
      </c>
    </row>
    <row r="18" spans="2:11" x14ac:dyDescent="0.2">
      <c r="E18" s="227" t="s">
        <v>308</v>
      </c>
      <c r="G18" s="189">
        <f>+Inputs!K32</f>
        <v>0</v>
      </c>
      <c r="H18" s="189">
        <f>+G18</f>
        <v>0</v>
      </c>
      <c r="I18" s="189">
        <f>+H18</f>
        <v>0</v>
      </c>
      <c r="J18" s="189">
        <f>+I18</f>
        <v>0</v>
      </c>
      <c r="K18" s="189">
        <f>+J18</f>
        <v>0</v>
      </c>
    </row>
    <row r="20" spans="2:11" x14ac:dyDescent="0.2">
      <c r="B20" s="1" t="s">
        <v>309</v>
      </c>
      <c r="E20" s="227" t="s">
        <v>303</v>
      </c>
      <c r="G20" s="189">
        <f>+Purchase!I52</f>
        <v>0</v>
      </c>
      <c r="H20" s="189">
        <f t="shared" ref="H20:K21" si="0">+G20</f>
        <v>0</v>
      </c>
      <c r="I20" s="189">
        <f t="shared" si="0"/>
        <v>0</v>
      </c>
      <c r="J20" s="189">
        <f t="shared" si="0"/>
        <v>0</v>
      </c>
      <c r="K20" s="189">
        <f t="shared" si="0"/>
        <v>0</v>
      </c>
    </row>
    <row r="21" spans="2:11" x14ac:dyDescent="0.2">
      <c r="B21" s="1" t="s">
        <v>310</v>
      </c>
      <c r="E21" s="227" t="s">
        <v>303</v>
      </c>
      <c r="G21" s="189">
        <f>+Purchase!H61</f>
        <v>0</v>
      </c>
      <c r="H21" s="189">
        <f t="shared" si="0"/>
        <v>0</v>
      </c>
      <c r="I21" s="189">
        <f t="shared" si="0"/>
        <v>0</v>
      </c>
      <c r="J21" s="189">
        <f t="shared" si="0"/>
        <v>0</v>
      </c>
      <c r="K21" s="189">
        <f t="shared" si="0"/>
        <v>0</v>
      </c>
    </row>
    <row r="23" spans="2:11" x14ac:dyDescent="0.2">
      <c r="B23" s="1" t="str">
        <f>+Inputs!E3&amp; "  post transaction"</f>
        <v>Safeway, Inc.  post transaction</v>
      </c>
      <c r="E23" s="227" t="s">
        <v>303</v>
      </c>
      <c r="G23" s="189">
        <f>+G10+G16+G20+G21</f>
        <v>117.03353269497131</v>
      </c>
      <c r="H23" s="189">
        <f>+H10+H16+H20+H21</f>
        <v>122.24346350089098</v>
      </c>
      <c r="I23" s="189">
        <f>+I10+I16+I20+I21</f>
        <v>127.11371960645181</v>
      </c>
      <c r="J23" s="189">
        <f>+J10+J16+J20+J21</f>
        <v>132.25602063729309</v>
      </c>
      <c r="K23" s="189">
        <f>+K10+K16+K20+K21</f>
        <v>137.56942889394855</v>
      </c>
    </row>
    <row r="24" spans="2:11" x14ac:dyDescent="0.2">
      <c r="E24" s="227" t="s">
        <v>304</v>
      </c>
      <c r="G24" s="228">
        <f>+G11+G18</f>
        <v>232.2</v>
      </c>
      <c r="H24" s="228">
        <f>+H11+H18</f>
        <v>232.2</v>
      </c>
      <c r="I24" s="228">
        <f>+I11+I18</f>
        <v>232.2</v>
      </c>
      <c r="J24" s="228">
        <f>+J11+J18</f>
        <v>232.2</v>
      </c>
      <c r="K24" s="228">
        <f>+K11+K18</f>
        <v>232.2</v>
      </c>
    </row>
    <row r="25" spans="2:11" x14ac:dyDescent="0.2">
      <c r="E25" s="227" t="s">
        <v>305</v>
      </c>
      <c r="G25" s="229">
        <f>+G23/G24</f>
        <v>0.50402038197662069</v>
      </c>
      <c r="H25" s="229">
        <f>+H23/H24</f>
        <v>0.52645763781606802</v>
      </c>
      <c r="I25" s="229">
        <f>+I23/I24</f>
        <v>0.54743203964880194</v>
      </c>
      <c r="J25" s="229">
        <f>+J23/J24</f>
        <v>0.56957803892029757</v>
      </c>
      <c r="K25" s="229">
        <f>+K23/K24</f>
        <v>0.59246093408246581</v>
      </c>
    </row>
    <row r="27" spans="2:11" x14ac:dyDescent="0.2">
      <c r="E27" s="230" t="s">
        <v>311</v>
      </c>
      <c r="F27" s="197"/>
      <c r="G27" s="231">
        <f>+G25</f>
        <v>0.50402038197662069</v>
      </c>
      <c r="H27" s="231">
        <f>+H25</f>
        <v>0.52645763781606802</v>
      </c>
      <c r="I27" s="231">
        <f>+I25</f>
        <v>0.54743203964880194</v>
      </c>
      <c r="J27" s="231">
        <f>+J25</f>
        <v>0.56957803892029757</v>
      </c>
      <c r="K27" s="232">
        <f>+K25</f>
        <v>0.59246093408246581</v>
      </c>
    </row>
    <row r="28" spans="2:11" x14ac:dyDescent="0.2">
      <c r="E28" s="58" t="s">
        <v>312</v>
      </c>
      <c r="F28" s="16"/>
      <c r="G28" s="233">
        <f>+G12</f>
        <v>0</v>
      </c>
      <c r="H28" s="233">
        <f>+H12</f>
        <v>0</v>
      </c>
      <c r="I28" s="233">
        <f>+I12</f>
        <v>0</v>
      </c>
      <c r="J28" s="233">
        <f>+J12</f>
        <v>0</v>
      </c>
      <c r="K28" s="234">
        <f>+K12</f>
        <v>0</v>
      </c>
    </row>
    <row r="29" spans="2:11" x14ac:dyDescent="0.2">
      <c r="E29" s="235" t="s">
        <v>313</v>
      </c>
      <c r="F29" s="127"/>
      <c r="G29" s="236">
        <f>IF(G28=0,0,+(G25-G28)/G28)</f>
        <v>0</v>
      </c>
      <c r="H29" s="236">
        <f>IF(H28=0,0,+(H25-H28)/H28)</f>
        <v>0</v>
      </c>
      <c r="I29" s="236">
        <f>IF(I28=0,0,+(I25-I28)/I28)</f>
        <v>0</v>
      </c>
      <c r="J29" s="236">
        <f>IF(J28=0,0,+(J25-J28)/J28)</f>
        <v>0</v>
      </c>
      <c r="K29" s="237">
        <f>IF(K28=0,0,+(K25-K28)/K28)</f>
        <v>0</v>
      </c>
    </row>
    <row r="30" spans="2:11" x14ac:dyDescent="0.2">
      <c r="G30" s="140"/>
    </row>
    <row r="32" spans="2:11" x14ac:dyDescent="0.2">
      <c r="B32" s="225" t="s">
        <v>314</v>
      </c>
      <c r="C32" s="225"/>
      <c r="D32" s="225"/>
      <c r="G32" s="226">
        <f>+G7</f>
        <v>1997</v>
      </c>
      <c r="H32" s="226">
        <f>+G32+1</f>
        <v>1998</v>
      </c>
      <c r="I32" s="226">
        <f>+H32+1</f>
        <v>1999</v>
      </c>
      <c r="J32" s="226">
        <f>+I32+1</f>
        <v>2000</v>
      </c>
      <c r="K32" s="226">
        <f>+J32+1</f>
        <v>2001</v>
      </c>
    </row>
    <row r="35" spans="2:11" x14ac:dyDescent="0.2">
      <c r="B35" s="1" t="str">
        <f>+B10</f>
        <v>Safeway, Inc.  pre-transaction</v>
      </c>
      <c r="E35" s="227" t="s">
        <v>303</v>
      </c>
      <c r="G35" s="189">
        <f>+G10</f>
        <v>0</v>
      </c>
      <c r="H35" s="189">
        <f>+H10</f>
        <v>0</v>
      </c>
      <c r="I35" s="189">
        <f>+I10</f>
        <v>0</v>
      </c>
      <c r="J35" s="189">
        <f>+J10</f>
        <v>0</v>
      </c>
      <c r="K35" s="189">
        <f>+K10</f>
        <v>0</v>
      </c>
    </row>
    <row r="36" spans="2:11" x14ac:dyDescent="0.2">
      <c r="E36" s="227" t="s">
        <v>304</v>
      </c>
      <c r="G36" s="228">
        <f>+G11</f>
        <v>232.2</v>
      </c>
      <c r="H36" s="228">
        <f>+G36</f>
        <v>232.2</v>
      </c>
      <c r="I36" s="228">
        <f>+H36</f>
        <v>232.2</v>
      </c>
      <c r="J36" s="228">
        <f>+I36</f>
        <v>232.2</v>
      </c>
      <c r="K36" s="228">
        <f>+J36</f>
        <v>232.2</v>
      </c>
    </row>
    <row r="37" spans="2:11" x14ac:dyDescent="0.2">
      <c r="E37" s="227" t="s">
        <v>305</v>
      </c>
      <c r="G37" s="229">
        <f>+G35/G36</f>
        <v>0</v>
      </c>
      <c r="H37" s="229">
        <f>+H35/H36</f>
        <v>0</v>
      </c>
      <c r="I37" s="229">
        <f>+I35/I36</f>
        <v>0</v>
      </c>
      <c r="J37" s="229">
        <f>+J35/J36</f>
        <v>0</v>
      </c>
      <c r="K37" s="229">
        <f>+K35/K36</f>
        <v>0</v>
      </c>
    </row>
    <row r="39" spans="2:11" x14ac:dyDescent="0.2">
      <c r="B39" s="1" t="str">
        <f>+B14</f>
        <v>Vons Companies, Inc.</v>
      </c>
      <c r="E39" s="227" t="s">
        <v>303</v>
      </c>
      <c r="G39" s="189">
        <f>+G14</f>
        <v>117.03353269497131</v>
      </c>
      <c r="H39" s="189">
        <f t="shared" ref="H39:K40" si="1">+H14</f>
        <v>122.24346350089098</v>
      </c>
      <c r="I39" s="189">
        <f t="shared" si="1"/>
        <v>127.11371960645181</v>
      </c>
      <c r="J39" s="189">
        <f t="shared" si="1"/>
        <v>132.25602063729309</v>
      </c>
      <c r="K39" s="189">
        <f t="shared" si="1"/>
        <v>137.56942889394855</v>
      </c>
    </row>
    <row r="40" spans="2:11" x14ac:dyDescent="0.2">
      <c r="E40" s="227" t="s">
        <v>306</v>
      </c>
      <c r="G40" s="190">
        <f>+G15</f>
        <v>0</v>
      </c>
      <c r="H40" s="190">
        <f t="shared" si="1"/>
        <v>0</v>
      </c>
      <c r="I40" s="190">
        <f t="shared" si="1"/>
        <v>0</v>
      </c>
      <c r="J40" s="190">
        <f t="shared" si="1"/>
        <v>0</v>
      </c>
      <c r="K40" s="190">
        <f t="shared" si="1"/>
        <v>0</v>
      </c>
    </row>
    <row r="41" spans="2:11" x14ac:dyDescent="0.2">
      <c r="E41" s="227" t="s">
        <v>307</v>
      </c>
      <c r="G41" s="189">
        <f>SUM(G39:G40)</f>
        <v>117.03353269497131</v>
      </c>
      <c r="H41" s="189">
        <f>SUM(H39:H40)</f>
        <v>122.24346350089098</v>
      </c>
      <c r="I41" s="189">
        <f>SUM(I39:I40)</f>
        <v>127.11371960645181</v>
      </c>
      <c r="J41" s="189">
        <f>SUM(J39:J40)</f>
        <v>132.25602063729309</v>
      </c>
      <c r="K41" s="189">
        <f>SUM(K39:K40)</f>
        <v>137.56942889394855</v>
      </c>
    </row>
    <row r="43" spans="2:11" x14ac:dyDescent="0.2">
      <c r="E43" s="227" t="s">
        <v>308</v>
      </c>
      <c r="G43" s="189">
        <f>+G18</f>
        <v>0</v>
      </c>
      <c r="H43" s="189">
        <f>+G43</f>
        <v>0</v>
      </c>
      <c r="I43" s="189">
        <f>+H43</f>
        <v>0</v>
      </c>
      <c r="J43" s="189">
        <f>+I43</f>
        <v>0</v>
      </c>
      <c r="K43" s="189">
        <f>+J43</f>
        <v>0</v>
      </c>
    </row>
    <row r="45" spans="2:11" x14ac:dyDescent="0.2">
      <c r="B45" s="1" t="s">
        <v>309</v>
      </c>
      <c r="E45" s="227" t="s">
        <v>303</v>
      </c>
      <c r="G45" s="189">
        <f>+G20</f>
        <v>0</v>
      </c>
      <c r="H45" s="189">
        <f t="shared" ref="H45:K46" si="2">+G45</f>
        <v>0</v>
      </c>
      <c r="I45" s="189">
        <f t="shared" si="2"/>
        <v>0</v>
      </c>
      <c r="J45" s="189">
        <f t="shared" si="2"/>
        <v>0</v>
      </c>
      <c r="K45" s="189">
        <f t="shared" si="2"/>
        <v>0</v>
      </c>
    </row>
    <row r="46" spans="2:11" x14ac:dyDescent="0.2">
      <c r="B46" s="1" t="s">
        <v>310</v>
      </c>
      <c r="E46" s="227" t="s">
        <v>303</v>
      </c>
      <c r="G46" s="189">
        <f>+G21</f>
        <v>0</v>
      </c>
      <c r="H46" s="189">
        <f t="shared" si="2"/>
        <v>0</v>
      </c>
      <c r="I46" s="189">
        <f t="shared" si="2"/>
        <v>0</v>
      </c>
      <c r="J46" s="189">
        <f t="shared" si="2"/>
        <v>0</v>
      </c>
      <c r="K46" s="189">
        <f t="shared" si="2"/>
        <v>0</v>
      </c>
    </row>
    <row r="47" spans="2:11" x14ac:dyDescent="0.2">
      <c r="E47" s="227"/>
      <c r="G47" s="189"/>
      <c r="H47" s="189"/>
      <c r="I47" s="189"/>
      <c r="J47" s="189"/>
      <c r="K47" s="189"/>
    </row>
    <row r="48" spans="2:11" x14ac:dyDescent="0.2">
      <c r="B48" s="238" t="s">
        <v>315</v>
      </c>
      <c r="C48" s="239"/>
      <c r="D48" s="239"/>
      <c r="E48" s="239"/>
      <c r="F48" s="239"/>
      <c r="G48" s="239"/>
      <c r="H48" s="239"/>
      <c r="I48" s="239"/>
      <c r="J48" s="239"/>
      <c r="K48" s="240"/>
    </row>
    <row r="49" spans="2:11" ht="5.0999999999999996" customHeight="1" x14ac:dyDescent="0.2">
      <c r="B49" s="241"/>
      <c r="C49" s="210"/>
      <c r="D49" s="210"/>
      <c r="E49" s="210"/>
      <c r="F49" s="210"/>
      <c r="G49" s="210"/>
      <c r="H49" s="210"/>
      <c r="I49" s="210"/>
      <c r="J49" s="210"/>
      <c r="K49" s="242"/>
    </row>
    <row r="50" spans="2:11" x14ac:dyDescent="0.2">
      <c r="B50" s="241" t="s">
        <v>316</v>
      </c>
      <c r="C50" s="210"/>
      <c r="D50" s="210"/>
      <c r="E50" s="243" t="s">
        <v>317</v>
      </c>
      <c r="F50" s="210"/>
      <c r="G50" s="244">
        <f>IF(Inputs!E42&gt;0,-Inputs!E42,Inputs!E41*(Inputs!K32+(Inputs!E31/1000000)))</f>
        <v>0</v>
      </c>
      <c r="H50" s="244">
        <f>+G50</f>
        <v>0</v>
      </c>
      <c r="I50" s="244">
        <f>+H50</f>
        <v>0</v>
      </c>
      <c r="J50" s="244">
        <f>+I50</f>
        <v>0</v>
      </c>
      <c r="K50" s="245">
        <f>+J50</f>
        <v>0</v>
      </c>
    </row>
    <row r="51" spans="2:11" ht="5.0999999999999996" customHeight="1" x14ac:dyDescent="0.2">
      <c r="B51" s="241"/>
      <c r="C51" s="210"/>
      <c r="D51" s="210"/>
      <c r="E51" s="210"/>
      <c r="F51" s="210"/>
      <c r="G51" s="210"/>
      <c r="H51" s="210"/>
      <c r="I51" s="210"/>
      <c r="J51" s="210"/>
      <c r="K51" s="242"/>
    </row>
    <row r="52" spans="2:11" x14ac:dyDescent="0.2">
      <c r="B52" s="246" t="s">
        <v>318</v>
      </c>
      <c r="C52" s="247"/>
      <c r="D52" s="247"/>
      <c r="E52" s="248" t="s">
        <v>303</v>
      </c>
      <c r="F52" s="247"/>
      <c r="G52" s="249">
        <f>+Purchase!M61</f>
        <v>0</v>
      </c>
      <c r="H52" s="249">
        <f>+G52</f>
        <v>0</v>
      </c>
      <c r="I52" s="249">
        <f>+H52</f>
        <v>0</v>
      </c>
      <c r="J52" s="249">
        <f>+I52</f>
        <v>0</v>
      </c>
      <c r="K52" s="250">
        <f>+J52</f>
        <v>0</v>
      </c>
    </row>
    <row r="54" spans="2:11" x14ac:dyDescent="0.2">
      <c r="B54" s="1" t="str">
        <f>+B23</f>
        <v>Safeway, Inc.  post transaction</v>
      </c>
      <c r="E54" s="227" t="s">
        <v>303</v>
      </c>
      <c r="G54" s="189">
        <f>+G35+G41+G45+G46+G52</f>
        <v>117.03353269497131</v>
      </c>
      <c r="H54" s="189">
        <f>+H35+H41+H45+H46+H52</f>
        <v>122.24346350089098</v>
      </c>
      <c r="I54" s="189">
        <f>+I35+I41+I45+I46+I52</f>
        <v>127.11371960645181</v>
      </c>
      <c r="J54" s="189">
        <f>+J35+J41+J45+J46+J52</f>
        <v>132.25602063729309</v>
      </c>
      <c r="K54" s="189">
        <f>+K35+K41+K45+K46+K52</f>
        <v>137.56942889394855</v>
      </c>
    </row>
    <row r="55" spans="2:11" x14ac:dyDescent="0.2">
      <c r="E55" s="227" t="s">
        <v>304</v>
      </c>
      <c r="G55" s="228">
        <f>+G36+G43+G50</f>
        <v>232.2</v>
      </c>
      <c r="H55" s="228">
        <f>+H36+H43+H50</f>
        <v>232.2</v>
      </c>
      <c r="I55" s="228">
        <f>+I36+I43+I50</f>
        <v>232.2</v>
      </c>
      <c r="J55" s="228">
        <f>+J36+J43+J50</f>
        <v>232.2</v>
      </c>
      <c r="K55" s="228">
        <f>+K36+K43+K50</f>
        <v>232.2</v>
      </c>
    </row>
    <row r="56" spans="2:11" x14ac:dyDescent="0.2">
      <c r="E56" s="227" t="s">
        <v>305</v>
      </c>
      <c r="G56" s="229">
        <f>+G54/G55</f>
        <v>0.50402038197662069</v>
      </c>
      <c r="H56" s="229">
        <f>+H54/H55</f>
        <v>0.52645763781606802</v>
      </c>
      <c r="I56" s="229">
        <f>+I54/I55</f>
        <v>0.54743203964880194</v>
      </c>
      <c r="J56" s="229">
        <f>+J54/J55</f>
        <v>0.56957803892029757</v>
      </c>
      <c r="K56" s="229">
        <f>+K54/K55</f>
        <v>0.59246093408246581</v>
      </c>
    </row>
    <row r="58" spans="2:11" x14ac:dyDescent="0.2">
      <c r="E58" s="230" t="s">
        <v>311</v>
      </c>
      <c r="F58" s="197"/>
      <c r="G58" s="231">
        <f>+G56</f>
        <v>0.50402038197662069</v>
      </c>
      <c r="H58" s="231">
        <f>+H56</f>
        <v>0.52645763781606802</v>
      </c>
      <c r="I58" s="231">
        <f>+I56</f>
        <v>0.54743203964880194</v>
      </c>
      <c r="J58" s="231">
        <f>+J56</f>
        <v>0.56957803892029757</v>
      </c>
      <c r="K58" s="232">
        <f>+K56</f>
        <v>0.59246093408246581</v>
      </c>
    </row>
    <row r="59" spans="2:11" x14ac:dyDescent="0.2">
      <c r="E59" s="58" t="s">
        <v>312</v>
      </c>
      <c r="F59" s="16"/>
      <c r="G59" s="233">
        <f>+G37</f>
        <v>0</v>
      </c>
      <c r="H59" s="233">
        <f>+H37</f>
        <v>0</v>
      </c>
      <c r="I59" s="233">
        <f>+I37</f>
        <v>0</v>
      </c>
      <c r="J59" s="233">
        <f>+J37</f>
        <v>0</v>
      </c>
      <c r="K59" s="234">
        <f>+K37</f>
        <v>0</v>
      </c>
    </row>
    <row r="60" spans="2:11" x14ac:dyDescent="0.2">
      <c r="E60" s="235" t="s">
        <v>313</v>
      </c>
      <c r="F60" s="127"/>
      <c r="G60" s="236">
        <f>IF(G59=0,0,+(G56-G59)/G59)</f>
        <v>0</v>
      </c>
      <c r="H60" s="236">
        <f>IF(H59=0,0,+(H56-H59)/H59)</f>
        <v>0</v>
      </c>
      <c r="I60" s="236">
        <f>IF(I59=0,0,+(I56-I59)/I59)</f>
        <v>0</v>
      </c>
      <c r="J60" s="236">
        <f>IF(J59=0,0,+(J56-J59)/J59)</f>
        <v>0</v>
      </c>
      <c r="K60" s="237">
        <f>IF(K59=0,0,+(K56-K59)/K59)</f>
        <v>0</v>
      </c>
    </row>
  </sheetData>
  <sheetProtection password="CFB3" sheet="1" objects="1" scenarios="1"/>
  <phoneticPr fontId="0" type="noConversion"/>
  <printOptions horizontalCentered="1" verticalCentered="1"/>
  <pageMargins left="0.5" right="0.5" top="0.5" bottom="0.5" header="0.5" footer="0.5"/>
  <pageSetup scale="7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9</vt:i4>
      </vt:variant>
    </vt:vector>
  </HeadingPairs>
  <TitlesOfParts>
    <vt:vector size="19" baseType="lpstr">
      <vt:lpstr>Inputs</vt:lpstr>
      <vt:lpstr>Safeway</vt:lpstr>
      <vt:lpstr>Vons</vt:lpstr>
      <vt:lpstr>Cmn-Sized</vt:lpstr>
      <vt:lpstr>Additional Calculations</vt:lpstr>
      <vt:lpstr>DCF</vt:lpstr>
      <vt:lpstr>Trading Comps</vt:lpstr>
      <vt:lpstr>Deal Comps</vt:lpstr>
      <vt:lpstr>Purchase</vt:lpstr>
      <vt:lpstr>EPS Accretion</vt:lpstr>
      <vt:lpstr>'Cmn-Sized'!Print_Area</vt:lpstr>
      <vt:lpstr>DCF!Print_Area</vt:lpstr>
      <vt:lpstr>'Deal Comps'!Print_Area</vt:lpstr>
      <vt:lpstr>'EPS Accretion'!Print_Area</vt:lpstr>
      <vt:lpstr>Inputs!Print_Area</vt:lpstr>
      <vt:lpstr>Purchase!Print_Area</vt:lpstr>
      <vt:lpstr>Safeway!Print_Area</vt:lpstr>
      <vt:lpstr>'Trading Comps'!Print_Area</vt:lpstr>
      <vt:lpstr>Vons!Print_Area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User</dc:creator>
  <cp:lastModifiedBy>Felienne</cp:lastModifiedBy>
  <cp:lastPrinted>1998-02-10T06:15:02Z</cp:lastPrinted>
  <dcterms:created xsi:type="dcterms:W3CDTF">1997-11-24T07:02:54Z</dcterms:created>
  <dcterms:modified xsi:type="dcterms:W3CDTF">2014-09-04T18:08:06Z</dcterms:modified>
</cp:coreProperties>
</file>