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5265"/>
  </bookViews>
  <sheets>
    <sheet name="Crude" sheetId="1" r:id="rId1"/>
    <sheet name="Heating Oil" sheetId="2" r:id="rId2"/>
    <sheet name="Unleaded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C8" i="1" l="1"/>
  <c r="D8" i="1"/>
  <c r="D15" i="1" s="1"/>
  <c r="D16" i="1" s="1"/>
  <c r="E8" i="1"/>
  <c r="H8" i="1"/>
  <c r="H10" i="1" s="1"/>
  <c r="I8" i="1"/>
  <c r="J8" i="1"/>
  <c r="C9" i="1"/>
  <c r="D9" i="1"/>
  <c r="H9" i="1"/>
  <c r="C10" i="1"/>
  <c r="C11" i="1" s="1"/>
  <c r="C17" i="1" s="1"/>
  <c r="C13" i="1"/>
  <c r="C15" i="1" s="1"/>
  <c r="C16" i="1" s="1"/>
  <c r="D13" i="1"/>
  <c r="E13" i="1"/>
  <c r="E15" i="1" s="1"/>
  <c r="E16" i="1" s="1"/>
  <c r="E17" i="1" s="1"/>
  <c r="H13" i="1"/>
  <c r="I13" i="1"/>
  <c r="I15" i="1" s="1"/>
  <c r="I16" i="1" s="1"/>
  <c r="J13" i="1"/>
  <c r="H14" i="1"/>
  <c r="I14" i="1"/>
  <c r="J14" i="1"/>
  <c r="C19" i="1"/>
  <c r="D19" i="1"/>
  <c r="E19" i="1"/>
  <c r="H19" i="1"/>
  <c r="I19" i="1"/>
  <c r="J19" i="1"/>
  <c r="C21" i="1"/>
  <c r="D21" i="1"/>
  <c r="E21" i="1"/>
  <c r="H21" i="1"/>
  <c r="I21" i="1"/>
  <c r="J21" i="1"/>
  <c r="C24" i="1"/>
  <c r="D24" i="1"/>
  <c r="D26" i="1" s="1"/>
  <c r="E24" i="1"/>
  <c r="H24" i="1"/>
  <c r="H26" i="1" s="1"/>
  <c r="H27" i="1" s="1"/>
  <c r="I24" i="1"/>
  <c r="J24" i="1"/>
  <c r="J33" i="1" s="1"/>
  <c r="J40" i="1" s="1"/>
  <c r="J43" i="1" s="1"/>
  <c r="C25" i="1"/>
  <c r="D25" i="1"/>
  <c r="D27" i="1" s="1"/>
  <c r="D33" i="1" s="1"/>
  <c r="H25" i="1"/>
  <c r="C29" i="1"/>
  <c r="C31" i="1" s="1"/>
  <c r="C32" i="1" s="1"/>
  <c r="D29" i="1"/>
  <c r="E29" i="1"/>
  <c r="E31" i="1" s="1"/>
  <c r="E32" i="1" s="1"/>
  <c r="E33" i="1" s="1"/>
  <c r="H29" i="1"/>
  <c r="I29" i="1"/>
  <c r="I31" i="1" s="1"/>
  <c r="J29" i="1"/>
  <c r="H30" i="1"/>
  <c r="I30" i="1"/>
  <c r="I32" i="1" s="1"/>
  <c r="I33" i="1" s="1"/>
  <c r="J30" i="1"/>
  <c r="J32" i="1" s="1"/>
  <c r="D31" i="1"/>
  <c r="J31" i="1"/>
  <c r="D32" i="1"/>
  <c r="C35" i="1"/>
  <c r="C41" i="1" s="1"/>
  <c r="D35" i="1"/>
  <c r="E35" i="1"/>
  <c r="H35" i="1"/>
  <c r="I35" i="1"/>
  <c r="I41" i="1" s="1"/>
  <c r="J35" i="1"/>
  <c r="J41" i="1" s="1"/>
  <c r="C37" i="1"/>
  <c r="D37" i="1"/>
  <c r="E37" i="1"/>
  <c r="E42" i="1" s="1"/>
  <c r="H37" i="1"/>
  <c r="I37" i="1"/>
  <c r="J37" i="1"/>
  <c r="D41" i="1"/>
  <c r="E41" i="1"/>
  <c r="H41" i="1"/>
  <c r="C42" i="1"/>
  <c r="D42" i="1"/>
  <c r="H42" i="1"/>
  <c r="I42" i="1"/>
  <c r="J42" i="1"/>
  <c r="C46" i="1"/>
  <c r="D46" i="1"/>
  <c r="D48" i="1" s="1"/>
  <c r="E46" i="1"/>
  <c r="H46" i="1"/>
  <c r="I46" i="1"/>
  <c r="J46" i="1"/>
  <c r="C47" i="1"/>
  <c r="D47" i="1"/>
  <c r="D49" i="1" s="1"/>
  <c r="D55" i="1" s="1"/>
  <c r="D62" i="1" s="1"/>
  <c r="D65" i="1" s="1"/>
  <c r="H47" i="1"/>
  <c r="H49" i="1" s="1"/>
  <c r="H55" i="1" s="1"/>
  <c r="C48" i="1"/>
  <c r="C49" i="1" s="1"/>
  <c r="H48" i="1"/>
  <c r="C51" i="1"/>
  <c r="D51" i="1"/>
  <c r="E51" i="1"/>
  <c r="E53" i="1" s="1"/>
  <c r="E54" i="1" s="1"/>
  <c r="E55" i="1" s="1"/>
  <c r="E62" i="1" s="1"/>
  <c r="E65" i="1" s="1"/>
  <c r="H51" i="1"/>
  <c r="I51" i="1"/>
  <c r="I53" i="1" s="1"/>
  <c r="J51" i="1"/>
  <c r="H52" i="1"/>
  <c r="I52" i="1"/>
  <c r="J52" i="1"/>
  <c r="J54" i="1" s="1"/>
  <c r="J55" i="1" s="1"/>
  <c r="C53" i="1"/>
  <c r="C54" i="1" s="1"/>
  <c r="D53" i="1"/>
  <c r="D54" i="1" s="1"/>
  <c r="H53" i="1"/>
  <c r="J53" i="1"/>
  <c r="H54" i="1"/>
  <c r="C57" i="1"/>
  <c r="D57" i="1"/>
  <c r="E57" i="1"/>
  <c r="H57" i="1"/>
  <c r="I57" i="1"/>
  <c r="J57" i="1"/>
  <c r="C59" i="1"/>
  <c r="C64" i="1" s="1"/>
  <c r="D59" i="1"/>
  <c r="D64" i="1" s="1"/>
  <c r="E59" i="1"/>
  <c r="H59" i="1"/>
  <c r="I59" i="1"/>
  <c r="J59" i="1"/>
  <c r="C63" i="1"/>
  <c r="D63" i="1"/>
  <c r="E63" i="1"/>
  <c r="H63" i="1"/>
  <c r="I63" i="1"/>
  <c r="J63" i="1"/>
  <c r="E64" i="1"/>
  <c r="H64" i="1"/>
  <c r="I64" i="1"/>
  <c r="J64" i="1"/>
  <c r="C68" i="1"/>
  <c r="D68" i="1"/>
  <c r="E68" i="1"/>
  <c r="H68" i="1"/>
  <c r="I68" i="1"/>
  <c r="J68" i="1"/>
  <c r="C69" i="1"/>
  <c r="C71" i="1" s="1"/>
  <c r="C77" i="1" s="1"/>
  <c r="D69" i="1"/>
  <c r="D71" i="1" s="1"/>
  <c r="D77" i="1" s="1"/>
  <c r="H69" i="1"/>
  <c r="H71" i="1" s="1"/>
  <c r="H77" i="1" s="1"/>
  <c r="H84" i="1" s="1"/>
  <c r="H87" i="1" s="1"/>
  <c r="C70" i="1"/>
  <c r="D70" i="1"/>
  <c r="H70" i="1"/>
  <c r="C73" i="1"/>
  <c r="C75" i="1" s="1"/>
  <c r="C76" i="1" s="1"/>
  <c r="D73" i="1"/>
  <c r="E73" i="1"/>
  <c r="H73" i="1"/>
  <c r="I73" i="1"/>
  <c r="I75" i="1" s="1"/>
  <c r="I76" i="1" s="1"/>
  <c r="I77" i="1" s="1"/>
  <c r="J73" i="1"/>
  <c r="H74" i="1"/>
  <c r="I74" i="1"/>
  <c r="J74" i="1"/>
  <c r="D75" i="1"/>
  <c r="D76" i="1" s="1"/>
  <c r="E75" i="1"/>
  <c r="E76" i="1" s="1"/>
  <c r="H75" i="1"/>
  <c r="H76" i="1" s="1"/>
  <c r="J75" i="1"/>
  <c r="J76" i="1"/>
  <c r="J77" i="1" s="1"/>
  <c r="J84" i="1" s="1"/>
  <c r="J87" i="1" s="1"/>
  <c r="C79" i="1"/>
  <c r="C85" i="1" s="1"/>
  <c r="D79" i="1"/>
  <c r="D85" i="1" s="1"/>
  <c r="E79" i="1"/>
  <c r="H79" i="1"/>
  <c r="I79" i="1"/>
  <c r="I85" i="1" s="1"/>
  <c r="J79" i="1"/>
  <c r="C81" i="1"/>
  <c r="D81" i="1"/>
  <c r="E81" i="1"/>
  <c r="E86" i="1" s="1"/>
  <c r="H81" i="1"/>
  <c r="H86" i="1" s="1"/>
  <c r="I81" i="1"/>
  <c r="J81" i="1"/>
  <c r="E85" i="1"/>
  <c r="H85" i="1"/>
  <c r="J85" i="1"/>
  <c r="C86" i="1"/>
  <c r="D86" i="1"/>
  <c r="I86" i="1"/>
  <c r="J86" i="1"/>
  <c r="D84" i="1" l="1"/>
  <c r="D87" i="1" s="1"/>
  <c r="I17" i="1"/>
  <c r="J62" i="1"/>
  <c r="J65" i="1" s="1"/>
  <c r="I40" i="1"/>
  <c r="I43" i="1" s="1"/>
  <c r="I54" i="1"/>
  <c r="I55" i="1" s="1"/>
  <c r="I62" i="1" s="1"/>
  <c r="I65" i="1" s="1"/>
  <c r="E40" i="1"/>
  <c r="E43" i="1" s="1"/>
  <c r="E77" i="1"/>
  <c r="E84" i="1" s="1"/>
  <c r="E87" i="1" s="1"/>
  <c r="C55" i="1"/>
  <c r="H11" i="1"/>
  <c r="C26" i="1"/>
  <c r="C27" i="1" s="1"/>
  <c r="C33" i="1" s="1"/>
  <c r="C40" i="1" s="1"/>
  <c r="C43" i="1" s="1"/>
  <c r="H15" i="1"/>
  <c r="H16" i="1" s="1"/>
  <c r="D10" i="1"/>
  <c r="D11" i="1" s="1"/>
  <c r="D17" i="1" s="1"/>
  <c r="D40" i="1" s="1"/>
  <c r="D43" i="1" s="1"/>
  <c r="J15" i="1"/>
  <c r="J16" i="1" s="1"/>
  <c r="J17" i="1" s="1"/>
  <c r="H31" i="1"/>
  <c r="H32" i="1" s="1"/>
  <c r="H33" i="1" s="1"/>
  <c r="H62" i="1" l="1"/>
  <c r="H65" i="1" s="1"/>
  <c r="C62" i="1"/>
  <c r="C65" i="1" s="1"/>
  <c r="H17" i="1"/>
  <c r="H40" i="1" s="1"/>
  <c r="H43" i="1" s="1"/>
  <c r="C84" i="1"/>
  <c r="C87" i="1" s="1"/>
  <c r="I84" i="1"/>
  <c r="I87" i="1" s="1"/>
</calcChain>
</file>

<file path=xl/sharedStrings.xml><?xml version="1.0" encoding="utf-8"?>
<sst xmlns="http://schemas.openxmlformats.org/spreadsheetml/2006/main" count="68" uniqueCount="26">
  <si>
    <t>ADM</t>
  </si>
  <si>
    <t>Smith Barney</t>
  </si>
  <si>
    <t>Carr (NG)</t>
  </si>
  <si>
    <t>Bank One</t>
  </si>
  <si>
    <t>Paribas</t>
  </si>
  <si>
    <t>Crude</t>
  </si>
  <si>
    <t xml:space="preserve">ABN </t>
  </si>
  <si>
    <t>Brkr IM for commodity</t>
  </si>
  <si>
    <t>Brkr IM for all commodities</t>
  </si>
  <si>
    <t>Credit Line for IM</t>
  </si>
  <si>
    <t>% of Cred Line for commodity</t>
  </si>
  <si>
    <t>Daily Profit/(Loss)</t>
  </si>
  <si>
    <t>Open Trade Equity</t>
  </si>
  <si>
    <t>Cashflow:</t>
  </si>
  <si>
    <t>Change in IM aft Cred Line</t>
  </si>
  <si>
    <t>Brkr IM for commodity aft Cr Line</t>
  </si>
  <si>
    <t>Change in Open Trade Equity</t>
  </si>
  <si>
    <t>Credit Line for Commodity</t>
  </si>
  <si>
    <t>(brkr records all</t>
  </si>
  <si>
    <t>IM in Crude)</t>
  </si>
  <si>
    <t>(brkr acct 61108 records</t>
  </si>
  <si>
    <t>IM for Crude, Gas, HO, Unld</t>
  </si>
  <si>
    <t xml:space="preserve"> -put in HO in file)</t>
  </si>
  <si>
    <t>Brkr Span IM for all commodities</t>
  </si>
  <si>
    <t>Brkr Span IM for commodity</t>
  </si>
  <si>
    <t>% of Span IM for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</si>
</sst>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4" fontId="0" fillId="2" borderId="0" xfId="0" applyNumberFormat="1" applyFill="1"/>
    <xf numFmtId="44" fontId="0" fillId="0" borderId="0" xfId="1" applyFont="1"/>
    <xf numFmtId="44" fontId="2" fillId="0" borderId="0" xfId="1" applyFont="1"/>
    <xf numFmtId="9" fontId="0" fillId="0" borderId="0" xfId="2" applyFont="1"/>
    <xf numFmtId="8" fontId="2" fillId="0" borderId="0" xfId="1" applyNumberFormat="1" applyFont="1"/>
    <xf numFmtId="8" fontId="0" fillId="0" borderId="0" xfId="1" applyNumberFormat="1" applyFont="1"/>
    <xf numFmtId="8" fontId="0" fillId="0" borderId="1" xfId="1" applyNumberFormat="1" applyFont="1" applyBorder="1"/>
    <xf numFmtId="8" fontId="2" fillId="0" borderId="1" xfId="1" applyNumberFormat="1" applyFont="1" applyBorder="1"/>
    <xf numFmtId="0" fontId="3" fillId="0" borderId="0" xfId="0" applyFont="1"/>
    <xf numFmtId="8" fontId="3" fillId="0" borderId="0" xfId="1" applyNumberFormat="1" applyFont="1"/>
    <xf numFmtId="44" fontId="3" fillId="0" borderId="0" xfId="1" applyFont="1"/>
    <xf numFmtId="44" fontId="2" fillId="0" borderId="1" xfId="1" applyFont="1" applyBorder="1"/>
    <xf numFmtId="44" fontId="0" fillId="0" borderId="1" xfId="1" applyFont="1" applyBorder="1"/>
    <xf numFmtId="44" fontId="4" fillId="0" borderId="0" xfId="1" applyFont="1"/>
    <xf numFmtId="9" fontId="3" fillId="0" borderId="0" xfId="2" applyFont="1"/>
    <xf numFmtId="44" fontId="3" fillId="0" borderId="0" xfId="1" applyNumberFormat="1" applyFont="1"/>
    <xf numFmtId="0" fontId="2" fillId="0" borderId="2" xfId="0" applyFont="1" applyBorder="1"/>
    <xf numFmtId="8" fontId="2" fillId="0" borderId="3" xfId="1" applyNumberFormat="1" applyFont="1" applyBorder="1"/>
    <xf numFmtId="44" fontId="2" fillId="0" borderId="3" xfId="1" applyFont="1" applyBorder="1"/>
    <xf numFmtId="44" fontId="2" fillId="0" borderId="4" xfId="1" applyFont="1" applyBorder="1"/>
    <xf numFmtId="0" fontId="0" fillId="0" borderId="5" xfId="0" applyBorder="1"/>
    <xf numFmtId="44" fontId="2" fillId="0" borderId="0" xfId="1" applyNumberFormat="1" applyFont="1" applyBorder="1"/>
    <xf numFmtId="44" fontId="2" fillId="0" borderId="0" xfId="1" applyFont="1" applyBorder="1"/>
    <xf numFmtId="44" fontId="2" fillId="0" borderId="6" xfId="1" applyFont="1" applyBorder="1"/>
    <xf numFmtId="8" fontId="2" fillId="0" borderId="0" xfId="1" applyNumberFormat="1" applyFont="1" applyBorder="1"/>
    <xf numFmtId="8" fontId="2" fillId="0" borderId="6" xfId="1" applyNumberFormat="1" applyFont="1" applyBorder="1"/>
    <xf numFmtId="8" fontId="2" fillId="0" borderId="7" xfId="1" applyNumberFormat="1" applyFont="1" applyBorder="1"/>
    <xf numFmtId="0" fontId="2" fillId="0" borderId="8" xfId="0" applyFont="1" applyBorder="1"/>
    <xf numFmtId="44" fontId="2" fillId="0" borderId="9" xfId="1" applyNumberFormat="1" applyFont="1" applyBorder="1"/>
    <xf numFmtId="44" fontId="2" fillId="0" borderId="9" xfId="1" applyFont="1" applyBorder="1"/>
    <xf numFmtId="44" fontId="2" fillId="0" borderId="10" xfId="1" applyFont="1" applyBorder="1"/>
    <xf numFmtId="44" fontId="0" fillId="0" borderId="0" xfId="1" applyFont="1" applyBorder="1"/>
    <xf numFmtId="44" fontId="0" fillId="0" borderId="6" xfId="1" applyFont="1" applyBorder="1"/>
    <xf numFmtId="8" fontId="0" fillId="0" borderId="0" xfId="1" applyNumberFormat="1" applyFont="1" applyBorder="1"/>
    <xf numFmtId="8" fontId="0" fillId="0" borderId="6" xfId="1" applyNumberFormat="1" applyFont="1" applyBorder="1"/>
    <xf numFmtId="8" fontId="0" fillId="0" borderId="7" xfId="1" applyNumberFormat="1" applyFont="1" applyBorder="1"/>
    <xf numFmtId="9" fontId="3" fillId="0" borderId="0" xfId="2" applyFont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9" fontId="3" fillId="0" borderId="0" xfId="2" applyFont="1" applyFill="1"/>
    <xf numFmtId="9" fontId="0" fillId="0" borderId="0" xfId="2" applyFont="1" applyFill="1"/>
    <xf numFmtId="0" fontId="2" fillId="0" borderId="3" xfId="0" applyFont="1" applyFill="1" applyBorder="1"/>
    <xf numFmtId="0" fontId="0" fillId="0" borderId="0" xfId="0" applyFill="1" applyBorder="1"/>
    <xf numFmtId="0" fontId="2" fillId="0" borderId="9" xfId="0" applyFont="1" applyFill="1" applyBorder="1"/>
    <xf numFmtId="14" fontId="2" fillId="2" borderId="0" xfId="0" applyNumberFormat="1" applyFont="1" applyFill="1" applyBorder="1"/>
    <xf numFmtId="44" fontId="0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dm0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Carr0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SB0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bn0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re/Wire0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BkOne0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Pf0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R15">
            <v>535535</v>
          </cell>
        </row>
        <row r="16">
          <cell r="R16">
            <v>3345430</v>
          </cell>
        </row>
        <row r="17">
          <cell r="R17">
            <v>379500</v>
          </cell>
        </row>
        <row r="20">
          <cell r="R20">
            <v>544500</v>
          </cell>
        </row>
      </sheetData>
      <sheetData sheetId="3">
        <row r="386">
          <cell r="Q386">
            <v>0</v>
          </cell>
          <cell r="Y386">
            <v>0</v>
          </cell>
        </row>
        <row r="387">
          <cell r="Q387">
            <v>0</v>
          </cell>
          <cell r="Y387">
            <v>0</v>
          </cell>
        </row>
        <row r="391">
          <cell r="Q391">
            <v>0</v>
          </cell>
          <cell r="Y391">
            <v>0</v>
          </cell>
        </row>
        <row r="392">
          <cell r="Q392">
            <v>0</v>
          </cell>
          <cell r="Y392">
            <v>0</v>
          </cell>
        </row>
        <row r="396">
          <cell r="Q396">
            <v>0</v>
          </cell>
          <cell r="Y396">
            <v>0</v>
          </cell>
        </row>
        <row r="397">
          <cell r="Q397">
            <v>-3134.95</v>
          </cell>
          <cell r="Y397">
            <v>0</v>
          </cell>
        </row>
        <row r="401">
          <cell r="Q401">
            <v>0</v>
          </cell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Q414">
            <v>-2228350</v>
          </cell>
          <cell r="Y414">
            <v>-1461370</v>
          </cell>
        </row>
        <row r="418">
          <cell r="Q418">
            <v>974985</v>
          </cell>
          <cell r="Y418">
            <v>543950</v>
          </cell>
          <cell r="CW418">
            <v>1518935</v>
          </cell>
        </row>
        <row r="428">
          <cell r="Q428">
            <v>0</v>
          </cell>
          <cell r="Y428">
            <v>0</v>
          </cell>
        </row>
        <row r="429">
          <cell r="Q429">
            <v>0</v>
          </cell>
          <cell r="Y429">
            <v>0</v>
          </cell>
        </row>
        <row r="433">
          <cell r="Q433">
            <v>0</v>
          </cell>
          <cell r="Y433">
            <v>0</v>
          </cell>
        </row>
        <row r="434">
          <cell r="Q434">
            <v>0</v>
          </cell>
          <cell r="Y434">
            <v>0</v>
          </cell>
        </row>
        <row r="438">
          <cell r="Q438">
            <v>0</v>
          </cell>
          <cell r="Y438">
            <v>0</v>
          </cell>
        </row>
        <row r="439">
          <cell r="Q439">
            <v>-4770</v>
          </cell>
          <cell r="Y439">
            <v>0</v>
          </cell>
        </row>
        <row r="443">
          <cell r="Q443">
            <v>0</v>
          </cell>
          <cell r="Y443">
            <v>0</v>
          </cell>
        </row>
        <row r="444">
          <cell r="Q444">
            <v>0</v>
          </cell>
          <cell r="Y444">
            <v>0</v>
          </cell>
        </row>
        <row r="447">
          <cell r="Q447">
            <v>0</v>
          </cell>
          <cell r="Y447">
            <v>0</v>
          </cell>
        </row>
        <row r="456">
          <cell r="Q456">
            <v>-5169200</v>
          </cell>
          <cell r="Y456">
            <v>-1181050</v>
          </cell>
        </row>
        <row r="460">
          <cell r="Q460">
            <v>3772670</v>
          </cell>
          <cell r="Y460">
            <v>543950</v>
          </cell>
          <cell r="CW460">
            <v>4316620</v>
          </cell>
        </row>
        <row r="470">
          <cell r="Q470">
            <v>0</v>
          </cell>
          <cell r="Y470">
            <v>0</v>
          </cell>
        </row>
        <row r="471">
          <cell r="Q471">
            <v>0</v>
          </cell>
          <cell r="Y471">
            <v>0</v>
          </cell>
        </row>
        <row r="475">
          <cell r="Q475">
            <v>0</v>
          </cell>
          <cell r="Y475">
            <v>0</v>
          </cell>
        </row>
        <row r="476">
          <cell r="Q476">
            <v>0</v>
          </cell>
          <cell r="Y476">
            <v>0</v>
          </cell>
        </row>
        <row r="480">
          <cell r="Q480">
            <v>0</v>
          </cell>
          <cell r="Y480">
            <v>0</v>
          </cell>
        </row>
        <row r="481">
          <cell r="Q481">
            <v>-3259.5</v>
          </cell>
          <cell r="Y481">
            <v>0</v>
          </cell>
        </row>
        <row r="485">
          <cell r="Q485">
            <v>0</v>
          </cell>
          <cell r="Y485">
            <v>112000</v>
          </cell>
        </row>
        <row r="486">
          <cell r="Q486">
            <v>0</v>
          </cell>
          <cell r="Y486">
            <v>0</v>
          </cell>
        </row>
        <row r="489">
          <cell r="Q489">
            <v>-738.14</v>
          </cell>
          <cell r="Y489">
            <v>10921.42</v>
          </cell>
        </row>
        <row r="498">
          <cell r="Q498">
            <v>-1478590</v>
          </cell>
          <cell r="Y498">
            <v>-7979310</v>
          </cell>
        </row>
        <row r="502">
          <cell r="Q502">
            <v>2381500</v>
          </cell>
          <cell r="Y502">
            <v>2002000</v>
          </cell>
          <cell r="CW502">
            <v>4383500</v>
          </cell>
        </row>
        <row r="596">
          <cell r="Q596">
            <v>0</v>
          </cell>
          <cell r="Y596">
            <v>0</v>
          </cell>
        </row>
        <row r="597">
          <cell r="Q597">
            <v>0</v>
          </cell>
          <cell r="Y597">
            <v>0</v>
          </cell>
        </row>
        <row r="601">
          <cell r="Q601">
            <v>0</v>
          </cell>
          <cell r="Y601">
            <v>0</v>
          </cell>
        </row>
        <row r="602">
          <cell r="Q602">
            <v>0</v>
          </cell>
          <cell r="Y602">
            <v>0</v>
          </cell>
        </row>
        <row r="606">
          <cell r="Q606">
            <v>-200</v>
          </cell>
          <cell r="Y606">
            <v>0</v>
          </cell>
        </row>
        <row r="607">
          <cell r="Q607">
            <v>-860</v>
          </cell>
          <cell r="Y607">
            <v>0</v>
          </cell>
        </row>
        <row r="611">
          <cell r="Q611">
            <v>0</v>
          </cell>
          <cell r="Y611">
            <v>0</v>
          </cell>
        </row>
        <row r="612">
          <cell r="Q612">
            <v>0</v>
          </cell>
        </row>
        <row r="615">
          <cell r="Q615">
            <v>0</v>
          </cell>
          <cell r="Y615">
            <v>0</v>
          </cell>
        </row>
        <row r="624">
          <cell r="Q624">
            <v>-1763510</v>
          </cell>
          <cell r="Y624">
            <v>-7347300</v>
          </cell>
        </row>
        <row r="628">
          <cell r="Q628">
            <v>2546500</v>
          </cell>
          <cell r="Y628">
            <v>2002000</v>
          </cell>
          <cell r="CW628">
            <v>4548500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>
        <row r="15">
          <cell r="P15">
            <v>34596100</v>
          </cell>
        </row>
        <row r="16">
          <cell r="P16">
            <v>32238630</v>
          </cell>
        </row>
        <row r="17">
          <cell r="P17">
            <v>4894851</v>
          </cell>
        </row>
        <row r="20">
          <cell r="P20">
            <v>3400833</v>
          </cell>
        </row>
      </sheetData>
      <sheetData sheetId="3">
        <row r="386">
          <cell r="BI386">
            <v>0</v>
          </cell>
        </row>
        <row r="387">
          <cell r="BI387">
            <v>0</v>
          </cell>
        </row>
        <row r="391">
          <cell r="BI391">
            <v>0</v>
          </cell>
        </row>
        <row r="392">
          <cell r="BI392">
            <v>0</v>
          </cell>
        </row>
        <row r="396">
          <cell r="BI396">
            <v>0</v>
          </cell>
        </row>
        <row r="397">
          <cell r="BI397">
            <v>-9784.6</v>
          </cell>
        </row>
        <row r="401">
          <cell r="BI401">
            <v>0</v>
          </cell>
        </row>
        <row r="402">
          <cell r="BI402">
            <v>0</v>
          </cell>
        </row>
        <row r="405">
          <cell r="BI405">
            <v>0</v>
          </cell>
        </row>
        <row r="414">
          <cell r="BI414">
            <v>14656190</v>
          </cell>
        </row>
        <row r="418">
          <cell r="I418">
            <v>4370575</v>
          </cell>
          <cell r="M418">
            <v>0</v>
          </cell>
          <cell r="BI418">
            <v>30225525</v>
          </cell>
        </row>
        <row r="428">
          <cell r="BI428">
            <v>160000</v>
          </cell>
        </row>
        <row r="429">
          <cell r="BI429">
            <v>-406</v>
          </cell>
        </row>
        <row r="433">
          <cell r="BI433">
            <v>0</v>
          </cell>
        </row>
        <row r="434">
          <cell r="BI434">
            <v>0</v>
          </cell>
        </row>
        <row r="438">
          <cell r="BI438">
            <v>0</v>
          </cell>
        </row>
        <row r="439">
          <cell r="BI439">
            <v>-14950.95</v>
          </cell>
        </row>
        <row r="443">
          <cell r="BI443">
            <v>0</v>
          </cell>
        </row>
        <row r="444">
          <cell r="BI444">
            <v>-203</v>
          </cell>
        </row>
        <row r="447">
          <cell r="BI447">
            <v>0</v>
          </cell>
        </row>
        <row r="456">
          <cell r="BI456">
            <v>39877910</v>
          </cell>
        </row>
        <row r="460">
          <cell r="I460">
            <v>4318325</v>
          </cell>
          <cell r="M460">
            <v>0</v>
          </cell>
          <cell r="BI460">
            <v>27920305</v>
          </cell>
        </row>
        <row r="470">
          <cell r="BI470">
            <v>0</v>
          </cell>
        </row>
        <row r="471">
          <cell r="BI471">
            <v>0</v>
          </cell>
        </row>
        <row r="475">
          <cell r="BI475">
            <v>0</v>
          </cell>
        </row>
        <row r="480">
          <cell r="BI480">
            <v>0</v>
          </cell>
        </row>
        <row r="481">
          <cell r="BI481">
            <v>-4223.17</v>
          </cell>
        </row>
        <row r="485">
          <cell r="BI485">
            <v>0</v>
          </cell>
        </row>
        <row r="489">
          <cell r="BI489">
            <v>0</v>
          </cell>
        </row>
        <row r="498">
          <cell r="BI498">
            <v>5275740</v>
          </cell>
        </row>
        <row r="502">
          <cell r="I502">
            <v>4318325</v>
          </cell>
          <cell r="M502">
            <v>0</v>
          </cell>
          <cell r="BI502">
            <v>1229970</v>
          </cell>
        </row>
        <row r="596">
          <cell r="BI596">
            <v>0</v>
          </cell>
        </row>
        <row r="597">
          <cell r="BI597">
            <v>0</v>
          </cell>
        </row>
        <row r="601">
          <cell r="BI601">
            <v>0</v>
          </cell>
        </row>
        <row r="602">
          <cell r="BI602">
            <v>0</v>
          </cell>
        </row>
        <row r="606">
          <cell r="BI606">
            <v>0</v>
          </cell>
        </row>
        <row r="607">
          <cell r="BI607">
            <v>-87.289999999999992</v>
          </cell>
        </row>
        <row r="611">
          <cell r="BI611">
            <v>0</v>
          </cell>
        </row>
        <row r="615">
          <cell r="BI615">
            <v>0</v>
          </cell>
        </row>
        <row r="624">
          <cell r="BI624">
            <v>5238400</v>
          </cell>
        </row>
        <row r="628">
          <cell r="I628">
            <v>2932325</v>
          </cell>
          <cell r="M628">
            <v>0</v>
          </cell>
          <cell r="BI628">
            <v>796660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-10923570</v>
          </cell>
        </row>
        <row r="418">
          <cell r="Y418">
            <v>10222698</v>
          </cell>
          <cell r="CK418">
            <v>10222698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39">
          <cell r="Y439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-14315580</v>
          </cell>
        </row>
        <row r="460">
          <cell r="Y460">
            <v>11890677</v>
          </cell>
          <cell r="CK460">
            <v>11890677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1867000</v>
          </cell>
        </row>
        <row r="502">
          <cell r="Y502">
            <v>3080700</v>
          </cell>
          <cell r="CK502">
            <v>3080700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5">
          <cell r="Y615">
            <v>0</v>
          </cell>
        </row>
        <row r="624">
          <cell r="Y624">
            <v>1865720</v>
          </cell>
        </row>
        <row r="628">
          <cell r="Y628">
            <v>3969152</v>
          </cell>
          <cell r="CK628">
            <v>3969152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>
        <row r="15">
          <cell r="V15">
            <v>20034487</v>
          </cell>
        </row>
        <row r="16">
          <cell r="V16">
            <v>19873667</v>
          </cell>
        </row>
        <row r="17">
          <cell r="V17">
            <v>37727360</v>
          </cell>
        </row>
        <row r="20">
          <cell r="V20">
            <v>38007860</v>
          </cell>
        </row>
      </sheetData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-1447700</v>
          </cell>
        </row>
        <row r="418">
          <cell r="Y418">
            <v>0</v>
          </cell>
          <cell r="BI418">
            <v>34378685</v>
          </cell>
        </row>
        <row r="428">
          <cell r="AG428">
            <v>0</v>
          </cell>
        </row>
        <row r="429">
          <cell r="AG429">
            <v>0</v>
          </cell>
        </row>
        <row r="433">
          <cell r="AG433">
            <v>0</v>
          </cell>
        </row>
        <row r="434">
          <cell r="AG434">
            <v>0</v>
          </cell>
        </row>
        <row r="438">
          <cell r="AG438">
            <v>0</v>
          </cell>
        </row>
        <row r="439">
          <cell r="AG439">
            <v>0</v>
          </cell>
        </row>
        <row r="443">
          <cell r="AG443">
            <v>0</v>
          </cell>
        </row>
        <row r="444">
          <cell r="AG444">
            <v>20.3</v>
          </cell>
        </row>
        <row r="447">
          <cell r="AG447">
            <v>0</v>
          </cell>
        </row>
        <row r="456">
          <cell r="AH456">
            <v>1847000.4</v>
          </cell>
        </row>
        <row r="460">
          <cell r="Y460">
            <v>0</v>
          </cell>
          <cell r="BI460">
            <v>34346565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-1276600</v>
          </cell>
        </row>
        <row r="502">
          <cell r="Y502">
            <v>0</v>
          </cell>
          <cell r="BI502">
            <v>45229954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-709450</v>
          </cell>
        </row>
        <row r="628">
          <cell r="Y628">
            <v>0</v>
          </cell>
          <cell r="BI628">
            <v>46079704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Cashflow"/>
      <sheetName val="WIRE WORKSHEET"/>
      <sheetName val="Wire Log"/>
      <sheetName val="ADM Investors"/>
      <sheetName val="Bank One"/>
      <sheetName val="BEAR STEARNS"/>
      <sheetName val="R J O'Brien"/>
      <sheetName val="EDF MANN"/>
      <sheetName val="ABN-AMRO"/>
      <sheetName val="SAUL"/>
      <sheetName val="One Time Wire"/>
      <sheetName val="PARIBAS"/>
      <sheetName val="PRUDENTIAL "/>
      <sheetName val="REFCO"/>
      <sheetName val="Smith Barney"/>
      <sheetName val="CREDIT SUISSE FIRST BOSTON"/>
      <sheetName val="CARR FUTURES (NG)"/>
      <sheetName val="CARR FUTURES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>
        <row r="4">
          <cell r="AR4">
            <v>-105300</v>
          </cell>
        </row>
        <row r="5">
          <cell r="AR5">
            <v>1502820</v>
          </cell>
        </row>
        <row r="6">
          <cell r="AR6">
            <v>-999675</v>
          </cell>
        </row>
        <row r="7">
          <cell r="AR7">
            <v>0</v>
          </cell>
        </row>
        <row r="8">
          <cell r="AR8">
            <v>330000</v>
          </cell>
        </row>
        <row r="11">
          <cell r="AR11">
            <v>0</v>
          </cell>
        </row>
        <row r="12">
          <cell r="AR12">
            <v>0</v>
          </cell>
        </row>
        <row r="13">
          <cell r="AR13">
            <v>0</v>
          </cell>
        </row>
        <row r="14">
          <cell r="AR14">
            <v>0</v>
          </cell>
        </row>
        <row r="15">
          <cell r="AR15">
            <v>-142848</v>
          </cell>
        </row>
        <row r="18">
          <cell r="AR18">
            <v>14954760</v>
          </cell>
        </row>
        <row r="19">
          <cell r="AR19">
            <v>0</v>
          </cell>
        </row>
        <row r="37">
          <cell r="AR37">
            <v>6002488</v>
          </cell>
        </row>
        <row r="39">
          <cell r="AW39">
            <v>11943470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-2278750</v>
          </cell>
        </row>
        <row r="418">
          <cell r="Y418">
            <v>2147513</v>
          </cell>
          <cell r="CW418">
            <v>6730333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-2067790</v>
          </cell>
        </row>
        <row r="460">
          <cell r="Y460">
            <v>2224665</v>
          </cell>
          <cell r="CW460">
            <v>6587485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-3784.6</v>
          </cell>
        </row>
        <row r="489">
          <cell r="Y489">
            <v>0</v>
          </cell>
        </row>
        <row r="498">
          <cell r="Y498">
            <v>9865920</v>
          </cell>
        </row>
        <row r="502">
          <cell r="Y502">
            <v>17179425</v>
          </cell>
          <cell r="CW502">
            <v>21542245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3844870</v>
          </cell>
        </row>
        <row r="628">
          <cell r="Y628">
            <v>17179425</v>
          </cell>
          <cell r="CW628">
            <v>21542245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U15">
            <v>1626654</v>
          </cell>
        </row>
        <row r="16">
          <cell r="U16">
            <v>5172427</v>
          </cell>
        </row>
        <row r="17">
          <cell r="U17">
            <v>-12223511</v>
          </cell>
        </row>
        <row r="20">
          <cell r="S20">
            <v>-10413128</v>
          </cell>
        </row>
      </sheetData>
      <sheetData sheetId="3">
        <row r="386">
          <cell r="Y386">
            <v>76000</v>
          </cell>
        </row>
        <row r="387">
          <cell r="Y387">
            <v>-625</v>
          </cell>
        </row>
        <row r="391">
          <cell r="Y391">
            <v>0</v>
          </cell>
        </row>
        <row r="396">
          <cell r="Y396">
            <v>-367710</v>
          </cell>
        </row>
        <row r="397">
          <cell r="Y397">
            <v>44268.56</v>
          </cell>
        </row>
        <row r="401">
          <cell r="Y401">
            <v>0</v>
          </cell>
        </row>
        <row r="405">
          <cell r="Y405">
            <v>0</v>
          </cell>
        </row>
        <row r="414">
          <cell r="Y414">
            <v>-3591800</v>
          </cell>
        </row>
        <row r="416">
          <cell r="BE416">
            <v>37861340</v>
          </cell>
        </row>
        <row r="418">
          <cell r="Y418">
            <v>0</v>
          </cell>
          <cell r="CW418">
            <v>36234686</v>
          </cell>
        </row>
        <row r="428">
          <cell r="Y428">
            <v>867000</v>
          </cell>
        </row>
        <row r="429">
          <cell r="Y429">
            <v>-1250</v>
          </cell>
        </row>
        <row r="433">
          <cell r="Y433">
            <v>0</v>
          </cell>
        </row>
        <row r="438">
          <cell r="Y438">
            <v>426350</v>
          </cell>
        </row>
        <row r="439">
          <cell r="Y439">
            <v>-5866.5</v>
          </cell>
        </row>
        <row r="443">
          <cell r="Y443">
            <v>0</v>
          </cell>
        </row>
        <row r="444">
          <cell r="Y444">
            <v>-500000</v>
          </cell>
        </row>
        <row r="447">
          <cell r="Y447">
            <v>0</v>
          </cell>
        </row>
        <row r="456">
          <cell r="Y456">
            <v>-16995710</v>
          </cell>
        </row>
        <row r="458">
          <cell r="BE458">
            <v>36234686</v>
          </cell>
        </row>
        <row r="460">
          <cell r="Y460">
            <v>0</v>
          </cell>
          <cell r="CW460">
            <v>31062259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80">
          <cell r="Y480">
            <v>4353010</v>
          </cell>
        </row>
        <row r="481">
          <cell r="Y481">
            <v>-19882.5</v>
          </cell>
        </row>
        <row r="485">
          <cell r="Y485">
            <v>0</v>
          </cell>
        </row>
        <row r="489">
          <cell r="Y489">
            <v>0</v>
          </cell>
        </row>
        <row r="498">
          <cell r="Y498">
            <v>-6813210</v>
          </cell>
        </row>
        <row r="500">
          <cell r="BE500">
            <v>31062259</v>
          </cell>
        </row>
        <row r="502">
          <cell r="Y502">
            <v>0</v>
          </cell>
          <cell r="CW502">
            <v>43285770</v>
          </cell>
        </row>
        <row r="596">
          <cell r="Y596">
            <v>-100450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-3309870</v>
          </cell>
        </row>
        <row r="607">
          <cell r="Y607">
            <v>-11912.5</v>
          </cell>
        </row>
        <row r="611">
          <cell r="Y611">
            <v>-1371060</v>
          </cell>
        </row>
        <row r="612">
          <cell r="Y612">
            <v>-1262.5</v>
          </cell>
        </row>
        <row r="615">
          <cell r="Y615">
            <v>0</v>
          </cell>
        </row>
        <row r="624">
          <cell r="Y624">
            <v>5876960</v>
          </cell>
        </row>
        <row r="626">
          <cell r="BE626">
            <v>43285770</v>
          </cell>
        </row>
        <row r="628">
          <cell r="Y628">
            <v>6907640</v>
          </cell>
          <cell r="CW628">
            <v>53698898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M87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RowHeight="12.75" x14ac:dyDescent="0.2"/>
  <cols>
    <col min="1" max="1" width="31" bestFit="1" customWidth="1"/>
    <col min="2" max="2" width="1.85546875" style="39" customWidth="1"/>
    <col min="3" max="5" width="20.7109375" style="3" customWidth="1"/>
    <col min="6" max="6" width="2.28515625" style="3" customWidth="1"/>
    <col min="7" max="7" width="2" style="3" customWidth="1"/>
    <col min="8" max="10" width="20.7109375" style="3" customWidth="1"/>
    <col min="11" max="65" width="9.140625" style="3"/>
  </cols>
  <sheetData>
    <row r="3" spans="1:65" x14ac:dyDescent="0.2">
      <c r="C3" s="3" t="s">
        <v>0</v>
      </c>
      <c r="D3" s="3" t="s">
        <v>2</v>
      </c>
      <c r="E3" s="3" t="s">
        <v>1</v>
      </c>
      <c r="H3" s="3" t="s">
        <v>6</v>
      </c>
      <c r="I3" s="3" t="s">
        <v>3</v>
      </c>
      <c r="J3" s="3" t="s">
        <v>4</v>
      </c>
    </row>
    <row r="4" spans="1:65" x14ac:dyDescent="0.2">
      <c r="H4" s="15" t="s">
        <v>20</v>
      </c>
    </row>
    <row r="5" spans="1:65" x14ac:dyDescent="0.2">
      <c r="E5" s="15" t="s">
        <v>18</v>
      </c>
      <c r="H5" s="15" t="s">
        <v>21</v>
      </c>
    </row>
    <row r="6" spans="1:65" x14ac:dyDescent="0.2">
      <c r="A6" s="1" t="s">
        <v>5</v>
      </c>
      <c r="B6" s="40"/>
      <c r="E6" s="15" t="s">
        <v>19</v>
      </c>
      <c r="H6" s="15" t="s">
        <v>22</v>
      </c>
    </row>
    <row r="7" spans="1:65" x14ac:dyDescent="0.2">
      <c r="A7" s="47">
        <v>36810</v>
      </c>
      <c r="B7" s="2"/>
      <c r="C7" s="48"/>
      <c r="D7" s="48"/>
      <c r="E7" s="48"/>
      <c r="F7" s="48"/>
      <c r="G7" s="48"/>
      <c r="H7" s="48"/>
      <c r="I7" s="48"/>
      <c r="J7" s="48"/>
    </row>
    <row r="8" spans="1:65" s="10" customFormat="1" x14ac:dyDescent="0.2">
      <c r="A8" s="10" t="s">
        <v>7</v>
      </c>
      <c r="B8" s="41"/>
      <c r="C8" s="11">
        <f>+[1]Statements!$Q$418+[1]Statements!$Y$418</f>
        <v>1518935</v>
      </c>
      <c r="D8" s="12">
        <f>+[2]Statements!$BI$418</f>
        <v>30225525</v>
      </c>
      <c r="E8" s="11">
        <f>+[3]Statements!$Y$418</f>
        <v>10222698</v>
      </c>
      <c r="F8" s="12"/>
      <c r="G8" s="12"/>
      <c r="H8" s="11">
        <f>+[4]Statements!$Y$418</f>
        <v>0</v>
      </c>
      <c r="I8" s="11">
        <f>+[6]Statements!$Y$418</f>
        <v>2147513</v>
      </c>
      <c r="J8" s="11">
        <f>+[7]Statements!$Y$418</f>
        <v>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10" customFormat="1" x14ac:dyDescent="0.2">
      <c r="A9" s="10" t="s">
        <v>23</v>
      </c>
      <c r="B9" s="41"/>
      <c r="C9" s="12">
        <f>+[1]Wire!$R$15</f>
        <v>535535</v>
      </c>
      <c r="D9" s="11">
        <f>+'[2]US -Wire'!$P$15</f>
        <v>34596100</v>
      </c>
      <c r="E9" s="11"/>
      <c r="F9" s="12"/>
      <c r="G9" s="12"/>
      <c r="H9" s="17">
        <f>+[4]Wire!$V$15</f>
        <v>20034487</v>
      </c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s="16" customFormat="1" x14ac:dyDescent="0.2">
      <c r="A10" s="38" t="s">
        <v>25</v>
      </c>
      <c r="B10" s="42"/>
      <c r="C10" s="16">
        <f>+C8/C13</f>
        <v>1</v>
      </c>
      <c r="D10" s="16">
        <f>+D8/D13</f>
        <v>0.87366856379765345</v>
      </c>
      <c r="H10" s="16">
        <f>+H8/H13</f>
        <v>0</v>
      </c>
    </row>
    <row r="11" spans="1:65" s="1" customFormat="1" x14ac:dyDescent="0.2">
      <c r="A11" s="1" t="s">
        <v>24</v>
      </c>
      <c r="B11" s="40"/>
      <c r="C11" s="4">
        <f>+C9*C10</f>
        <v>535535</v>
      </c>
      <c r="D11" s="4">
        <f>+D9*D10</f>
        <v>30225525</v>
      </c>
      <c r="E11" s="4"/>
      <c r="F11" s="4"/>
      <c r="G11" s="4"/>
      <c r="H11" s="4">
        <f>+H9*H10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3" spans="1:65" x14ac:dyDescent="0.2">
      <c r="A13" t="s">
        <v>8</v>
      </c>
      <c r="C13" s="7">
        <f>+[1]Statements!$CW$418</f>
        <v>1518935</v>
      </c>
      <c r="D13" s="3">
        <f>+[2]Statements!$BI$418+[2]Statements!$I$418+[2]Statements!$M$418</f>
        <v>34596100</v>
      </c>
      <c r="E13" s="7">
        <f>+[3]Statements!$CK$418</f>
        <v>10222698</v>
      </c>
      <c r="H13" s="7">
        <f>+[4]Statements!$BI$418</f>
        <v>34378685</v>
      </c>
      <c r="I13" s="7">
        <f>+[6]Statements!$CW$418</f>
        <v>6730333</v>
      </c>
      <c r="J13" s="7">
        <f>+[7]Statements!$CW$418</f>
        <v>36234686</v>
      </c>
    </row>
    <row r="14" spans="1:65" x14ac:dyDescent="0.2">
      <c r="A14" t="s">
        <v>9</v>
      </c>
      <c r="C14" s="3">
        <v>0</v>
      </c>
      <c r="D14" s="3">
        <v>0</v>
      </c>
      <c r="E14" s="3">
        <v>0</v>
      </c>
      <c r="H14" s="3">
        <f>+'[5]WIRE WORKSHEET'!$AW$39</f>
        <v>11943470</v>
      </c>
      <c r="I1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</f>
        <v>6730333</v>
      </c>
      <c r="J14" s="7">
        <f>+[7]Statements!$BE$416-[7]Wire!$U$15</f>
        <v>36234686</v>
      </c>
    </row>
    <row r="15" spans="1:65" s="5" customFormat="1" x14ac:dyDescent="0.2">
      <c r="A15" s="5" t="s">
        <v>10</v>
      </c>
      <c r="B15" s="43"/>
      <c r="C15" s="5">
        <f>+C8/C13</f>
        <v>1</v>
      </c>
      <c r="D15" s="5">
        <f>+D8/D13</f>
        <v>0.87366856379765345</v>
      </c>
      <c r="E15" s="5">
        <f>+E8/E13</f>
        <v>1</v>
      </c>
      <c r="H15" s="5">
        <f>+H8/H13</f>
        <v>0</v>
      </c>
      <c r="I15" s="5">
        <f>+I8/I13</f>
        <v>0.31907975430041874</v>
      </c>
      <c r="J15" s="5">
        <f>+J8/J13</f>
        <v>0</v>
      </c>
    </row>
    <row r="16" spans="1:65" x14ac:dyDescent="0.2">
      <c r="A16" t="s">
        <v>17</v>
      </c>
      <c r="C16" s="3">
        <f>+C14*C15</f>
        <v>0</v>
      </c>
      <c r="D16" s="3">
        <f>+D14*D15</f>
        <v>0</v>
      </c>
      <c r="E16" s="3">
        <f>+E14*E15</f>
        <v>0</v>
      </c>
      <c r="H16" s="3">
        <f>+H14*H15</f>
        <v>0</v>
      </c>
      <c r="I16" s="3">
        <f>+I14*I15</f>
        <v>2147513</v>
      </c>
      <c r="J16" s="3">
        <f>+J14*J15</f>
        <v>0</v>
      </c>
    </row>
    <row r="17" spans="1:65" s="1" customFormat="1" x14ac:dyDescent="0.2">
      <c r="A17" s="1" t="s">
        <v>15</v>
      </c>
      <c r="B17" s="40"/>
      <c r="C17" s="4">
        <f>+C11-C16</f>
        <v>535535</v>
      </c>
      <c r="D17" s="4">
        <f>+D11-D16</f>
        <v>30225525</v>
      </c>
      <c r="E17" s="4">
        <f>+E8-E16</f>
        <v>10222698</v>
      </c>
      <c r="F17" s="4"/>
      <c r="G17" s="4"/>
      <c r="H17" s="4">
        <f>+H11-H16</f>
        <v>0</v>
      </c>
      <c r="I17" s="4">
        <f>+I8-I16</f>
        <v>0</v>
      </c>
      <c r="J17" s="4">
        <f>+J8-J16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9" spans="1:65" s="1" customFormat="1" x14ac:dyDescent="0.2">
      <c r="A19" s="1" t="s">
        <v>11</v>
      </c>
      <c r="B19" s="40"/>
      <c r="C19" s="6">
        <f>+[1]Statements!$Q$386+[1]Statements!$Q$387+[1]Statements!$Q$391+[1]Statements!$Q$392+[1]Statements!$Q$396+[1]Statements!$Q$397+[1]Statements!$Q$401+[1]Statements!$Y$386+[1]Statements!$Y$387+[1]Statements!$Y$391+[1]Statements!$Y$392+[1]Statements!$Y$396+[1]Statements!$Y$397+[1]Statements!$Y$401+[1]Statements!$Y$402+[1]Statements!$Y$405</f>
        <v>-3134.95</v>
      </c>
      <c r="D19" s="4">
        <f>+[2]Statements!$BI$386+[2]Statements!$BI$387+[2]Statements!$BI$391+[2]Statements!$BI$392+[2]Statements!$BI$396+[2]Statements!$BI$397+[2]Statements!$BI$401+[2]Statements!$BI$402+[2]Statements!$BI$405</f>
        <v>-9784.6</v>
      </c>
      <c r="E19" s="6">
        <f>+[3]Statements!$Y$386+[3]Statements!$Y$387+[3]Statements!$Y$391+[3]Statements!$Y$392+[3]Statements!$Y$396+[3]Statements!$Y$397+[3]Statements!$Y$401+[3]Statements!$Y$402+[3]Statements!$Y$405</f>
        <v>0</v>
      </c>
      <c r="F19" s="4"/>
      <c r="G19" s="4"/>
      <c r="H19" s="6">
        <f>+[4]Statements!$Y$386+[4]Statements!$Y$387+[4]Statements!$Y$391+[4]Statements!$Y$392+[4]Statements!$Y$396+[4]Statements!$Y$397+[4]Statements!$Y$401+[4]Statements!$Y$402+[4]Statements!$Y$405</f>
        <v>0</v>
      </c>
      <c r="I19" s="6">
        <f>+[6]Statements!$Y$386+[6]Statements!$Y$387+[6]Statements!$Y$391+[6]Statements!$Y$392+[6]Statements!$Y$396+[6]Statements!$Y$397+[6]Statements!$Y$401+[6]Statements!$Y$402+[6]Statements!$Y$405</f>
        <v>0</v>
      </c>
      <c r="J19" s="6">
        <f>+[7]Statements!$Y$386+[7]Statements!$Y$387+[7]Statements!$Y$391+[7]Statements!$Y$396+[7]Statements!$Y$397+[7]Statements!$Y$401+[7]Statements!$Y$405</f>
        <v>-248066.44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1" spans="1:65" s="1" customFormat="1" x14ac:dyDescent="0.2">
      <c r="A21" s="1" t="s">
        <v>12</v>
      </c>
      <c r="B21" s="40"/>
      <c r="C21" s="6">
        <f>+[1]Statements!$Y$414+[1]Statements!$Q$414</f>
        <v>-3689720</v>
      </c>
      <c r="D21" s="4">
        <f>+[2]Statements!$BI$414</f>
        <v>14656190</v>
      </c>
      <c r="E21" s="6">
        <f>+[3]Statements!$Y$414</f>
        <v>-10923570</v>
      </c>
      <c r="F21" s="4"/>
      <c r="G21" s="4"/>
      <c r="H21" s="6">
        <f>+[4]Statements!$Y$414</f>
        <v>-1447700</v>
      </c>
      <c r="I21" s="6">
        <f>+[6]Statements!$Y$414</f>
        <v>-2278750</v>
      </c>
      <c r="J21" s="6">
        <f>+[7]Statements!$Y$414</f>
        <v>-3591800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3" spans="1:65" x14ac:dyDescent="0.2">
      <c r="A23" s="47">
        <v>36811</v>
      </c>
      <c r="B23" s="2"/>
      <c r="C23" s="48"/>
      <c r="D23" s="48"/>
      <c r="E23" s="48"/>
      <c r="F23" s="48"/>
      <c r="G23" s="48"/>
      <c r="H23" s="48"/>
      <c r="I23" s="48"/>
      <c r="J23" s="48"/>
    </row>
    <row r="24" spans="1:65" s="10" customFormat="1" x14ac:dyDescent="0.2">
      <c r="A24" s="10" t="s">
        <v>7</v>
      </c>
      <c r="B24" s="41"/>
      <c r="C24" s="12">
        <f>+[1]Statements!$Q$460+[1]Statements!$Y$460</f>
        <v>4316620</v>
      </c>
      <c r="D24" s="12">
        <f>+[2]Statements!$BI$460</f>
        <v>27920305</v>
      </c>
      <c r="E24" s="11">
        <f>+[3]Statements!$Y$460</f>
        <v>11890677</v>
      </c>
      <c r="F24" s="12"/>
      <c r="G24" s="12"/>
      <c r="H24" s="11">
        <f>+[4]Statements!$Y$460</f>
        <v>0</v>
      </c>
      <c r="I24" s="11">
        <f>+[6]Statements!$Y$460</f>
        <v>2224665</v>
      </c>
      <c r="J24" s="11">
        <f>+[7]Statements!$Y$460</f>
        <v>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s="10" customFormat="1" x14ac:dyDescent="0.2">
      <c r="A25" s="10" t="s">
        <v>23</v>
      </c>
      <c r="B25" s="41"/>
      <c r="C25" s="12">
        <f>+[1]Wire!$R$16</f>
        <v>3345430</v>
      </c>
      <c r="D25" s="11">
        <f>+'[2]US -Wire'!$P$16</f>
        <v>32238630</v>
      </c>
      <c r="E25" s="11"/>
      <c r="F25" s="12"/>
      <c r="G25" s="12"/>
      <c r="H25" s="17">
        <f>+[4]Wire!$V$16</f>
        <v>19873667</v>
      </c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s="16" customFormat="1" x14ac:dyDescent="0.2">
      <c r="A26" s="16" t="s">
        <v>25</v>
      </c>
      <c r="B26" s="42"/>
      <c r="C26" s="16">
        <f>+C24/C29</f>
        <v>1</v>
      </c>
      <c r="D26" s="16">
        <f>+D24/D29</f>
        <v>0.86605122488145436</v>
      </c>
      <c r="H26" s="16">
        <f>+H24/H29</f>
        <v>0</v>
      </c>
    </row>
    <row r="27" spans="1:65" s="1" customFormat="1" x14ac:dyDescent="0.2">
      <c r="A27" s="1" t="s">
        <v>24</v>
      </c>
      <c r="B27" s="40"/>
      <c r="C27" s="4">
        <f>+C25*C26</f>
        <v>3345430</v>
      </c>
      <c r="D27" s="4">
        <f>+D25*D26</f>
        <v>27920305</v>
      </c>
      <c r="E27" s="6"/>
      <c r="F27" s="4"/>
      <c r="G27" s="4"/>
      <c r="H27" s="6">
        <f>+H25*H26</f>
        <v>0</v>
      </c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9" spans="1:65" x14ac:dyDescent="0.2">
      <c r="A29" t="s">
        <v>8</v>
      </c>
      <c r="C29" s="3">
        <f>+[1]Statements!$CW$460</f>
        <v>4316620</v>
      </c>
      <c r="D29" s="3">
        <f>+[2]Statements!$BI$460+[2]Statements!$I$460+[2]Statements!$M$460</f>
        <v>32238630</v>
      </c>
      <c r="E29" s="7">
        <f>+[3]Statements!$CK$460</f>
        <v>11890677</v>
      </c>
      <c r="H29" s="7">
        <f>+[4]Statements!$BI$460</f>
        <v>34346565</v>
      </c>
      <c r="I29" s="7">
        <f>+[6]Statements!$CW$460</f>
        <v>6587485</v>
      </c>
      <c r="J29" s="7">
        <f>+[7]Statements!$CW$460</f>
        <v>31062259</v>
      </c>
    </row>
    <row r="30" spans="1:65" x14ac:dyDescent="0.2">
      <c r="A30" t="s">
        <v>9</v>
      </c>
      <c r="C30" s="3">
        <v>0</v>
      </c>
      <c r="D30" s="3">
        <v>0</v>
      </c>
      <c r="E30" s="3">
        <v>0</v>
      </c>
      <c r="H30" s="3">
        <f>+'[5]WIRE WORKSHEET'!$AW$39</f>
        <v>11943470</v>
      </c>
      <c r="I30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</f>
        <v>6587485</v>
      </c>
      <c r="J30" s="7">
        <f>+[7]Statements!$BE$458-[7]Wire!$U$16</f>
        <v>31062259</v>
      </c>
    </row>
    <row r="31" spans="1:65" s="5" customFormat="1" x14ac:dyDescent="0.2">
      <c r="A31" s="5" t="s">
        <v>10</v>
      </c>
      <c r="B31" s="43"/>
      <c r="C31" s="5">
        <f>+C24/C29</f>
        <v>1</v>
      </c>
      <c r="D31" s="5">
        <f>+D24/D29</f>
        <v>0.86605122488145436</v>
      </c>
      <c r="E31" s="5">
        <f>+E24/E29</f>
        <v>1</v>
      </c>
      <c r="H31" s="5">
        <f>+H24/H29</f>
        <v>0</v>
      </c>
      <c r="I31" s="5">
        <f>+I24/I29</f>
        <v>0.33771082590700396</v>
      </c>
      <c r="J31" s="5">
        <f>+J24/J29</f>
        <v>0</v>
      </c>
    </row>
    <row r="32" spans="1:65" x14ac:dyDescent="0.2">
      <c r="A32" t="s">
        <v>17</v>
      </c>
      <c r="C32" s="3">
        <f>+C30*C31</f>
        <v>0</v>
      </c>
      <c r="D32" s="3">
        <f>+D30*D31</f>
        <v>0</v>
      </c>
      <c r="E32" s="3">
        <f>+E30*E31</f>
        <v>0</v>
      </c>
      <c r="H32" s="3">
        <f>+H30*H31</f>
        <v>0</v>
      </c>
      <c r="I32" s="3">
        <f>+I30*I31</f>
        <v>2224665</v>
      </c>
      <c r="J32" s="3">
        <f>+J30*J31</f>
        <v>0</v>
      </c>
    </row>
    <row r="33" spans="1:65" s="1" customFormat="1" x14ac:dyDescent="0.2">
      <c r="A33" s="1" t="s">
        <v>15</v>
      </c>
      <c r="B33" s="40"/>
      <c r="C33" s="4">
        <f>+C27-C32</f>
        <v>3345430</v>
      </c>
      <c r="D33" s="4">
        <f>+D27-D32</f>
        <v>27920305</v>
      </c>
      <c r="E33" s="4">
        <f>+E24-E32</f>
        <v>11890677</v>
      </c>
      <c r="F33" s="4"/>
      <c r="G33" s="4"/>
      <c r="H33" s="4">
        <f>+H27-H32</f>
        <v>0</v>
      </c>
      <c r="I33" s="4">
        <f>+I24-I32</f>
        <v>0</v>
      </c>
      <c r="J33" s="4">
        <f>+J24-J32</f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5" spans="1:65" s="1" customFormat="1" x14ac:dyDescent="0.2">
      <c r="A35" s="1" t="s">
        <v>11</v>
      </c>
      <c r="B35" s="40"/>
      <c r="C35" s="6">
        <f>+[1]Statements!$Q$428+[1]Statements!$Q$429+[1]Statements!$Q$433+[1]Statements!$Q$434+[1]Statements!$Q$438+[1]Statements!$Q$439+[1]Statements!$Q$443+[1]Statements!$Q$444+[1]Statements!$Q$447+[1]Statements!$Y$428+[1]Statements!$Y$429+[1]Statements!$Y$433+[1]Statements!$Y$434+[1]Statements!$Y$438+[1]Statements!$Y$439+[1]Statements!$Y$443+[1]Statements!$Y$444+[1]Statements!$Y$447</f>
        <v>-4770</v>
      </c>
      <c r="D35" s="4">
        <f>+[2]Statements!$BI$428+[2]Statements!$BI$429+[2]Statements!$BI$433+[2]Statements!$BI$434+[2]Statements!$BI$438+[2]Statements!$BI$439+[2]Statements!$BI$443+[2]Statements!$BI$444+[2]Statements!$BI$447</f>
        <v>144440.04999999999</v>
      </c>
      <c r="E35" s="6">
        <f>+[3]Statements!$Y$428+[3]Statements!$Y$429+[3]Statements!$Y$433+[3]Statements!$Y$434+[3]Statements!$Y$438+[3]Statements!$Y$439+[3]Statements!$Y$443+[3]Statements!$Y$444+[3]Statements!$Y$447</f>
        <v>0</v>
      </c>
      <c r="F35" s="4"/>
      <c r="G35" s="4"/>
      <c r="H35" s="6">
        <f>+[4]Statements!$AG$428+[4]Statements!$AG$429+[4]Statements!$AG$433+[4]Statements!$AG$434+[4]Statements!$AG$438+[4]Statements!$AG$439+[4]Statements!$AG$443+[4]Statements!$AG$444+[4]Statements!$AG$447</f>
        <v>20.3</v>
      </c>
      <c r="I35" s="6">
        <f>+[6]Statements!$Y$428+[6]Statements!$Y$429+[6]Statements!$Y$433+[6]Statements!$Y$434+[6]Statements!$Y$438+[6]Statements!$Y$443+[6]Statements!$Y$444+[6]Statements!$Y$447</f>
        <v>0</v>
      </c>
      <c r="J35" s="6">
        <f>+[7]Statements!$Y$428+[7]Statements!$Y$429+[7]Statements!$Y$433+[7]Statements!$Y$438+[7]Statements!$Y$439+[7]Statements!$Y$443+[7]Statements!$Y$444+[7]Statements!$Y$447</f>
        <v>786233.5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7" spans="1:65" s="1" customFormat="1" x14ac:dyDescent="0.2">
      <c r="A37" s="1" t="s">
        <v>12</v>
      </c>
      <c r="B37" s="40"/>
      <c r="C37" s="6">
        <f>+[1]Statements!$Q$456+[1]Statements!$Y$456</f>
        <v>-6350250</v>
      </c>
      <c r="D37" s="4">
        <f>+[2]Statements!$BI$456</f>
        <v>39877910</v>
      </c>
      <c r="E37" s="6">
        <f>+[3]Statements!$Y$456</f>
        <v>-14315580</v>
      </c>
      <c r="F37" s="4"/>
      <c r="G37" s="4"/>
      <c r="H37" s="6">
        <f>+[4]Statements!$AH$456</f>
        <v>1847000.4</v>
      </c>
      <c r="I37" s="6">
        <f>+[6]Statements!$Y$456</f>
        <v>-2067790</v>
      </c>
      <c r="J37" s="6">
        <f>+[7]Statements!$Y$456</f>
        <v>-16995710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s="1" customFormat="1" ht="13.5" thickBot="1" x14ac:dyDescent="0.25">
      <c r="B38" s="40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s="1" customFormat="1" x14ac:dyDescent="0.2">
      <c r="A39" s="18" t="s">
        <v>13</v>
      </c>
      <c r="B39" s="44"/>
      <c r="C39" s="19"/>
      <c r="D39" s="20"/>
      <c r="E39" s="20"/>
      <c r="F39" s="20"/>
      <c r="G39" s="20"/>
      <c r="H39" s="20"/>
      <c r="I39" s="20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s="1" customFormat="1" x14ac:dyDescent="0.2">
      <c r="A40" s="22" t="s">
        <v>14</v>
      </c>
      <c r="B40" s="45"/>
      <c r="C40" s="23">
        <f>(+C33-C17)*-1</f>
        <v>-2809895</v>
      </c>
      <c r="D40" s="24">
        <f>(+D33-D17)*-1</f>
        <v>2305220</v>
      </c>
      <c r="E40" s="24">
        <f>(+E33-E17)*-1</f>
        <v>-1667979</v>
      </c>
      <c r="F40" s="24"/>
      <c r="G40" s="24"/>
      <c r="H40" s="24">
        <f>(+H33-H17)*-1</f>
        <v>0</v>
      </c>
      <c r="I40" s="24">
        <f>(+I33-I17)*-1</f>
        <v>0</v>
      </c>
      <c r="J40" s="25">
        <f>(+J33-J7)*-1</f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s="1" customFormat="1" x14ac:dyDescent="0.2">
      <c r="A41" s="22" t="s">
        <v>11</v>
      </c>
      <c r="B41" s="45"/>
      <c r="C41" s="26">
        <f>+C35</f>
        <v>-4770</v>
      </c>
      <c r="D41" s="24">
        <f>+D35</f>
        <v>144440.04999999999</v>
      </c>
      <c r="E41" s="26">
        <f>+E35</f>
        <v>0</v>
      </c>
      <c r="F41" s="24"/>
      <c r="G41" s="24"/>
      <c r="H41" s="26">
        <f>+H35</f>
        <v>20.3</v>
      </c>
      <c r="I41" s="26">
        <f>+I35</f>
        <v>0</v>
      </c>
      <c r="J41" s="27">
        <f>+J35</f>
        <v>786233.5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s="1" customFormat="1" x14ac:dyDescent="0.2">
      <c r="A42" s="22" t="s">
        <v>16</v>
      </c>
      <c r="B42" s="45"/>
      <c r="C42" s="9">
        <f>+C37-C21</f>
        <v>-2660530</v>
      </c>
      <c r="D42" s="13">
        <f>+D37-D21</f>
        <v>25221720</v>
      </c>
      <c r="E42" s="9">
        <f>+E37-E21</f>
        <v>-3392010</v>
      </c>
      <c r="F42" s="24"/>
      <c r="G42" s="24"/>
      <c r="H42" s="9">
        <f>+H37-H21</f>
        <v>3294700.4</v>
      </c>
      <c r="I42" s="9">
        <f>+I37-I21</f>
        <v>210960</v>
      </c>
      <c r="J42" s="28">
        <f>+J37-J21</f>
        <v>-13403910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s="1" customFormat="1" ht="13.5" thickBot="1" x14ac:dyDescent="0.25">
      <c r="A43" s="29"/>
      <c r="B43" s="46"/>
      <c r="C43" s="30">
        <f>SUM(C40:C42)</f>
        <v>-5475195</v>
      </c>
      <c r="D43" s="31">
        <f>SUM(D40:D42)</f>
        <v>27671380.050000001</v>
      </c>
      <c r="E43" s="31">
        <f>SUM(E40:E42)</f>
        <v>-5059989</v>
      </c>
      <c r="F43" s="31"/>
      <c r="G43" s="31"/>
      <c r="H43" s="31">
        <f>SUM(H40:H42)</f>
        <v>3294720.6999999997</v>
      </c>
      <c r="I43" s="31">
        <f>SUM(I40:I42)</f>
        <v>210960</v>
      </c>
      <c r="J43" s="32">
        <f>SUM(J40:J42)</f>
        <v>-12617676.5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5" spans="1:65" x14ac:dyDescent="0.2">
      <c r="A45" s="47">
        <v>36812</v>
      </c>
      <c r="B45" s="2"/>
      <c r="C45" s="48"/>
      <c r="D45" s="48"/>
      <c r="E45" s="48"/>
      <c r="F45" s="48"/>
      <c r="G45" s="48"/>
      <c r="H45" s="48"/>
      <c r="I45" s="48"/>
      <c r="J45" s="48"/>
    </row>
    <row r="46" spans="1:65" s="10" customFormat="1" x14ac:dyDescent="0.2">
      <c r="A46" s="10" t="s">
        <v>7</v>
      </c>
      <c r="B46" s="41"/>
      <c r="C46" s="11">
        <f>+[1]Statements!$Q$502+[1]Statements!$Y$502</f>
        <v>4383500</v>
      </c>
      <c r="D46" s="11">
        <f>+[2]Statements!$BI$502</f>
        <v>1229970</v>
      </c>
      <c r="E46" s="11">
        <f>+[3]Statements!$Y$502</f>
        <v>3080700</v>
      </c>
      <c r="F46" s="12"/>
      <c r="G46" s="12"/>
      <c r="H46" s="11">
        <f>+[4]Statements!$Y$502</f>
        <v>0</v>
      </c>
      <c r="I46" s="11">
        <f>+[6]Statements!$Y$502</f>
        <v>17179425</v>
      </c>
      <c r="J46" s="11">
        <f>+[7]Statements!$Y$502</f>
        <v>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1:65" s="10" customFormat="1" x14ac:dyDescent="0.2">
      <c r="A47" s="10" t="s">
        <v>23</v>
      </c>
      <c r="B47" s="41"/>
      <c r="C47" s="17">
        <f>+[1]Wire!$R$17</f>
        <v>379500</v>
      </c>
      <c r="D47" s="11">
        <f>+'[2]US -Wire'!$P$17</f>
        <v>4894851</v>
      </c>
      <c r="E47" s="11"/>
      <c r="F47" s="12"/>
      <c r="G47" s="12"/>
      <c r="H47" s="17">
        <f>+[4]Wire!$V$17</f>
        <v>37727360</v>
      </c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1:65" s="16" customFormat="1" x14ac:dyDescent="0.2">
      <c r="A48" s="16" t="s">
        <v>25</v>
      </c>
      <c r="B48" s="42"/>
      <c r="C48" s="16">
        <f>+C46/C51</f>
        <v>1</v>
      </c>
      <c r="D48" s="16">
        <f>+D46/D51</f>
        <v>0.22168431923681059</v>
      </c>
      <c r="H48" s="16">
        <f>+H46/H51</f>
        <v>0</v>
      </c>
    </row>
    <row r="49" spans="1:65" s="1" customFormat="1" x14ac:dyDescent="0.2">
      <c r="A49" s="1" t="s">
        <v>24</v>
      </c>
      <c r="B49" s="40"/>
      <c r="C49" s="6">
        <f>+C47*C48</f>
        <v>379500</v>
      </c>
      <c r="D49" s="6">
        <f>+D47*D48</f>
        <v>1085111.7117006215</v>
      </c>
      <c r="E49" s="6"/>
      <c r="F49" s="4"/>
      <c r="G49" s="4"/>
      <c r="H49" s="6">
        <f>+H47*H48</f>
        <v>0</v>
      </c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1" spans="1:65" x14ac:dyDescent="0.2">
      <c r="A51" t="s">
        <v>8</v>
      </c>
      <c r="C51" s="7">
        <f>+[1]Statements!$CW$502</f>
        <v>4383500</v>
      </c>
      <c r="D51" s="7">
        <f>+[2]Statements!$BI$502+[2]Statements!$I$502+[2]Statements!$M$502</f>
        <v>5548295</v>
      </c>
      <c r="E51" s="7">
        <f>+[3]Statements!$CK$502</f>
        <v>3080700</v>
      </c>
      <c r="H51" s="7">
        <f>+[4]Statements!$BI$502</f>
        <v>45229954</v>
      </c>
      <c r="I51" s="7">
        <f>+[6]Statements!$CW$502</f>
        <v>21542245</v>
      </c>
      <c r="J51" s="7">
        <f>+[7]Statements!$CW$502</f>
        <v>43285770</v>
      </c>
    </row>
    <row r="52" spans="1:65" x14ac:dyDescent="0.2">
      <c r="A52" t="s">
        <v>9</v>
      </c>
      <c r="C52" s="3">
        <v>0</v>
      </c>
      <c r="D52" s="3">
        <v>0</v>
      </c>
      <c r="E52" s="3">
        <v>0</v>
      </c>
      <c r="H52" s="3">
        <f>+'[5]WIRE WORKSHEET'!$AW$39</f>
        <v>11943470</v>
      </c>
      <c r="I52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</f>
        <v>21542245</v>
      </c>
      <c r="J52" s="7">
        <f>+[7]Statements!$BE$500-[7]Wire!$U$17</f>
        <v>43285770</v>
      </c>
    </row>
    <row r="53" spans="1:65" s="5" customFormat="1" x14ac:dyDescent="0.2">
      <c r="A53" s="5" t="s">
        <v>10</v>
      </c>
      <c r="B53" s="43"/>
      <c r="C53" s="5">
        <f>+C46/C51</f>
        <v>1</v>
      </c>
      <c r="D53" s="5">
        <f>+D46/D51</f>
        <v>0.22168431923681059</v>
      </c>
      <c r="E53" s="5">
        <f>+E46/E51</f>
        <v>1</v>
      </c>
      <c r="H53" s="5">
        <f>+H46/H51</f>
        <v>0</v>
      </c>
      <c r="I53" s="5">
        <f>+I46/I51</f>
        <v>0.79747607549723809</v>
      </c>
      <c r="J53" s="5">
        <f>+J46/J51</f>
        <v>0</v>
      </c>
    </row>
    <row r="54" spans="1:65" x14ac:dyDescent="0.2">
      <c r="A54" t="s">
        <v>17</v>
      </c>
      <c r="C54" s="3">
        <f>+C52*C53</f>
        <v>0</v>
      </c>
      <c r="D54" s="3">
        <f>+D52*D53</f>
        <v>0</v>
      </c>
      <c r="E54" s="3">
        <f>+E52*E53</f>
        <v>0</v>
      </c>
      <c r="H54" s="3">
        <f>+H52*H53</f>
        <v>0</v>
      </c>
      <c r="I54" s="3">
        <f>+I52*I53</f>
        <v>17179425</v>
      </c>
      <c r="J54" s="3">
        <f>+J52*J53</f>
        <v>0</v>
      </c>
    </row>
    <row r="55" spans="1:65" s="1" customFormat="1" x14ac:dyDescent="0.2">
      <c r="A55" s="1" t="s">
        <v>15</v>
      </c>
      <c r="B55" s="40"/>
      <c r="C55" s="4">
        <f>+C49-C54</f>
        <v>379500</v>
      </c>
      <c r="D55" s="4">
        <f>+D49-D54</f>
        <v>1085111.7117006215</v>
      </c>
      <c r="E55" s="4">
        <f>+E46-E54</f>
        <v>3080700</v>
      </c>
      <c r="F55" s="4"/>
      <c r="G55" s="4"/>
      <c r="H55" s="4">
        <f>+H49-H54</f>
        <v>0</v>
      </c>
      <c r="I55" s="4">
        <f>+I46-I54</f>
        <v>0</v>
      </c>
      <c r="J55" s="4">
        <f>+J46-J54</f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7" spans="1:65" s="1" customFormat="1" x14ac:dyDescent="0.2">
      <c r="A57" s="1" t="s">
        <v>11</v>
      </c>
      <c r="B57" s="40"/>
      <c r="C57" s="6">
        <f>+[1]Statements!$Q$470+[1]Statements!$Q$471+[1]Statements!$Q$475+[1]Statements!$Q$476+[1]Statements!$Q$480+[1]Statements!$Q$481+[1]Statements!$Q$485+[1]Statements!$Q$486+[1]Statements!$Q$489+[1]Statements!$Y$470+[1]Statements!$Y$471+[1]Statements!$Y$475+[1]Statements!$Y$476+[1]Statements!$Y$480+[1]Statements!$Y$481+[1]Statements!$Y$485+[1]Statements!$Y$486+[1]Statements!$Y$489</f>
        <v>118923.78</v>
      </c>
      <c r="D57" s="6">
        <f>+[2]Statements!$BI$470+[2]Statements!$BI$471+[2]Statements!$BI$475+[2]Statements!$BI$480+[2]Statements!$BI$481+[2]Statements!$BI$485+[2]Statements!$BI$489</f>
        <v>-4223.17</v>
      </c>
      <c r="E57" s="6">
        <f>+[3]Statements!$Y$470+[3]Statements!$Y$471+[3]Statements!$Y$475+[3]Statements!$Y$476+[3]Statements!$Y$480+[3]Statements!$Y$481+[3]Statements!$Y$485+[3]Statements!$Y$486+[3]Statements!$Y$489</f>
        <v>0</v>
      </c>
      <c r="F57" s="4"/>
      <c r="G57" s="4"/>
      <c r="H57" s="6">
        <f>+[4]Statements!$Y$470+[4]Statements!$Y$471+[4]Statements!$Y$475+[4]Statements!$Y$476+[4]Statements!$Y$480+[4]Statements!$Y$481+[4]Statements!$Y$485+[4]Statements!$Y$486+[4]Statements!$Y$489</f>
        <v>0</v>
      </c>
      <c r="I57" s="6">
        <f>+[6]Statements!$Y$470+[6]Statements!$Y$471+[6]Statements!$Y$475+[6]Statements!$Y$476+[6]Statements!$Y$480+[6]Statements!$Y$481+[6]Statements!$Y$485+[6]Statements!$Y$486+[6]Statements!$Y$489</f>
        <v>-3784.6</v>
      </c>
      <c r="J57" s="6">
        <f>+[7]Statements!$Y$470+[7]Statements!$Y$471+[7]Statements!$Y$475+[7]Statements!$Y$480+[7]Statements!$Y$481+[7]Statements!$Y$485+[7]Statements!$Y$489</f>
        <v>4333127.5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9" spans="1:65" s="1" customFormat="1" x14ac:dyDescent="0.2">
      <c r="A59" s="1" t="s">
        <v>12</v>
      </c>
      <c r="B59" s="40"/>
      <c r="C59" s="6">
        <f>+[1]Statements!$Q$498+[1]Statements!$Y$498</f>
        <v>-9457900</v>
      </c>
      <c r="D59" s="6">
        <f>+[2]Statements!$BI$498</f>
        <v>5275740</v>
      </c>
      <c r="E59" s="6">
        <f>+[3]Statements!$Y$498</f>
        <v>1867000</v>
      </c>
      <c r="F59" s="4"/>
      <c r="G59" s="4"/>
      <c r="H59" s="6">
        <f>+[4]Statements!$Y$498</f>
        <v>-1276600</v>
      </c>
      <c r="I59" s="6">
        <f>+[6]Statements!$Y$498</f>
        <v>9865920</v>
      </c>
      <c r="J59" s="6">
        <f>+[7]Statements!$Y$498</f>
        <v>-6813210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ht="13.5" thickBot="1" x14ac:dyDescent="0.25"/>
    <row r="61" spans="1:65" s="1" customFormat="1" x14ac:dyDescent="0.2">
      <c r="A61" s="18" t="s">
        <v>13</v>
      </c>
      <c r="B61" s="44"/>
      <c r="C61" s="20"/>
      <c r="D61" s="20"/>
      <c r="E61" s="20"/>
      <c r="F61" s="20"/>
      <c r="G61" s="20"/>
      <c r="H61" s="20"/>
      <c r="I61" s="20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2">
      <c r="A62" s="22" t="s">
        <v>14</v>
      </c>
      <c r="B62" s="45"/>
      <c r="C62" s="33">
        <f>(+C55-C33)*-1</f>
        <v>2965930</v>
      </c>
      <c r="D62" s="33">
        <f>(+D55-D33)*-1</f>
        <v>26835193.288299378</v>
      </c>
      <c r="E62" s="33">
        <f>(+E55-E33)*-1</f>
        <v>8809977</v>
      </c>
      <c r="F62" s="33"/>
      <c r="G62" s="33"/>
      <c r="H62" s="33">
        <f>(+H55-H33)*-1</f>
        <v>0</v>
      </c>
      <c r="I62" s="33">
        <f>(+I55-I33)*-1</f>
        <v>0</v>
      </c>
      <c r="J62" s="34">
        <f>(+J55-J33)*-1</f>
        <v>0</v>
      </c>
    </row>
    <row r="63" spans="1:65" x14ac:dyDescent="0.2">
      <c r="A63" s="22" t="s">
        <v>11</v>
      </c>
      <c r="B63" s="45"/>
      <c r="C63" s="35">
        <f>+C57</f>
        <v>118923.78</v>
      </c>
      <c r="D63" s="35">
        <f>+D57</f>
        <v>-4223.17</v>
      </c>
      <c r="E63" s="35">
        <f>+E57</f>
        <v>0</v>
      </c>
      <c r="F63" s="33"/>
      <c r="G63" s="33"/>
      <c r="H63" s="35">
        <f>+H57</f>
        <v>0</v>
      </c>
      <c r="I63" s="35">
        <f>+I57</f>
        <v>-3784.6</v>
      </c>
      <c r="J63" s="36">
        <f>+J57</f>
        <v>4333127.5</v>
      </c>
    </row>
    <row r="64" spans="1:65" x14ac:dyDescent="0.2">
      <c r="A64" s="22" t="s">
        <v>16</v>
      </c>
      <c r="B64" s="45"/>
      <c r="C64" s="8">
        <f>+C59-C37</f>
        <v>-3107650</v>
      </c>
      <c r="D64" s="14">
        <f>+D59-D37</f>
        <v>-34602170</v>
      </c>
      <c r="E64" s="8">
        <f>+E59-E37</f>
        <v>16182580</v>
      </c>
      <c r="F64" s="33"/>
      <c r="G64" s="33"/>
      <c r="H64" s="8">
        <f>+H59-H37</f>
        <v>-3123600.4</v>
      </c>
      <c r="I64" s="8">
        <f>+I59-I37</f>
        <v>11933710</v>
      </c>
      <c r="J64" s="37">
        <f>+J59-J37</f>
        <v>10182500</v>
      </c>
    </row>
    <row r="65" spans="1:65" s="1" customFormat="1" ht="13.5" thickBot="1" x14ac:dyDescent="0.25">
      <c r="A65" s="29"/>
      <c r="B65" s="46"/>
      <c r="C65" s="31">
        <f>SUM(C62:C64)</f>
        <v>-22796.220000000205</v>
      </c>
      <c r="D65" s="31">
        <f>SUM(D62:D64)</f>
        <v>-7771199.8817006238</v>
      </c>
      <c r="E65" s="31">
        <f>SUM(E62:E64)</f>
        <v>24992557</v>
      </c>
      <c r="F65" s="31"/>
      <c r="G65" s="31"/>
      <c r="H65" s="31">
        <f>SUM(H62:H64)</f>
        <v>-3123600.4</v>
      </c>
      <c r="I65" s="31">
        <f>SUM(I62:I64)</f>
        <v>11929925.4</v>
      </c>
      <c r="J65" s="32">
        <f>SUM(J62:J64)</f>
        <v>14515627.5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7" spans="1:65" x14ac:dyDescent="0.2">
      <c r="A67" s="47">
        <v>36815</v>
      </c>
      <c r="B67" s="2"/>
      <c r="C67" s="48"/>
      <c r="D67" s="48"/>
      <c r="E67" s="48"/>
      <c r="F67" s="48"/>
      <c r="G67" s="48"/>
      <c r="H67" s="48"/>
      <c r="I67" s="48"/>
      <c r="J67" s="48"/>
    </row>
    <row r="68" spans="1:65" s="10" customFormat="1" x14ac:dyDescent="0.2">
      <c r="A68" s="10" t="s">
        <v>7</v>
      </c>
      <c r="B68" s="41"/>
      <c r="C68" s="11">
        <f>+[1]Statements!$Q$628+[1]Statements!$Y$628</f>
        <v>4548500</v>
      </c>
      <c r="D68" s="11">
        <f>+[2]Statements!$BI$628</f>
        <v>796660</v>
      </c>
      <c r="E68" s="11">
        <f>+[3]Statements!$Y$628</f>
        <v>3969152</v>
      </c>
      <c r="F68" s="12"/>
      <c r="G68" s="12"/>
      <c r="H68" s="11">
        <f>+[4]Statements!$Y$628</f>
        <v>0</v>
      </c>
      <c r="I68" s="11">
        <f>+[6]Statements!$Y$628</f>
        <v>17179425</v>
      </c>
      <c r="J68" s="11">
        <f>+[7]Statements!$Y$628</f>
        <v>6907640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1:65" s="10" customFormat="1" x14ac:dyDescent="0.2">
      <c r="A69" s="10" t="s">
        <v>23</v>
      </c>
      <c r="B69" s="41"/>
      <c r="C69" s="17">
        <f>+[1]Wire!$R$20</f>
        <v>544500</v>
      </c>
      <c r="D69" s="11">
        <f>+'[2]US -Wire'!$P$20</f>
        <v>3400833</v>
      </c>
      <c r="E69" s="11"/>
      <c r="F69" s="12"/>
      <c r="G69" s="12"/>
      <c r="H69" s="17">
        <f>+[4]Wire!$V$20</f>
        <v>38007860</v>
      </c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1:65" s="16" customFormat="1" x14ac:dyDescent="0.2">
      <c r="A70" s="16" t="s">
        <v>25</v>
      </c>
      <c r="B70" s="42"/>
      <c r="C70" s="16">
        <f>+C68/C73</f>
        <v>1</v>
      </c>
      <c r="D70" s="16">
        <f>+D68/D73</f>
        <v>0.2136399046925638</v>
      </c>
      <c r="H70" s="16">
        <f>+H68/H73</f>
        <v>0</v>
      </c>
    </row>
    <row r="71" spans="1:65" s="1" customFormat="1" x14ac:dyDescent="0.2">
      <c r="A71" s="1" t="s">
        <v>24</v>
      </c>
      <c r="B71" s="40"/>
      <c r="C71" s="6">
        <f>+C69*C70</f>
        <v>544500</v>
      </c>
      <c r="D71" s="6">
        <f>+D69*D70</f>
        <v>726553.63799532584</v>
      </c>
      <c r="E71" s="6"/>
      <c r="F71" s="4"/>
      <c r="G71" s="4"/>
      <c r="H71" s="6">
        <f>+H69*H70</f>
        <v>0</v>
      </c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3" spans="1:65" x14ac:dyDescent="0.2">
      <c r="A73" t="s">
        <v>8</v>
      </c>
      <c r="C73" s="7">
        <f>+[1]Statements!$CW$628</f>
        <v>4548500</v>
      </c>
      <c r="D73" s="7">
        <f>+[2]Statements!$BI$628+[2]Statements!$I$628+[2]Statements!$M$628</f>
        <v>3728985</v>
      </c>
      <c r="E73" s="7">
        <f>+[3]Statements!$CK$628</f>
        <v>3969152</v>
      </c>
      <c r="H73" s="7">
        <f>+[4]Statements!$BI$628</f>
        <v>46079704</v>
      </c>
      <c r="I73" s="7">
        <f>+[6]Statements!$CW$628</f>
        <v>21542245</v>
      </c>
      <c r="J73" s="7">
        <f>+[7]Statements!$CW$628</f>
        <v>53698898</v>
      </c>
    </row>
    <row r="74" spans="1:65" x14ac:dyDescent="0.2">
      <c r="A74" t="s">
        <v>9</v>
      </c>
      <c r="C74" s="3">
        <v>0</v>
      </c>
      <c r="D74" s="3">
        <v>0</v>
      </c>
      <c r="E74" s="3">
        <v>0</v>
      </c>
      <c r="H74" s="3">
        <f>+'[5]WIRE WORKSHEET'!$AW$39</f>
        <v>11943470</v>
      </c>
      <c r="I7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WORKSHEET'!$AR$18+'[5]WIRE WORKSHEET'!$AR$19</f>
        <v>21542245</v>
      </c>
      <c r="J74" s="7">
        <f>+[7]Statements!$BE$626-[7]Wire!$S$20</f>
        <v>53698898</v>
      </c>
    </row>
    <row r="75" spans="1:65" s="5" customFormat="1" x14ac:dyDescent="0.2">
      <c r="A75" s="5" t="s">
        <v>10</v>
      </c>
      <c r="B75" s="43"/>
      <c r="C75" s="5">
        <f>+C68/C73</f>
        <v>1</v>
      </c>
      <c r="D75" s="5">
        <f>+D68/D73</f>
        <v>0.2136399046925638</v>
      </c>
      <c r="E75" s="5">
        <f>+E68/E73</f>
        <v>1</v>
      </c>
      <c r="H75" s="5">
        <f>+H68/H73</f>
        <v>0</v>
      </c>
      <c r="I75" s="5">
        <f>+I68/I73</f>
        <v>0.79747607549723809</v>
      </c>
      <c r="J75" s="5">
        <f>+J68/J73</f>
        <v>0.1286365317962391</v>
      </c>
    </row>
    <row r="76" spans="1:65" x14ac:dyDescent="0.2">
      <c r="A76" t="s">
        <v>17</v>
      </c>
      <c r="C76" s="3">
        <f>+C74*C75</f>
        <v>0</v>
      </c>
      <c r="D76" s="3">
        <f>+D74*D75</f>
        <v>0</v>
      </c>
      <c r="E76" s="3">
        <f>+E74*E75</f>
        <v>0</v>
      </c>
      <c r="H76" s="3">
        <f>+H74*H75</f>
        <v>0</v>
      </c>
      <c r="I76" s="3">
        <f>+I74*I75</f>
        <v>17179425</v>
      </c>
      <c r="J76" s="3">
        <f>+J74*J75</f>
        <v>6907640</v>
      </c>
    </row>
    <row r="77" spans="1:65" s="1" customFormat="1" x14ac:dyDescent="0.2">
      <c r="A77" s="1" t="s">
        <v>15</v>
      </c>
      <c r="B77" s="40"/>
      <c r="C77" s="4">
        <f>+C71-C76</f>
        <v>544500</v>
      </c>
      <c r="D77" s="4">
        <f>+D71-D76</f>
        <v>726553.63799532584</v>
      </c>
      <c r="E77" s="4">
        <f>+E68-E76</f>
        <v>3969152</v>
      </c>
      <c r="F77" s="4"/>
      <c r="G77" s="4"/>
      <c r="H77" s="4">
        <f>+H71-H76</f>
        <v>0</v>
      </c>
      <c r="I77" s="4">
        <f>+I68-I76</f>
        <v>0</v>
      </c>
      <c r="J77" s="4">
        <f>+J68-J76</f>
        <v>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9" spans="1:65" s="1" customFormat="1" x14ac:dyDescent="0.2">
      <c r="A79" s="1" t="s">
        <v>11</v>
      </c>
      <c r="B79" s="40"/>
      <c r="C79" s="6">
        <f>+[1]Statements!$Q$596+[1]Statements!$Q$597+[1]Statements!$Q$601+[1]Statements!$Q$602+[1]Statements!$Q$606+[1]Statements!$Q$607+[1]Statements!$Q$611+[1]Statements!$Q$612+[1]Statements!$Q$615+[1]Statements!$Y$596+[1]Statements!$Y$597+[1]Statements!$Y$601+[1]Statements!$Y$602+[1]Statements!$Y$606+[1]Statements!$Y$607+[1]Statements!$Y$611+[1]Statements!$Y$615</f>
        <v>-1060</v>
      </c>
      <c r="D79" s="6">
        <f>+[2]Statements!$BI$596+[2]Statements!$BI$597+[2]Statements!$BI$601+[2]Statements!$BI$602+[2]Statements!$BI$606+[2]Statements!$BI$607+[2]Statements!$BI$611+[2]Statements!$BI$615</f>
        <v>-87.289999999999992</v>
      </c>
      <c r="E79" s="6">
        <f>+[3]Statements!$Y$596+[3]Statements!$Y$597+[3]Statements!$Y$601+[3]Statements!$Y$602+[3]Statements!$Y$606+[3]Statements!$Y$607+[3]Statements!$Y$611+[3]Statements!$Y$615</f>
        <v>0</v>
      </c>
      <c r="F79" s="4"/>
      <c r="G79" s="4"/>
      <c r="H79" s="6">
        <f>++[4]Statements!$Y$596+[4]Statements!$Y$597+[4]Statements!$Y$601+[4]Statements!$Y$602+[4]Statements!$Y$606+[4]Statements!$Y$607+[4]Statements!$Y$611+[4]Statements!$Y$612+[4]Statements!$Y$615</f>
        <v>0</v>
      </c>
      <c r="I79" s="6">
        <f>+[6]Statements!$Y$596+[6]Statements!$Y$597+[6]Statements!$Y$601+[6]Statements!$Y$602+[6]Statements!$Y$606+[6]Statements!$Y$611+[6]Statements!$Y$612+[6]Statements!$Y$615</f>
        <v>0</v>
      </c>
      <c r="J79" s="6">
        <f>+[7]Statements!$Y$596+[7]Statements!$Y$601+[7]Statements!$Y$602+[7]Statements!$Y$606+[7]Statements!$Y$607+[7]Statements!$Y$611+[7]Statements!$Y$612+[7]Statements!$Y$615</f>
        <v>-4794555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1" spans="1:65" s="1" customFormat="1" x14ac:dyDescent="0.2">
      <c r="A81" s="1" t="s">
        <v>12</v>
      </c>
      <c r="B81" s="40"/>
      <c r="C81" s="6">
        <f>+[1]Statements!$Q$624+[1]Statements!$Y$624</f>
        <v>-9110810</v>
      </c>
      <c r="D81" s="6">
        <f>+[2]Statements!$BI$624</f>
        <v>5238400</v>
      </c>
      <c r="E81" s="6">
        <f>+[3]Statements!$Y$624</f>
        <v>1865720</v>
      </c>
      <c r="F81" s="4"/>
      <c r="G81" s="4"/>
      <c r="H81" s="6">
        <f>+[4]Statements!$Y$624</f>
        <v>-709450</v>
      </c>
      <c r="I81" s="6">
        <f>+[6]Statements!$Y$624</f>
        <v>3844870</v>
      </c>
      <c r="J81" s="6">
        <f>+[7]Statements!$Y$624</f>
        <v>5876960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ht="13.5" thickBot="1" x14ac:dyDescent="0.25"/>
    <row r="83" spans="1:65" s="1" customFormat="1" x14ac:dyDescent="0.2">
      <c r="A83" s="18" t="s">
        <v>13</v>
      </c>
      <c r="B83" s="44"/>
      <c r="C83" s="20"/>
      <c r="D83" s="20"/>
      <c r="E83" s="20"/>
      <c r="F83" s="20"/>
      <c r="G83" s="20"/>
      <c r="H83" s="20"/>
      <c r="I83" s="20"/>
      <c r="J83" s="2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2">
      <c r="A84" s="22" t="s">
        <v>14</v>
      </c>
      <c r="B84" s="45"/>
      <c r="C84" s="33">
        <f>(+C77-C55)*-1</f>
        <v>-165000</v>
      </c>
      <c r="D84" s="33">
        <f>(+D77-D55)*-1</f>
        <v>358558.07370529568</v>
      </c>
      <c r="E84" s="33">
        <f>(+E77-E55)*-1</f>
        <v>-888452</v>
      </c>
      <c r="F84" s="33"/>
      <c r="G84" s="33"/>
      <c r="H84" s="33">
        <f>(+H77-H55)*-1</f>
        <v>0</v>
      </c>
      <c r="I84" s="33">
        <f>(+I77-I55)*-1</f>
        <v>0</v>
      </c>
      <c r="J84" s="34">
        <f>(+J77-J55)*-1</f>
        <v>0</v>
      </c>
    </row>
    <row r="85" spans="1:65" x14ac:dyDescent="0.2">
      <c r="A85" s="22" t="s">
        <v>11</v>
      </c>
      <c r="B85" s="45"/>
      <c r="C85" s="35">
        <f>+C79</f>
        <v>-1060</v>
      </c>
      <c r="D85" s="35">
        <f>+D79</f>
        <v>-87.289999999999992</v>
      </c>
      <c r="E85" s="35">
        <f>+E79</f>
        <v>0</v>
      </c>
      <c r="F85" s="33"/>
      <c r="G85" s="33"/>
      <c r="H85" s="35">
        <f>+H79</f>
        <v>0</v>
      </c>
      <c r="I85" s="35">
        <f>+I79</f>
        <v>0</v>
      </c>
      <c r="J85" s="36">
        <f>+J79</f>
        <v>-4794555</v>
      </c>
    </row>
    <row r="86" spans="1:65" x14ac:dyDescent="0.2">
      <c r="A86" s="22" t="s">
        <v>16</v>
      </c>
      <c r="B86" s="45"/>
      <c r="C86" s="8">
        <f>+C81-C59</f>
        <v>347090</v>
      </c>
      <c r="D86" s="8">
        <f>+D81-D59</f>
        <v>-37340</v>
      </c>
      <c r="E86" s="8">
        <f>+E81-E59</f>
        <v>-1280</v>
      </c>
      <c r="F86" s="33"/>
      <c r="G86" s="33"/>
      <c r="H86" s="8">
        <f>+H81-H59</f>
        <v>567150</v>
      </c>
      <c r="I86" s="8">
        <f>+I81-I59</f>
        <v>-6021050</v>
      </c>
      <c r="J86" s="37">
        <f>+J81-J59</f>
        <v>12690170</v>
      </c>
    </row>
    <row r="87" spans="1:65" s="1" customFormat="1" ht="13.5" thickBot="1" x14ac:dyDescent="0.25">
      <c r="A87" s="29"/>
      <c r="B87" s="46"/>
      <c r="C87" s="31">
        <f>SUM(C84:C86)</f>
        <v>181030</v>
      </c>
      <c r="D87" s="31">
        <f>SUM(D84:D86)</f>
        <v>321130.7837052957</v>
      </c>
      <c r="E87" s="31">
        <f>SUM(E84:E86)</f>
        <v>-889732</v>
      </c>
      <c r="F87" s="31"/>
      <c r="G87" s="31"/>
      <c r="H87" s="31">
        <f>SUM(H84:H86)</f>
        <v>567150</v>
      </c>
      <c r="I87" s="31">
        <f>SUM(I84:I86)</f>
        <v>-6021050</v>
      </c>
      <c r="J87" s="32">
        <f>SUM(J84:J86)</f>
        <v>7895615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</sheetData>
  <pageMargins left="0" right="0" top="0.75" bottom="0.75" header="0.5" footer="0.5"/>
  <pageSetup scale="59" orientation="portrait" verticalDpi="0" r:id="rId1"/>
  <headerFooter alignWithMargins="0">
    <oddHeader>&amp;CCashflow Analysis
October 12, 13, &amp; 16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:D19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</vt:lpstr>
      <vt:lpstr>Heating Oil</vt:lpstr>
      <vt:lpstr>Unleaded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pbloom</dc:creator>
  <cp:lastModifiedBy>Felienne</cp:lastModifiedBy>
  <cp:lastPrinted>2000-10-17T22:59:20Z</cp:lastPrinted>
  <dcterms:created xsi:type="dcterms:W3CDTF">2000-10-17T19:16:47Z</dcterms:created>
  <dcterms:modified xsi:type="dcterms:W3CDTF">2014-09-04T09:48:55Z</dcterms:modified>
</cp:coreProperties>
</file>