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30" yWindow="105" windowWidth="12120" windowHeight="8580" tabRatio="768"/>
  </bookViews>
  <sheets>
    <sheet name="Summary" sheetId="1" r:id="rId1"/>
    <sheet name="KATHY_PHYS" sheetId="12" r:id="rId2"/>
    <sheet name="WAHA_swap" sheetId="13" r:id="rId3"/>
    <sheet name="KATY_SWAP" sheetId="14" r:id="rId4"/>
    <sheet name="HH_SWAP" sheetId="2" r:id="rId5"/>
    <sheet name="HSC_SWAP" sheetId="17" r:id="rId6"/>
    <sheet name="NYMEX_juL1" sheetId="18" r:id="rId7"/>
    <sheet name="NYMEX_juL2" sheetId="21" r:id="rId8"/>
    <sheet name="JUL Swap" sheetId="19" r:id="rId9"/>
    <sheet name="NYMEX_AUG" sheetId="16" r:id="rId10"/>
    <sheet name="GasDaily" sheetId="15" r:id="rId11"/>
    <sheet name="NYMEX_SEP" sheetId="20" r:id="rId12"/>
    <sheet name="basis" sheetId="9" r:id="rId13"/>
    <sheet name="X_H" sheetId="22" r:id="rId14"/>
    <sheet name="N_V" sheetId="23" r:id="rId15"/>
    <sheet name="SCALE" sheetId="24" r:id="rId16"/>
    <sheet name="JUN_PHY" sheetId="25" r:id="rId17"/>
  </sheets>
  <externalReferences>
    <externalReference r:id="rId18"/>
  </externalReferences>
  <definedNames>
    <definedName name="_xlnm.Print_Area" localSheetId="10">GasDaily!$A$1:$AM$42</definedName>
    <definedName name="_xlnm.Print_Area" localSheetId="0">Summary!$1:$1048576</definedName>
  </definedNames>
  <calcPr calcId="152511" fullCalcOnLoad="1"/>
</workbook>
</file>

<file path=xl/calcChain.xml><?xml version="1.0" encoding="utf-8"?>
<calcChain xmlns="http://schemas.openxmlformats.org/spreadsheetml/2006/main">
  <c r="G3" i="9" l="1"/>
  <c r="H3" i="9" s="1"/>
  <c r="H5" i="9" s="1"/>
  <c r="B4" i="9"/>
  <c r="H4" i="9"/>
  <c r="B5" i="9"/>
  <c r="B6" i="9"/>
  <c r="I14" i="9"/>
  <c r="C17" i="9"/>
  <c r="D17" i="9"/>
  <c r="D22" i="9"/>
  <c r="D23" i="9"/>
  <c r="E3" i="15"/>
  <c r="G3" i="15"/>
  <c r="I3" i="15"/>
  <c r="K3" i="15"/>
  <c r="M3" i="15"/>
  <c r="O3" i="15"/>
  <c r="Q3" i="15"/>
  <c r="R3" i="15"/>
  <c r="S3" i="15" s="1"/>
  <c r="U3" i="15"/>
  <c r="V3" i="15"/>
  <c r="W3" i="15" s="1"/>
  <c r="Y3" i="15"/>
  <c r="AA3" i="15"/>
  <c r="AC3" i="15"/>
  <c r="AE3" i="15"/>
  <c r="AF3" i="15"/>
  <c r="AG3" i="15"/>
  <c r="AI3" i="15"/>
  <c r="AK3" i="15"/>
  <c r="AM3" i="15"/>
  <c r="AO3" i="15"/>
  <c r="AQ3" i="15"/>
  <c r="AS3" i="15"/>
  <c r="AU3" i="15"/>
  <c r="E4" i="15"/>
  <c r="G4" i="15"/>
  <c r="I4" i="15"/>
  <c r="K4" i="15"/>
  <c r="M4" i="15"/>
  <c r="O4" i="15"/>
  <c r="Q4" i="15"/>
  <c r="S4" i="15"/>
  <c r="U4" i="15"/>
  <c r="W4" i="15"/>
  <c r="Y4" i="15"/>
  <c r="AA4" i="15"/>
  <c r="AC4" i="15"/>
  <c r="AE4" i="15"/>
  <c r="AG4" i="15"/>
  <c r="AI4" i="15"/>
  <c r="AK4" i="15"/>
  <c r="AM4" i="15"/>
  <c r="AO4" i="15"/>
  <c r="AQ4" i="15"/>
  <c r="AS4" i="15"/>
  <c r="AU4" i="15"/>
  <c r="E34" i="15"/>
  <c r="G34" i="15"/>
  <c r="I34" i="15"/>
  <c r="J34" i="15"/>
  <c r="K34" i="15"/>
  <c r="M34" i="15"/>
  <c r="N34" i="15"/>
  <c r="O34" i="15" s="1"/>
  <c r="Q34" i="15"/>
  <c r="R34" i="15"/>
  <c r="S34" i="15" s="1"/>
  <c r="U34" i="15"/>
  <c r="V34" i="15"/>
  <c r="W34" i="15" s="1"/>
  <c r="X34" i="15"/>
  <c r="Y34" i="15" s="1"/>
  <c r="AA34" i="15"/>
  <c r="AC34" i="15"/>
  <c r="AE34" i="15"/>
  <c r="AF34" i="15"/>
  <c r="AG34" i="15"/>
  <c r="AI34" i="15"/>
  <c r="AK34" i="15"/>
  <c r="AM34" i="15"/>
  <c r="AO34" i="15"/>
  <c r="AQ34" i="15"/>
  <c r="AS34" i="15"/>
  <c r="AU34" i="15"/>
  <c r="D36" i="15"/>
  <c r="D38" i="15" s="1"/>
  <c r="F36" i="15"/>
  <c r="H36" i="15"/>
  <c r="J36" i="15"/>
  <c r="J38" i="15" s="1"/>
  <c r="L36" i="15"/>
  <c r="L38" i="15" s="1"/>
  <c r="P36" i="15"/>
  <c r="T36" i="15"/>
  <c r="T38" i="15" s="1"/>
  <c r="Z36" i="15"/>
  <c r="Z38" i="15" s="1"/>
  <c r="AB36" i="15"/>
  <c r="AB38" i="15" s="1"/>
  <c r="AD36" i="15"/>
  <c r="AH36" i="15"/>
  <c r="AH38" i="15" s="1"/>
  <c r="AJ36" i="15"/>
  <c r="AJ38" i="15" s="1"/>
  <c r="AL36" i="15"/>
  <c r="AN36" i="15"/>
  <c r="AP36" i="15"/>
  <c r="AP38" i="15" s="1"/>
  <c r="AR36" i="15"/>
  <c r="AR38" i="15" s="1"/>
  <c r="AT36" i="15"/>
  <c r="F38" i="15"/>
  <c r="H38" i="15"/>
  <c r="P38" i="15"/>
  <c r="AD38" i="15"/>
  <c r="AL38" i="15"/>
  <c r="AN38" i="15"/>
  <c r="AT38" i="15"/>
  <c r="D42" i="15"/>
  <c r="F42" i="15"/>
  <c r="H42" i="15"/>
  <c r="J42" i="15"/>
  <c r="L42" i="15"/>
  <c r="P42" i="15"/>
  <c r="T42" i="15"/>
  <c r="Z42" i="15"/>
  <c r="AB42" i="15"/>
  <c r="AD42" i="15"/>
  <c r="AH42" i="15"/>
  <c r="AJ42" i="15"/>
  <c r="AL42" i="15"/>
  <c r="AN42" i="15"/>
  <c r="AP42" i="15"/>
  <c r="AR42" i="15"/>
  <c r="AT42" i="15"/>
  <c r="C4" i="2"/>
  <c r="AN4" i="2" s="1"/>
  <c r="AE4" i="2"/>
  <c r="AK4" i="2"/>
  <c r="AO4" i="2"/>
  <c r="AS4" i="2"/>
  <c r="AT4" i="2"/>
  <c r="B5" i="2"/>
  <c r="AE5" i="2"/>
  <c r="B6" i="2"/>
  <c r="AE6" i="2"/>
  <c r="B7" i="2"/>
  <c r="AE7" i="2"/>
  <c r="B8" i="2"/>
  <c r="AE8" i="2"/>
  <c r="B9" i="2"/>
  <c r="AE9" i="2"/>
  <c r="B10" i="2"/>
  <c r="AE10" i="2"/>
  <c r="B11" i="2"/>
  <c r="AE11" i="2"/>
  <c r="B12" i="2"/>
  <c r="AE12" i="2"/>
  <c r="B13" i="2"/>
  <c r="AE13" i="2"/>
  <c r="B14" i="2"/>
  <c r="AE14" i="2"/>
  <c r="AE36" i="2" s="1"/>
  <c r="F17" i="1" s="1"/>
  <c r="B15" i="2"/>
  <c r="AE15" i="2"/>
  <c r="B16" i="2"/>
  <c r="AE16" i="2"/>
  <c r="B17" i="2"/>
  <c r="AE17" i="2"/>
  <c r="B18" i="2"/>
  <c r="AE18" i="2"/>
  <c r="B19" i="2"/>
  <c r="AE19" i="2"/>
  <c r="B20" i="2"/>
  <c r="AE20" i="2"/>
  <c r="B21" i="2"/>
  <c r="AE21" i="2"/>
  <c r="B22" i="2"/>
  <c r="AE22" i="2"/>
  <c r="B23" i="2"/>
  <c r="AE23" i="2"/>
  <c r="B24" i="2"/>
  <c r="AE24" i="2"/>
  <c r="B25" i="2"/>
  <c r="AE25" i="2"/>
  <c r="B26" i="2"/>
  <c r="AE26" i="2"/>
  <c r="B27" i="2"/>
  <c r="AE27" i="2"/>
  <c r="B28" i="2"/>
  <c r="AE28" i="2"/>
  <c r="B29" i="2"/>
  <c r="AE29" i="2"/>
  <c r="B30" i="2"/>
  <c r="AE30" i="2"/>
  <c r="B31" i="2"/>
  <c r="AE31" i="2"/>
  <c r="B32" i="2"/>
  <c r="AE32" i="2"/>
  <c r="B33" i="2"/>
  <c r="AE33" i="2"/>
  <c r="B34" i="2"/>
  <c r="C34" i="2"/>
  <c r="AH34" i="2" s="1"/>
  <c r="AE34" i="2"/>
  <c r="AG34" i="2"/>
  <c r="AI34" i="2"/>
  <c r="AJ34" i="2"/>
  <c r="AK34" i="2"/>
  <c r="AL34" i="2"/>
  <c r="AM34" i="2"/>
  <c r="AN34" i="2"/>
  <c r="AO34" i="2"/>
  <c r="AQ34" i="2"/>
  <c r="AR34" i="2"/>
  <c r="AS34" i="2"/>
  <c r="AT34" i="2"/>
  <c r="AU34" i="2"/>
  <c r="AV34" i="2"/>
  <c r="AW34" i="2"/>
  <c r="AY34" i="2"/>
  <c r="AZ34" i="2"/>
  <c r="BA34" i="2"/>
  <c r="BB34" i="2"/>
  <c r="BC34" i="2"/>
  <c r="BD34" i="2"/>
  <c r="BE34" i="2"/>
  <c r="BG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37" i="2"/>
  <c r="B4" i="17"/>
  <c r="C4" i="17"/>
  <c r="R4" i="17" s="1"/>
  <c r="N4" i="17"/>
  <c r="P4" i="17"/>
  <c r="Q4" i="17"/>
  <c r="S4" i="17"/>
  <c r="T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B17" i="17"/>
  <c r="N17" i="17"/>
  <c r="B18" i="17"/>
  <c r="N18" i="17"/>
  <c r="B19" i="17"/>
  <c r="N19" i="17"/>
  <c r="B20" i="17"/>
  <c r="N20" i="17"/>
  <c r="B21" i="17"/>
  <c r="N21" i="17"/>
  <c r="B22" i="17"/>
  <c r="N22" i="17"/>
  <c r="B23" i="17"/>
  <c r="N23" i="17"/>
  <c r="B24" i="17"/>
  <c r="N24" i="17"/>
  <c r="B25" i="17"/>
  <c r="N25" i="17"/>
  <c r="B26" i="17"/>
  <c r="N26" i="17"/>
  <c r="B27" i="17"/>
  <c r="N27" i="17"/>
  <c r="B28" i="17"/>
  <c r="N28" i="17"/>
  <c r="B29" i="17"/>
  <c r="N29" i="17"/>
  <c r="B30" i="17"/>
  <c r="N30" i="17"/>
  <c r="B31" i="17"/>
  <c r="N31" i="17"/>
  <c r="B32" i="17"/>
  <c r="N32" i="17"/>
  <c r="B33" i="17"/>
  <c r="N33" i="17"/>
  <c r="B34" i="17"/>
  <c r="C34" i="17"/>
  <c r="R34" i="17" s="1"/>
  <c r="N34" i="17"/>
  <c r="V34" i="17"/>
  <c r="N36" i="17"/>
  <c r="F18" i="1" s="1"/>
  <c r="A37" i="17"/>
  <c r="C2" i="19"/>
  <c r="G2" i="19"/>
  <c r="C3" i="19"/>
  <c r="G3" i="19"/>
  <c r="C4" i="19"/>
  <c r="G4" i="19"/>
  <c r="K4" i="19"/>
  <c r="C5" i="19"/>
  <c r="G5" i="19"/>
  <c r="K5" i="19"/>
  <c r="C6" i="19"/>
  <c r="G6" i="19"/>
  <c r="C7" i="19"/>
  <c r="G7" i="19"/>
  <c r="C8" i="19"/>
  <c r="G8" i="19"/>
  <c r="C9" i="19"/>
  <c r="G9" i="19"/>
  <c r="C10" i="19"/>
  <c r="G10" i="19"/>
  <c r="C11" i="19"/>
  <c r="G11" i="19"/>
  <c r="C12" i="19"/>
  <c r="G12" i="19"/>
  <c r="C13" i="19"/>
  <c r="G13" i="19"/>
  <c r="C14" i="19"/>
  <c r="G14" i="19"/>
  <c r="C15" i="19"/>
  <c r="G15" i="19"/>
  <c r="C16" i="19"/>
  <c r="G16" i="19"/>
  <c r="C17" i="19"/>
  <c r="G17" i="19"/>
  <c r="C18" i="19"/>
  <c r="G18" i="19"/>
  <c r="C19" i="19"/>
  <c r="G19" i="19"/>
  <c r="C20" i="19"/>
  <c r="G20" i="19"/>
  <c r="C21" i="19"/>
  <c r="G21" i="19"/>
  <c r="C22" i="19"/>
  <c r="G22" i="19"/>
  <c r="C23" i="19"/>
  <c r="G23" i="19"/>
  <c r="C24" i="19"/>
  <c r="G24" i="19"/>
  <c r="C25" i="19"/>
  <c r="G25" i="19"/>
  <c r="C26" i="19"/>
  <c r="G26" i="19"/>
  <c r="C27" i="19"/>
  <c r="G27" i="19"/>
  <c r="C28" i="19"/>
  <c r="G28" i="19"/>
  <c r="C29" i="19"/>
  <c r="G29" i="19"/>
  <c r="C30" i="19"/>
  <c r="G30" i="19"/>
  <c r="C31" i="19"/>
  <c r="G31" i="19"/>
  <c r="A33" i="19"/>
  <c r="E33" i="19"/>
  <c r="F33" i="19" s="1"/>
  <c r="B38" i="19"/>
  <c r="B39" i="19"/>
  <c r="E1" i="25"/>
  <c r="J1" i="25"/>
  <c r="J5" i="25" s="1"/>
  <c r="E3" i="25"/>
  <c r="J3" i="25"/>
  <c r="J22" i="25" s="1"/>
  <c r="E4" i="25"/>
  <c r="J4" i="25"/>
  <c r="N4" i="25"/>
  <c r="E5" i="25"/>
  <c r="N5" i="25"/>
  <c r="E6" i="25"/>
  <c r="E7" i="25"/>
  <c r="E9" i="25"/>
  <c r="E10" i="25"/>
  <c r="E11" i="25"/>
  <c r="E13" i="25"/>
  <c r="E15" i="25"/>
  <c r="E16" i="25"/>
  <c r="E18" i="25"/>
  <c r="E19" i="25"/>
  <c r="C22" i="25"/>
  <c r="F26" i="25" s="1"/>
  <c r="H22" i="25"/>
  <c r="L22" i="25"/>
  <c r="B4" i="12"/>
  <c r="C4" i="12"/>
  <c r="P4" i="12"/>
  <c r="X4" i="12"/>
  <c r="B5" i="12"/>
  <c r="P5" i="12"/>
  <c r="B6" i="12"/>
  <c r="P6" i="12"/>
  <c r="B7" i="12"/>
  <c r="P7" i="12"/>
  <c r="B8" i="12"/>
  <c r="P8" i="12"/>
  <c r="B9" i="12"/>
  <c r="P9" i="12"/>
  <c r="B10" i="12"/>
  <c r="P10" i="12"/>
  <c r="B11" i="12"/>
  <c r="P11" i="12"/>
  <c r="B12" i="12"/>
  <c r="P12" i="12"/>
  <c r="B13" i="12"/>
  <c r="P13" i="12"/>
  <c r="B14" i="12"/>
  <c r="P14" i="12"/>
  <c r="B15" i="12"/>
  <c r="P15" i="12"/>
  <c r="B16" i="12"/>
  <c r="P16" i="12"/>
  <c r="B17" i="12"/>
  <c r="P17" i="12"/>
  <c r="B18" i="12"/>
  <c r="P18" i="12"/>
  <c r="B19" i="12"/>
  <c r="P19" i="12"/>
  <c r="B20" i="12"/>
  <c r="P20" i="12"/>
  <c r="B21" i="12"/>
  <c r="P21" i="12"/>
  <c r="B22" i="12"/>
  <c r="P22" i="12"/>
  <c r="B23" i="12"/>
  <c r="P23" i="12"/>
  <c r="B24" i="12"/>
  <c r="P24" i="12"/>
  <c r="B25" i="12"/>
  <c r="P25" i="12"/>
  <c r="B26" i="12"/>
  <c r="P26" i="12"/>
  <c r="B27" i="12"/>
  <c r="P27" i="12"/>
  <c r="B28" i="12"/>
  <c r="P28" i="12"/>
  <c r="B29" i="12"/>
  <c r="P29" i="12"/>
  <c r="B30" i="12"/>
  <c r="P30" i="12"/>
  <c r="B31" i="12"/>
  <c r="P31" i="12"/>
  <c r="B32" i="12"/>
  <c r="P32" i="12"/>
  <c r="B33" i="12"/>
  <c r="P33" i="12"/>
  <c r="B34" i="12"/>
  <c r="C34" i="12"/>
  <c r="AA34" i="12" s="1"/>
  <c r="P34" i="12"/>
  <c r="R34" i="12"/>
  <c r="U34" i="12"/>
  <c r="V34" i="12"/>
  <c r="W34" i="12"/>
  <c r="X34" i="12"/>
  <c r="Z34" i="12"/>
  <c r="A37" i="12"/>
  <c r="B4" i="14"/>
  <c r="C4" i="14"/>
  <c r="W4" i="14"/>
  <c r="AA4" i="14"/>
  <c r="AF4" i="14"/>
  <c r="B5" i="14"/>
  <c r="W5" i="14"/>
  <c r="B6" i="14"/>
  <c r="W6" i="14"/>
  <c r="B7" i="14"/>
  <c r="W7" i="14"/>
  <c r="B8" i="14"/>
  <c r="W8" i="14"/>
  <c r="B9" i="14"/>
  <c r="W9" i="14"/>
  <c r="B10" i="14"/>
  <c r="W10" i="14"/>
  <c r="B11" i="14"/>
  <c r="W11" i="14"/>
  <c r="W36" i="14" s="1"/>
  <c r="F19" i="1" s="1"/>
  <c r="M19" i="1" s="1"/>
  <c r="B12" i="14"/>
  <c r="W12" i="14"/>
  <c r="B13" i="14"/>
  <c r="W13" i="14"/>
  <c r="B14" i="14"/>
  <c r="W14" i="14"/>
  <c r="B15" i="14"/>
  <c r="W15" i="14"/>
  <c r="B16" i="14"/>
  <c r="W16" i="14"/>
  <c r="B17" i="14"/>
  <c r="W17" i="14"/>
  <c r="B18" i="14"/>
  <c r="W18" i="14"/>
  <c r="B19" i="14"/>
  <c r="W19" i="14"/>
  <c r="B20" i="14"/>
  <c r="W20" i="14"/>
  <c r="B21" i="14"/>
  <c r="W21" i="14"/>
  <c r="B22" i="14"/>
  <c r="W22" i="14"/>
  <c r="B23" i="14"/>
  <c r="W23" i="14"/>
  <c r="B24" i="14"/>
  <c r="W24" i="14"/>
  <c r="B25" i="14"/>
  <c r="W25" i="14"/>
  <c r="B26" i="14"/>
  <c r="W26" i="14"/>
  <c r="B27" i="14"/>
  <c r="W27" i="14"/>
  <c r="B28" i="14"/>
  <c r="W28" i="14"/>
  <c r="B29" i="14"/>
  <c r="W29" i="14"/>
  <c r="B30" i="14"/>
  <c r="W30" i="14"/>
  <c r="B31" i="14"/>
  <c r="W31" i="14"/>
  <c r="B32" i="14"/>
  <c r="W32" i="14"/>
  <c r="B33" i="14"/>
  <c r="W33" i="14"/>
  <c r="B34" i="14"/>
  <c r="C34" i="14"/>
  <c r="AF34" i="14" s="1"/>
  <c r="W34" i="14"/>
  <c r="Y34" i="14"/>
  <c r="AA34" i="14"/>
  <c r="AB34" i="14"/>
  <c r="AC34" i="14"/>
  <c r="AD34" i="14"/>
  <c r="AE34" i="14"/>
  <c r="AG34" i="14"/>
  <c r="AI34" i="14"/>
  <c r="AJ34" i="14"/>
  <c r="AK34" i="14"/>
  <c r="AL34" i="14"/>
  <c r="AM34" i="14"/>
  <c r="AO34" i="14"/>
  <c r="A37" i="14"/>
  <c r="C2" i="23"/>
  <c r="G2" i="23"/>
  <c r="C3" i="23"/>
  <c r="G3" i="23"/>
  <c r="C4" i="23"/>
  <c r="G4" i="23"/>
  <c r="K4" i="23"/>
  <c r="C5" i="23"/>
  <c r="G5" i="23"/>
  <c r="C6" i="23"/>
  <c r="G6" i="23"/>
  <c r="N6" i="23"/>
  <c r="C7" i="23"/>
  <c r="G7" i="23"/>
  <c r="N7" i="23"/>
  <c r="C8" i="23"/>
  <c r="G8" i="23"/>
  <c r="N8" i="23"/>
  <c r="C9" i="23"/>
  <c r="G9" i="23"/>
  <c r="N9" i="23"/>
  <c r="C10" i="23"/>
  <c r="G10" i="23"/>
  <c r="N10" i="23"/>
  <c r="C11" i="23"/>
  <c r="G11" i="23"/>
  <c r="N11" i="23"/>
  <c r="C12" i="23"/>
  <c r="G12" i="23"/>
  <c r="N12" i="23"/>
  <c r="C13" i="23"/>
  <c r="G13" i="23"/>
  <c r="L13" i="23"/>
  <c r="C14" i="23"/>
  <c r="G14" i="23"/>
  <c r="C15" i="23"/>
  <c r="G15" i="23"/>
  <c r="K15" i="23"/>
  <c r="C16" i="23"/>
  <c r="G16" i="23"/>
  <c r="K16" i="23"/>
  <c r="C17" i="23"/>
  <c r="G17" i="23"/>
  <c r="N17" i="23"/>
  <c r="O17" i="23"/>
  <c r="C18" i="23"/>
  <c r="G18" i="23"/>
  <c r="K18" i="23"/>
  <c r="N18" i="23"/>
  <c r="O18" i="23"/>
  <c r="C19" i="23"/>
  <c r="G19" i="23"/>
  <c r="N19" i="23"/>
  <c r="O19" i="23"/>
  <c r="C20" i="23"/>
  <c r="G20" i="23"/>
  <c r="N20" i="23"/>
  <c r="O20" i="23"/>
  <c r="C21" i="23"/>
  <c r="G21" i="23"/>
  <c r="C22" i="23"/>
  <c r="G22" i="23"/>
  <c r="C23" i="23"/>
  <c r="G23" i="23"/>
  <c r="C24" i="23"/>
  <c r="G24" i="23"/>
  <c r="C25" i="23"/>
  <c r="G25" i="23"/>
  <c r="C26" i="23"/>
  <c r="G26" i="23"/>
  <c r="C27" i="23"/>
  <c r="G27" i="23"/>
  <c r="C28" i="23"/>
  <c r="G28" i="23"/>
  <c r="C29" i="23"/>
  <c r="G29" i="23"/>
  <c r="C30" i="23"/>
  <c r="G30" i="23"/>
  <c r="C31" i="23"/>
  <c r="G31" i="23"/>
  <c r="A33" i="23"/>
  <c r="E33" i="23"/>
  <c r="B39" i="23"/>
  <c r="B38" i="23" s="1"/>
  <c r="C2" i="16"/>
  <c r="G2" i="16"/>
  <c r="C3" i="16"/>
  <c r="G3" i="16"/>
  <c r="C4" i="16"/>
  <c r="G4" i="16"/>
  <c r="C5" i="16"/>
  <c r="G5" i="16"/>
  <c r="C6" i="16"/>
  <c r="G6" i="16"/>
  <c r="C7" i="16"/>
  <c r="G7" i="16"/>
  <c r="C8" i="16"/>
  <c r="G8" i="16"/>
  <c r="C9" i="16"/>
  <c r="G9" i="16"/>
  <c r="C10" i="16"/>
  <c r="G10" i="16"/>
  <c r="C11" i="16"/>
  <c r="G11" i="16"/>
  <c r="C12" i="16"/>
  <c r="G12" i="16"/>
  <c r="C13" i="16"/>
  <c r="G13" i="16"/>
  <c r="C14" i="16"/>
  <c r="G14" i="16"/>
  <c r="L14" i="16"/>
  <c r="C15" i="16"/>
  <c r="G15" i="16"/>
  <c r="L15" i="16"/>
  <c r="C16" i="16"/>
  <c r="G16" i="16"/>
  <c r="L16" i="16"/>
  <c r="C17" i="16"/>
  <c r="G17" i="16"/>
  <c r="L17" i="16"/>
  <c r="C18" i="16"/>
  <c r="G18" i="16"/>
  <c r="L18" i="16"/>
  <c r="C19" i="16"/>
  <c r="G19" i="16"/>
  <c r="L19" i="16"/>
  <c r="C20" i="16"/>
  <c r="G20" i="16"/>
  <c r="C21" i="16"/>
  <c r="G21" i="16"/>
  <c r="C22" i="16"/>
  <c r="G22" i="16"/>
  <c r="C23" i="16"/>
  <c r="G23" i="16"/>
  <c r="C24" i="16"/>
  <c r="G24" i="16"/>
  <c r="C25" i="16"/>
  <c r="G25" i="16"/>
  <c r="C26" i="16"/>
  <c r="G26" i="16"/>
  <c r="C27" i="16"/>
  <c r="G27" i="16"/>
  <c r="C28" i="16"/>
  <c r="G28" i="16"/>
  <c r="C29" i="16"/>
  <c r="G29" i="16"/>
  <c r="C30" i="16"/>
  <c r="G30" i="16"/>
  <c r="C31" i="16"/>
  <c r="G31" i="16"/>
  <c r="C32" i="16"/>
  <c r="G32" i="16"/>
  <c r="C33" i="16"/>
  <c r="G33" i="16"/>
  <c r="C34" i="16"/>
  <c r="G34" i="16"/>
  <c r="G35" i="16"/>
  <c r="G36" i="16"/>
  <c r="C37" i="16"/>
  <c r="G37" i="16"/>
  <c r="A39" i="16"/>
  <c r="E39" i="16"/>
  <c r="E41" i="16"/>
  <c r="C2" i="18"/>
  <c r="G2" i="18"/>
  <c r="C3" i="18"/>
  <c r="G3" i="18"/>
  <c r="C4" i="18"/>
  <c r="G4" i="18"/>
  <c r="K4" i="18"/>
  <c r="C5" i="18"/>
  <c r="G5" i="18"/>
  <c r="C6" i="18"/>
  <c r="G6" i="18"/>
  <c r="C7" i="18"/>
  <c r="G7" i="18"/>
  <c r="C8" i="18"/>
  <c r="G8" i="18"/>
  <c r="C9" i="18"/>
  <c r="G9" i="18"/>
  <c r="C10" i="18"/>
  <c r="G10" i="18"/>
  <c r="C11" i="18"/>
  <c r="G11" i="18"/>
  <c r="C12" i="18"/>
  <c r="G12" i="18"/>
  <c r="C13" i="18"/>
  <c r="G13" i="18"/>
  <c r="L13" i="18"/>
  <c r="M13" i="18"/>
  <c r="C14" i="18"/>
  <c r="G14" i="18"/>
  <c r="L14" i="18"/>
  <c r="M14" i="18" s="1"/>
  <c r="C15" i="18"/>
  <c r="G15" i="18"/>
  <c r="L15" i="18"/>
  <c r="M15" i="18"/>
  <c r="C16" i="18"/>
  <c r="G16" i="18"/>
  <c r="L16" i="18"/>
  <c r="M16" i="18" s="1"/>
  <c r="C17" i="18"/>
  <c r="G17" i="18"/>
  <c r="L17" i="18"/>
  <c r="M17" i="18"/>
  <c r="C18" i="18"/>
  <c r="G18" i="18"/>
  <c r="C19" i="18"/>
  <c r="G19" i="18"/>
  <c r="C20" i="18"/>
  <c r="G20" i="18"/>
  <c r="C21" i="18"/>
  <c r="G21" i="18"/>
  <c r="C22" i="18"/>
  <c r="G22" i="18"/>
  <c r="C23" i="18"/>
  <c r="G23" i="18"/>
  <c r="C24" i="18"/>
  <c r="G24" i="18"/>
  <c r="C25" i="18"/>
  <c r="G25" i="18"/>
  <c r="C26" i="18"/>
  <c r="G26" i="18"/>
  <c r="K26" i="18"/>
  <c r="C27" i="18"/>
  <c r="G27" i="18"/>
  <c r="C28" i="18"/>
  <c r="G28" i="18"/>
  <c r="C29" i="18"/>
  <c r="G29" i="18"/>
  <c r="C30" i="18"/>
  <c r="G30" i="18"/>
  <c r="C31" i="18"/>
  <c r="G31" i="18"/>
  <c r="C32" i="18"/>
  <c r="G32" i="18"/>
  <c r="C33" i="18"/>
  <c r="G33" i="18"/>
  <c r="C34" i="18"/>
  <c r="G34" i="18"/>
  <c r="C35" i="18"/>
  <c r="G35" i="18"/>
  <c r="A37" i="18"/>
  <c r="E37" i="18"/>
  <c r="B43" i="18"/>
  <c r="B42" i="18" s="1"/>
  <c r="C2" i="21"/>
  <c r="G2" i="21"/>
  <c r="C3" i="21"/>
  <c r="G3" i="21"/>
  <c r="C4" i="21"/>
  <c r="G4" i="21"/>
  <c r="K4" i="21"/>
  <c r="C5" i="21"/>
  <c r="G5" i="21"/>
  <c r="C6" i="21"/>
  <c r="G6" i="21"/>
  <c r="C7" i="21"/>
  <c r="G7" i="21"/>
  <c r="O7" i="21"/>
  <c r="C8" i="21"/>
  <c r="G8" i="21"/>
  <c r="O8" i="21"/>
  <c r="O9" i="21" s="1"/>
  <c r="O10" i="21" s="1"/>
  <c r="C9" i="21"/>
  <c r="G9" i="21"/>
  <c r="K9" i="21"/>
  <c r="M9" i="21"/>
  <c r="C10" i="21"/>
  <c r="G10" i="21"/>
  <c r="C11" i="21"/>
  <c r="G11" i="21"/>
  <c r="C12" i="21"/>
  <c r="G12" i="21"/>
  <c r="C13" i="21"/>
  <c r="G13" i="21"/>
  <c r="C14" i="21"/>
  <c r="G14" i="21"/>
  <c r="C15" i="21"/>
  <c r="G15" i="21"/>
  <c r="C16" i="21"/>
  <c r="G16" i="21"/>
  <c r="L16" i="21"/>
  <c r="C17" i="21"/>
  <c r="G17" i="21"/>
  <c r="C18" i="21"/>
  <c r="G18" i="21"/>
  <c r="C19" i="21"/>
  <c r="G19" i="21"/>
  <c r="C20" i="21"/>
  <c r="G20" i="21"/>
  <c r="C21" i="21"/>
  <c r="G21" i="21"/>
  <c r="C22" i="21"/>
  <c r="G22" i="21"/>
  <c r="C23" i="21"/>
  <c r="G23" i="21"/>
  <c r="C24" i="21"/>
  <c r="G24" i="21"/>
  <c r="C25" i="21"/>
  <c r="G25" i="21"/>
  <c r="C26" i="21"/>
  <c r="G26" i="21"/>
  <c r="K26" i="21"/>
  <c r="C27" i="21"/>
  <c r="G27" i="21"/>
  <c r="C28" i="21"/>
  <c r="G28" i="21"/>
  <c r="C29" i="21"/>
  <c r="G29" i="21"/>
  <c r="C30" i="21"/>
  <c r="G30" i="21"/>
  <c r="C31" i="21"/>
  <c r="G31" i="21"/>
  <c r="C32" i="21"/>
  <c r="G32" i="21"/>
  <c r="C33" i="21"/>
  <c r="G33" i="21"/>
  <c r="C34" i="21"/>
  <c r="G34" i="21"/>
  <c r="C35" i="21"/>
  <c r="G35" i="21"/>
  <c r="C36" i="21"/>
  <c r="G36" i="21"/>
  <c r="C37" i="21"/>
  <c r="G37" i="21"/>
  <c r="C38" i="21"/>
  <c r="G38" i="21"/>
  <c r="A40" i="21"/>
  <c r="E42" i="21" s="1"/>
  <c r="F42" i="21" s="1"/>
  <c r="G42" i="21" s="1"/>
  <c r="I42" i="21" s="1"/>
  <c r="B40" i="21"/>
  <c r="I40" i="21" s="1"/>
  <c r="I46" i="21" s="1"/>
  <c r="E40" i="21"/>
  <c r="F40" i="21" s="1"/>
  <c r="E44" i="21"/>
  <c r="B46" i="21"/>
  <c r="B45" i="21" s="1"/>
  <c r="C2" i="20"/>
  <c r="G2" i="20"/>
  <c r="C3" i="20"/>
  <c r="G3" i="20"/>
  <c r="C4" i="20"/>
  <c r="G4" i="20"/>
  <c r="K4" i="20"/>
  <c r="C5" i="20"/>
  <c r="G5" i="20"/>
  <c r="C6" i="20"/>
  <c r="G6" i="20"/>
  <c r="N6" i="20"/>
  <c r="C7" i="20"/>
  <c r="G7" i="20"/>
  <c r="N7" i="20"/>
  <c r="C8" i="20"/>
  <c r="G8" i="20"/>
  <c r="N8" i="20"/>
  <c r="C9" i="20"/>
  <c r="G9" i="20"/>
  <c r="N9" i="20"/>
  <c r="C10" i="20"/>
  <c r="G10" i="20"/>
  <c r="K10" i="20"/>
  <c r="N10" i="20"/>
  <c r="C11" i="20"/>
  <c r="G11" i="20"/>
  <c r="K11" i="20"/>
  <c r="N11" i="20"/>
  <c r="C12" i="20"/>
  <c r="G12" i="20"/>
  <c r="K12" i="20"/>
  <c r="N12" i="20"/>
  <c r="C13" i="20"/>
  <c r="G13" i="20"/>
  <c r="L13" i="20"/>
  <c r="C14" i="20"/>
  <c r="G14" i="20"/>
  <c r="C15" i="20"/>
  <c r="G15" i="20"/>
  <c r="C16" i="20"/>
  <c r="G16" i="20"/>
  <c r="C17" i="20"/>
  <c r="G17" i="20"/>
  <c r="C18" i="20"/>
  <c r="G18" i="20"/>
  <c r="C19" i="20"/>
  <c r="G19" i="20"/>
  <c r="C20" i="20"/>
  <c r="G20" i="20"/>
  <c r="C21" i="20"/>
  <c r="G21" i="20"/>
  <c r="C22" i="20"/>
  <c r="G22" i="20"/>
  <c r="C23" i="20"/>
  <c r="G23" i="20"/>
  <c r="C24" i="20"/>
  <c r="G24" i="20"/>
  <c r="C25" i="20"/>
  <c r="G25" i="20"/>
  <c r="C26" i="20"/>
  <c r="G26" i="20"/>
  <c r="C27" i="20"/>
  <c r="G27" i="20"/>
  <c r="C28" i="20"/>
  <c r="G28" i="20"/>
  <c r="C29" i="20"/>
  <c r="G29" i="20"/>
  <c r="C30" i="20"/>
  <c r="G30" i="20"/>
  <c r="C31" i="20"/>
  <c r="G31" i="20"/>
  <c r="A33" i="20"/>
  <c r="B33" i="20"/>
  <c r="I33" i="20" s="1"/>
  <c r="E33" i="20"/>
  <c r="F33" i="20"/>
  <c r="E35" i="20"/>
  <c r="F35" i="20" s="1"/>
  <c r="E37" i="20"/>
  <c r="B2" i="24"/>
  <c r="C2" i="24" s="1"/>
  <c r="G2" i="24"/>
  <c r="G33" i="24" s="1"/>
  <c r="C3" i="24"/>
  <c r="G3" i="24"/>
  <c r="C4" i="24"/>
  <c r="G4" i="24"/>
  <c r="K4" i="24"/>
  <c r="C5" i="24"/>
  <c r="G5" i="24"/>
  <c r="C6" i="24"/>
  <c r="G6" i="24"/>
  <c r="N6" i="24"/>
  <c r="C7" i="24"/>
  <c r="G7" i="24"/>
  <c r="N7" i="24"/>
  <c r="C8" i="24"/>
  <c r="G8" i="24"/>
  <c r="N8" i="24"/>
  <c r="C9" i="24"/>
  <c r="G9" i="24"/>
  <c r="N9" i="24"/>
  <c r="C10" i="24"/>
  <c r="G10" i="24"/>
  <c r="N10" i="24"/>
  <c r="N13" i="24" s="1"/>
  <c r="M14" i="24" s="1"/>
  <c r="C11" i="24"/>
  <c r="G11" i="24"/>
  <c r="N11" i="24"/>
  <c r="C12" i="24"/>
  <c r="G12" i="24"/>
  <c r="N12" i="24"/>
  <c r="C13" i="24"/>
  <c r="G13" i="24"/>
  <c r="L13" i="24"/>
  <c r="C14" i="24"/>
  <c r="G14" i="24"/>
  <c r="C15" i="24"/>
  <c r="G15" i="24"/>
  <c r="K15" i="24"/>
  <c r="K16" i="24" s="1"/>
  <c r="C16" i="24"/>
  <c r="G16" i="24"/>
  <c r="C17" i="24"/>
  <c r="G17" i="24"/>
  <c r="C18" i="24"/>
  <c r="G18" i="24"/>
  <c r="K18" i="24"/>
  <c r="C19" i="24"/>
  <c r="G19" i="24"/>
  <c r="C20" i="24"/>
  <c r="G20" i="24"/>
  <c r="K20" i="24"/>
  <c r="C21" i="24"/>
  <c r="G21" i="24"/>
  <c r="C22" i="24"/>
  <c r="G22" i="24"/>
  <c r="C23" i="24"/>
  <c r="G23" i="24"/>
  <c r="C24" i="24"/>
  <c r="G24" i="24"/>
  <c r="C25" i="24"/>
  <c r="G25" i="24"/>
  <c r="C26" i="24"/>
  <c r="G26" i="24"/>
  <c r="C27" i="24"/>
  <c r="G27" i="24"/>
  <c r="C28" i="24"/>
  <c r="G28" i="24"/>
  <c r="C29" i="24"/>
  <c r="G29" i="24"/>
  <c r="C30" i="24"/>
  <c r="G30" i="24"/>
  <c r="C31" i="24"/>
  <c r="G31" i="24"/>
  <c r="A33" i="24"/>
  <c r="E33" i="24"/>
  <c r="B39" i="24"/>
  <c r="D1" i="1"/>
  <c r="D2" i="1"/>
  <c r="F4" i="1"/>
  <c r="L4" i="1"/>
  <c r="P5" i="1"/>
  <c r="B6" i="1"/>
  <c r="O6" i="1"/>
  <c r="P6" i="1" s="1"/>
  <c r="P7" i="1"/>
  <c r="O8" i="1"/>
  <c r="P8" i="1"/>
  <c r="P9" i="1"/>
  <c r="B10" i="1"/>
  <c r="C10" i="1"/>
  <c r="B11" i="1"/>
  <c r="C11" i="1"/>
  <c r="C13" i="1"/>
  <c r="L13" i="1"/>
  <c r="M13" i="1"/>
  <c r="N13" i="1"/>
  <c r="C14" i="1"/>
  <c r="L14" i="1"/>
  <c r="N14" i="1" s="1"/>
  <c r="M14" i="1"/>
  <c r="C15" i="1"/>
  <c r="C16" i="1"/>
  <c r="N16" i="1"/>
  <c r="B17" i="1"/>
  <c r="C17" i="1"/>
  <c r="B18" i="1"/>
  <c r="C18" i="1" s="1"/>
  <c r="M18" i="1"/>
  <c r="F21" i="1"/>
  <c r="M21" i="1"/>
  <c r="B23" i="1"/>
  <c r="B24" i="1"/>
  <c r="F25" i="1"/>
  <c r="M25" i="1" s="1"/>
  <c r="K29" i="1"/>
  <c r="O29" i="1"/>
  <c r="P29" i="1"/>
  <c r="O31" i="1"/>
  <c r="O33" i="1" s="1"/>
  <c r="M36" i="1"/>
  <c r="I38" i="1"/>
  <c r="M38" i="1"/>
  <c r="B4" i="13"/>
  <c r="C4" i="13"/>
  <c r="Q4" i="13" s="1"/>
  <c r="M4" i="13"/>
  <c r="B5" i="13"/>
  <c r="M5" i="13"/>
  <c r="B6" i="13"/>
  <c r="M6" i="13"/>
  <c r="B7" i="13"/>
  <c r="M7" i="13"/>
  <c r="B8" i="13"/>
  <c r="M8" i="13"/>
  <c r="B9" i="13"/>
  <c r="M9" i="13"/>
  <c r="B10" i="13"/>
  <c r="M10" i="13"/>
  <c r="B11" i="13"/>
  <c r="M11" i="13"/>
  <c r="B12" i="13"/>
  <c r="M12" i="13"/>
  <c r="B13" i="13"/>
  <c r="M13" i="13"/>
  <c r="B14" i="13"/>
  <c r="M14" i="13"/>
  <c r="B15" i="13"/>
  <c r="M15" i="13"/>
  <c r="B16" i="13"/>
  <c r="M16" i="13"/>
  <c r="B17" i="13"/>
  <c r="M17" i="13"/>
  <c r="B18" i="13"/>
  <c r="M18" i="13"/>
  <c r="B19" i="13"/>
  <c r="M19" i="13"/>
  <c r="B20" i="13"/>
  <c r="M20" i="13"/>
  <c r="B21" i="13"/>
  <c r="M21" i="13"/>
  <c r="B22" i="13"/>
  <c r="M22" i="13"/>
  <c r="B23" i="13"/>
  <c r="M23" i="13"/>
  <c r="B24" i="13"/>
  <c r="M24" i="13"/>
  <c r="B25" i="13"/>
  <c r="M25" i="13"/>
  <c r="B26" i="13"/>
  <c r="M26" i="13"/>
  <c r="B27" i="13"/>
  <c r="M27" i="13"/>
  <c r="B28" i="13"/>
  <c r="M28" i="13"/>
  <c r="B29" i="13"/>
  <c r="M29" i="13"/>
  <c r="B30" i="13"/>
  <c r="M30" i="13"/>
  <c r="B31" i="13"/>
  <c r="M31" i="13"/>
  <c r="B32" i="13"/>
  <c r="M32" i="13"/>
  <c r="B33" i="13"/>
  <c r="M33" i="13"/>
  <c r="B34" i="13"/>
  <c r="M34" i="13"/>
  <c r="O34" i="13"/>
  <c r="P34" i="13"/>
  <c r="Q34" i="13"/>
  <c r="R34" i="13"/>
  <c r="S34" i="13"/>
  <c r="T34" i="13"/>
  <c r="U34" i="13"/>
  <c r="V34" i="13"/>
  <c r="H35" i="13"/>
  <c r="A37" i="13"/>
  <c r="C2" i="22"/>
  <c r="G2" i="22"/>
  <c r="C3" i="22"/>
  <c r="G3" i="22"/>
  <c r="C4" i="22"/>
  <c r="G4" i="22"/>
  <c r="K4" i="22"/>
  <c r="C5" i="22"/>
  <c r="G5" i="22"/>
  <c r="C6" i="22"/>
  <c r="G6" i="22"/>
  <c r="N6" i="22"/>
  <c r="C7" i="22"/>
  <c r="G7" i="22"/>
  <c r="N7" i="22"/>
  <c r="C8" i="22"/>
  <c r="G8" i="22"/>
  <c r="N8" i="22"/>
  <c r="C9" i="22"/>
  <c r="G9" i="22"/>
  <c r="N9" i="22"/>
  <c r="C10" i="22"/>
  <c r="G10" i="22"/>
  <c r="N10" i="22"/>
  <c r="C11" i="22"/>
  <c r="G11" i="22"/>
  <c r="N11" i="22"/>
  <c r="C12" i="22"/>
  <c r="G12" i="22"/>
  <c r="N12" i="22"/>
  <c r="C13" i="22"/>
  <c r="G13" i="22"/>
  <c r="L13" i="22"/>
  <c r="C14" i="22"/>
  <c r="G14" i="22"/>
  <c r="C15" i="22"/>
  <c r="G15" i="22"/>
  <c r="K15" i="22"/>
  <c r="K16" i="22" s="1"/>
  <c r="C16" i="22"/>
  <c r="G16" i="22"/>
  <c r="C17" i="22"/>
  <c r="G17" i="22"/>
  <c r="C18" i="22"/>
  <c r="G18" i="22"/>
  <c r="K18" i="22"/>
  <c r="C19" i="22"/>
  <c r="G19" i="22"/>
  <c r="K19" i="22"/>
  <c r="C20" i="22"/>
  <c r="G20" i="22"/>
  <c r="C21" i="22"/>
  <c r="G21" i="22"/>
  <c r="C22" i="22"/>
  <c r="G22" i="22"/>
  <c r="K22" i="22"/>
  <c r="C23" i="22"/>
  <c r="G23" i="22"/>
  <c r="C24" i="22"/>
  <c r="G24" i="22"/>
  <c r="C25" i="22"/>
  <c r="G25" i="22"/>
  <c r="C26" i="22"/>
  <c r="G26" i="22"/>
  <c r="C27" i="22"/>
  <c r="G27" i="22"/>
  <c r="C28" i="22"/>
  <c r="G28" i="22"/>
  <c r="C29" i="22"/>
  <c r="G29" i="22"/>
  <c r="C30" i="22"/>
  <c r="G30" i="22"/>
  <c r="C31" i="22"/>
  <c r="G31" i="22"/>
  <c r="A33" i="22"/>
  <c r="E33" i="22"/>
  <c r="E37" i="22" s="1"/>
  <c r="F27" i="1" s="1"/>
  <c r="E35" i="22"/>
  <c r="B39" i="22"/>
  <c r="B38" i="22" s="1"/>
  <c r="D39" i="15"/>
  <c r="T39" i="15"/>
  <c r="AJ39" i="15"/>
  <c r="F40" i="15"/>
  <c r="H41" i="15"/>
  <c r="X41" i="15"/>
  <c r="AN41" i="15"/>
  <c r="F39" i="15"/>
  <c r="H39" i="15"/>
  <c r="J39" i="15"/>
  <c r="L39" i="15"/>
  <c r="P39" i="15"/>
  <c r="AH39" i="15"/>
  <c r="D40" i="15"/>
  <c r="T40" i="15"/>
  <c r="AJ40" i="15"/>
  <c r="F41" i="15"/>
  <c r="X39" i="15"/>
  <c r="AR39" i="15"/>
  <c r="AP40" i="15"/>
  <c r="P41" i="15"/>
  <c r="AJ41" i="15"/>
  <c r="AD39" i="15"/>
  <c r="H40" i="15"/>
  <c r="AB40" i="15"/>
  <c r="Z41" i="15"/>
  <c r="AT41" i="15"/>
  <c r="Z39" i="15"/>
  <c r="J40" i="15"/>
  <c r="AH40" i="15"/>
  <c r="AB39" i="15"/>
  <c r="L40" i="15"/>
  <c r="AN40" i="15"/>
  <c r="T41" i="15"/>
  <c r="P40" i="15"/>
  <c r="AT40" i="15"/>
  <c r="AD41" i="15"/>
  <c r="AD40" i="15"/>
  <c r="AN39" i="15"/>
  <c r="AH41" i="15"/>
  <c r="AT39" i="15"/>
  <c r="D41" i="15"/>
  <c r="AR41" i="15"/>
  <c r="AP39" i="15"/>
  <c r="AB41" i="15"/>
  <c r="X40" i="15"/>
  <c r="Z40" i="15"/>
  <c r="J41" i="15"/>
  <c r="L41" i="15"/>
  <c r="AR40" i="15"/>
  <c r="AP41" i="15"/>
  <c r="C33" i="24" l="1"/>
  <c r="B33" i="24" s="1"/>
  <c r="I33" i="24" s="1"/>
  <c r="G33" i="23"/>
  <c r="C33" i="23"/>
  <c r="G27" i="1"/>
  <c r="M27" i="1"/>
  <c r="N13" i="22"/>
  <c r="M14" i="22" s="1"/>
  <c r="C6" i="15"/>
  <c r="C10" i="15"/>
  <c r="C14" i="15"/>
  <c r="C18" i="15"/>
  <c r="C22" i="15"/>
  <c r="C7" i="15"/>
  <c r="C11" i="15"/>
  <c r="C15" i="15"/>
  <c r="C19" i="15"/>
  <c r="C23" i="15"/>
  <c r="C27" i="15"/>
  <c r="C8" i="15"/>
  <c r="C12" i="15"/>
  <c r="C16" i="15"/>
  <c r="C20" i="15"/>
  <c r="C24" i="15"/>
  <c r="C28" i="15"/>
  <c r="C26" i="15"/>
  <c r="C32" i="15"/>
  <c r="C21" i="15"/>
  <c r="C33" i="15"/>
  <c r="C17" i="15"/>
  <c r="C29" i="15"/>
  <c r="C13" i="15"/>
  <c r="C9" i="15"/>
  <c r="C25" i="15"/>
  <c r="C5" i="15"/>
  <c r="C30" i="15"/>
  <c r="C31" i="15"/>
  <c r="D3" i="1"/>
  <c r="F2" i="1"/>
  <c r="F44" i="21"/>
  <c r="G44" i="21"/>
  <c r="I44" i="21" s="1"/>
  <c r="C33" i="20"/>
  <c r="C33" i="22"/>
  <c r="E39" i="18"/>
  <c r="B37" i="18"/>
  <c r="I37" i="18" s="1"/>
  <c r="E41" i="18"/>
  <c r="B33" i="19"/>
  <c r="I33" i="19" s="1"/>
  <c r="E35" i="19"/>
  <c r="E37" i="19"/>
  <c r="G33" i="22"/>
  <c r="F33" i="22" s="1"/>
  <c r="F35" i="22" s="1"/>
  <c r="V4" i="13"/>
  <c r="P4" i="13"/>
  <c r="S4" i="13"/>
  <c r="U4" i="13"/>
  <c r="T4" i="13"/>
  <c r="O4" i="13"/>
  <c r="Z4" i="13" s="1"/>
  <c r="P4" i="1"/>
  <c r="P31" i="1"/>
  <c r="P32" i="1" s="1"/>
  <c r="E37" i="24"/>
  <c r="F33" i="24"/>
  <c r="G33" i="20"/>
  <c r="E35" i="23"/>
  <c r="B33" i="23"/>
  <c r="I33" i="23" s="1"/>
  <c r="E37" i="23"/>
  <c r="G35" i="22"/>
  <c r="I35" i="22" s="1"/>
  <c r="R4" i="13"/>
  <c r="M17" i="1"/>
  <c r="C39" i="16"/>
  <c r="G37" i="22"/>
  <c r="I37" i="22" s="1"/>
  <c r="F37" i="22"/>
  <c r="Z34" i="13"/>
  <c r="E35" i="24"/>
  <c r="F37" i="20"/>
  <c r="G37" i="20"/>
  <c r="I37" i="20" s="1"/>
  <c r="G40" i="21"/>
  <c r="C40" i="21"/>
  <c r="B39" i="16"/>
  <c r="I39" i="16" s="1"/>
  <c r="AD4" i="14"/>
  <c r="AL4" i="14"/>
  <c r="Y4" i="14"/>
  <c r="AG4" i="14"/>
  <c r="AO4" i="14"/>
  <c r="AI4" i="14"/>
  <c r="Z4" i="14"/>
  <c r="AJ4" i="14"/>
  <c r="AB4" i="14"/>
  <c r="AM4" i="14"/>
  <c r="AC4" i="14"/>
  <c r="AE4" i="14"/>
  <c r="AH4" i="14"/>
  <c r="AK4" i="14"/>
  <c r="V4" i="12"/>
  <c r="R4" i="12"/>
  <c r="AA4" i="12"/>
  <c r="U4" i="12"/>
  <c r="W4" i="12"/>
  <c r="Y4" i="12"/>
  <c r="AB4" i="12"/>
  <c r="S4" i="12"/>
  <c r="T4" i="12"/>
  <c r="Z4" i="12"/>
  <c r="N1" i="25"/>
  <c r="N3" i="25" s="1"/>
  <c r="N22" i="25" s="1"/>
  <c r="F1" i="1"/>
  <c r="N13" i="20"/>
  <c r="M14" i="20" s="1"/>
  <c r="C37" i="18"/>
  <c r="G39" i="16"/>
  <c r="F39" i="16" s="1"/>
  <c r="F33" i="23"/>
  <c r="AP4" i="14"/>
  <c r="B33" i="22"/>
  <c r="I33" i="22" s="1"/>
  <c r="I39" i="22" s="1"/>
  <c r="E27" i="1" s="1"/>
  <c r="L27" i="1" s="1"/>
  <c r="M36" i="13"/>
  <c r="F20" i="1" s="1"/>
  <c r="M20" i="1" s="1"/>
  <c r="B45" i="16"/>
  <c r="B44" i="16" s="1"/>
  <c r="B7" i="1"/>
  <c r="G37" i="18"/>
  <c r="F37" i="18" s="1"/>
  <c r="AN4" i="14"/>
  <c r="P36" i="12"/>
  <c r="C33" i="19"/>
  <c r="F41" i="16"/>
  <c r="G41" i="16" s="1"/>
  <c r="I41" i="16" s="1"/>
  <c r="N13" i="23"/>
  <c r="M14" i="23" s="1"/>
  <c r="G33" i="19"/>
  <c r="E43" i="16"/>
  <c r="AP34" i="14"/>
  <c r="AH34" i="14"/>
  <c r="Z34" i="14"/>
  <c r="AT34" i="14" s="1"/>
  <c r="S34" i="12"/>
  <c r="AN34" i="14"/>
  <c r="U34" i="17"/>
  <c r="Q34" i="17"/>
  <c r="T34" i="17"/>
  <c r="P34" i="17"/>
  <c r="S34" i="17"/>
  <c r="Y34" i="12"/>
  <c r="T34" i="12"/>
  <c r="AB34" i="12"/>
  <c r="E12" i="25"/>
  <c r="E20" i="25"/>
  <c r="E14" i="25"/>
  <c r="E8" i="25"/>
  <c r="E17" i="25"/>
  <c r="Y4" i="17"/>
  <c r="AJ4" i="2"/>
  <c r="AR4" i="2"/>
  <c r="AI4" i="2"/>
  <c r="AQ4" i="2"/>
  <c r="AM4" i="2"/>
  <c r="AW4" i="2"/>
  <c r="AP4" i="2"/>
  <c r="AG4" i="2"/>
  <c r="BJ4" i="2" s="1"/>
  <c r="AU4" i="2"/>
  <c r="AH4" i="2"/>
  <c r="AV4" i="2"/>
  <c r="AL4" i="2"/>
  <c r="BF34" i="2"/>
  <c r="AX34" i="2"/>
  <c r="AP34" i="2"/>
  <c r="BJ34" i="2" s="1"/>
  <c r="C19" i="9"/>
  <c r="D19" i="9"/>
  <c r="X36" i="15"/>
  <c r="B17" i="9"/>
  <c r="B19" i="9" s="1"/>
  <c r="X38" i="15" l="1"/>
  <c r="X42" i="15"/>
  <c r="AF34" i="12"/>
  <c r="E25" i="15"/>
  <c r="AF25" i="15"/>
  <c r="AU25" i="15"/>
  <c r="K25" i="15"/>
  <c r="AK25" i="15"/>
  <c r="I25" i="15"/>
  <c r="AA25" i="15"/>
  <c r="AS25" i="15"/>
  <c r="M25" i="15"/>
  <c r="AC25" i="15"/>
  <c r="O25" i="15"/>
  <c r="AE25" i="15"/>
  <c r="Q25" i="15"/>
  <c r="R25" i="15"/>
  <c r="AI25" i="15"/>
  <c r="U25" i="15"/>
  <c r="AM25" i="15"/>
  <c r="V25" i="15"/>
  <c r="AO25" i="15"/>
  <c r="G25" i="15"/>
  <c r="Y25" i="15"/>
  <c r="AQ25" i="15"/>
  <c r="C25" i="2"/>
  <c r="Q10" i="15"/>
  <c r="AC10" i="15"/>
  <c r="AQ10" i="15"/>
  <c r="R10" i="15"/>
  <c r="AE10" i="15"/>
  <c r="AS10" i="15"/>
  <c r="G10" i="15"/>
  <c r="U10" i="15"/>
  <c r="I10" i="15"/>
  <c r="V10" i="15"/>
  <c r="AI10" i="15"/>
  <c r="K10" i="15"/>
  <c r="AK10" i="15"/>
  <c r="E10" i="15"/>
  <c r="AO10" i="15"/>
  <c r="M10" i="15"/>
  <c r="AU10" i="15"/>
  <c r="O10" i="15"/>
  <c r="Y10" i="15"/>
  <c r="AA10" i="15"/>
  <c r="AF10" i="15"/>
  <c r="AM10" i="15"/>
  <c r="C10" i="2"/>
  <c r="AF4" i="12"/>
  <c r="I28" i="15"/>
  <c r="V28" i="15"/>
  <c r="AI28" i="15"/>
  <c r="O28" i="15"/>
  <c r="AA28" i="15"/>
  <c r="AO28" i="15"/>
  <c r="U28" i="15"/>
  <c r="AM28" i="15"/>
  <c r="E28" i="15"/>
  <c r="AQ28" i="15"/>
  <c r="G28" i="15"/>
  <c r="Y28" i="15"/>
  <c r="AS28" i="15"/>
  <c r="K28" i="15"/>
  <c r="AC28" i="15"/>
  <c r="AU28" i="15"/>
  <c r="M28" i="15"/>
  <c r="AE28" i="15"/>
  <c r="Q28" i="15"/>
  <c r="AF28" i="15"/>
  <c r="R28" i="15"/>
  <c r="AK28" i="15"/>
  <c r="C28" i="2"/>
  <c r="F12" i="1"/>
  <c r="F32" i="1"/>
  <c r="G35" i="23"/>
  <c r="I35" i="23" s="1"/>
  <c r="I39" i="23" s="1"/>
  <c r="E26" i="1" s="1"/>
  <c r="L26" i="1" s="1"/>
  <c r="F35" i="23"/>
  <c r="I24" i="15"/>
  <c r="V24" i="15"/>
  <c r="AI24" i="15"/>
  <c r="K24" i="15"/>
  <c r="O24" i="15"/>
  <c r="AA24" i="15"/>
  <c r="AO24" i="15"/>
  <c r="Q24" i="15"/>
  <c r="AC24" i="15"/>
  <c r="AQ24" i="15"/>
  <c r="R24" i="15"/>
  <c r="E24" i="15"/>
  <c r="AF24" i="15"/>
  <c r="G24" i="15"/>
  <c r="M24" i="15"/>
  <c r="AK24" i="15"/>
  <c r="AM24" i="15"/>
  <c r="U24" i="15"/>
  <c r="AS24" i="15"/>
  <c r="AU24" i="15"/>
  <c r="Y24" i="15"/>
  <c r="AE24" i="15"/>
  <c r="C24" i="2"/>
  <c r="Y34" i="17"/>
  <c r="E29" i="15"/>
  <c r="AF29" i="15"/>
  <c r="AU29" i="15"/>
  <c r="K29" i="15"/>
  <c r="AK29" i="15"/>
  <c r="O29" i="15"/>
  <c r="AE29" i="15"/>
  <c r="Q29" i="15"/>
  <c r="R29" i="15"/>
  <c r="AI29" i="15"/>
  <c r="U29" i="15"/>
  <c r="AM29" i="15"/>
  <c r="V29" i="15"/>
  <c r="AO29" i="15"/>
  <c r="G29" i="15"/>
  <c r="Y29" i="15"/>
  <c r="AQ29" i="15"/>
  <c r="I29" i="15"/>
  <c r="AA29" i="15"/>
  <c r="AS29" i="15"/>
  <c r="M29" i="15"/>
  <c r="AC29" i="15"/>
  <c r="C29" i="2"/>
  <c r="I20" i="15"/>
  <c r="V20" i="15"/>
  <c r="AI20" i="15"/>
  <c r="K20" i="15"/>
  <c r="AK20" i="15"/>
  <c r="O20" i="15"/>
  <c r="AA20" i="15"/>
  <c r="AO20" i="15"/>
  <c r="Q20" i="15"/>
  <c r="AC20" i="15"/>
  <c r="AQ20" i="15"/>
  <c r="R20" i="15"/>
  <c r="AE20" i="15"/>
  <c r="AS20" i="15"/>
  <c r="E20" i="15"/>
  <c r="AM20" i="15"/>
  <c r="G20" i="15"/>
  <c r="AU20" i="15"/>
  <c r="M20" i="15"/>
  <c r="U20" i="15"/>
  <c r="Y20" i="15"/>
  <c r="AF20" i="15"/>
  <c r="C20" i="2"/>
  <c r="F24" i="1"/>
  <c r="M24" i="1" s="1"/>
  <c r="F43" i="16"/>
  <c r="G43" i="16"/>
  <c r="I43" i="16" s="1"/>
  <c r="F39" i="18"/>
  <c r="G39" i="18" s="1"/>
  <c r="I39" i="18" s="1"/>
  <c r="I43" i="18" s="1"/>
  <c r="E17" i="15"/>
  <c r="AF17" i="15"/>
  <c r="AU17" i="15"/>
  <c r="G17" i="15"/>
  <c r="U17" i="15"/>
  <c r="K17" i="15"/>
  <c r="AK17" i="15"/>
  <c r="M17" i="15"/>
  <c r="Y17" i="15"/>
  <c r="AM17" i="15"/>
  <c r="O17" i="15"/>
  <c r="AA17" i="15"/>
  <c r="AO17" i="15"/>
  <c r="V17" i="15"/>
  <c r="AC17" i="15"/>
  <c r="AE17" i="15"/>
  <c r="AI17" i="15"/>
  <c r="AQ17" i="15"/>
  <c r="I17" i="15"/>
  <c r="AS17" i="15"/>
  <c r="Q17" i="15"/>
  <c r="R17" i="15"/>
  <c r="C17" i="2"/>
  <c r="I16" i="15"/>
  <c r="V16" i="15"/>
  <c r="AI16" i="15"/>
  <c r="K16" i="15"/>
  <c r="AK16" i="15"/>
  <c r="O16" i="15"/>
  <c r="AA16" i="15"/>
  <c r="AO16" i="15"/>
  <c r="Q16" i="15"/>
  <c r="AC16" i="15"/>
  <c r="AQ16" i="15"/>
  <c r="R16" i="15"/>
  <c r="AE16" i="15"/>
  <c r="AS16" i="15"/>
  <c r="AF16" i="15"/>
  <c r="E16" i="15"/>
  <c r="AM16" i="15"/>
  <c r="G16" i="15"/>
  <c r="AU16" i="15"/>
  <c r="M16" i="15"/>
  <c r="U16" i="15"/>
  <c r="Y16" i="15"/>
  <c r="C16" i="2"/>
  <c r="M7" i="15"/>
  <c r="Y7" i="15"/>
  <c r="AM7" i="15"/>
  <c r="O7" i="15"/>
  <c r="AA7" i="15"/>
  <c r="AO7" i="15"/>
  <c r="R7" i="15"/>
  <c r="AE7" i="15"/>
  <c r="AS7" i="15"/>
  <c r="E7" i="15"/>
  <c r="AF7" i="15"/>
  <c r="AU7" i="15"/>
  <c r="G7" i="15"/>
  <c r="U7" i="15"/>
  <c r="AC7" i="15"/>
  <c r="AI7" i="15"/>
  <c r="AK7" i="15"/>
  <c r="I7" i="15"/>
  <c r="AQ7" i="15"/>
  <c r="K7" i="15"/>
  <c r="Q7" i="15"/>
  <c r="V7" i="15"/>
  <c r="C7" i="2"/>
  <c r="E22" i="25"/>
  <c r="G26" i="25" s="1"/>
  <c r="F37" i="24"/>
  <c r="G37" i="24"/>
  <c r="I37" i="24" s="1"/>
  <c r="E31" i="15"/>
  <c r="AF31" i="15"/>
  <c r="AU31" i="15"/>
  <c r="G31" i="15"/>
  <c r="U31" i="15"/>
  <c r="I31" i="15"/>
  <c r="V31" i="15"/>
  <c r="AI31" i="15"/>
  <c r="K31" i="15"/>
  <c r="AK31" i="15"/>
  <c r="M31" i="15"/>
  <c r="Y31" i="15"/>
  <c r="AM31" i="15"/>
  <c r="O31" i="15"/>
  <c r="AA31" i="15"/>
  <c r="AO31" i="15"/>
  <c r="Q31" i="15"/>
  <c r="AC31" i="15"/>
  <c r="AQ31" i="15"/>
  <c r="R31" i="15"/>
  <c r="AE31" i="15"/>
  <c r="AS31" i="15"/>
  <c r="C31" i="2"/>
  <c r="M33" i="15"/>
  <c r="AK33" i="15"/>
  <c r="N33" i="15"/>
  <c r="Y33" i="15"/>
  <c r="AM33" i="15"/>
  <c r="AA33" i="15"/>
  <c r="AO33" i="15"/>
  <c r="Q33" i="15"/>
  <c r="AC33" i="15"/>
  <c r="AQ33" i="15"/>
  <c r="E33" i="15"/>
  <c r="R33" i="15"/>
  <c r="AE33" i="15"/>
  <c r="AS33" i="15"/>
  <c r="G33" i="15"/>
  <c r="AF33" i="15"/>
  <c r="AU33" i="15"/>
  <c r="I33" i="15"/>
  <c r="U33" i="15"/>
  <c r="K33" i="15"/>
  <c r="V33" i="15"/>
  <c r="AI33" i="15"/>
  <c r="C33" i="2"/>
  <c r="B19" i="1"/>
  <c r="I12" i="15"/>
  <c r="V12" i="15"/>
  <c r="AI12" i="15"/>
  <c r="K12" i="15"/>
  <c r="AK12" i="15"/>
  <c r="O12" i="15"/>
  <c r="AA12" i="15"/>
  <c r="AO12" i="15"/>
  <c r="Q12" i="15"/>
  <c r="AC12" i="15"/>
  <c r="AQ12" i="15"/>
  <c r="R12" i="15"/>
  <c r="AE12" i="15"/>
  <c r="AS12" i="15"/>
  <c r="Y12" i="15"/>
  <c r="AF12" i="15"/>
  <c r="E12" i="15"/>
  <c r="AM12" i="15"/>
  <c r="G12" i="15"/>
  <c r="AU12" i="15"/>
  <c r="M12" i="15"/>
  <c r="U12" i="15"/>
  <c r="C12" i="2"/>
  <c r="Q22" i="15"/>
  <c r="AC22" i="15"/>
  <c r="AQ22" i="15"/>
  <c r="R22" i="15"/>
  <c r="AE22" i="15"/>
  <c r="AS22" i="15"/>
  <c r="G22" i="15"/>
  <c r="U22" i="15"/>
  <c r="I22" i="15"/>
  <c r="V22" i="15"/>
  <c r="AI22" i="15"/>
  <c r="K22" i="15"/>
  <c r="AK22" i="15"/>
  <c r="Y22" i="15"/>
  <c r="AA22" i="15"/>
  <c r="AF22" i="15"/>
  <c r="AM22" i="15"/>
  <c r="E22" i="15"/>
  <c r="AO22" i="15"/>
  <c r="M22" i="15"/>
  <c r="AU22" i="15"/>
  <c r="O22" i="15"/>
  <c r="C22" i="2"/>
  <c r="F37" i="23"/>
  <c r="F26" i="1"/>
  <c r="G37" i="23"/>
  <c r="I37" i="23" s="1"/>
  <c r="M23" i="15"/>
  <c r="Y23" i="15"/>
  <c r="AM23" i="15"/>
  <c r="O23" i="15"/>
  <c r="AA23" i="15"/>
  <c r="AO23" i="15"/>
  <c r="R23" i="15"/>
  <c r="AE23" i="15"/>
  <c r="AS23" i="15"/>
  <c r="E23" i="15"/>
  <c r="AF23" i="15"/>
  <c r="AU23" i="15"/>
  <c r="G23" i="15"/>
  <c r="U23" i="15"/>
  <c r="K23" i="15"/>
  <c r="Q23" i="15"/>
  <c r="V23" i="15"/>
  <c r="AC23" i="15"/>
  <c r="AI23" i="15"/>
  <c r="AK23" i="15"/>
  <c r="I23" i="15"/>
  <c r="AQ23" i="15"/>
  <c r="C23" i="2"/>
  <c r="I45" i="16"/>
  <c r="E24" i="1" s="1"/>
  <c r="L24" i="1" s="1"/>
  <c r="E9" i="15"/>
  <c r="AF9" i="15"/>
  <c r="AU9" i="15"/>
  <c r="G9" i="15"/>
  <c r="U9" i="15"/>
  <c r="K9" i="15"/>
  <c r="AK9" i="15"/>
  <c r="M9" i="15"/>
  <c r="Y9" i="15"/>
  <c r="AM9" i="15"/>
  <c r="O9" i="15"/>
  <c r="AA9" i="15"/>
  <c r="AO9" i="15"/>
  <c r="Q9" i="15"/>
  <c r="R9" i="15"/>
  <c r="V9" i="15"/>
  <c r="AC9" i="15"/>
  <c r="AE9" i="15"/>
  <c r="AI9" i="15"/>
  <c r="AQ9" i="15"/>
  <c r="I9" i="15"/>
  <c r="AS9" i="15"/>
  <c r="C9" i="2"/>
  <c r="M19" i="15"/>
  <c r="Y19" i="15"/>
  <c r="AM19" i="15"/>
  <c r="O19" i="15"/>
  <c r="AA19" i="15"/>
  <c r="AO19" i="15"/>
  <c r="R19" i="15"/>
  <c r="AE19" i="15"/>
  <c r="AS19" i="15"/>
  <c r="E19" i="15"/>
  <c r="AF19" i="15"/>
  <c r="AU19" i="15"/>
  <c r="G19" i="15"/>
  <c r="U19" i="15"/>
  <c r="I19" i="15"/>
  <c r="AQ19" i="15"/>
  <c r="K19" i="15"/>
  <c r="Q19" i="15"/>
  <c r="V19" i="15"/>
  <c r="AC19" i="15"/>
  <c r="AI19" i="15"/>
  <c r="AK19" i="15"/>
  <c r="C19" i="2"/>
  <c r="F41" i="18"/>
  <c r="G41" i="18"/>
  <c r="I41" i="18" s="1"/>
  <c r="F35" i="1"/>
  <c r="J35" i="1" s="1"/>
  <c r="F23" i="1"/>
  <c r="E13" i="15"/>
  <c r="AF13" i="15"/>
  <c r="AU13" i="15"/>
  <c r="G13" i="15"/>
  <c r="U13" i="15"/>
  <c r="K13" i="15"/>
  <c r="AK13" i="15"/>
  <c r="M13" i="15"/>
  <c r="Y13" i="15"/>
  <c r="AM13" i="15"/>
  <c r="O13" i="15"/>
  <c r="AA13" i="15"/>
  <c r="AO13" i="15"/>
  <c r="R13" i="15"/>
  <c r="V13" i="15"/>
  <c r="AC13" i="15"/>
  <c r="AE13" i="15"/>
  <c r="AI13" i="15"/>
  <c r="AQ13" i="15"/>
  <c r="I13" i="15"/>
  <c r="AS13" i="15"/>
  <c r="Q13" i="15"/>
  <c r="C13" i="2"/>
  <c r="M15" i="15"/>
  <c r="Y15" i="15"/>
  <c r="AM15" i="15"/>
  <c r="O15" i="15"/>
  <c r="AA15" i="15"/>
  <c r="AO15" i="15"/>
  <c r="R15" i="15"/>
  <c r="AE15" i="15"/>
  <c r="AS15" i="15"/>
  <c r="E15" i="15"/>
  <c r="AF15" i="15"/>
  <c r="AU15" i="15"/>
  <c r="G15" i="15"/>
  <c r="U15" i="15"/>
  <c r="AK15" i="15"/>
  <c r="I15" i="15"/>
  <c r="AQ15" i="15"/>
  <c r="K15" i="15"/>
  <c r="Q15" i="15"/>
  <c r="V15" i="15"/>
  <c r="AC15" i="15"/>
  <c r="AI15" i="15"/>
  <c r="C15" i="2"/>
  <c r="M11" i="15"/>
  <c r="Y11" i="15"/>
  <c r="AM11" i="15"/>
  <c r="O11" i="15"/>
  <c r="AA11" i="15"/>
  <c r="AO11" i="15"/>
  <c r="R11" i="15"/>
  <c r="AE11" i="15"/>
  <c r="AS11" i="15"/>
  <c r="E11" i="15"/>
  <c r="AF11" i="15"/>
  <c r="AU11" i="15"/>
  <c r="G11" i="15"/>
  <c r="U11" i="15"/>
  <c r="AI11" i="15"/>
  <c r="AK11" i="15"/>
  <c r="I11" i="15"/>
  <c r="AQ11" i="15"/>
  <c r="K11" i="15"/>
  <c r="Q11" i="15"/>
  <c r="V11" i="15"/>
  <c r="AC11" i="15"/>
  <c r="C11" i="2"/>
  <c r="B39" i="20"/>
  <c r="B38" i="20" s="1"/>
  <c r="G35" i="20" s="1"/>
  <c r="I35" i="20" s="1"/>
  <c r="I39" i="20" s="1"/>
  <c r="E25" i="1" s="1"/>
  <c r="L25" i="1" s="1"/>
  <c r="N25" i="1" s="1"/>
  <c r="B8" i="1"/>
  <c r="B9" i="1" s="1"/>
  <c r="AT4" i="14"/>
  <c r="F35" i="24"/>
  <c r="G35" i="24" s="1"/>
  <c r="I35" i="24" s="1"/>
  <c r="I39" i="24" s="1"/>
  <c r="F22" i="1"/>
  <c r="G30" i="15"/>
  <c r="U30" i="15"/>
  <c r="E30" i="15"/>
  <c r="V30" i="15"/>
  <c r="AI30" i="15"/>
  <c r="I30" i="15"/>
  <c r="AK30" i="15"/>
  <c r="K30" i="15"/>
  <c r="Y30" i="15"/>
  <c r="AM30" i="15"/>
  <c r="M30" i="15"/>
  <c r="AA30" i="15"/>
  <c r="AO30" i="15"/>
  <c r="O30" i="15"/>
  <c r="AC30" i="15"/>
  <c r="AQ30" i="15"/>
  <c r="Q30" i="15"/>
  <c r="AE30" i="15"/>
  <c r="AS30" i="15"/>
  <c r="R30" i="15"/>
  <c r="AF30" i="15"/>
  <c r="AU30" i="15"/>
  <c r="C30" i="2"/>
  <c r="E21" i="15"/>
  <c r="AF21" i="15"/>
  <c r="AU21" i="15"/>
  <c r="G21" i="15"/>
  <c r="U21" i="15"/>
  <c r="K21" i="15"/>
  <c r="AK21" i="15"/>
  <c r="M21" i="15"/>
  <c r="Y21" i="15"/>
  <c r="AM21" i="15"/>
  <c r="O21" i="15"/>
  <c r="AA21" i="15"/>
  <c r="AO21" i="15"/>
  <c r="AC21" i="15"/>
  <c r="AE21" i="15"/>
  <c r="AI21" i="15"/>
  <c r="AQ21" i="15"/>
  <c r="I21" i="15"/>
  <c r="AS21" i="15"/>
  <c r="Q21" i="15"/>
  <c r="R21" i="15"/>
  <c r="V21" i="15"/>
  <c r="C21" i="2"/>
  <c r="I8" i="15"/>
  <c r="V8" i="15"/>
  <c r="AI8" i="15"/>
  <c r="K8" i="15"/>
  <c r="AK8" i="15"/>
  <c r="O8" i="15"/>
  <c r="AA8" i="15"/>
  <c r="AO8" i="15"/>
  <c r="Q8" i="15"/>
  <c r="AC8" i="15"/>
  <c r="AQ8" i="15"/>
  <c r="R8" i="15"/>
  <c r="AE8" i="15"/>
  <c r="AS8" i="15"/>
  <c r="U8" i="15"/>
  <c r="Y8" i="15"/>
  <c r="AF8" i="15"/>
  <c r="E8" i="15"/>
  <c r="AM8" i="15"/>
  <c r="G8" i="15"/>
  <c r="AU8" i="15"/>
  <c r="M8" i="15"/>
  <c r="C8" i="2"/>
  <c r="Q18" i="15"/>
  <c r="AC18" i="15"/>
  <c r="AQ18" i="15"/>
  <c r="R18" i="15"/>
  <c r="AE18" i="15"/>
  <c r="AS18" i="15"/>
  <c r="G18" i="15"/>
  <c r="U18" i="15"/>
  <c r="I18" i="15"/>
  <c r="V18" i="15"/>
  <c r="AI18" i="15"/>
  <c r="K18" i="15"/>
  <c r="AK18" i="15"/>
  <c r="O18" i="15"/>
  <c r="Y18" i="15"/>
  <c r="AA18" i="15"/>
  <c r="AF18" i="15"/>
  <c r="AM18" i="15"/>
  <c r="E18" i="15"/>
  <c r="AO18" i="15"/>
  <c r="M18" i="15"/>
  <c r="AU18" i="15"/>
  <c r="C18" i="2"/>
  <c r="F33" i="1"/>
  <c r="F35" i="19"/>
  <c r="G35" i="19" s="1"/>
  <c r="I35" i="19" s="1"/>
  <c r="I39" i="19" s="1"/>
  <c r="Q26" i="15"/>
  <c r="AC26" i="15"/>
  <c r="AQ26" i="15"/>
  <c r="G26" i="15"/>
  <c r="U26" i="15"/>
  <c r="AK26" i="15"/>
  <c r="V26" i="15"/>
  <c r="AM26" i="15"/>
  <c r="E26" i="15"/>
  <c r="AO26" i="15"/>
  <c r="I26" i="15"/>
  <c r="Y26" i="15"/>
  <c r="AS26" i="15"/>
  <c r="K26" i="15"/>
  <c r="AA26" i="15"/>
  <c r="AU26" i="15"/>
  <c r="M26" i="15"/>
  <c r="AE26" i="15"/>
  <c r="O26" i="15"/>
  <c r="AF26" i="15"/>
  <c r="R26" i="15"/>
  <c r="AI26" i="15"/>
  <c r="C26" i="2"/>
  <c r="Q6" i="15"/>
  <c r="AC6" i="15"/>
  <c r="AQ6" i="15"/>
  <c r="R6" i="15"/>
  <c r="AE6" i="15"/>
  <c r="AS6" i="15"/>
  <c r="G6" i="15"/>
  <c r="U6" i="15"/>
  <c r="I6" i="15"/>
  <c r="V6" i="15"/>
  <c r="AI6" i="15"/>
  <c r="K6" i="15"/>
  <c r="AK6" i="15"/>
  <c r="AM6" i="15"/>
  <c r="E6" i="15"/>
  <c r="AO6" i="15"/>
  <c r="M6" i="15"/>
  <c r="AU6" i="15"/>
  <c r="O6" i="15"/>
  <c r="Y6" i="15"/>
  <c r="AA6" i="15"/>
  <c r="AF6" i="15"/>
  <c r="C6" i="2"/>
  <c r="F37" i="19"/>
  <c r="G37" i="19"/>
  <c r="I37" i="19" s="1"/>
  <c r="E5" i="15"/>
  <c r="AF5" i="15"/>
  <c r="AU5" i="15"/>
  <c r="G5" i="15"/>
  <c r="U5" i="15"/>
  <c r="K5" i="15"/>
  <c r="AK5" i="15"/>
  <c r="M5" i="15"/>
  <c r="Y5" i="15"/>
  <c r="AM5" i="15"/>
  <c r="O5" i="15"/>
  <c r="AA5" i="15"/>
  <c r="AO5" i="15"/>
  <c r="I5" i="15"/>
  <c r="AS5" i="15"/>
  <c r="C5" i="2"/>
  <c r="Q5" i="15"/>
  <c r="R5" i="15"/>
  <c r="C36" i="15"/>
  <c r="X37" i="15" s="1"/>
  <c r="V5" i="15"/>
  <c r="AC5" i="15"/>
  <c r="AE5" i="15"/>
  <c r="AI5" i="15"/>
  <c r="AQ5" i="15"/>
  <c r="Q32" i="15"/>
  <c r="AC32" i="15"/>
  <c r="AQ32" i="15"/>
  <c r="R32" i="15"/>
  <c r="AE32" i="15"/>
  <c r="AS32" i="15"/>
  <c r="E32" i="15"/>
  <c r="AF32" i="15"/>
  <c r="AU32" i="15"/>
  <c r="G32" i="15"/>
  <c r="U32" i="15"/>
  <c r="I32" i="15"/>
  <c r="V32" i="15"/>
  <c r="AI32" i="15"/>
  <c r="K32" i="15"/>
  <c r="AK32" i="15"/>
  <c r="M32" i="15"/>
  <c r="Y32" i="15"/>
  <c r="AM32" i="15"/>
  <c r="O32" i="15"/>
  <c r="AA32" i="15"/>
  <c r="AO32" i="15"/>
  <c r="C32" i="2"/>
  <c r="M27" i="15"/>
  <c r="Y27" i="15"/>
  <c r="AM27" i="15"/>
  <c r="R27" i="15"/>
  <c r="AE27" i="15"/>
  <c r="AS27" i="15"/>
  <c r="K27" i="15"/>
  <c r="AC27" i="15"/>
  <c r="O27" i="15"/>
  <c r="AF27" i="15"/>
  <c r="Q27" i="15"/>
  <c r="AI27" i="15"/>
  <c r="U27" i="15"/>
  <c r="AK27" i="15"/>
  <c r="E27" i="15"/>
  <c r="V27" i="15"/>
  <c r="AO27" i="15"/>
  <c r="G27" i="15"/>
  <c r="AQ27" i="15"/>
  <c r="I27" i="15"/>
  <c r="AA27" i="15"/>
  <c r="AU27" i="15"/>
  <c r="C27" i="2"/>
  <c r="Q14" i="15"/>
  <c r="AC14" i="15"/>
  <c r="AQ14" i="15"/>
  <c r="R14" i="15"/>
  <c r="AE14" i="15"/>
  <c r="AS14" i="15"/>
  <c r="G14" i="15"/>
  <c r="U14" i="15"/>
  <c r="I14" i="15"/>
  <c r="V14" i="15"/>
  <c r="AI14" i="15"/>
  <c r="K14" i="15"/>
  <c r="AK14" i="15"/>
  <c r="M14" i="15"/>
  <c r="AU14" i="15"/>
  <c r="O14" i="15"/>
  <c r="Y14" i="15"/>
  <c r="AA14" i="15"/>
  <c r="AF14" i="15"/>
  <c r="AM14" i="15"/>
  <c r="E14" i="15"/>
  <c r="AO14" i="15"/>
  <c r="C14" i="2"/>
  <c r="C40" i="15"/>
  <c r="AL39" i="15"/>
  <c r="AL41" i="15"/>
  <c r="AL40" i="15"/>
  <c r="C39" i="15"/>
  <c r="C41" i="15"/>
  <c r="E23" i="1" l="1"/>
  <c r="F8" i="1"/>
  <c r="J8" i="1" s="1"/>
  <c r="AG6" i="15"/>
  <c r="C6" i="17"/>
  <c r="S12" i="15"/>
  <c r="C12" i="12"/>
  <c r="C12" i="14"/>
  <c r="W28" i="15"/>
  <c r="C28" i="13"/>
  <c r="AG25" i="15"/>
  <c r="C25" i="17"/>
  <c r="AG30" i="15"/>
  <c r="C30" i="17"/>
  <c r="M23" i="1"/>
  <c r="F28" i="1"/>
  <c r="AG19" i="15"/>
  <c r="C19" i="17"/>
  <c r="S22" i="15"/>
  <c r="C22" i="12"/>
  <c r="C22" i="14"/>
  <c r="AG31" i="15"/>
  <c r="C31" i="17"/>
  <c r="AG20" i="15"/>
  <c r="C20" i="17"/>
  <c r="W29" i="15"/>
  <c r="C29" i="13"/>
  <c r="E32" i="1"/>
  <c r="J32" i="1"/>
  <c r="F34" i="1"/>
  <c r="W10" i="15"/>
  <c r="C10" i="13"/>
  <c r="W14" i="15"/>
  <c r="C14" i="13"/>
  <c r="AG32" i="15"/>
  <c r="C32" i="17"/>
  <c r="AG26" i="15"/>
  <c r="C26" i="17"/>
  <c r="S21" i="15"/>
  <c r="C21" i="12"/>
  <c r="C21" i="14"/>
  <c r="W12" i="15"/>
  <c r="C12" i="13"/>
  <c r="M12" i="1"/>
  <c r="F15" i="1"/>
  <c r="S15" i="15"/>
  <c r="C15" i="12"/>
  <c r="C15" i="14"/>
  <c r="S13" i="15"/>
  <c r="C13" i="12"/>
  <c r="C13" i="14"/>
  <c r="W22" i="15"/>
  <c r="C22" i="13"/>
  <c r="AG28" i="2"/>
  <c r="AO28" i="2"/>
  <c r="AW28" i="2"/>
  <c r="BE28" i="2"/>
  <c r="AJ28" i="2"/>
  <c r="AR28" i="2"/>
  <c r="AZ28" i="2"/>
  <c r="AM28" i="2"/>
  <c r="AX28" i="2"/>
  <c r="AN28" i="2"/>
  <c r="AY28" i="2"/>
  <c r="AQ28" i="2"/>
  <c r="BB28" i="2"/>
  <c r="AI28" i="2"/>
  <c r="BA28" i="2"/>
  <c r="AK28" i="2"/>
  <c r="BC28" i="2"/>
  <c r="AP28" i="2"/>
  <c r="BF28" i="2"/>
  <c r="BG28" i="2"/>
  <c r="AH28" i="2"/>
  <c r="AS28" i="2"/>
  <c r="AU28" i="2"/>
  <c r="AV28" i="2"/>
  <c r="AL28" i="2"/>
  <c r="BD28" i="2"/>
  <c r="AT28" i="2"/>
  <c r="AL25" i="2"/>
  <c r="AT25" i="2"/>
  <c r="BB25" i="2"/>
  <c r="AG25" i="2"/>
  <c r="AO25" i="2"/>
  <c r="AW25" i="2"/>
  <c r="BE25" i="2"/>
  <c r="AK25" i="2"/>
  <c r="AV25" i="2"/>
  <c r="BG25" i="2"/>
  <c r="AM25" i="2"/>
  <c r="AX25" i="2"/>
  <c r="AP25" i="2"/>
  <c r="AZ25" i="2"/>
  <c r="AJ25" i="2"/>
  <c r="BC25" i="2"/>
  <c r="AN25" i="2"/>
  <c r="BD25" i="2"/>
  <c r="AR25" i="2"/>
  <c r="AH25" i="2"/>
  <c r="AI25" i="2"/>
  <c r="AS25" i="2"/>
  <c r="AY25" i="2"/>
  <c r="BA25" i="2"/>
  <c r="AQ25" i="2"/>
  <c r="AU25" i="2"/>
  <c r="BF25" i="2"/>
  <c r="AN27" i="2"/>
  <c r="AV27" i="2"/>
  <c r="BD27" i="2"/>
  <c r="AI27" i="2"/>
  <c r="AQ27" i="2"/>
  <c r="AY27" i="2"/>
  <c r="BG27" i="2"/>
  <c r="AL27" i="2"/>
  <c r="AW27" i="2"/>
  <c r="AM27" i="2"/>
  <c r="AX27" i="2"/>
  <c r="AP27" i="2"/>
  <c r="BA27" i="2"/>
  <c r="AJ27" i="2"/>
  <c r="BB27" i="2"/>
  <c r="AK27" i="2"/>
  <c r="BC27" i="2"/>
  <c r="AR27" i="2"/>
  <c r="BF27" i="2"/>
  <c r="AO27" i="2"/>
  <c r="AS27" i="2"/>
  <c r="AU27" i="2"/>
  <c r="AT27" i="2"/>
  <c r="AZ27" i="2"/>
  <c r="AH27" i="2"/>
  <c r="BE27" i="2"/>
  <c r="AG27" i="2"/>
  <c r="W6" i="15"/>
  <c r="C6" i="13"/>
  <c r="S8" i="15"/>
  <c r="C8" i="14"/>
  <c r="C8" i="12"/>
  <c r="AI11" i="2"/>
  <c r="AH11" i="2"/>
  <c r="AP11" i="2"/>
  <c r="AM11" i="2"/>
  <c r="AV11" i="2"/>
  <c r="BD11" i="2"/>
  <c r="AQ11" i="2"/>
  <c r="AY11" i="2"/>
  <c r="BG11" i="2"/>
  <c r="AR11" i="2"/>
  <c r="BB11" i="2"/>
  <c r="AS11" i="2"/>
  <c r="BC11" i="2"/>
  <c r="AJ11" i="2"/>
  <c r="AU11" i="2"/>
  <c r="BF11" i="2"/>
  <c r="AX11" i="2"/>
  <c r="AG11" i="2"/>
  <c r="AZ11" i="2"/>
  <c r="AL11" i="2"/>
  <c r="BE11" i="2"/>
  <c r="AN11" i="2"/>
  <c r="BA11" i="2"/>
  <c r="AK11" i="2"/>
  <c r="AT11" i="2"/>
  <c r="AO11" i="2"/>
  <c r="AW11" i="2"/>
  <c r="S11" i="15"/>
  <c r="C11" i="14"/>
  <c r="C11" i="12"/>
  <c r="AG9" i="2"/>
  <c r="AO9" i="2"/>
  <c r="AW9" i="2"/>
  <c r="BE9" i="2"/>
  <c r="AN9" i="2"/>
  <c r="AV9" i="2"/>
  <c r="BD9" i="2"/>
  <c r="AK9" i="2"/>
  <c r="AU9" i="2"/>
  <c r="BG9" i="2"/>
  <c r="AP9" i="2"/>
  <c r="AZ9" i="2"/>
  <c r="AJ9" i="2"/>
  <c r="AY9" i="2"/>
  <c r="AL9" i="2"/>
  <c r="BA9" i="2"/>
  <c r="AQ9" i="2"/>
  <c r="BC9" i="2"/>
  <c r="AX9" i="2"/>
  <c r="BB9" i="2"/>
  <c r="AI9" i="2"/>
  <c r="AM9" i="2"/>
  <c r="AS9" i="2"/>
  <c r="AT9" i="2"/>
  <c r="AR9" i="2"/>
  <c r="BF9" i="2"/>
  <c r="AH9" i="2"/>
  <c r="S9" i="15"/>
  <c r="C9" i="12"/>
  <c r="C9" i="14"/>
  <c r="AJ23" i="2"/>
  <c r="AR23" i="2"/>
  <c r="AZ23" i="2"/>
  <c r="AM23" i="2"/>
  <c r="AU23" i="2"/>
  <c r="BC23" i="2"/>
  <c r="AL23" i="2"/>
  <c r="AW23" i="2"/>
  <c r="BG23" i="2"/>
  <c r="AN23" i="2"/>
  <c r="AX23" i="2"/>
  <c r="AP23" i="2"/>
  <c r="BA23" i="2"/>
  <c r="AK23" i="2"/>
  <c r="BD23" i="2"/>
  <c r="AO23" i="2"/>
  <c r="BE23" i="2"/>
  <c r="AS23" i="2"/>
  <c r="AY23" i="2"/>
  <c r="BB23" i="2"/>
  <c r="AH23" i="2"/>
  <c r="AQ23" i="2"/>
  <c r="AT23" i="2"/>
  <c r="BF23" i="2"/>
  <c r="AG23" i="2"/>
  <c r="BJ23" i="2" s="1"/>
  <c r="AV23" i="2"/>
  <c r="AI23" i="2"/>
  <c r="S23" i="15"/>
  <c r="C23" i="12"/>
  <c r="C23" i="14"/>
  <c r="G26" i="1"/>
  <c r="M26" i="1"/>
  <c r="AG12" i="15"/>
  <c r="C12" i="17"/>
  <c r="AG33" i="15"/>
  <c r="C33" i="17"/>
  <c r="B21" i="1"/>
  <c r="AJ31" i="2"/>
  <c r="AR31" i="2"/>
  <c r="AZ31" i="2"/>
  <c r="AM31" i="2"/>
  <c r="AU31" i="2"/>
  <c r="BC31" i="2"/>
  <c r="AO31" i="2"/>
  <c r="AY31" i="2"/>
  <c r="AP31" i="2"/>
  <c r="BA31" i="2"/>
  <c r="AH31" i="2"/>
  <c r="AS31" i="2"/>
  <c r="BD31" i="2"/>
  <c r="AI31" i="2"/>
  <c r="AX31" i="2"/>
  <c r="AK31" i="2"/>
  <c r="BB31" i="2"/>
  <c r="AN31" i="2"/>
  <c r="BF31" i="2"/>
  <c r="AL31" i="2"/>
  <c r="AQ31" i="2"/>
  <c r="AV31" i="2"/>
  <c r="AG31" i="2"/>
  <c r="AT31" i="2"/>
  <c r="BE31" i="2"/>
  <c r="BG31" i="2"/>
  <c r="AW31" i="2"/>
  <c r="W31" i="15"/>
  <c r="C31" i="13"/>
  <c r="AL17" i="2"/>
  <c r="AT17" i="2"/>
  <c r="BB17" i="2"/>
  <c r="AG17" i="2"/>
  <c r="AO17" i="2"/>
  <c r="AW17" i="2"/>
  <c r="BE17" i="2"/>
  <c r="AI17" i="2"/>
  <c r="AS17" i="2"/>
  <c r="BD17" i="2"/>
  <c r="AJ17" i="2"/>
  <c r="AU17" i="2"/>
  <c r="BF17" i="2"/>
  <c r="AM17" i="2"/>
  <c r="AX17" i="2"/>
  <c r="AR17" i="2"/>
  <c r="AV17" i="2"/>
  <c r="AH17" i="2"/>
  <c r="AZ17" i="2"/>
  <c r="AP17" i="2"/>
  <c r="AQ17" i="2"/>
  <c r="BA17" i="2"/>
  <c r="BC17" i="2"/>
  <c r="BG17" i="2"/>
  <c r="AK17" i="2"/>
  <c r="AN17" i="2"/>
  <c r="AY17" i="2"/>
  <c r="AG29" i="15"/>
  <c r="C29" i="17"/>
  <c r="S24" i="15"/>
  <c r="C24" i="12"/>
  <c r="C24" i="14"/>
  <c r="AH10" i="2"/>
  <c r="AP10" i="2"/>
  <c r="AX10" i="2"/>
  <c r="BF10" i="2"/>
  <c r="AG10" i="2"/>
  <c r="AO10" i="2"/>
  <c r="AW10" i="2"/>
  <c r="BE10" i="2"/>
  <c r="AL10" i="2"/>
  <c r="AV10" i="2"/>
  <c r="AQ10" i="2"/>
  <c r="BA10" i="2"/>
  <c r="AI10" i="2"/>
  <c r="AU10" i="2"/>
  <c r="AJ10" i="2"/>
  <c r="AY10" i="2"/>
  <c r="AM10" i="2"/>
  <c r="BB10" i="2"/>
  <c r="AR10" i="2"/>
  <c r="AS10" i="2"/>
  <c r="AZ10" i="2"/>
  <c r="AN10" i="2"/>
  <c r="BD10" i="2"/>
  <c r="BG10" i="2"/>
  <c r="AK10" i="2"/>
  <c r="AT10" i="2"/>
  <c r="BC10" i="2"/>
  <c r="S25" i="15"/>
  <c r="C25" i="12"/>
  <c r="C25" i="14"/>
  <c r="E33" i="1"/>
  <c r="J33" i="1"/>
  <c r="AH21" i="2"/>
  <c r="AP21" i="2"/>
  <c r="AX21" i="2"/>
  <c r="BF21" i="2"/>
  <c r="AK21" i="2"/>
  <c r="AS21" i="2"/>
  <c r="BA21" i="2"/>
  <c r="AL21" i="2"/>
  <c r="AV21" i="2"/>
  <c r="BG21" i="2"/>
  <c r="AM21" i="2"/>
  <c r="AW21" i="2"/>
  <c r="AO21" i="2"/>
  <c r="AZ21" i="2"/>
  <c r="AI21" i="2"/>
  <c r="BB21" i="2"/>
  <c r="AJ21" i="2"/>
  <c r="BC21" i="2"/>
  <c r="AQ21" i="2"/>
  <c r="BE21" i="2"/>
  <c r="AN21" i="2"/>
  <c r="AR21" i="2"/>
  <c r="AU21" i="2"/>
  <c r="AG21" i="2"/>
  <c r="AY21" i="2"/>
  <c r="BD21" i="2"/>
  <c r="AT21" i="2"/>
  <c r="S33" i="15"/>
  <c r="C33" i="12"/>
  <c r="C33" i="14"/>
  <c r="B20" i="1"/>
  <c r="AG20" i="2"/>
  <c r="AO20" i="2"/>
  <c r="AW20" i="2"/>
  <c r="BE20" i="2"/>
  <c r="AJ20" i="2"/>
  <c r="AR20" i="2"/>
  <c r="AZ20" i="2"/>
  <c r="AK20" i="2"/>
  <c r="AU20" i="2"/>
  <c r="BF20" i="2"/>
  <c r="AL20" i="2"/>
  <c r="AV20" i="2"/>
  <c r="BG20" i="2"/>
  <c r="AN20" i="2"/>
  <c r="AY20" i="2"/>
  <c r="AX20" i="2"/>
  <c r="AH20" i="2"/>
  <c r="BA20" i="2"/>
  <c r="AM20" i="2"/>
  <c r="BC20" i="2"/>
  <c r="AQ20" i="2"/>
  <c r="AS20" i="2"/>
  <c r="BB20" i="2"/>
  <c r="AI20" i="2"/>
  <c r="AP20" i="2"/>
  <c r="BD20" i="2"/>
  <c r="AT20" i="2"/>
  <c r="AK24" i="2"/>
  <c r="AS24" i="2"/>
  <c r="BA24" i="2"/>
  <c r="AN24" i="2"/>
  <c r="AV24" i="2"/>
  <c r="BD24" i="2"/>
  <c r="AL24" i="2"/>
  <c r="AW24" i="2"/>
  <c r="BG24" i="2"/>
  <c r="AM24" i="2"/>
  <c r="AX24" i="2"/>
  <c r="AP24" i="2"/>
  <c r="AZ24" i="2"/>
  <c r="AI24" i="2"/>
  <c r="BB24" i="2"/>
  <c r="AJ24" i="2"/>
  <c r="BC24" i="2"/>
  <c r="AQ24" i="2"/>
  <c r="BF24" i="2"/>
  <c r="AO24" i="2"/>
  <c r="AR24" i="2"/>
  <c r="AU24" i="2"/>
  <c r="AH24" i="2"/>
  <c r="AT24" i="2"/>
  <c r="BE24" i="2"/>
  <c r="AG24" i="2"/>
  <c r="AY24" i="2"/>
  <c r="W5" i="15"/>
  <c r="V36" i="15"/>
  <c r="C5" i="13"/>
  <c r="S6" i="15"/>
  <c r="C6" i="12"/>
  <c r="C6" i="14"/>
  <c r="W13" i="15"/>
  <c r="C13" i="13"/>
  <c r="W27" i="15"/>
  <c r="C27" i="13"/>
  <c r="AG5" i="15"/>
  <c r="AF36" i="15"/>
  <c r="C5" i="17"/>
  <c r="AJ15" i="2"/>
  <c r="AR15" i="2"/>
  <c r="AZ15" i="2"/>
  <c r="AM15" i="2"/>
  <c r="AU15" i="2"/>
  <c r="BC15" i="2"/>
  <c r="AI15" i="2"/>
  <c r="AT15" i="2"/>
  <c r="BE15" i="2"/>
  <c r="AK15" i="2"/>
  <c r="AV15" i="2"/>
  <c r="BF15" i="2"/>
  <c r="AN15" i="2"/>
  <c r="AX15" i="2"/>
  <c r="AQ15" i="2"/>
  <c r="AS15" i="2"/>
  <c r="AG15" i="2"/>
  <c r="AY15" i="2"/>
  <c r="AH15" i="2"/>
  <c r="BG15" i="2"/>
  <c r="AL15" i="2"/>
  <c r="AP15" i="2"/>
  <c r="AW15" i="2"/>
  <c r="BA15" i="2"/>
  <c r="BD15" i="2"/>
  <c r="BB15" i="2"/>
  <c r="AO15" i="2"/>
  <c r="AM5" i="2"/>
  <c r="AU5" i="2"/>
  <c r="AL5" i="2"/>
  <c r="AT5" i="2"/>
  <c r="AK5" i="2"/>
  <c r="AW5" i="2"/>
  <c r="AP5" i="2"/>
  <c r="AJ5" i="2"/>
  <c r="AN5" i="2"/>
  <c r="AQ5" i="2"/>
  <c r="AV5" i="2"/>
  <c r="AH5" i="2"/>
  <c r="AO5" i="2"/>
  <c r="AR5" i="2"/>
  <c r="AG5" i="2"/>
  <c r="AI5" i="2"/>
  <c r="AS5" i="2"/>
  <c r="AG21" i="15"/>
  <c r="C21" i="17"/>
  <c r="AN19" i="2"/>
  <c r="AV19" i="2"/>
  <c r="BD19" i="2"/>
  <c r="AI19" i="2"/>
  <c r="AQ19" i="2"/>
  <c r="AY19" i="2"/>
  <c r="BG19" i="2"/>
  <c r="AJ19" i="2"/>
  <c r="AT19" i="2"/>
  <c r="BE19" i="2"/>
  <c r="AK19" i="2"/>
  <c r="AU19" i="2"/>
  <c r="BF19" i="2"/>
  <c r="AM19" i="2"/>
  <c r="AX19" i="2"/>
  <c r="AW19" i="2"/>
  <c r="AG19" i="2"/>
  <c r="BJ19" i="2" s="1"/>
  <c r="AZ19" i="2"/>
  <c r="AL19" i="2"/>
  <c r="BB19" i="2"/>
  <c r="BA19" i="2"/>
  <c r="BC19" i="2"/>
  <c r="AH19" i="2"/>
  <c r="AO19" i="2"/>
  <c r="AP19" i="2"/>
  <c r="AR19" i="2"/>
  <c r="AS19" i="2"/>
  <c r="S19" i="15"/>
  <c r="C19" i="14"/>
  <c r="C19" i="12"/>
  <c r="AG22" i="15"/>
  <c r="C22" i="17"/>
  <c r="AG12" i="2"/>
  <c r="AO12" i="2"/>
  <c r="AW12" i="2"/>
  <c r="BE12" i="2"/>
  <c r="AJ12" i="2"/>
  <c r="AR12" i="2"/>
  <c r="AZ12" i="2"/>
  <c r="AH12" i="2"/>
  <c r="AS12" i="2"/>
  <c r="BC12" i="2"/>
  <c r="AI12" i="2"/>
  <c r="AT12" i="2"/>
  <c r="BD12" i="2"/>
  <c r="AL12" i="2"/>
  <c r="AV12" i="2"/>
  <c r="BG12" i="2"/>
  <c r="AK12" i="2"/>
  <c r="BA12" i="2"/>
  <c r="AM12" i="2"/>
  <c r="BB12" i="2"/>
  <c r="AP12" i="2"/>
  <c r="AY12" i="2"/>
  <c r="BF12" i="2"/>
  <c r="AN12" i="2"/>
  <c r="AU12" i="2"/>
  <c r="AX12" i="2"/>
  <c r="AQ12" i="2"/>
  <c r="AL33" i="2"/>
  <c r="AT33" i="2"/>
  <c r="BB33" i="2"/>
  <c r="AG33" i="2"/>
  <c r="AO33" i="2"/>
  <c r="AW33" i="2"/>
  <c r="BE33" i="2"/>
  <c r="AN33" i="2"/>
  <c r="AY33" i="2"/>
  <c r="AP33" i="2"/>
  <c r="AZ33" i="2"/>
  <c r="AH33" i="2"/>
  <c r="AR33" i="2"/>
  <c r="BC33" i="2"/>
  <c r="AI33" i="2"/>
  <c r="AX33" i="2"/>
  <c r="AJ33" i="2"/>
  <c r="BA33" i="2"/>
  <c r="AM33" i="2"/>
  <c r="BF33" i="2"/>
  <c r="AV33" i="2"/>
  <c r="BD33" i="2"/>
  <c r="AK33" i="2"/>
  <c r="AS33" i="2"/>
  <c r="AU33" i="2"/>
  <c r="BG33" i="2"/>
  <c r="AQ33" i="2"/>
  <c r="F7" i="1"/>
  <c r="J7" i="1" s="1"/>
  <c r="E21" i="1"/>
  <c r="L21" i="1" s="1"/>
  <c r="N21" i="1" s="1"/>
  <c r="AK16" i="2"/>
  <c r="AS16" i="2"/>
  <c r="BA16" i="2"/>
  <c r="AN16" i="2"/>
  <c r="AV16" i="2"/>
  <c r="BD16" i="2"/>
  <c r="AI16" i="2"/>
  <c r="AT16" i="2"/>
  <c r="BE16" i="2"/>
  <c r="AJ16" i="2"/>
  <c r="AU16" i="2"/>
  <c r="BF16" i="2"/>
  <c r="AM16" i="2"/>
  <c r="AX16" i="2"/>
  <c r="AQ16" i="2"/>
  <c r="AR16" i="2"/>
  <c r="AG16" i="2"/>
  <c r="BJ16" i="2" s="1"/>
  <c r="AY16" i="2"/>
  <c r="AZ16" i="2"/>
  <c r="BB16" i="2"/>
  <c r="AH16" i="2"/>
  <c r="BG16" i="2"/>
  <c r="AP16" i="2"/>
  <c r="AW16" i="2"/>
  <c r="AO16" i="2"/>
  <c r="BC16" i="2"/>
  <c r="AL16" i="2"/>
  <c r="AG16" i="15"/>
  <c r="C16" i="17"/>
  <c r="S17" i="15"/>
  <c r="C17" i="12"/>
  <c r="C17" i="14"/>
  <c r="W17" i="15"/>
  <c r="C17" i="13"/>
  <c r="W20" i="15"/>
  <c r="C20" i="13"/>
  <c r="S29" i="15"/>
  <c r="C29" i="12"/>
  <c r="C29" i="14"/>
  <c r="W24" i="15"/>
  <c r="C24" i="13"/>
  <c r="S28" i="15"/>
  <c r="C28" i="12"/>
  <c r="C28" i="14"/>
  <c r="AG11" i="15"/>
  <c r="C11" i="17"/>
  <c r="AG23" i="15"/>
  <c r="C23" i="17"/>
  <c r="W25" i="15"/>
  <c r="C25" i="13"/>
  <c r="AN8" i="2"/>
  <c r="AV8" i="2"/>
  <c r="BD8" i="2"/>
  <c r="AM8" i="2"/>
  <c r="AU8" i="2"/>
  <c r="BC8" i="2"/>
  <c r="AK8" i="2"/>
  <c r="AW8" i="2"/>
  <c r="BG8" i="2"/>
  <c r="AP8" i="2"/>
  <c r="AZ8" i="2"/>
  <c r="AO8" i="2"/>
  <c r="BB8" i="2"/>
  <c r="AQ8" i="2"/>
  <c r="BE8" i="2"/>
  <c r="AG8" i="2"/>
  <c r="AS8" i="2"/>
  <c r="AJ8" i="2"/>
  <c r="AL8" i="2"/>
  <c r="AT8" i="2"/>
  <c r="AH8" i="2"/>
  <c r="AR8" i="2"/>
  <c r="AX8" i="2"/>
  <c r="AY8" i="2"/>
  <c r="BF8" i="2"/>
  <c r="BA8" i="2"/>
  <c r="AI8" i="2"/>
  <c r="W21" i="15"/>
  <c r="C21" i="13"/>
  <c r="W19" i="15"/>
  <c r="C19" i="13"/>
  <c r="AG17" i="15"/>
  <c r="C17" i="17"/>
  <c r="AM18" i="2"/>
  <c r="AU18" i="2"/>
  <c r="BC18" i="2"/>
  <c r="AH18" i="2"/>
  <c r="AP18" i="2"/>
  <c r="AX18" i="2"/>
  <c r="BF18" i="2"/>
  <c r="AJ18" i="2"/>
  <c r="AT18" i="2"/>
  <c r="BE18" i="2"/>
  <c r="AK18" i="2"/>
  <c r="AV18" i="2"/>
  <c r="BG18" i="2"/>
  <c r="AN18" i="2"/>
  <c r="AY18" i="2"/>
  <c r="AW18" i="2"/>
  <c r="AG18" i="2"/>
  <c r="AZ18" i="2"/>
  <c r="AL18" i="2"/>
  <c r="BB18" i="2"/>
  <c r="AI18" i="2"/>
  <c r="AO18" i="2"/>
  <c r="AR18" i="2"/>
  <c r="AQ18" i="2"/>
  <c r="AS18" i="2"/>
  <c r="BA18" i="2"/>
  <c r="BD18" i="2"/>
  <c r="S30" i="15"/>
  <c r="C30" i="12"/>
  <c r="C30" i="14"/>
  <c r="AK32" i="2"/>
  <c r="AS32" i="2"/>
  <c r="BA32" i="2"/>
  <c r="AN32" i="2"/>
  <c r="AV32" i="2"/>
  <c r="BD32" i="2"/>
  <c r="AO32" i="2"/>
  <c r="AY32" i="2"/>
  <c r="AP32" i="2"/>
  <c r="AZ32" i="2"/>
  <c r="AH32" i="2"/>
  <c r="AR32" i="2"/>
  <c r="BC32" i="2"/>
  <c r="AI32" i="2"/>
  <c r="AX32" i="2"/>
  <c r="AJ32" i="2"/>
  <c r="BB32" i="2"/>
  <c r="AM32" i="2"/>
  <c r="BF32" i="2"/>
  <c r="BG32" i="2"/>
  <c r="AG32" i="2"/>
  <c r="AQ32" i="2"/>
  <c r="AT32" i="2"/>
  <c r="AU32" i="2"/>
  <c r="AL32" i="2"/>
  <c r="BE32" i="2"/>
  <c r="AW32" i="2"/>
  <c r="S20" i="15"/>
  <c r="C20" i="12"/>
  <c r="C20" i="14"/>
  <c r="S18" i="15"/>
  <c r="C18" i="14"/>
  <c r="C18" i="12"/>
  <c r="S32" i="15"/>
  <c r="C32" i="12"/>
  <c r="C32" i="14"/>
  <c r="W8" i="15"/>
  <c r="C8" i="13"/>
  <c r="G22" i="1"/>
  <c r="M22" i="1"/>
  <c r="W11" i="15"/>
  <c r="C11" i="13"/>
  <c r="W15" i="15"/>
  <c r="C15" i="13"/>
  <c r="AI22" i="2"/>
  <c r="AQ22" i="2"/>
  <c r="AY22" i="2"/>
  <c r="BG22" i="2"/>
  <c r="AL22" i="2"/>
  <c r="AT22" i="2"/>
  <c r="BB22" i="2"/>
  <c r="AK22" i="2"/>
  <c r="AV22" i="2"/>
  <c r="BF22" i="2"/>
  <c r="AM22" i="2"/>
  <c r="AW22" i="2"/>
  <c r="AO22" i="2"/>
  <c r="AZ22" i="2"/>
  <c r="AJ22" i="2"/>
  <c r="BC22" i="2"/>
  <c r="AN22" i="2"/>
  <c r="BD22" i="2"/>
  <c r="AR22" i="2"/>
  <c r="AG22" i="2"/>
  <c r="BJ22" i="2" s="1"/>
  <c r="AH22" i="2"/>
  <c r="AS22" i="2"/>
  <c r="AU22" i="2"/>
  <c r="AX22" i="2"/>
  <c r="BE22" i="2"/>
  <c r="AP22" i="2"/>
  <c r="BA22" i="2"/>
  <c r="AK7" i="2"/>
  <c r="AS7" i="2"/>
  <c r="AJ7" i="2"/>
  <c r="AR7" i="2"/>
  <c r="AM7" i="2"/>
  <c r="AW7" i="2"/>
  <c r="AP7" i="2"/>
  <c r="AI7" i="2"/>
  <c r="AL7" i="2"/>
  <c r="AO7" i="2"/>
  <c r="AQ7" i="2"/>
  <c r="AT7" i="2"/>
  <c r="AV7" i="2"/>
  <c r="AG7" i="2"/>
  <c r="AN7" i="2"/>
  <c r="AU7" i="2"/>
  <c r="AH7" i="2"/>
  <c r="S7" i="15"/>
  <c r="C7" i="14"/>
  <c r="C7" i="12"/>
  <c r="AG28" i="15"/>
  <c r="C28" i="17"/>
  <c r="AG10" i="15"/>
  <c r="C10" i="17"/>
  <c r="S14" i="15"/>
  <c r="C14" i="12"/>
  <c r="C14" i="14"/>
  <c r="AG18" i="15"/>
  <c r="C18" i="17"/>
  <c r="S16" i="15"/>
  <c r="C16" i="12"/>
  <c r="C16" i="14"/>
  <c r="AG14" i="15"/>
  <c r="C14" i="17"/>
  <c r="AG27" i="15"/>
  <c r="C27" i="17"/>
  <c r="S26" i="15"/>
  <c r="C26" i="14"/>
  <c r="C26" i="12"/>
  <c r="AG9" i="15"/>
  <c r="C9" i="17"/>
  <c r="N36" i="15"/>
  <c r="O33" i="15"/>
  <c r="B25" i="1"/>
  <c r="P37" i="15"/>
  <c r="C38" i="15"/>
  <c r="C37" i="15"/>
  <c r="D37" i="15"/>
  <c r="T37" i="15"/>
  <c r="AJ37" i="15"/>
  <c r="F37" i="15"/>
  <c r="AL37" i="15"/>
  <c r="H37" i="15"/>
  <c r="AN37" i="15"/>
  <c r="AD37" i="15"/>
  <c r="AT37" i="15"/>
  <c r="C42" i="15"/>
  <c r="AH37" i="15"/>
  <c r="J37" i="15"/>
  <c r="AR37" i="15"/>
  <c r="Z37" i="15"/>
  <c r="AB37" i="15"/>
  <c r="L37" i="15"/>
  <c r="AP37" i="15"/>
  <c r="W30" i="15"/>
  <c r="C30" i="13"/>
  <c r="AH13" i="2"/>
  <c r="AP13" i="2"/>
  <c r="AX13" i="2"/>
  <c r="BF13" i="2"/>
  <c r="AK13" i="2"/>
  <c r="AS13" i="2"/>
  <c r="BA13" i="2"/>
  <c r="AI13" i="2"/>
  <c r="AT13" i="2"/>
  <c r="BD13" i="2"/>
  <c r="AJ13" i="2"/>
  <c r="AU13" i="2"/>
  <c r="BE13" i="2"/>
  <c r="AM13" i="2"/>
  <c r="AW13" i="2"/>
  <c r="AN13" i="2"/>
  <c r="BC13" i="2"/>
  <c r="AO13" i="2"/>
  <c r="BG13" i="2"/>
  <c r="AR13" i="2"/>
  <c r="AV13" i="2"/>
  <c r="AY13" i="2"/>
  <c r="BB13" i="2"/>
  <c r="AL13" i="2"/>
  <c r="AQ13" i="2"/>
  <c r="AG13" i="2"/>
  <c r="AZ13" i="2"/>
  <c r="W23" i="15"/>
  <c r="C23" i="13"/>
  <c r="AG7" i="15"/>
  <c r="C7" i="17"/>
  <c r="W16" i="15"/>
  <c r="C16" i="13"/>
  <c r="AG24" i="15"/>
  <c r="C24" i="17"/>
  <c r="S5" i="15"/>
  <c r="R36" i="15"/>
  <c r="C5" i="14"/>
  <c r="C5" i="12"/>
  <c r="W9" i="15"/>
  <c r="C9" i="13"/>
  <c r="AI14" i="2"/>
  <c r="AQ14" i="2"/>
  <c r="AY14" i="2"/>
  <c r="BG14" i="2"/>
  <c r="AL14" i="2"/>
  <c r="AT14" i="2"/>
  <c r="BB14" i="2"/>
  <c r="AH14" i="2"/>
  <c r="AS14" i="2"/>
  <c r="BD14" i="2"/>
  <c r="AJ14" i="2"/>
  <c r="AU14" i="2"/>
  <c r="BE14" i="2"/>
  <c r="AM14" i="2"/>
  <c r="AW14" i="2"/>
  <c r="AO14" i="2"/>
  <c r="BF14" i="2"/>
  <c r="AP14" i="2"/>
  <c r="AV14" i="2"/>
  <c r="AN14" i="2"/>
  <c r="AR14" i="2"/>
  <c r="AZ14" i="2"/>
  <c r="AG14" i="2"/>
  <c r="BJ14" i="2" s="1"/>
  <c r="AK14" i="2"/>
  <c r="BA14" i="2"/>
  <c r="BC14" i="2"/>
  <c r="AX14" i="2"/>
  <c r="W32" i="15"/>
  <c r="C32" i="13"/>
  <c r="S27" i="15"/>
  <c r="C27" i="12"/>
  <c r="C27" i="14"/>
  <c r="AH6" i="2"/>
  <c r="AP6" i="2"/>
  <c r="AG6" i="2"/>
  <c r="AO6" i="2"/>
  <c r="AW6" i="2"/>
  <c r="AL6" i="2"/>
  <c r="AV6" i="2"/>
  <c r="AQ6" i="2"/>
  <c r="AS6" i="2"/>
  <c r="AT6" i="2"/>
  <c r="AJ6" i="2"/>
  <c r="AR6" i="2"/>
  <c r="AU6" i="2"/>
  <c r="AN6" i="2"/>
  <c r="AK6" i="2"/>
  <c r="AM6" i="2"/>
  <c r="AI6" i="2"/>
  <c r="AM26" i="2"/>
  <c r="AU26" i="2"/>
  <c r="BC26" i="2"/>
  <c r="AH26" i="2"/>
  <c r="AP26" i="2"/>
  <c r="AX26" i="2"/>
  <c r="BF26" i="2"/>
  <c r="AL26" i="2"/>
  <c r="AW26" i="2"/>
  <c r="AN26" i="2"/>
  <c r="AY26" i="2"/>
  <c r="AQ26" i="2"/>
  <c r="BA26" i="2"/>
  <c r="AK26" i="2"/>
  <c r="BD26" i="2"/>
  <c r="AO26" i="2"/>
  <c r="BE26" i="2"/>
  <c r="AS26" i="2"/>
  <c r="AZ26" i="2"/>
  <c r="BB26" i="2"/>
  <c r="AI26" i="2"/>
  <c r="AT26" i="2"/>
  <c r="AV26" i="2"/>
  <c r="AJ26" i="2"/>
  <c r="AG26" i="2"/>
  <c r="BG26" i="2"/>
  <c r="AR26" i="2"/>
  <c r="W26" i="15"/>
  <c r="C26" i="13"/>
  <c r="W18" i="15"/>
  <c r="C18" i="13"/>
  <c r="AG8" i="15"/>
  <c r="C8" i="17"/>
  <c r="AI30" i="2"/>
  <c r="AQ30" i="2"/>
  <c r="AY30" i="2"/>
  <c r="BG30" i="2"/>
  <c r="AL30" i="2"/>
  <c r="AT30" i="2"/>
  <c r="BB30" i="2"/>
  <c r="AN30" i="2"/>
  <c r="AX30" i="2"/>
  <c r="AO30" i="2"/>
  <c r="AZ30" i="2"/>
  <c r="AG30" i="2"/>
  <c r="AR30" i="2"/>
  <c r="BC30" i="2"/>
  <c r="AJ30" i="2"/>
  <c r="BA30" i="2"/>
  <c r="AK30" i="2"/>
  <c r="BD30" i="2"/>
  <c r="AP30" i="2"/>
  <c r="BF30" i="2"/>
  <c r="AU30" i="2"/>
  <c r="AV30" i="2"/>
  <c r="BE30" i="2"/>
  <c r="AH30" i="2"/>
  <c r="AW30" i="2"/>
  <c r="AM30" i="2"/>
  <c r="AS30" i="2"/>
  <c r="AG15" i="15"/>
  <c r="C15" i="17"/>
  <c r="AG13" i="15"/>
  <c r="C13" i="17"/>
  <c r="W33" i="15"/>
  <c r="B22" i="1"/>
  <c r="C33" i="13"/>
  <c r="S31" i="15"/>
  <c r="C31" i="12"/>
  <c r="C31" i="14"/>
  <c r="W7" i="15"/>
  <c r="C7" i="13"/>
  <c r="AH29" i="2"/>
  <c r="AP29" i="2"/>
  <c r="AX29" i="2"/>
  <c r="BF29" i="2"/>
  <c r="AK29" i="2"/>
  <c r="AS29" i="2"/>
  <c r="BA29" i="2"/>
  <c r="AN29" i="2"/>
  <c r="AY29" i="2"/>
  <c r="AO29" i="2"/>
  <c r="AZ29" i="2"/>
  <c r="AG29" i="2"/>
  <c r="AR29" i="2"/>
  <c r="BC29" i="2"/>
  <c r="AJ29" i="2"/>
  <c r="BB29" i="2"/>
  <c r="AL29" i="2"/>
  <c r="BD29" i="2"/>
  <c r="AQ29" i="2"/>
  <c r="BG29" i="2"/>
  <c r="AW29" i="2"/>
  <c r="BE29" i="2"/>
  <c r="AI29" i="2"/>
  <c r="AV29" i="2"/>
  <c r="AM29" i="2"/>
  <c r="AT29" i="2"/>
  <c r="AU29" i="2"/>
  <c r="S10" i="15"/>
  <c r="C10" i="14"/>
  <c r="C10" i="12"/>
  <c r="R41" i="15"/>
  <c r="AF41" i="15"/>
  <c r="AF40" i="15"/>
  <c r="V41" i="15"/>
  <c r="N40" i="15"/>
  <c r="V39" i="15"/>
  <c r="R39" i="15"/>
  <c r="N41" i="15"/>
  <c r="V40" i="15"/>
  <c r="N39" i="15"/>
  <c r="R40" i="15"/>
  <c r="AF39" i="15"/>
  <c r="R27" i="12" l="1"/>
  <c r="Z27" i="12"/>
  <c r="U27" i="12"/>
  <c r="AA27" i="12"/>
  <c r="S27" i="12"/>
  <c r="V27" i="12"/>
  <c r="T27" i="12"/>
  <c r="W27" i="12"/>
  <c r="Y27" i="12"/>
  <c r="AB27" i="12"/>
  <c r="X27" i="12"/>
  <c r="AE30" i="14"/>
  <c r="AM30" i="14"/>
  <c r="AF30" i="14"/>
  <c r="AN30" i="14"/>
  <c r="Z30" i="14"/>
  <c r="AH30" i="14"/>
  <c r="AP30" i="14"/>
  <c r="Y30" i="14"/>
  <c r="AK30" i="14"/>
  <c r="AA30" i="14"/>
  <c r="AL30" i="14"/>
  <c r="AC30" i="14"/>
  <c r="AD30" i="14"/>
  <c r="AB30" i="14"/>
  <c r="AG30" i="14"/>
  <c r="AJ30" i="14"/>
  <c r="AO30" i="14"/>
  <c r="AI30" i="14"/>
  <c r="P24" i="13"/>
  <c r="U24" i="13"/>
  <c r="V24" i="13"/>
  <c r="Q24" i="13"/>
  <c r="R24" i="13"/>
  <c r="O24" i="13"/>
  <c r="S24" i="13"/>
  <c r="T24" i="13"/>
  <c r="BJ12" i="2"/>
  <c r="W24" i="12"/>
  <c r="R24" i="12"/>
  <c r="AF24" i="12" s="1"/>
  <c r="Z24" i="12"/>
  <c r="T24" i="12"/>
  <c r="AB24" i="12"/>
  <c r="U24" i="12"/>
  <c r="V24" i="12"/>
  <c r="X24" i="12"/>
  <c r="S24" i="12"/>
  <c r="AA24" i="12"/>
  <c r="Y24" i="12"/>
  <c r="AC21" i="14"/>
  <c r="AK21" i="14"/>
  <c r="AD21" i="14"/>
  <c r="AL21" i="14"/>
  <c r="AF21" i="14"/>
  <c r="AN21" i="14"/>
  <c r="AG21" i="14"/>
  <c r="AH21" i="14"/>
  <c r="Y21" i="14"/>
  <c r="AJ21" i="14"/>
  <c r="Z21" i="14"/>
  <c r="AM21" i="14"/>
  <c r="AP21" i="14"/>
  <c r="AB21" i="14"/>
  <c r="AI21" i="14"/>
  <c r="AE21" i="14"/>
  <c r="AA21" i="14"/>
  <c r="AO21" i="14"/>
  <c r="V31" i="12"/>
  <c r="Y31" i="12"/>
  <c r="R31" i="12"/>
  <c r="AB31" i="12"/>
  <c r="Z31" i="12"/>
  <c r="AA31" i="12"/>
  <c r="S31" i="12"/>
  <c r="X31" i="12"/>
  <c r="U31" i="12"/>
  <c r="W31" i="12"/>
  <c r="T31" i="12"/>
  <c r="BJ13" i="2"/>
  <c r="Q22" i="17"/>
  <c r="S22" i="17"/>
  <c r="P22" i="17"/>
  <c r="T22" i="17"/>
  <c r="V22" i="17"/>
  <c r="R22" i="17"/>
  <c r="U22" i="17"/>
  <c r="Y15" i="14"/>
  <c r="AG15" i="14"/>
  <c r="AO15" i="14"/>
  <c r="Z15" i="14"/>
  <c r="AH15" i="14"/>
  <c r="AP15" i="14"/>
  <c r="AB15" i="14"/>
  <c r="AJ15" i="14"/>
  <c r="AI15" i="14"/>
  <c r="AK15" i="14"/>
  <c r="AA15" i="14"/>
  <c r="AM15" i="14"/>
  <c r="AC15" i="14"/>
  <c r="AN15" i="14"/>
  <c r="AD15" i="14"/>
  <c r="AF15" i="14"/>
  <c r="AL15" i="14"/>
  <c r="AE15" i="14"/>
  <c r="T21" i="12"/>
  <c r="AB21" i="12"/>
  <c r="W21" i="12"/>
  <c r="Y21" i="12"/>
  <c r="AA21" i="12"/>
  <c r="S21" i="12"/>
  <c r="Z21" i="12"/>
  <c r="R21" i="12"/>
  <c r="AF21" i="12" s="1"/>
  <c r="U21" i="12"/>
  <c r="X21" i="12"/>
  <c r="V21" i="12"/>
  <c r="Y12" i="14"/>
  <c r="AG12" i="14"/>
  <c r="AO12" i="14"/>
  <c r="AD12" i="14"/>
  <c r="AM12" i="14"/>
  <c r="AE12" i="14"/>
  <c r="AN12" i="14"/>
  <c r="AH12" i="14"/>
  <c r="AI12" i="14"/>
  <c r="AJ12" i="14"/>
  <c r="Z12" i="14"/>
  <c r="AL12" i="14"/>
  <c r="AA12" i="14"/>
  <c r="AP12" i="14"/>
  <c r="AB12" i="14"/>
  <c r="AF12" i="14"/>
  <c r="AC12" i="14"/>
  <c r="AK12" i="14"/>
  <c r="P32" i="13"/>
  <c r="U32" i="13"/>
  <c r="V32" i="13"/>
  <c r="Q32" i="13"/>
  <c r="R32" i="13"/>
  <c r="T32" i="13"/>
  <c r="O32" i="13"/>
  <c r="S32" i="13"/>
  <c r="AF5" i="14"/>
  <c r="AN5" i="14"/>
  <c r="AA5" i="14"/>
  <c r="AI5" i="14"/>
  <c r="AG5" i="14"/>
  <c r="AH5" i="14"/>
  <c r="Z5" i="14"/>
  <c r="AK5" i="14"/>
  <c r="AL5" i="14"/>
  <c r="AM5" i="14"/>
  <c r="AB5" i="14"/>
  <c r="AP5" i="14"/>
  <c r="AC5" i="14"/>
  <c r="AJ5" i="14"/>
  <c r="AO5" i="14"/>
  <c r="AD5" i="14"/>
  <c r="Y5" i="14"/>
  <c r="AE5" i="14"/>
  <c r="BJ10" i="2"/>
  <c r="S9" i="12"/>
  <c r="AA9" i="12"/>
  <c r="W9" i="12"/>
  <c r="Z9" i="12"/>
  <c r="Y9" i="12"/>
  <c r="R9" i="12"/>
  <c r="T9" i="12"/>
  <c r="V9" i="12"/>
  <c r="X9" i="12"/>
  <c r="AB9" i="12"/>
  <c r="U9" i="12"/>
  <c r="M28" i="1"/>
  <c r="BJ7" i="2"/>
  <c r="S20" i="12"/>
  <c r="AA20" i="12"/>
  <c r="V20" i="12"/>
  <c r="T20" i="12"/>
  <c r="U20" i="12"/>
  <c r="W20" i="12"/>
  <c r="Y20" i="12"/>
  <c r="AB20" i="12"/>
  <c r="X20" i="12"/>
  <c r="Z20" i="12"/>
  <c r="R20" i="12"/>
  <c r="R11" i="17"/>
  <c r="T11" i="17"/>
  <c r="Q11" i="17"/>
  <c r="P11" i="17"/>
  <c r="S11" i="17"/>
  <c r="V11" i="17"/>
  <c r="U11" i="17"/>
  <c r="AF37" i="15"/>
  <c r="AF38" i="15"/>
  <c r="AF42" i="15"/>
  <c r="BJ24" i="2"/>
  <c r="BJ17" i="2"/>
  <c r="Y23" i="14"/>
  <c r="AG23" i="14"/>
  <c r="AO23" i="14"/>
  <c r="Z23" i="14"/>
  <c r="AH23" i="14"/>
  <c r="AP23" i="14"/>
  <c r="AB23" i="14"/>
  <c r="AJ23" i="14"/>
  <c r="AL23" i="14"/>
  <c r="AA23" i="14"/>
  <c r="AM23" i="14"/>
  <c r="AD23" i="14"/>
  <c r="AE23" i="14"/>
  <c r="AK23" i="14"/>
  <c r="AN23" i="14"/>
  <c r="AF23" i="14"/>
  <c r="AC23" i="14"/>
  <c r="AI23" i="14"/>
  <c r="BJ28" i="2"/>
  <c r="U26" i="17"/>
  <c r="P26" i="17"/>
  <c r="S26" i="17"/>
  <c r="R26" i="17"/>
  <c r="Q26" i="17"/>
  <c r="T26" i="17"/>
  <c r="V26" i="17"/>
  <c r="G34" i="1"/>
  <c r="J34" i="1"/>
  <c r="F36" i="1"/>
  <c r="Q30" i="17"/>
  <c r="P30" i="17"/>
  <c r="T30" i="17"/>
  <c r="S30" i="17"/>
  <c r="U30" i="17"/>
  <c r="R30" i="17"/>
  <c r="V30" i="17"/>
  <c r="BJ6" i="2"/>
  <c r="S7" i="17"/>
  <c r="V7" i="17"/>
  <c r="R7" i="17"/>
  <c r="U7" i="17"/>
  <c r="Q7" i="17"/>
  <c r="T7" i="17"/>
  <c r="P7" i="17"/>
  <c r="Y7" i="17" s="1"/>
  <c r="R18" i="17"/>
  <c r="U18" i="17"/>
  <c r="Q18" i="17"/>
  <c r="S18" i="17"/>
  <c r="P18" i="17"/>
  <c r="T18" i="17"/>
  <c r="V18" i="17"/>
  <c r="R15" i="13"/>
  <c r="T15" i="13"/>
  <c r="P15" i="13"/>
  <c r="Q15" i="13"/>
  <c r="S15" i="13"/>
  <c r="V15" i="13"/>
  <c r="O15" i="13"/>
  <c r="U15" i="13"/>
  <c r="AA32" i="14"/>
  <c r="AI32" i="14"/>
  <c r="AB32" i="14"/>
  <c r="AJ32" i="14"/>
  <c r="AD32" i="14"/>
  <c r="AL32" i="14"/>
  <c r="AE32" i="14"/>
  <c r="AP32" i="14"/>
  <c r="AF32" i="14"/>
  <c r="AH32" i="14"/>
  <c r="AO32" i="14"/>
  <c r="Y32" i="14"/>
  <c r="Z32" i="14"/>
  <c r="AG32" i="14"/>
  <c r="AK32" i="14"/>
  <c r="AN32" i="14"/>
  <c r="AM32" i="14"/>
  <c r="AC32" i="14"/>
  <c r="P16" i="17"/>
  <c r="S16" i="17"/>
  <c r="Q16" i="17"/>
  <c r="U16" i="17"/>
  <c r="R16" i="17"/>
  <c r="V16" i="17"/>
  <c r="T16" i="17"/>
  <c r="Y19" i="14"/>
  <c r="AG19" i="14"/>
  <c r="AO19" i="14"/>
  <c r="Z19" i="14"/>
  <c r="AH19" i="14"/>
  <c r="AP19" i="14"/>
  <c r="AB19" i="14"/>
  <c r="AJ19" i="14"/>
  <c r="AD19" i="14"/>
  <c r="AE19" i="14"/>
  <c r="AI19" i="14"/>
  <c r="AK19" i="14"/>
  <c r="AC19" i="14"/>
  <c r="AA19" i="14"/>
  <c r="AL19" i="14"/>
  <c r="AM19" i="14"/>
  <c r="AN19" i="14"/>
  <c r="AF19" i="14"/>
  <c r="R5" i="13"/>
  <c r="T5" i="13"/>
  <c r="P5" i="13"/>
  <c r="S5" i="13"/>
  <c r="V5" i="13"/>
  <c r="O5" i="13"/>
  <c r="Z5" i="13" s="1"/>
  <c r="U5" i="13"/>
  <c r="Q5" i="13"/>
  <c r="V23" i="12"/>
  <c r="Y23" i="12"/>
  <c r="Z23" i="12"/>
  <c r="T23" i="12"/>
  <c r="U23" i="12"/>
  <c r="X23" i="12"/>
  <c r="S23" i="12"/>
  <c r="W23" i="12"/>
  <c r="AB23" i="12"/>
  <c r="R23" i="12"/>
  <c r="AA23" i="12"/>
  <c r="BJ25" i="2"/>
  <c r="P22" i="13"/>
  <c r="S22" i="13"/>
  <c r="U22" i="13"/>
  <c r="T22" i="13"/>
  <c r="O22" i="13"/>
  <c r="R22" i="13"/>
  <c r="V22" i="13"/>
  <c r="Q22" i="13"/>
  <c r="G15" i="1"/>
  <c r="F29" i="1"/>
  <c r="M15" i="1"/>
  <c r="M29" i="1" s="1"/>
  <c r="AE22" i="14"/>
  <c r="AM22" i="14"/>
  <c r="AF22" i="14"/>
  <c r="AN22" i="14"/>
  <c r="Z22" i="14"/>
  <c r="AH22" i="14"/>
  <c r="AP22" i="14"/>
  <c r="AI22" i="14"/>
  <c r="AJ22" i="14"/>
  <c r="AA22" i="14"/>
  <c r="AL22" i="14"/>
  <c r="AB22" i="14"/>
  <c r="AO22" i="14"/>
  <c r="AK22" i="14"/>
  <c r="Y22" i="14"/>
  <c r="AT22" i="14" s="1"/>
  <c r="AC22" i="14"/>
  <c r="AD22" i="14"/>
  <c r="AG22" i="14"/>
  <c r="V6" i="17"/>
  <c r="Q6" i="17"/>
  <c r="S6" i="17"/>
  <c r="T6" i="17"/>
  <c r="U6" i="17"/>
  <c r="R6" i="17"/>
  <c r="P6" i="17"/>
  <c r="T10" i="12"/>
  <c r="AB10" i="12"/>
  <c r="Z10" i="12"/>
  <c r="U10" i="12"/>
  <c r="V10" i="12"/>
  <c r="X10" i="12"/>
  <c r="R10" i="12"/>
  <c r="W10" i="12"/>
  <c r="S10" i="12"/>
  <c r="Y10" i="12"/>
  <c r="AA10" i="12"/>
  <c r="AE18" i="14"/>
  <c r="AM18" i="14"/>
  <c r="AF18" i="14"/>
  <c r="AN18" i="14"/>
  <c r="Z18" i="14"/>
  <c r="AH18" i="14"/>
  <c r="AP18" i="14"/>
  <c r="AA18" i="14"/>
  <c r="AL18" i="14"/>
  <c r="AB18" i="14"/>
  <c r="AO18" i="14"/>
  <c r="AD18" i="14"/>
  <c r="AG18" i="14"/>
  <c r="Y18" i="14"/>
  <c r="AC18" i="14"/>
  <c r="AJ18" i="14"/>
  <c r="AK18" i="14"/>
  <c r="AI18" i="14"/>
  <c r="S20" i="17"/>
  <c r="V20" i="17"/>
  <c r="P20" i="17"/>
  <c r="R20" i="17"/>
  <c r="T20" i="17"/>
  <c r="Q20" i="17"/>
  <c r="U20" i="17"/>
  <c r="AA16" i="14"/>
  <c r="AI16" i="14"/>
  <c r="AB16" i="14"/>
  <c r="AJ16" i="14"/>
  <c r="AD16" i="14"/>
  <c r="AL16" i="14"/>
  <c r="AK16" i="14"/>
  <c r="Y16" i="14"/>
  <c r="AM16" i="14"/>
  <c r="AC16" i="14"/>
  <c r="AO16" i="14"/>
  <c r="AE16" i="14"/>
  <c r="AP16" i="14"/>
  <c r="Z16" i="14"/>
  <c r="AG16" i="14"/>
  <c r="AH16" i="14"/>
  <c r="AN16" i="14"/>
  <c r="AF16" i="14"/>
  <c r="V23" i="17"/>
  <c r="Q23" i="17"/>
  <c r="P23" i="17"/>
  <c r="S23" i="17"/>
  <c r="R23" i="17"/>
  <c r="T23" i="17"/>
  <c r="U23" i="17"/>
  <c r="V10" i="13"/>
  <c r="P10" i="13"/>
  <c r="S10" i="13"/>
  <c r="U10" i="13"/>
  <c r="T10" i="13"/>
  <c r="O10" i="13"/>
  <c r="Q10" i="13"/>
  <c r="R10" i="13"/>
  <c r="V8" i="13"/>
  <c r="P8" i="13"/>
  <c r="O8" i="13"/>
  <c r="Q8" i="13"/>
  <c r="S8" i="13"/>
  <c r="T8" i="13"/>
  <c r="U8" i="13"/>
  <c r="R8" i="13"/>
  <c r="S17" i="12"/>
  <c r="AA17" i="12"/>
  <c r="T17" i="12"/>
  <c r="W17" i="12"/>
  <c r="U17" i="12"/>
  <c r="Z17" i="12"/>
  <c r="AB17" i="12"/>
  <c r="V17" i="12"/>
  <c r="X17" i="12"/>
  <c r="R17" i="12"/>
  <c r="Y17" i="12"/>
  <c r="T29" i="17"/>
  <c r="R29" i="17"/>
  <c r="V29" i="17"/>
  <c r="Q29" i="17"/>
  <c r="P29" i="17"/>
  <c r="S29" i="17"/>
  <c r="U29" i="17"/>
  <c r="V31" i="17"/>
  <c r="R31" i="17"/>
  <c r="P31" i="17"/>
  <c r="S31" i="17"/>
  <c r="Q31" i="17"/>
  <c r="T31" i="17"/>
  <c r="U31" i="17"/>
  <c r="T33" i="13"/>
  <c r="Q33" i="13"/>
  <c r="R33" i="13"/>
  <c r="S33" i="13"/>
  <c r="V33" i="13"/>
  <c r="P33" i="13"/>
  <c r="O33" i="13"/>
  <c r="U33" i="13"/>
  <c r="P8" i="17"/>
  <c r="S8" i="17"/>
  <c r="R8" i="17"/>
  <c r="Q8" i="17"/>
  <c r="U8" i="17"/>
  <c r="V8" i="17"/>
  <c r="T8" i="17"/>
  <c r="R27" i="17"/>
  <c r="Q27" i="17"/>
  <c r="P27" i="17"/>
  <c r="T27" i="17"/>
  <c r="V27" i="17"/>
  <c r="S27" i="17"/>
  <c r="U27" i="17"/>
  <c r="W32" i="12"/>
  <c r="R32" i="12"/>
  <c r="AF32" i="12" s="1"/>
  <c r="Z32" i="12"/>
  <c r="V32" i="12"/>
  <c r="U32" i="12"/>
  <c r="X32" i="12"/>
  <c r="AA32" i="12"/>
  <c r="AB32" i="12"/>
  <c r="S32" i="12"/>
  <c r="Y32" i="12"/>
  <c r="T32" i="12"/>
  <c r="BJ18" i="2"/>
  <c r="AA28" i="14"/>
  <c r="AI28" i="14"/>
  <c r="AB28" i="14"/>
  <c r="AJ28" i="14"/>
  <c r="AD28" i="14"/>
  <c r="AL28" i="14"/>
  <c r="AH28" i="14"/>
  <c r="AK28" i="14"/>
  <c r="Z28" i="14"/>
  <c r="AN28" i="14"/>
  <c r="AC28" i="14"/>
  <c r="AO28" i="14"/>
  <c r="Y28" i="14"/>
  <c r="AF28" i="14"/>
  <c r="AE28" i="14"/>
  <c r="AM28" i="14"/>
  <c r="AP28" i="14"/>
  <c r="AG28" i="14"/>
  <c r="V20" i="13"/>
  <c r="P20" i="13"/>
  <c r="O20" i="13"/>
  <c r="Q20" i="13"/>
  <c r="S20" i="13"/>
  <c r="T20" i="13"/>
  <c r="R20" i="13"/>
  <c r="U20" i="13"/>
  <c r="BJ5" i="2"/>
  <c r="T27" i="13"/>
  <c r="S27" i="13"/>
  <c r="U27" i="13"/>
  <c r="V27" i="13"/>
  <c r="O27" i="13"/>
  <c r="P27" i="13"/>
  <c r="Q27" i="13"/>
  <c r="R27" i="13"/>
  <c r="BJ31" i="2"/>
  <c r="P33" i="17"/>
  <c r="T33" i="17"/>
  <c r="Q33" i="17"/>
  <c r="S33" i="17"/>
  <c r="U33" i="17"/>
  <c r="V33" i="17"/>
  <c r="R33" i="17"/>
  <c r="R8" i="12"/>
  <c r="Z8" i="12"/>
  <c r="T8" i="12"/>
  <c r="W8" i="12"/>
  <c r="U8" i="12"/>
  <c r="V8" i="12"/>
  <c r="X8" i="12"/>
  <c r="AA8" i="12"/>
  <c r="S8" i="12"/>
  <c r="AB8" i="12"/>
  <c r="Y8" i="12"/>
  <c r="S32" i="17"/>
  <c r="V32" i="17"/>
  <c r="P32" i="17"/>
  <c r="R32" i="17"/>
  <c r="T32" i="17"/>
  <c r="U32" i="17"/>
  <c r="Q32" i="17"/>
  <c r="E34" i="1"/>
  <c r="U22" i="12"/>
  <c r="X22" i="12"/>
  <c r="T22" i="12"/>
  <c r="Y22" i="12"/>
  <c r="Z22" i="12"/>
  <c r="AB22" i="12"/>
  <c r="R22" i="12"/>
  <c r="S22" i="12"/>
  <c r="W22" i="12"/>
  <c r="V22" i="12"/>
  <c r="AA22" i="12"/>
  <c r="P25" i="17"/>
  <c r="S25" i="17"/>
  <c r="V25" i="17"/>
  <c r="R25" i="17"/>
  <c r="Q25" i="17"/>
  <c r="U25" i="17"/>
  <c r="T25" i="17"/>
  <c r="Y31" i="14"/>
  <c r="AG31" i="14"/>
  <c r="AO31" i="14"/>
  <c r="Z31" i="14"/>
  <c r="AH31" i="14"/>
  <c r="AP31" i="14"/>
  <c r="AB31" i="14"/>
  <c r="AJ31" i="14"/>
  <c r="AC31" i="14"/>
  <c r="AN31" i="14"/>
  <c r="AD31" i="14"/>
  <c r="AF31" i="14"/>
  <c r="AE31" i="14"/>
  <c r="AA31" i="14"/>
  <c r="AK31" i="14"/>
  <c r="AL31" i="14"/>
  <c r="AM31" i="14"/>
  <c r="AI31" i="14"/>
  <c r="R19" i="13"/>
  <c r="T19" i="13"/>
  <c r="P19" i="13"/>
  <c r="S19" i="13"/>
  <c r="Q19" i="13"/>
  <c r="V19" i="13"/>
  <c r="U19" i="13"/>
  <c r="O19" i="13"/>
  <c r="Z10" i="14"/>
  <c r="AH10" i="14"/>
  <c r="AC10" i="14"/>
  <c r="AK10" i="14"/>
  <c r="AA10" i="14"/>
  <c r="AL10" i="14"/>
  <c r="AB10" i="14"/>
  <c r="AM10" i="14"/>
  <c r="AE10" i="14"/>
  <c r="AO10" i="14"/>
  <c r="AJ10" i="14"/>
  <c r="AN10" i="14"/>
  <c r="Y10" i="14"/>
  <c r="AD10" i="14"/>
  <c r="AI10" i="14"/>
  <c r="AP10" i="14"/>
  <c r="AF10" i="14"/>
  <c r="AG10" i="14"/>
  <c r="AC17" i="14"/>
  <c r="AK17" i="14"/>
  <c r="AD17" i="14"/>
  <c r="AL17" i="14"/>
  <c r="AF17" i="14"/>
  <c r="AN17" i="14"/>
  <c r="Y17" i="14"/>
  <c r="AJ17" i="14"/>
  <c r="Z17" i="14"/>
  <c r="AM17" i="14"/>
  <c r="AB17" i="14"/>
  <c r="AP17" i="14"/>
  <c r="AE17" i="14"/>
  <c r="AA17" i="14"/>
  <c r="AH17" i="14"/>
  <c r="AO17" i="14"/>
  <c r="AI17" i="14"/>
  <c r="AG17" i="14"/>
  <c r="T21" i="17"/>
  <c r="Q21" i="17"/>
  <c r="U21" i="17"/>
  <c r="P21" i="17"/>
  <c r="S21" i="17"/>
  <c r="R21" i="17"/>
  <c r="V21" i="17"/>
  <c r="Z6" i="14"/>
  <c r="AH6" i="14"/>
  <c r="AP6" i="14"/>
  <c r="AC6" i="14"/>
  <c r="AK6" i="14"/>
  <c r="AF6" i="14"/>
  <c r="AG6" i="14"/>
  <c r="Y6" i="14"/>
  <c r="AJ6" i="14"/>
  <c r="AD6" i="14"/>
  <c r="AE6" i="14"/>
  <c r="AL6" i="14"/>
  <c r="AM6" i="14"/>
  <c r="AO6" i="14"/>
  <c r="AA6" i="14"/>
  <c r="AB6" i="14"/>
  <c r="AI6" i="14"/>
  <c r="AN6" i="14"/>
  <c r="AC33" i="14"/>
  <c r="AK33" i="14"/>
  <c r="AD33" i="14"/>
  <c r="AL33" i="14"/>
  <c r="AF33" i="14"/>
  <c r="AN33" i="14"/>
  <c r="AE33" i="14"/>
  <c r="AG33" i="14"/>
  <c r="AI33" i="14"/>
  <c r="AH33" i="14"/>
  <c r="AJ33" i="14"/>
  <c r="AM33" i="14"/>
  <c r="Y33" i="14"/>
  <c r="AP33" i="14"/>
  <c r="Z33" i="14"/>
  <c r="AA33" i="14"/>
  <c r="AB33" i="14"/>
  <c r="AO33" i="14"/>
  <c r="BJ29" i="2"/>
  <c r="Y26" i="12"/>
  <c r="T26" i="12"/>
  <c r="AB26" i="12"/>
  <c r="U26" i="12"/>
  <c r="S26" i="12"/>
  <c r="V26" i="12"/>
  <c r="X26" i="12"/>
  <c r="R26" i="12"/>
  <c r="Z26" i="12"/>
  <c r="AA26" i="12"/>
  <c r="W26" i="12"/>
  <c r="AA20" i="14"/>
  <c r="AI20" i="14"/>
  <c r="AB20" i="14"/>
  <c r="AJ20" i="14"/>
  <c r="AD20" i="14"/>
  <c r="AL20" i="14"/>
  <c r="AF20" i="14"/>
  <c r="AG20" i="14"/>
  <c r="AK20" i="14"/>
  <c r="Y20" i="14"/>
  <c r="AM20" i="14"/>
  <c r="AP20" i="14"/>
  <c r="Z20" i="14"/>
  <c r="AE20" i="14"/>
  <c r="AN20" i="14"/>
  <c r="AH20" i="14"/>
  <c r="AC20" i="14"/>
  <c r="AO20" i="14"/>
  <c r="R21" i="13"/>
  <c r="T21" i="13"/>
  <c r="V21" i="13"/>
  <c r="P21" i="13"/>
  <c r="Q21" i="13"/>
  <c r="S21" i="13"/>
  <c r="U21" i="13"/>
  <c r="O21" i="13"/>
  <c r="AC29" i="14"/>
  <c r="AK29" i="14"/>
  <c r="AD29" i="14"/>
  <c r="AL29" i="14"/>
  <c r="AF29" i="14"/>
  <c r="AN29" i="14"/>
  <c r="AI29" i="14"/>
  <c r="Y29" i="14"/>
  <c r="AJ29" i="14"/>
  <c r="AA29" i="14"/>
  <c r="AO29" i="14"/>
  <c r="AB29" i="14"/>
  <c r="AP29" i="14"/>
  <c r="AE29" i="14"/>
  <c r="Z29" i="14"/>
  <c r="AH29" i="14"/>
  <c r="AM29" i="14"/>
  <c r="AG29" i="14"/>
  <c r="BJ27" i="2"/>
  <c r="Y15" i="12"/>
  <c r="V15" i="12"/>
  <c r="Z15" i="12"/>
  <c r="W15" i="12"/>
  <c r="AA15" i="12"/>
  <c r="AB15" i="12"/>
  <c r="R15" i="12"/>
  <c r="X15" i="12"/>
  <c r="T15" i="12"/>
  <c r="U15" i="12"/>
  <c r="S15" i="12"/>
  <c r="V12" i="12"/>
  <c r="X12" i="12"/>
  <c r="R12" i="12"/>
  <c r="AA12" i="12"/>
  <c r="Y12" i="12"/>
  <c r="AB12" i="12"/>
  <c r="T12" i="12"/>
  <c r="U12" i="12"/>
  <c r="W12" i="12"/>
  <c r="Z12" i="12"/>
  <c r="S12" i="12"/>
  <c r="T29" i="12"/>
  <c r="AB29" i="12"/>
  <c r="W29" i="12"/>
  <c r="AA29" i="12"/>
  <c r="U29" i="12"/>
  <c r="V29" i="12"/>
  <c r="Y29" i="12"/>
  <c r="S29" i="12"/>
  <c r="X29" i="12"/>
  <c r="R29" i="12"/>
  <c r="Z29" i="12"/>
  <c r="U19" i="12"/>
  <c r="Z19" i="12"/>
  <c r="T19" i="12"/>
  <c r="V19" i="12"/>
  <c r="X19" i="12"/>
  <c r="W19" i="12"/>
  <c r="Y19" i="12"/>
  <c r="AB19" i="12"/>
  <c r="S19" i="12"/>
  <c r="AA19" i="12"/>
  <c r="R19" i="12"/>
  <c r="AF19" i="12" s="1"/>
  <c r="BJ26" i="2"/>
  <c r="Y7" i="12"/>
  <c r="Z7" i="12"/>
  <c r="T7" i="12"/>
  <c r="U7" i="12"/>
  <c r="W7" i="12"/>
  <c r="V7" i="12"/>
  <c r="X7" i="12"/>
  <c r="AB7" i="12"/>
  <c r="R7" i="12"/>
  <c r="S7" i="12"/>
  <c r="AA7" i="12"/>
  <c r="R7" i="13"/>
  <c r="T7" i="13"/>
  <c r="P7" i="13"/>
  <c r="S7" i="13"/>
  <c r="Q7" i="13"/>
  <c r="V7" i="13"/>
  <c r="O7" i="13"/>
  <c r="U7" i="13"/>
  <c r="Q13" i="17"/>
  <c r="T13" i="17"/>
  <c r="R13" i="17"/>
  <c r="V13" i="17"/>
  <c r="P13" i="17"/>
  <c r="U13" i="17"/>
  <c r="S13" i="17"/>
  <c r="R38" i="15"/>
  <c r="R37" i="15"/>
  <c r="R42" i="15"/>
  <c r="T23" i="13"/>
  <c r="O23" i="13"/>
  <c r="Z23" i="13" s="1"/>
  <c r="P23" i="13"/>
  <c r="Q23" i="13"/>
  <c r="S23" i="13"/>
  <c r="U23" i="13"/>
  <c r="V23" i="13"/>
  <c r="R23" i="13"/>
  <c r="N38" i="15"/>
  <c r="N37" i="15"/>
  <c r="N42" i="15"/>
  <c r="AE14" i="14"/>
  <c r="AM14" i="14"/>
  <c r="AF14" i="14"/>
  <c r="AN14" i="14"/>
  <c r="Z14" i="14"/>
  <c r="AH14" i="14"/>
  <c r="AP14" i="14"/>
  <c r="AD14" i="14"/>
  <c r="AG14" i="14"/>
  <c r="AJ14" i="14"/>
  <c r="Y14" i="14"/>
  <c r="AK14" i="14"/>
  <c r="AA14" i="14"/>
  <c r="AB14" i="14"/>
  <c r="AI14" i="14"/>
  <c r="AL14" i="14"/>
  <c r="AO14" i="14"/>
  <c r="AC14" i="14"/>
  <c r="AB7" i="14"/>
  <c r="AJ7" i="14"/>
  <c r="AE7" i="14"/>
  <c r="AM7" i="14"/>
  <c r="AF7" i="14"/>
  <c r="AP7" i="14"/>
  <c r="AG7" i="14"/>
  <c r="Y7" i="14"/>
  <c r="AI7" i="14"/>
  <c r="AN7" i="14"/>
  <c r="Z7" i="14"/>
  <c r="AO7" i="14"/>
  <c r="AC7" i="14"/>
  <c r="AD7" i="14"/>
  <c r="AH7" i="14"/>
  <c r="AL7" i="14"/>
  <c r="AK7" i="14"/>
  <c r="AA7" i="14"/>
  <c r="R11" i="13"/>
  <c r="T11" i="13"/>
  <c r="P11" i="13"/>
  <c r="Q11" i="13"/>
  <c r="S11" i="13"/>
  <c r="V11" i="13"/>
  <c r="U11" i="13"/>
  <c r="O11" i="13"/>
  <c r="U17" i="17"/>
  <c r="P17" i="17"/>
  <c r="S17" i="17"/>
  <c r="Q17" i="17"/>
  <c r="T17" i="17"/>
  <c r="V17" i="17"/>
  <c r="R17" i="17"/>
  <c r="S28" i="12"/>
  <c r="AA28" i="12"/>
  <c r="V28" i="12"/>
  <c r="W28" i="12"/>
  <c r="Z28" i="12"/>
  <c r="AB28" i="12"/>
  <c r="R28" i="12"/>
  <c r="U28" i="12"/>
  <c r="X28" i="12"/>
  <c r="T28" i="12"/>
  <c r="Y28" i="12"/>
  <c r="BJ15" i="2"/>
  <c r="BJ9" i="2"/>
  <c r="AD8" i="14"/>
  <c r="AL8" i="14"/>
  <c r="Y8" i="14"/>
  <c r="AG8" i="14"/>
  <c r="AO8" i="14"/>
  <c r="AC8" i="14"/>
  <c r="AN8" i="14"/>
  <c r="AE8" i="14"/>
  <c r="AP8" i="14"/>
  <c r="AH8" i="14"/>
  <c r="AI8" i="14"/>
  <c r="AJ8" i="14"/>
  <c r="AM8" i="14"/>
  <c r="Z8" i="14"/>
  <c r="AB8" i="14"/>
  <c r="AA8" i="14"/>
  <c r="AK8" i="14"/>
  <c r="AF8" i="14"/>
  <c r="AA13" i="14"/>
  <c r="AI13" i="14"/>
  <c r="Z13" i="14"/>
  <c r="AJ13" i="14"/>
  <c r="AB13" i="14"/>
  <c r="AK13" i="14"/>
  <c r="AD13" i="14"/>
  <c r="AM13" i="14"/>
  <c r="Y13" i="14"/>
  <c r="AO13" i="14"/>
  <c r="AC13" i="14"/>
  <c r="AP13" i="14"/>
  <c r="AF13" i="14"/>
  <c r="AG13" i="14"/>
  <c r="AH13" i="14"/>
  <c r="AN13" i="14"/>
  <c r="AL13" i="14"/>
  <c r="AE13" i="14"/>
  <c r="V12" i="13"/>
  <c r="P12" i="13"/>
  <c r="Q12" i="13"/>
  <c r="O12" i="13"/>
  <c r="S12" i="13"/>
  <c r="T12" i="13"/>
  <c r="R12" i="13"/>
  <c r="U12" i="13"/>
  <c r="T29" i="13"/>
  <c r="V29" i="13"/>
  <c r="O29" i="13"/>
  <c r="Z29" i="13" s="1"/>
  <c r="Q29" i="13"/>
  <c r="R29" i="13"/>
  <c r="P29" i="13"/>
  <c r="S29" i="13"/>
  <c r="U29" i="13"/>
  <c r="S15" i="17"/>
  <c r="V15" i="17"/>
  <c r="Q15" i="17"/>
  <c r="U15" i="17"/>
  <c r="R15" i="17"/>
  <c r="P15" i="17"/>
  <c r="T15" i="17"/>
  <c r="S24" i="17"/>
  <c r="U24" i="17"/>
  <c r="P24" i="17"/>
  <c r="R24" i="17"/>
  <c r="T24" i="17"/>
  <c r="V24" i="17"/>
  <c r="Q24" i="17"/>
  <c r="AE11" i="14"/>
  <c r="AM11" i="14"/>
  <c r="Y11" i="14"/>
  <c r="AH11" i="14"/>
  <c r="Z11" i="14"/>
  <c r="AI11" i="14"/>
  <c r="AB11" i="14"/>
  <c r="AK11" i="14"/>
  <c r="AD11" i="14"/>
  <c r="AF11" i="14"/>
  <c r="AJ11" i="14"/>
  <c r="AL11" i="14"/>
  <c r="AO11" i="14"/>
  <c r="AP11" i="14"/>
  <c r="AA11" i="14"/>
  <c r="AG11" i="14"/>
  <c r="AC11" i="14"/>
  <c r="AN11" i="14"/>
  <c r="V6" i="13"/>
  <c r="P6" i="13"/>
  <c r="S6" i="13"/>
  <c r="T6" i="13"/>
  <c r="U6" i="13"/>
  <c r="O6" i="13"/>
  <c r="Q6" i="13"/>
  <c r="R6" i="13"/>
  <c r="BJ30" i="2"/>
  <c r="P26" i="13"/>
  <c r="O26" i="13"/>
  <c r="Z26" i="13" s="1"/>
  <c r="Q26" i="13"/>
  <c r="S26" i="13"/>
  <c r="T26" i="13"/>
  <c r="V26" i="13"/>
  <c r="R26" i="13"/>
  <c r="U26" i="13"/>
  <c r="W5" i="12"/>
  <c r="T5" i="12"/>
  <c r="X5" i="12"/>
  <c r="AB5" i="12"/>
  <c r="S5" i="12"/>
  <c r="Y5" i="12"/>
  <c r="Z5" i="12"/>
  <c r="V5" i="12"/>
  <c r="AA5" i="12"/>
  <c r="U5" i="12"/>
  <c r="R5" i="12"/>
  <c r="R10" i="17"/>
  <c r="U10" i="17"/>
  <c r="V10" i="17"/>
  <c r="P10" i="17"/>
  <c r="T10" i="17"/>
  <c r="S10" i="17"/>
  <c r="Q10" i="17"/>
  <c r="U30" i="12"/>
  <c r="X30" i="12"/>
  <c r="W30" i="12"/>
  <c r="R30" i="12"/>
  <c r="S30" i="12"/>
  <c r="V30" i="12"/>
  <c r="Z30" i="12"/>
  <c r="AA30" i="12"/>
  <c r="AB30" i="12"/>
  <c r="T30" i="12"/>
  <c r="Y30" i="12"/>
  <c r="AC25" i="14"/>
  <c r="AK25" i="14"/>
  <c r="AD25" i="14"/>
  <c r="AL25" i="14"/>
  <c r="AF25" i="14"/>
  <c r="AN25" i="14"/>
  <c r="AA25" i="14"/>
  <c r="AO25" i="14"/>
  <c r="AB25" i="14"/>
  <c r="AP25" i="14"/>
  <c r="AG25" i="14"/>
  <c r="AH25" i="14"/>
  <c r="AI25" i="14"/>
  <c r="AJ25" i="14"/>
  <c r="AM25" i="14"/>
  <c r="Y25" i="14"/>
  <c r="Z25" i="14"/>
  <c r="AE25" i="14"/>
  <c r="AF9" i="14"/>
  <c r="AN9" i="14"/>
  <c r="AA9" i="14"/>
  <c r="AI9" i="14"/>
  <c r="AB9" i="14"/>
  <c r="AL9" i="14"/>
  <c r="AC9" i="14"/>
  <c r="AM9" i="14"/>
  <c r="AE9" i="14"/>
  <c r="AP9" i="14"/>
  <c r="Y9" i="14"/>
  <c r="Z9" i="14"/>
  <c r="AG9" i="14"/>
  <c r="AH9" i="14"/>
  <c r="AD9" i="14"/>
  <c r="AJ9" i="14"/>
  <c r="AK9" i="14"/>
  <c r="AO9" i="14"/>
  <c r="V16" i="13"/>
  <c r="P16" i="13"/>
  <c r="Q16" i="13"/>
  <c r="O16" i="13"/>
  <c r="S16" i="13"/>
  <c r="T16" i="13"/>
  <c r="U16" i="13"/>
  <c r="R16" i="13"/>
  <c r="R16" i="12"/>
  <c r="AF16" i="12" s="1"/>
  <c r="Z16" i="12"/>
  <c r="Y16" i="12"/>
  <c r="T16" i="12"/>
  <c r="U16" i="12"/>
  <c r="W16" i="12"/>
  <c r="AB16" i="12"/>
  <c r="S16" i="12"/>
  <c r="V16" i="12"/>
  <c r="X16" i="12"/>
  <c r="AA16" i="12"/>
  <c r="BJ33" i="2"/>
  <c r="X6" i="12"/>
  <c r="W6" i="12"/>
  <c r="R6" i="12"/>
  <c r="AA6" i="12"/>
  <c r="Z6" i="12"/>
  <c r="V6" i="12"/>
  <c r="Y6" i="12"/>
  <c r="S6" i="12"/>
  <c r="T6" i="12"/>
  <c r="U6" i="12"/>
  <c r="AB6" i="12"/>
  <c r="X33" i="12"/>
  <c r="S33" i="12"/>
  <c r="AA33" i="12"/>
  <c r="R33" i="12"/>
  <c r="T33" i="12"/>
  <c r="U33" i="12"/>
  <c r="W33" i="12"/>
  <c r="V33" i="12"/>
  <c r="Z33" i="12"/>
  <c r="Y33" i="12"/>
  <c r="AB33" i="12"/>
  <c r="X25" i="12"/>
  <c r="S25" i="12"/>
  <c r="AA25" i="12"/>
  <c r="Z25" i="12"/>
  <c r="W25" i="12"/>
  <c r="Y25" i="12"/>
  <c r="R25" i="12"/>
  <c r="AF25" i="12" s="1"/>
  <c r="U25" i="12"/>
  <c r="V25" i="12"/>
  <c r="T25" i="12"/>
  <c r="AB25" i="12"/>
  <c r="P30" i="13"/>
  <c r="S30" i="13"/>
  <c r="U30" i="13"/>
  <c r="T30" i="13"/>
  <c r="O30" i="13"/>
  <c r="R30" i="13"/>
  <c r="Q30" i="13"/>
  <c r="V30" i="13"/>
  <c r="AE26" i="14"/>
  <c r="AM26" i="14"/>
  <c r="AF26" i="14"/>
  <c r="AN26" i="14"/>
  <c r="Z26" i="14"/>
  <c r="AH26" i="14"/>
  <c r="AP26" i="14"/>
  <c r="AC26" i="14"/>
  <c r="AD26" i="14"/>
  <c r="AI26" i="14"/>
  <c r="AJ26" i="14"/>
  <c r="AB26" i="14"/>
  <c r="AK26" i="14"/>
  <c r="AG26" i="14"/>
  <c r="AO26" i="14"/>
  <c r="Y26" i="14"/>
  <c r="AL26" i="14"/>
  <c r="AA26" i="14"/>
  <c r="T28" i="17"/>
  <c r="P28" i="17"/>
  <c r="Y28" i="17" s="1"/>
  <c r="R28" i="17"/>
  <c r="V28" i="17"/>
  <c r="S28" i="17"/>
  <c r="Q28" i="17"/>
  <c r="U28" i="17"/>
  <c r="BJ32" i="2"/>
  <c r="BJ11" i="2"/>
  <c r="V18" i="13"/>
  <c r="P18" i="13"/>
  <c r="S18" i="13"/>
  <c r="T18" i="13"/>
  <c r="U18" i="13"/>
  <c r="O18" i="13"/>
  <c r="Q18" i="13"/>
  <c r="R18" i="13"/>
  <c r="Y27" i="14"/>
  <c r="AT27" i="14" s="1"/>
  <c r="AG27" i="14"/>
  <c r="AO27" i="14"/>
  <c r="Z27" i="14"/>
  <c r="AH27" i="14"/>
  <c r="AP27" i="14"/>
  <c r="AB27" i="14"/>
  <c r="AJ27" i="14"/>
  <c r="AF27" i="14"/>
  <c r="AI27" i="14"/>
  <c r="AL27" i="14"/>
  <c r="AA27" i="14"/>
  <c r="AM27" i="14"/>
  <c r="AC27" i="14"/>
  <c r="AD27" i="14"/>
  <c r="AE27" i="14"/>
  <c r="AN27" i="14"/>
  <c r="AK27" i="14"/>
  <c r="R9" i="13"/>
  <c r="T9" i="13"/>
  <c r="V9" i="13"/>
  <c r="P9" i="13"/>
  <c r="Q9" i="13"/>
  <c r="O9" i="13"/>
  <c r="S9" i="13"/>
  <c r="U9" i="13"/>
  <c r="U9" i="17"/>
  <c r="P9" i="17"/>
  <c r="Q9" i="17"/>
  <c r="R9" i="17"/>
  <c r="S9" i="17"/>
  <c r="V9" i="17"/>
  <c r="T9" i="17"/>
  <c r="V14" i="17"/>
  <c r="Q14" i="17"/>
  <c r="R14" i="17"/>
  <c r="U14" i="17"/>
  <c r="T14" i="17"/>
  <c r="P14" i="17"/>
  <c r="S14" i="17"/>
  <c r="X14" i="12"/>
  <c r="T14" i="12"/>
  <c r="W14" i="12"/>
  <c r="AB14" i="12"/>
  <c r="S14" i="12"/>
  <c r="AA14" i="12"/>
  <c r="R14" i="12"/>
  <c r="V14" i="12"/>
  <c r="Y14" i="12"/>
  <c r="Z14" i="12"/>
  <c r="U14" i="12"/>
  <c r="T18" i="12"/>
  <c r="AB18" i="12"/>
  <c r="W18" i="12"/>
  <c r="Z18" i="12"/>
  <c r="Y18" i="12"/>
  <c r="V18" i="12"/>
  <c r="X18" i="12"/>
  <c r="R18" i="12"/>
  <c r="S18" i="12"/>
  <c r="AA18" i="12"/>
  <c r="U18" i="12"/>
  <c r="BJ8" i="2"/>
  <c r="T25" i="13"/>
  <c r="Q25" i="13"/>
  <c r="S25" i="13"/>
  <c r="R25" i="13"/>
  <c r="V25" i="13"/>
  <c r="P25" i="13"/>
  <c r="U25" i="13"/>
  <c r="O25" i="13"/>
  <c r="R17" i="13"/>
  <c r="T17" i="13"/>
  <c r="V17" i="13"/>
  <c r="P17" i="13"/>
  <c r="Q17" i="13"/>
  <c r="O17" i="13"/>
  <c r="U17" i="13"/>
  <c r="S17" i="13"/>
  <c r="Q5" i="17"/>
  <c r="T5" i="17"/>
  <c r="S5" i="17"/>
  <c r="R5" i="17"/>
  <c r="U5" i="17"/>
  <c r="P5" i="17"/>
  <c r="V5" i="17"/>
  <c r="R13" i="13"/>
  <c r="T13" i="13"/>
  <c r="V13" i="13"/>
  <c r="P13" i="13"/>
  <c r="Q13" i="13"/>
  <c r="S13" i="13"/>
  <c r="U13" i="13"/>
  <c r="O13" i="13"/>
  <c r="V38" i="15"/>
  <c r="V37" i="15"/>
  <c r="V42" i="15"/>
  <c r="BJ20" i="2"/>
  <c r="BJ21" i="2"/>
  <c r="AA24" i="14"/>
  <c r="AI24" i="14"/>
  <c r="AB24" i="14"/>
  <c r="AJ24" i="14"/>
  <c r="AD24" i="14"/>
  <c r="AL24" i="14"/>
  <c r="Z24" i="14"/>
  <c r="AN24" i="14"/>
  <c r="AC24" i="14"/>
  <c r="AO24" i="14"/>
  <c r="AF24" i="14"/>
  <c r="AG24" i="14"/>
  <c r="AK24" i="14"/>
  <c r="AP24" i="14"/>
  <c r="AM24" i="14"/>
  <c r="AE24" i="14"/>
  <c r="Y24" i="14"/>
  <c r="AH24" i="14"/>
  <c r="T31" i="13"/>
  <c r="O31" i="13"/>
  <c r="P31" i="13"/>
  <c r="Q31" i="13"/>
  <c r="S31" i="13"/>
  <c r="U31" i="13"/>
  <c r="R31" i="13"/>
  <c r="V31" i="13"/>
  <c r="T12" i="17"/>
  <c r="R12" i="17"/>
  <c r="V12" i="17"/>
  <c r="Q12" i="17"/>
  <c r="P12" i="17"/>
  <c r="S12" i="17"/>
  <c r="U12" i="17"/>
  <c r="U11" i="12"/>
  <c r="T11" i="12"/>
  <c r="X11" i="12"/>
  <c r="AB11" i="12"/>
  <c r="S11" i="12"/>
  <c r="V11" i="12"/>
  <c r="R11" i="12"/>
  <c r="W11" i="12"/>
  <c r="Y11" i="12"/>
  <c r="AA11" i="12"/>
  <c r="Z11" i="12"/>
  <c r="W13" i="12"/>
  <c r="Z13" i="12"/>
  <c r="T13" i="12"/>
  <c r="S13" i="12"/>
  <c r="V13" i="12"/>
  <c r="AB13" i="12"/>
  <c r="R13" i="12"/>
  <c r="U13" i="12"/>
  <c r="Y13" i="12"/>
  <c r="AA13" i="12"/>
  <c r="X13" i="12"/>
  <c r="V14" i="13"/>
  <c r="P14" i="13"/>
  <c r="S14" i="13"/>
  <c r="U14" i="13"/>
  <c r="T14" i="13"/>
  <c r="O14" i="13"/>
  <c r="R14" i="13"/>
  <c r="Q14" i="13"/>
  <c r="R19" i="17"/>
  <c r="V19" i="17"/>
  <c r="P19" i="17"/>
  <c r="S19" i="17"/>
  <c r="T19" i="17"/>
  <c r="U19" i="17"/>
  <c r="Q19" i="17"/>
  <c r="P28" i="13"/>
  <c r="Q28" i="13"/>
  <c r="R28" i="13"/>
  <c r="S28" i="13"/>
  <c r="U28" i="13"/>
  <c r="V28" i="13"/>
  <c r="T28" i="13"/>
  <c r="O28" i="13"/>
  <c r="Z28" i="13" s="1"/>
  <c r="L23" i="1"/>
  <c r="E28" i="1"/>
  <c r="Z14" i="13" l="1"/>
  <c r="Y17" i="17"/>
  <c r="AT6" i="14"/>
  <c r="AF22" i="12"/>
  <c r="Y14" i="17"/>
  <c r="Y19" i="17"/>
  <c r="Y5" i="17"/>
  <c r="Z17" i="13"/>
  <c r="AT26" i="14"/>
  <c r="AF30" i="12"/>
  <c r="AT13" i="14"/>
  <c r="AT8" i="14"/>
  <c r="AT14" i="14"/>
  <c r="AF29" i="12"/>
  <c r="AF26" i="12"/>
  <c r="Y21" i="17"/>
  <c r="Z19" i="13"/>
  <c r="Y25" i="17"/>
  <c r="Y31" i="17"/>
  <c r="AF23" i="12"/>
  <c r="Y11" i="17"/>
  <c r="Z32" i="13"/>
  <c r="AT12" i="14"/>
  <c r="Z31" i="13"/>
  <c r="AT33" i="14"/>
  <c r="AF31" i="12"/>
  <c r="Z11" i="13"/>
  <c r="Z7" i="13"/>
  <c r="AT31" i="14"/>
  <c r="Y32" i="17"/>
  <c r="Y23" i="17"/>
  <c r="AT18" i="14"/>
  <c r="Z22" i="13"/>
  <c r="AT32" i="14"/>
  <c r="Y30" i="17"/>
  <c r="Z24" i="13"/>
  <c r="AT30" i="14"/>
  <c r="AF20" i="12"/>
  <c r="AT28" i="14"/>
  <c r="Z33" i="13"/>
  <c r="AT15" i="14"/>
  <c r="AF14" i="12"/>
  <c r="Z15" i="13"/>
  <c r="AF9" i="12"/>
  <c r="Y10" i="17"/>
  <c r="BJ36" i="2"/>
  <c r="AT24" i="14"/>
  <c r="Y9" i="17"/>
  <c r="Z16" i="13"/>
  <c r="AT25" i="14"/>
  <c r="Z6" i="13"/>
  <c r="Y15" i="17"/>
  <c r="AF28" i="12"/>
  <c r="AT7" i="14"/>
  <c r="AF15" i="12"/>
  <c r="AF11" i="12"/>
  <c r="AF18" i="12"/>
  <c r="AF33" i="12"/>
  <c r="AF7" i="12"/>
  <c r="AF12" i="12"/>
  <c r="Z27" i="13"/>
  <c r="Y27" i="17"/>
  <c r="Z8" i="13"/>
  <c r="Z36" i="13" s="1"/>
  <c r="E20" i="1" s="1"/>
  <c r="L20" i="1" s="1"/>
  <c r="N20" i="1" s="1"/>
  <c r="Y20" i="17"/>
  <c r="Y6" i="17"/>
  <c r="Y16" i="17"/>
  <c r="Y22" i="17"/>
  <c r="AT21" i="14"/>
  <c r="AT9" i="14"/>
  <c r="Z9" i="13"/>
  <c r="Y24" i="17"/>
  <c r="Y33" i="17"/>
  <c r="Z20" i="13"/>
  <c r="Y29" i="17"/>
  <c r="Z25" i="13"/>
  <c r="AF6" i="12"/>
  <c r="AT11" i="14"/>
  <c r="AF8" i="12"/>
  <c r="AT16" i="14"/>
  <c r="AT5" i="14"/>
  <c r="AT36" i="14" s="1"/>
  <c r="E19" i="1" s="1"/>
  <c r="L19" i="1" s="1"/>
  <c r="N19" i="1" s="1"/>
  <c r="AF13" i="12"/>
  <c r="Z13" i="13"/>
  <c r="Z18" i="13"/>
  <c r="AT17" i="14"/>
  <c r="Z10" i="13"/>
  <c r="Y18" i="17"/>
  <c r="AT23" i="14"/>
  <c r="L28" i="1"/>
  <c r="N23" i="1"/>
  <c r="Y12" i="17"/>
  <c r="Z30" i="13"/>
  <c r="AF5" i="12"/>
  <c r="Z12" i="13"/>
  <c r="Y13" i="17"/>
  <c r="AT29" i="14"/>
  <c r="Z21" i="13"/>
  <c r="AT20" i="14"/>
  <c r="AT10" i="14"/>
  <c r="Y8" i="17"/>
  <c r="AF17" i="12"/>
  <c r="AF10" i="12"/>
  <c r="AT19" i="14"/>
  <c r="F39" i="1"/>
  <c r="J36" i="1"/>
  <c r="Y26" i="17"/>
  <c r="AF27" i="12"/>
  <c r="Y36" i="17" l="1"/>
  <c r="E18" i="1" s="1"/>
  <c r="L18" i="1" s="1"/>
  <c r="N18" i="1" s="1"/>
  <c r="AF36" i="12"/>
  <c r="G39" i="1"/>
  <c r="F41" i="1"/>
  <c r="BM36" i="2"/>
  <c r="E17" i="1"/>
  <c r="F6" i="1" l="1"/>
  <c r="J6" i="1" s="1"/>
  <c r="E22" i="1"/>
  <c r="L22" i="1" s="1"/>
  <c r="N22" i="1" s="1"/>
  <c r="L17" i="1"/>
  <c r="N17" i="1" s="1"/>
  <c r="E12" i="1"/>
  <c r="F5" i="1"/>
  <c r="J5" i="1" l="1"/>
  <c r="F9" i="1"/>
  <c r="J9" i="1" s="1"/>
  <c r="E15" i="1"/>
  <c r="L12" i="1"/>
  <c r="N12" i="1" s="1"/>
  <c r="E29" i="1" l="1"/>
  <c r="L15" i="1"/>
  <c r="N15" i="1" l="1"/>
  <c r="L29" i="1"/>
  <c r="N29" i="1" s="1"/>
</calcChain>
</file>

<file path=xl/sharedStrings.xml><?xml version="1.0" encoding="utf-8"?>
<sst xmlns="http://schemas.openxmlformats.org/spreadsheetml/2006/main" count="298" uniqueCount="131">
  <si>
    <t>IF</t>
  </si>
  <si>
    <t>GDA</t>
  </si>
  <si>
    <t>NYMEX</t>
  </si>
  <si>
    <t>TOTAL P&amp;L</t>
  </si>
  <si>
    <t>NET Postion</t>
  </si>
  <si>
    <t>TOTAL SWAP</t>
  </si>
  <si>
    <t>Sells</t>
  </si>
  <si>
    <t>Buys</t>
  </si>
  <si>
    <t>&lt;- Realized PL</t>
  </si>
  <si>
    <t>&lt;- MTM PL w/o Real PL</t>
  </si>
  <si>
    <t>preserve realized</t>
  </si>
  <si>
    <t>&lt;- MTM PL with Real PL</t>
  </si>
  <si>
    <t>breakeven</t>
  </si>
  <si>
    <t>&lt;- Current Nymex</t>
  </si>
  <si>
    <t>&lt;- Price Overide</t>
  </si>
  <si>
    <t>&lt;- Total Pl</t>
  </si>
  <si>
    <t>HH</t>
  </si>
  <si>
    <t>s</t>
  </si>
  <si>
    <t>Physical P&amp;L</t>
  </si>
  <si>
    <t>Financial P&amp;L</t>
  </si>
  <si>
    <t>Physical Postion</t>
  </si>
  <si>
    <t>Financial Postion</t>
  </si>
  <si>
    <t>Nymex Postion</t>
  </si>
  <si>
    <t>NET</t>
  </si>
  <si>
    <t>Prior</t>
  </si>
  <si>
    <t>ANR-S</t>
  </si>
  <si>
    <t>NAT LA</t>
  </si>
  <si>
    <t>TEXOK-E</t>
  </si>
  <si>
    <t>Trunk-wla</t>
  </si>
  <si>
    <t>Trunk-ela</t>
  </si>
  <si>
    <t>ngpl-stx</t>
  </si>
  <si>
    <t>KATY</t>
  </si>
  <si>
    <t>CGT-ons</t>
  </si>
  <si>
    <t>TGT</t>
  </si>
  <si>
    <t>HSC</t>
  </si>
  <si>
    <t>CHIC</t>
  </si>
  <si>
    <t>consum</t>
  </si>
  <si>
    <t>MICH</t>
  </si>
  <si>
    <t>LA</t>
  </si>
  <si>
    <t>ET</t>
  </si>
  <si>
    <t>CORPUS</t>
  </si>
  <si>
    <t>FOM</t>
  </si>
  <si>
    <t>A</t>
  </si>
  <si>
    <t>GD 1st</t>
  </si>
  <si>
    <t>BB</t>
  </si>
  <si>
    <t>CC</t>
  </si>
  <si>
    <t>DD</t>
  </si>
  <si>
    <t>EE</t>
  </si>
  <si>
    <t>mtd average</t>
  </si>
  <si>
    <t>dif from hub</t>
  </si>
  <si>
    <t>dif from 1st</t>
  </si>
  <si>
    <t>last 3 days</t>
  </si>
  <si>
    <t>last 5 days</t>
  </si>
  <si>
    <t>last 7 days</t>
  </si>
  <si>
    <t>GDA from IF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</si>
  <si>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</si>
  <si>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</si>
  <si>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</si>
  <si>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</si>
  <si>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</si>
  <si>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</si>
  <si>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</si>
  <si>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</si>
  <si>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</si>
  <si>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</si>
  <si>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</si>
  <si>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</si>
  <si>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</si>
  <si>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</si>
  <si>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</si>
  <si>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</si>
  <si>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</si>
  <si>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</si>
  <si>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</si>
  <si>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</si>
  <si>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</si>
  <si>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</si>
  <si>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</si>
  <si>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</si>
  <si>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</si>
  <si>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</si>
  <si>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</si>
  <si>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</si>
  <si>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</si>
  <si>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</si>
  <si>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DELTA</t>
  </si>
  <si>
    <t>HH_SWAP</t>
  </si>
  <si>
    <t>trkl-stx</t>
  </si>
  <si>
    <t>stx</t>
  </si>
  <si>
    <t>ngpl-storage</t>
  </si>
  <si>
    <t>HH GD</t>
  </si>
  <si>
    <t>P&amp;L</t>
  </si>
  <si>
    <t>Position</t>
  </si>
  <si>
    <t>TOTALS</t>
  </si>
  <si>
    <t>TCO</t>
  </si>
  <si>
    <t>CNG-N</t>
  </si>
  <si>
    <t>CNG-s</t>
  </si>
  <si>
    <t>TransZ3</t>
  </si>
  <si>
    <t>HSC_SWAP</t>
  </si>
  <si>
    <t>NGX0</t>
  </si>
  <si>
    <t>TXOK</t>
  </si>
  <si>
    <t>*</t>
  </si>
  <si>
    <t>N</t>
  </si>
  <si>
    <t>NGM1</t>
  </si>
  <si>
    <t>TRKL</t>
  </si>
  <si>
    <t>Q</t>
  </si>
  <si>
    <t>****</t>
  </si>
  <si>
    <t>x-h</t>
  </si>
  <si>
    <t>U</t>
  </si>
  <si>
    <t>Storage roll from april</t>
  </si>
  <si>
    <t>KATY_PHYS</t>
  </si>
  <si>
    <t>V</t>
  </si>
  <si>
    <t>WAHA</t>
  </si>
  <si>
    <t>PERMIAN</t>
  </si>
  <si>
    <t>PERM</t>
  </si>
  <si>
    <t>X_H</t>
  </si>
  <si>
    <t>KATY_SWAP</t>
  </si>
  <si>
    <t>jun phys</t>
  </si>
  <si>
    <t>Pos</t>
  </si>
  <si>
    <t>jun_postion</t>
  </si>
  <si>
    <t>jun_position</t>
  </si>
  <si>
    <t>hsc</t>
  </si>
  <si>
    <t>X</t>
  </si>
  <si>
    <t>NGQ1</t>
  </si>
  <si>
    <t>NGU1</t>
  </si>
  <si>
    <t>N-v</t>
  </si>
  <si>
    <t>WAHA_SWAP</t>
  </si>
  <si>
    <t>N-V</t>
  </si>
  <si>
    <t xml:space="preserve">U </t>
  </si>
  <si>
    <t>N_V</t>
  </si>
  <si>
    <t>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</si>
</sst>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mm/dd/yy"/>
    <numFmt numFmtId="167" formatCode="_(* #,##0.0_);_(* \(#,##0.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_);[Red]\(0.000\)"/>
    <numFmt numFmtId="171" formatCode="0.000"/>
    <numFmt numFmtId="172" formatCode="#,##0.0000_);[Red]\(#,##0.0000\)"/>
    <numFmt numFmtId="173" formatCode="0.0000"/>
    <numFmt numFmtId="174" formatCode="0.0000_);[Red]\(0.0000\)"/>
    <numFmt numFmtId="183" formatCode="_(&quot;$&quot;* #,##0.00000_);_(&quot;$&quot;* \(#,##0.00000\);_(&quot;$&quot;* &quot;-&quot;??_);_(@_)"/>
    <numFmt numFmtId="184" formatCode="#,##0.000_);[Red]\(#,##0.000\)"/>
    <numFmt numFmtId="185" formatCode="m/d/yy"/>
    <numFmt numFmtId="186" formatCode="_(* #,##0.000_);_(* \(#,##0.0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14" fontId="2" fillId="0" borderId="0" xfId="0" applyNumberFormat="1" applyFont="1"/>
    <xf numFmtId="0" fontId="0" fillId="3" borderId="0" xfId="0" applyFill="1"/>
    <xf numFmtId="38" fontId="0" fillId="3" borderId="0" xfId="0" applyNumberFormat="1" applyFill="1"/>
    <xf numFmtId="38" fontId="0" fillId="0" borderId="0" xfId="0" applyNumberFormat="1" applyAlignment="1">
      <alignment horizontal="center"/>
    </xf>
    <xf numFmtId="42" fontId="0" fillId="4" borderId="0" xfId="0" applyNumberFormat="1" applyFill="1"/>
    <xf numFmtId="42" fontId="0" fillId="0" borderId="0" xfId="0" applyNumberFormat="1"/>
    <xf numFmtId="165" fontId="0" fillId="0" borderId="0" xfId="0" applyNumberFormat="1"/>
    <xf numFmtId="167" fontId="4" fillId="5" borderId="0" xfId="1" applyNumberFormat="1" applyFont="1" applyFill="1"/>
    <xf numFmtId="0" fontId="0" fillId="5" borderId="0" xfId="0" applyFill="1"/>
    <xf numFmtId="44" fontId="1" fillId="5" borderId="0" xfId="2" applyFill="1"/>
    <xf numFmtId="0" fontId="0" fillId="0" borderId="0" xfId="0" applyFill="1"/>
    <xf numFmtId="4" fontId="0" fillId="5" borderId="0" xfId="0" applyNumberFormat="1" applyFill="1"/>
    <xf numFmtId="14" fontId="1" fillId="0" borderId="0" xfId="2" applyNumberFormat="1" applyFont="1"/>
    <xf numFmtId="167" fontId="0" fillId="5" borderId="0" xfId="0" applyNumberFormat="1" applyFill="1"/>
    <xf numFmtId="167" fontId="5" fillId="5" borderId="0" xfId="1" applyNumberFormat="1" applyFont="1" applyFill="1"/>
    <xf numFmtId="0" fontId="5" fillId="5" borderId="0" xfId="0" applyFont="1" applyFill="1"/>
    <xf numFmtId="4" fontId="1" fillId="5" borderId="0" xfId="2" applyNumberFormat="1" applyFill="1"/>
    <xf numFmtId="165" fontId="1" fillId="0" borderId="0" xfId="2" applyNumberFormat="1" applyFont="1"/>
    <xf numFmtId="167" fontId="1" fillId="5" borderId="0" xfId="1" applyNumberFormat="1" applyFill="1"/>
    <xf numFmtId="22" fontId="0" fillId="0" borderId="0" xfId="0" applyNumberFormat="1" applyAlignment="1">
      <alignment horizontal="left"/>
    </xf>
    <xf numFmtId="167" fontId="5" fillId="5" borderId="0" xfId="0" applyNumberFormat="1" applyFont="1" applyFill="1"/>
    <xf numFmtId="168" fontId="1" fillId="0" borderId="0" xfId="1" applyNumberFormat="1" applyFill="1"/>
    <xf numFmtId="167" fontId="1" fillId="5" borderId="0" xfId="0" applyNumberFormat="1" applyFont="1" applyFill="1"/>
    <xf numFmtId="0" fontId="1" fillId="5" borderId="0" xfId="0" applyFont="1" applyFill="1"/>
    <xf numFmtId="165" fontId="1" fillId="0" borderId="0" xfId="2" applyNumberFormat="1"/>
    <xf numFmtId="167" fontId="1" fillId="0" borderId="0" xfId="1" applyNumberFormat="1"/>
    <xf numFmtId="44" fontId="1" fillId="0" borderId="0" xfId="2"/>
    <xf numFmtId="4" fontId="1" fillId="0" borderId="0" xfId="2" applyNumberFormat="1"/>
    <xf numFmtId="169" fontId="1" fillId="0" borderId="0" xfId="2" applyNumberFormat="1"/>
    <xf numFmtId="169" fontId="1" fillId="6" borderId="0" xfId="2" applyNumberFormat="1" applyFill="1"/>
    <xf numFmtId="0" fontId="0" fillId="6" borderId="0" xfId="0" applyFill="1"/>
    <xf numFmtId="167" fontId="0" fillId="0" borderId="0" xfId="0" applyNumberFormat="1"/>
    <xf numFmtId="4" fontId="0" fillId="0" borderId="0" xfId="0" applyNumberFormat="1"/>
    <xf numFmtId="169" fontId="1" fillId="7" borderId="0" xfId="2" applyNumberFormat="1" applyFill="1"/>
    <xf numFmtId="0" fontId="0" fillId="7" borderId="0" xfId="0" applyFill="1"/>
    <xf numFmtId="44" fontId="1" fillId="0" borderId="0" xfId="2" applyFont="1"/>
    <xf numFmtId="169" fontId="4" fillId="7" borderId="0" xfId="2" applyNumberFormat="1" applyFont="1" applyFill="1"/>
    <xf numFmtId="0" fontId="4" fillId="7" borderId="0" xfId="0" applyFont="1" applyFill="1"/>
    <xf numFmtId="167" fontId="1" fillId="0" borderId="0" xfId="1" quotePrefix="1" applyNumberFormat="1" applyFont="1"/>
    <xf numFmtId="167" fontId="1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2" xfId="0" applyNumberFormat="1" applyBorder="1"/>
    <xf numFmtId="17" fontId="6" fillId="0" borderId="0" xfId="0" applyNumberFormat="1" applyFont="1"/>
    <xf numFmtId="0" fontId="5" fillId="0" borderId="0" xfId="0" applyFon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0" fontId="2" fillId="8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0" fontId="0" fillId="0" borderId="3" xfId="0" applyBorder="1"/>
    <xf numFmtId="172" fontId="0" fillId="0" borderId="3" xfId="0" applyNumberFormat="1" applyBorder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4" fontId="4" fillId="0" borderId="3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6" fontId="0" fillId="0" borderId="0" xfId="0" applyNumberFormat="1"/>
    <xf numFmtId="165" fontId="2" fillId="0" borderId="0" xfId="0" applyNumberFormat="1" applyFont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71" fontId="2" fillId="10" borderId="4" xfId="0" applyNumberFormat="1" applyFont="1" applyFill="1" applyBorder="1" applyAlignment="1">
      <alignment horizontal="center"/>
    </xf>
    <xf numFmtId="170" fontId="3" fillId="10" borderId="4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2" borderId="0" xfId="0" applyFont="1" applyFill="1"/>
    <xf numFmtId="8" fontId="2" fillId="2" borderId="0" xfId="0" applyNumberFormat="1" applyFont="1" applyFill="1"/>
    <xf numFmtId="8" fontId="0" fillId="0" borderId="0" xfId="0" applyNumberFormat="1" applyAlignment="1">
      <alignment horizontal="center"/>
    </xf>
    <xf numFmtId="43" fontId="2" fillId="2" borderId="0" xfId="1" applyFont="1" applyFill="1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44" fontId="0" fillId="0" borderId="0" xfId="1" applyNumberFormat="1" applyFont="1"/>
    <xf numFmtId="42" fontId="2" fillId="0" borderId="0" xfId="0" applyNumberFormat="1" applyFont="1"/>
    <xf numFmtId="38" fontId="2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/>
    </xf>
    <xf numFmtId="38" fontId="3" fillId="0" borderId="0" xfId="0" applyNumberFormat="1" applyFont="1" applyBorder="1"/>
    <xf numFmtId="0" fontId="2" fillId="2" borderId="0" xfId="0" applyFont="1" applyFill="1" applyAlignment="1">
      <alignment horizontal="right"/>
    </xf>
    <xf numFmtId="42" fontId="8" fillId="2" borderId="0" xfId="0" applyNumberFormat="1" applyFont="1" applyFill="1"/>
    <xf numFmtId="38" fontId="8" fillId="2" borderId="0" xfId="0" applyNumberFormat="1" applyFont="1" applyFill="1"/>
    <xf numFmtId="0" fontId="9" fillId="2" borderId="0" xfId="0" applyFont="1" applyFill="1"/>
    <xf numFmtId="42" fontId="9" fillId="2" borderId="0" xfId="0" applyNumberFormat="1" applyFont="1" applyFill="1"/>
    <xf numFmtId="44" fontId="0" fillId="0" borderId="0" xfId="0" applyNumberFormat="1"/>
    <xf numFmtId="183" fontId="0" fillId="0" borderId="0" xfId="0" applyNumberFormat="1"/>
    <xf numFmtId="42" fontId="2" fillId="10" borderId="0" xfId="0" applyNumberFormat="1" applyFont="1" applyFill="1"/>
    <xf numFmtId="38" fontId="2" fillId="10" borderId="0" xfId="0" applyNumberFormat="1" applyFont="1" applyFill="1" applyAlignment="1">
      <alignment horizontal="center"/>
    </xf>
    <xf numFmtId="168" fontId="3" fillId="10" borderId="0" xfId="1" applyNumberFormat="1" applyFont="1" applyFill="1" applyAlignment="1">
      <alignment horizontal="center"/>
    </xf>
    <xf numFmtId="6" fontId="0" fillId="10" borderId="0" xfId="0" applyNumberFormat="1" applyFill="1"/>
    <xf numFmtId="42" fontId="0" fillId="10" borderId="0" xfId="0" applyNumberFormat="1" applyFill="1"/>
    <xf numFmtId="184" fontId="0" fillId="0" borderId="0" xfId="0" applyNumberFormat="1" applyAlignment="1">
      <alignment horizontal="center"/>
    </xf>
    <xf numFmtId="41" fontId="0" fillId="0" borderId="0" xfId="0" applyNumberFormat="1"/>
    <xf numFmtId="16" fontId="0" fillId="0" borderId="0" xfId="0" applyNumberFormat="1"/>
    <xf numFmtId="185" fontId="2" fillId="0" borderId="0" xfId="0" applyNumberFormat="1" applyFont="1"/>
    <xf numFmtId="171" fontId="0" fillId="0" borderId="0" xfId="0" applyNumberFormat="1"/>
    <xf numFmtId="0" fontId="0" fillId="10" borderId="0" xfId="0" applyFill="1"/>
    <xf numFmtId="171" fontId="0" fillId="5" borderId="0" xfId="0" applyNumberFormat="1" applyFill="1"/>
    <xf numFmtId="186" fontId="0" fillId="0" borderId="0" xfId="0" applyNumberFormat="1"/>
    <xf numFmtId="43" fontId="1" fillId="5" borderId="0" xfId="1" applyNumberFormat="1" applyFill="1"/>
    <xf numFmtId="38" fontId="0" fillId="0" borderId="1" xfId="0" applyNumberFormat="1" applyBorder="1" applyAlignment="1">
      <alignment horizontal="center"/>
    </xf>
    <xf numFmtId="167" fontId="1" fillId="11" borderId="0" xfId="1" applyNumberFormat="1" applyFill="1"/>
    <xf numFmtId="0" fontId="0" fillId="11" borderId="0" xfId="0" applyFill="1"/>
    <xf numFmtId="4" fontId="1" fillId="11" borderId="0" xfId="2" applyNumberFormat="1" applyFill="1"/>
    <xf numFmtId="0" fontId="4" fillId="12" borderId="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71" fontId="2" fillId="12" borderId="4" xfId="0" applyNumberFormat="1" applyFont="1" applyFill="1" applyBorder="1" applyAlignment="1">
      <alignment horizontal="center"/>
    </xf>
    <xf numFmtId="170" fontId="3" fillId="12" borderId="4" xfId="0" applyNumberFormat="1" applyFont="1" applyFill="1" applyBorder="1" applyAlignment="1">
      <alignment horizontal="center"/>
    </xf>
    <xf numFmtId="171" fontId="2" fillId="10" borderId="5" xfId="0" applyNumberFormat="1" applyFont="1" applyFill="1" applyBorder="1" applyAlignment="1">
      <alignment horizontal="center"/>
    </xf>
    <xf numFmtId="171" fontId="2" fillId="1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173" fontId="0" fillId="2" borderId="0" xfId="0" applyNumberFormat="1" applyFill="1"/>
    <xf numFmtId="37" fontId="9" fillId="2" borderId="0" xfId="0" applyNumberFormat="1" applyFont="1" applyFill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C/FPBTrades02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Current"/>
      <sheetName val="PL Analysis"/>
      <sheetName val="Nymex Prices"/>
      <sheetName val="Begin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6"/>
  <sheetViews>
    <sheetView tabSelected="1" zoomScale="80" workbookViewId="0">
      <selection activeCell="B5" sqref="B5"/>
    </sheetView>
  </sheetViews>
  <sheetFormatPr defaultRowHeight="12.75" x14ac:dyDescent="0.2"/>
  <cols>
    <col min="1" max="1" width="6.85546875" customWidth="1"/>
    <col min="2" max="2" width="7.28515625" customWidth="1"/>
    <col min="3" max="3" width="7.42578125" customWidth="1"/>
    <col min="4" max="4" width="17.42578125" bestFit="1" customWidth="1"/>
    <col min="5" max="5" width="14.85546875" bestFit="1" customWidth="1"/>
    <col min="6" max="6" width="14.140625" bestFit="1" customWidth="1"/>
    <col min="7" max="7" width="11.7109375" customWidth="1"/>
    <col min="8" max="8" width="4.140625" customWidth="1"/>
    <col min="9" max="9" width="14.140625" customWidth="1"/>
    <col min="10" max="10" width="14.140625" bestFit="1" customWidth="1"/>
    <col min="11" max="11" width="4" customWidth="1"/>
    <col min="12" max="12" width="13.85546875" customWidth="1"/>
    <col min="13" max="13" width="13.42578125" customWidth="1"/>
    <col min="14" max="14" width="15.28515625" customWidth="1"/>
    <col min="16" max="16" width="12.85546875" bestFit="1" customWidth="1"/>
  </cols>
  <sheetData>
    <row r="1" spans="1:16" x14ac:dyDescent="0.2">
      <c r="C1" t="s">
        <v>99</v>
      </c>
      <c r="D1">
        <f>B5</f>
        <v>3.95</v>
      </c>
      <c r="E1">
        <v>3.9140000000000001</v>
      </c>
      <c r="F1">
        <f>D1-E1</f>
        <v>3.6000000000000032E-2</v>
      </c>
      <c r="I1">
        <v>4.6589999999999998</v>
      </c>
      <c r="J1">
        <v>5.3239999999999998</v>
      </c>
      <c r="L1">
        <v>5.3170000000000002</v>
      </c>
    </row>
    <row r="2" spans="1:16" x14ac:dyDescent="0.2">
      <c r="C2" t="s">
        <v>90</v>
      </c>
      <c r="D2">
        <f>D1-0.115</f>
        <v>3.835</v>
      </c>
      <c r="E2">
        <v>3.81</v>
      </c>
      <c r="F2">
        <f>D2-E2</f>
        <v>2.4999999999999911E-2</v>
      </c>
    </row>
    <row r="3" spans="1:16" x14ac:dyDescent="0.2">
      <c r="D3">
        <f>D2-D1</f>
        <v>-0.11500000000000021</v>
      </c>
      <c r="E3">
        <v>-0.10400000000000009</v>
      </c>
      <c r="F3" s="47"/>
      <c r="G3" s="47"/>
      <c r="H3" s="47"/>
      <c r="I3" s="47"/>
      <c r="J3" s="47"/>
      <c r="K3" s="47"/>
      <c r="L3" s="47" t="s">
        <v>85</v>
      </c>
    </row>
    <row r="4" spans="1:16" x14ac:dyDescent="0.2">
      <c r="F4" s="73">
        <f ca="1">TODAY()</f>
        <v>41886</v>
      </c>
      <c r="G4" s="47"/>
      <c r="H4" s="47"/>
      <c r="I4" s="47" t="s">
        <v>24</v>
      </c>
      <c r="J4" s="47" t="s">
        <v>85</v>
      </c>
      <c r="K4" s="47"/>
      <c r="L4" s="73">
        <f ca="1">TODAY()-1</f>
        <v>41885</v>
      </c>
      <c r="P4">
        <f>P5+3301</f>
        <v>18779.260869565216</v>
      </c>
    </row>
    <row r="5" spans="1:16" x14ac:dyDescent="0.2">
      <c r="A5" s="15" t="s">
        <v>102</v>
      </c>
      <c r="B5" s="110">
        <v>3.95</v>
      </c>
      <c r="C5" s="15"/>
      <c r="D5" t="s">
        <v>18</v>
      </c>
      <c r="F5" s="49">
        <f>+KATHY_PHYS!AF36+WAHA_swap!Z36+KATY_SWAP!AT36</f>
        <v>6888.2449999999917</v>
      </c>
      <c r="I5" s="72">
        <v>23804.000999999917</v>
      </c>
      <c r="J5" s="12">
        <f>F5-I5</f>
        <v>-16915.755999999925</v>
      </c>
      <c r="K5" s="12"/>
      <c r="L5" s="12">
        <v>-3058.5000000000982</v>
      </c>
      <c r="M5">
        <v>457440</v>
      </c>
      <c r="O5">
        <v>35.6</v>
      </c>
      <c r="P5" s="83">
        <f>O5*10000/23</f>
        <v>15478.260869565218</v>
      </c>
    </row>
    <row r="6" spans="1:16" x14ac:dyDescent="0.2">
      <c r="A6" s="15" t="s">
        <v>105</v>
      </c>
      <c r="B6" s="15">
        <f>B5+0.076</f>
        <v>4.0259999999999998</v>
      </c>
      <c r="C6" s="15"/>
      <c r="D6" t="s">
        <v>19</v>
      </c>
      <c r="F6" s="49">
        <f>HH_SWAP!BJ36+Q36+HSC_SWAP!Y36</f>
        <v>261232.50000000006</v>
      </c>
      <c r="I6" s="72">
        <v>236330.5</v>
      </c>
      <c r="J6" s="12">
        <f>F6-I6</f>
        <v>24902.000000000058</v>
      </c>
      <c r="K6" s="12"/>
      <c r="L6" s="12">
        <v>294225</v>
      </c>
      <c r="O6">
        <f>38.4</f>
        <v>38.4</v>
      </c>
      <c r="P6" s="83">
        <f>O6*10000/23</f>
        <v>16695.652173913044</v>
      </c>
    </row>
    <row r="7" spans="1:16" x14ac:dyDescent="0.2">
      <c r="A7" s="15" t="s">
        <v>108</v>
      </c>
      <c r="B7" s="15">
        <f>B6+0.032</f>
        <v>4.0579999999999998</v>
      </c>
      <c r="C7" s="15"/>
      <c r="D7" t="s">
        <v>120</v>
      </c>
      <c r="F7" s="81">
        <f>JUN_PHY!G26</f>
        <v>0</v>
      </c>
      <c r="I7" s="72">
        <v>0</v>
      </c>
      <c r="J7" s="12">
        <f>F7-I7</f>
        <v>0</v>
      </c>
      <c r="K7" s="12"/>
      <c r="L7" s="12">
        <v>0</v>
      </c>
      <c r="P7" s="83">
        <f>O7*10000/23</f>
        <v>0</v>
      </c>
    </row>
    <row r="8" spans="1:16" ht="13.5" thickBot="1" x14ac:dyDescent="0.25">
      <c r="A8" s="15" t="s">
        <v>111</v>
      </c>
      <c r="B8" s="15">
        <f>B7+0.026</f>
        <v>4.0839999999999996</v>
      </c>
      <c r="C8" s="15"/>
      <c r="D8" t="s">
        <v>2</v>
      </c>
      <c r="F8" s="113">
        <f>NYMEX_juL1!I43+NYMEX_AUG!I45+'JUL Swap'!I39+NYMEX_SEP!I39+NYMEX_juL2!I46+X_H!I39+N_V!I39</f>
        <v>62545.000000001426</v>
      </c>
      <c r="I8" s="72">
        <v>138948</v>
      </c>
      <c r="J8" s="12">
        <f>F8-I8</f>
        <v>-76402.999999998574</v>
      </c>
      <c r="K8" s="12"/>
      <c r="L8" s="12">
        <v>-133332.50000000058</v>
      </c>
      <c r="O8">
        <f>112.8</f>
        <v>112.8</v>
      </c>
      <c r="P8" s="83">
        <f>O8*10000/23</f>
        <v>49043.478260869568</v>
      </c>
    </row>
    <row r="9" spans="1:16" ht="13.5" thickTop="1" x14ac:dyDescent="0.2">
      <c r="A9" s="15" t="s">
        <v>122</v>
      </c>
      <c r="B9" s="15">
        <f>B8+0.162</f>
        <v>4.2459999999999996</v>
      </c>
      <c r="C9" s="15"/>
      <c r="F9" s="49">
        <f>SUM(F5:F8)</f>
        <v>330665.74500000151</v>
      </c>
      <c r="I9" s="72">
        <v>399082.50100000051</v>
      </c>
      <c r="J9" s="12">
        <f>F9-I9</f>
        <v>-68416.755999999004</v>
      </c>
      <c r="K9" s="72"/>
      <c r="L9" s="72">
        <v>157833.99999999919</v>
      </c>
      <c r="O9">
        <v>-6.6</v>
      </c>
      <c r="P9" s="83">
        <f>O9*10000/23</f>
        <v>-2869.5652173913045</v>
      </c>
    </row>
    <row r="10" spans="1:16" x14ac:dyDescent="0.2">
      <c r="A10" s="15" t="s">
        <v>107</v>
      </c>
      <c r="B10" s="110">
        <f>B5+0.4</f>
        <v>4.3500000000000005</v>
      </c>
      <c r="C10" s="110">
        <f>B10-B5</f>
        <v>0.40000000000000036</v>
      </c>
      <c r="I10" s="72"/>
      <c r="J10" s="72"/>
      <c r="K10" s="72"/>
      <c r="L10" s="12">
        <v>-8000</v>
      </c>
      <c r="P10" s="83"/>
    </row>
    <row r="11" spans="1:16" x14ac:dyDescent="0.2">
      <c r="A11" s="15" t="s">
        <v>127</v>
      </c>
      <c r="B11" s="110">
        <f>B5+0.085</f>
        <v>4.0350000000000001</v>
      </c>
      <c r="C11" s="110">
        <f>B11-B5</f>
        <v>8.4999999999999964E-2</v>
      </c>
      <c r="D11" s="47" t="s">
        <v>20</v>
      </c>
      <c r="E11" s="48" t="s">
        <v>91</v>
      </c>
      <c r="F11" s="90" t="s">
        <v>92</v>
      </c>
      <c r="I11" s="48" t="s">
        <v>91</v>
      </c>
      <c r="J11" s="90" t="s">
        <v>92</v>
      </c>
      <c r="K11" s="72"/>
      <c r="L11" s="12"/>
      <c r="P11" s="83"/>
    </row>
    <row r="12" spans="1:16" x14ac:dyDescent="0.2">
      <c r="A12" s="15" t="s">
        <v>102</v>
      </c>
      <c r="B12">
        <v>3.9140000000000001</v>
      </c>
      <c r="D12" t="s">
        <v>110</v>
      </c>
      <c r="E12" s="12">
        <f>KATHY_PHYS!AF36</f>
        <v>5188.2449999997298</v>
      </c>
      <c r="F12" s="10">
        <f>KATHY_PHYS!P36</f>
        <v>400062</v>
      </c>
      <c r="G12" s="86"/>
      <c r="H12" s="86"/>
      <c r="I12" s="12">
        <v>-7305.9990000002435</v>
      </c>
      <c r="J12" s="10">
        <v>446223</v>
      </c>
      <c r="K12" s="72"/>
      <c r="L12" s="12">
        <f t="shared" ref="L12:M15" si="0">E12-I12</f>
        <v>12494.243999999973</v>
      </c>
      <c r="M12" s="10">
        <f t="shared" si="0"/>
        <v>-46161</v>
      </c>
      <c r="N12" s="98">
        <f t="shared" ref="N12:N25" si="1">L12/J12</f>
        <v>2.7999999999999942E-2</v>
      </c>
      <c r="P12" s="83"/>
    </row>
    <row r="13" spans="1:16" x14ac:dyDescent="0.2">
      <c r="A13" s="15" t="s">
        <v>105</v>
      </c>
      <c r="B13">
        <v>3.99</v>
      </c>
      <c r="C13" s="108">
        <f>B13-B12</f>
        <v>7.6000000000000068E-2</v>
      </c>
      <c r="E13" s="12"/>
      <c r="F13" s="10"/>
      <c r="G13" s="86"/>
      <c r="H13" s="86"/>
      <c r="I13" s="12"/>
      <c r="J13" s="10"/>
      <c r="K13" s="72"/>
      <c r="L13" s="12">
        <f t="shared" si="0"/>
        <v>0</v>
      </c>
      <c r="M13" s="10">
        <f t="shared" si="0"/>
        <v>0</v>
      </c>
      <c r="N13" s="98" t="e">
        <f t="shared" si="1"/>
        <v>#DIV/0!</v>
      </c>
      <c r="P13" s="83"/>
    </row>
    <row r="14" spans="1:16" x14ac:dyDescent="0.2">
      <c r="A14" s="15" t="s">
        <v>108</v>
      </c>
      <c r="B14">
        <v>4.0220000000000002</v>
      </c>
      <c r="C14">
        <f>B14-B13</f>
        <v>3.2000000000000028E-2</v>
      </c>
      <c r="E14" s="12"/>
      <c r="F14" s="10"/>
      <c r="G14" s="86"/>
      <c r="H14" s="86"/>
      <c r="I14" s="12"/>
      <c r="J14" s="10"/>
      <c r="K14" s="72"/>
      <c r="L14" s="12">
        <f t="shared" si="0"/>
        <v>0</v>
      </c>
      <c r="M14" s="10">
        <f t="shared" si="0"/>
        <v>0</v>
      </c>
      <c r="N14" s="98" t="e">
        <f t="shared" si="1"/>
        <v>#DIV/0!</v>
      </c>
      <c r="P14" s="83"/>
    </row>
    <row r="15" spans="1:16" x14ac:dyDescent="0.2">
      <c r="A15" s="15" t="s">
        <v>111</v>
      </c>
      <c r="B15">
        <v>4.048</v>
      </c>
      <c r="C15">
        <f>B15-B14</f>
        <v>2.5999999999999801E-2</v>
      </c>
      <c r="D15" s="17"/>
      <c r="E15" s="99">
        <f>SUM(E12:E14)</f>
        <v>5188.2449999997298</v>
      </c>
      <c r="F15" s="100">
        <f>SUM(F12:F14)</f>
        <v>400062</v>
      </c>
      <c r="G15" s="101">
        <f>F15/E31</f>
        <v>15387</v>
      </c>
      <c r="H15" s="101"/>
      <c r="I15" s="99">
        <v>-7305.9990000002435</v>
      </c>
      <c r="J15" s="100">
        <v>446223</v>
      </c>
      <c r="K15" s="102"/>
      <c r="L15" s="103">
        <f t="shared" si="0"/>
        <v>12494.243999999973</v>
      </c>
      <c r="M15" s="100">
        <f t="shared" si="0"/>
        <v>-46161</v>
      </c>
      <c r="N15" s="98">
        <f t="shared" si="1"/>
        <v>2.7999999999999942E-2</v>
      </c>
      <c r="P15" s="87"/>
    </row>
    <row r="16" spans="1:16" x14ac:dyDescent="0.2">
      <c r="A16" s="15" t="s">
        <v>122</v>
      </c>
      <c r="B16">
        <v>4.21</v>
      </c>
      <c r="C16">
        <f>B16-B15</f>
        <v>0.16199999999999992</v>
      </c>
      <c r="D16" s="47" t="s">
        <v>21</v>
      </c>
      <c r="E16" s="88"/>
      <c r="F16" s="89"/>
      <c r="G16" s="86"/>
      <c r="H16" s="86"/>
      <c r="I16" s="88"/>
      <c r="J16" s="89"/>
      <c r="K16" s="72"/>
      <c r="M16" s="89"/>
      <c r="N16" s="98" t="e">
        <f t="shared" si="1"/>
        <v>#DIV/0!</v>
      </c>
      <c r="P16" s="87"/>
    </row>
    <row r="17" spans="1:16" x14ac:dyDescent="0.2">
      <c r="A17" t="s">
        <v>125</v>
      </c>
      <c r="B17">
        <f>AVERAGE(B12:B15)</f>
        <v>3.9935</v>
      </c>
      <c r="C17">
        <f>B17-B12</f>
        <v>7.9499999999999904E-2</v>
      </c>
      <c r="D17" t="s">
        <v>86</v>
      </c>
      <c r="E17" s="12">
        <f>HH_SWAP!BJ36</f>
        <v>176732.50000000009</v>
      </c>
      <c r="F17" s="3">
        <f>HH_SWAP!AE36</f>
        <v>611000</v>
      </c>
      <c r="G17" s="86"/>
      <c r="H17" s="86"/>
      <c r="I17" s="12">
        <v>174815.5</v>
      </c>
      <c r="J17" s="3">
        <v>391500</v>
      </c>
      <c r="K17" s="72"/>
      <c r="L17" s="12">
        <f>E17-I17</f>
        <v>1917.0000000000873</v>
      </c>
      <c r="M17" s="3">
        <f>F17-J17</f>
        <v>219500</v>
      </c>
      <c r="N17" s="98">
        <f t="shared" si="1"/>
        <v>4.8965517241381538E-3</v>
      </c>
      <c r="P17" s="83"/>
    </row>
    <row r="18" spans="1:16" x14ac:dyDescent="0.2">
      <c r="A18" t="s">
        <v>107</v>
      </c>
      <c r="B18">
        <f>B12+0.387</f>
        <v>4.3010000000000002</v>
      </c>
      <c r="C18">
        <f>B18-B12</f>
        <v>0.38700000000000001</v>
      </c>
      <c r="D18" t="s">
        <v>98</v>
      </c>
      <c r="E18" s="12">
        <f>HSC_SWAP!Y36</f>
        <v>84499.999999999971</v>
      </c>
      <c r="F18" s="10">
        <f>HSC_SWAP!N36</f>
        <v>260000</v>
      </c>
      <c r="G18" s="86"/>
      <c r="H18" s="86"/>
      <c r="I18" s="12">
        <v>61515.000000000058</v>
      </c>
      <c r="J18" s="10">
        <v>435000</v>
      </c>
      <c r="K18" s="72"/>
      <c r="L18" s="12">
        <f t="shared" ref="L18:M22" si="2">E18-I18</f>
        <v>22984.999999999913</v>
      </c>
      <c r="M18" s="3">
        <f>F18-J18</f>
        <v>-175000</v>
      </c>
      <c r="N18" s="98">
        <f t="shared" si="1"/>
        <v>5.2839080459769913E-2</v>
      </c>
      <c r="P18" s="83"/>
    </row>
    <row r="19" spans="1:16" x14ac:dyDescent="0.2">
      <c r="A19" t="s">
        <v>16</v>
      </c>
      <c r="B19">
        <f>GasDaily!C33</f>
        <v>3.835</v>
      </c>
      <c r="D19" t="s">
        <v>116</v>
      </c>
      <c r="E19" s="12">
        <f>KATY_SWAP!AT$36</f>
        <v>-9799.9999999998072</v>
      </c>
      <c r="F19" s="10">
        <f>KATY_SWAP!W$36</f>
        <v>-520000</v>
      </c>
      <c r="G19" s="86"/>
      <c r="H19" s="86"/>
      <c r="I19" s="12">
        <v>5570.0000000001519</v>
      </c>
      <c r="J19" s="10">
        <v>-580000</v>
      </c>
      <c r="K19" s="72"/>
      <c r="L19" s="12">
        <f t="shared" si="2"/>
        <v>-15369.99999999996</v>
      </c>
      <c r="M19" s="10">
        <f t="shared" si="2"/>
        <v>60000</v>
      </c>
      <c r="N19" s="98">
        <f t="shared" si="1"/>
        <v>2.649999999999993E-2</v>
      </c>
      <c r="P19" s="83"/>
    </row>
    <row r="20" spans="1:16" x14ac:dyDescent="0.2">
      <c r="A20" t="s">
        <v>31</v>
      </c>
      <c r="B20">
        <f>GasDaily!R33</f>
        <v>3.8449999999999998</v>
      </c>
      <c r="D20" t="s">
        <v>126</v>
      </c>
      <c r="E20" s="12">
        <f>WAHA_swap!Z36</f>
        <v>11500.000000000071</v>
      </c>
      <c r="F20" s="10">
        <f>WAHA_swap!M36</f>
        <v>-520000</v>
      </c>
      <c r="G20" s="86"/>
      <c r="H20" s="86"/>
      <c r="I20" s="12">
        <v>25540</v>
      </c>
      <c r="J20" s="10">
        <v>-580000</v>
      </c>
      <c r="K20" s="72"/>
      <c r="L20" s="12">
        <f t="shared" si="2"/>
        <v>-14039.999999999929</v>
      </c>
      <c r="M20" s="10">
        <f t="shared" si="2"/>
        <v>60000</v>
      </c>
      <c r="N20" s="98">
        <f t="shared" si="1"/>
        <v>2.4206896551724016E-2</v>
      </c>
      <c r="P20" s="83"/>
    </row>
    <row r="21" spans="1:16" x14ac:dyDescent="0.2">
      <c r="A21" t="s">
        <v>34</v>
      </c>
      <c r="B21">
        <f>GasDaily!AF33</f>
        <v>3.875</v>
      </c>
      <c r="D21" t="s">
        <v>119</v>
      </c>
      <c r="E21" s="12">
        <f>JUN_PHY!G26</f>
        <v>0</v>
      </c>
      <c r="F21" s="10">
        <f>JUN_PHY!F26*10000</f>
        <v>0</v>
      </c>
      <c r="G21" s="86"/>
      <c r="H21" s="86"/>
      <c r="I21" s="12">
        <v>0</v>
      </c>
      <c r="J21" s="10">
        <v>0</v>
      </c>
      <c r="K21" s="72"/>
      <c r="L21" s="12">
        <f t="shared" si="2"/>
        <v>0</v>
      </c>
      <c r="M21" s="10">
        <f t="shared" si="2"/>
        <v>0</v>
      </c>
      <c r="N21" s="98" t="e">
        <f t="shared" si="1"/>
        <v>#DIV/0!</v>
      </c>
      <c r="P21" s="83"/>
    </row>
    <row r="22" spans="1:16" x14ac:dyDescent="0.2">
      <c r="A22" t="s">
        <v>112</v>
      </c>
      <c r="B22">
        <f>GasDaily!V33</f>
        <v>3.7549999999999999</v>
      </c>
      <c r="E22" s="99">
        <f>SUM(E17:E21)</f>
        <v>262932.50000000035</v>
      </c>
      <c r="F22" s="100">
        <f>SUM(F17:F21)</f>
        <v>-169000</v>
      </c>
      <c r="G22" s="101">
        <f>F22/E31</f>
        <v>-6500</v>
      </c>
      <c r="H22" s="101"/>
      <c r="I22" s="99">
        <v>267440.5</v>
      </c>
      <c r="J22" s="100">
        <v>-333500</v>
      </c>
      <c r="K22" s="102"/>
      <c r="L22" s="103">
        <f t="shared" si="2"/>
        <v>-4507.9999999996508</v>
      </c>
      <c r="M22" s="100">
        <f t="shared" si="2"/>
        <v>164500</v>
      </c>
      <c r="N22" s="98">
        <f t="shared" si="1"/>
        <v>1.3517241379309297E-2</v>
      </c>
      <c r="P22" s="83"/>
    </row>
    <row r="23" spans="1:16" x14ac:dyDescent="0.2">
      <c r="A23" t="s">
        <v>114</v>
      </c>
      <c r="B23">
        <f>GasDaily!X33</f>
        <v>0</v>
      </c>
      <c r="D23" s="106" t="s">
        <v>103</v>
      </c>
      <c r="E23" s="12">
        <f>NYMEX_juL1!I43+NYMEX_juL2!I46</f>
        <v>180975.00000000035</v>
      </c>
      <c r="F23" s="10">
        <f>(NYMEX_juL1!E41*10000)+(NYMEX_juL2!E44*10000)+'JUL Swap'!E37*10000</f>
        <v>-827500</v>
      </c>
      <c r="G23" s="86"/>
      <c r="H23" s="86"/>
      <c r="I23" s="12">
        <v>194490.00000000125</v>
      </c>
      <c r="J23" s="10">
        <v>-440000</v>
      </c>
      <c r="K23" s="72"/>
      <c r="L23" s="97">
        <f t="shared" ref="L23:M26" si="3">E23-I23</f>
        <v>-13515.000000000902</v>
      </c>
      <c r="M23" s="3">
        <f t="shared" si="3"/>
        <v>-387500</v>
      </c>
      <c r="N23" s="98">
        <f t="shared" si="1"/>
        <v>3.0715909090911143E-2</v>
      </c>
      <c r="P23" s="83"/>
    </row>
    <row r="24" spans="1:16" x14ac:dyDescent="0.2">
      <c r="A24" t="s">
        <v>35</v>
      </c>
      <c r="B24">
        <f>GasDaily!AH33</f>
        <v>0</v>
      </c>
      <c r="D24" t="s">
        <v>123</v>
      </c>
      <c r="E24" s="12">
        <f>NYMEX_AUG!I45</f>
        <v>50607.499999999898</v>
      </c>
      <c r="F24" s="10">
        <f>NYMEX_AUG!E43*10000</f>
        <v>-155000</v>
      </c>
      <c r="G24" s="86"/>
      <c r="H24" s="86"/>
      <c r="I24" s="12">
        <v>56187.49999999984</v>
      </c>
      <c r="J24" s="10">
        <v>-155000</v>
      </c>
      <c r="K24" s="72"/>
      <c r="L24" s="97">
        <f t="shared" si="3"/>
        <v>-5579.9999999999418</v>
      </c>
      <c r="M24" s="3">
        <f t="shared" si="3"/>
        <v>0</v>
      </c>
      <c r="N24" s="98"/>
      <c r="P24" s="83"/>
    </row>
    <row r="25" spans="1:16" x14ac:dyDescent="0.2">
      <c r="A25" t="s">
        <v>104</v>
      </c>
      <c r="B25">
        <f>GasDaily!N33</f>
        <v>3.6850000000000001</v>
      </c>
      <c r="D25" t="s">
        <v>124</v>
      </c>
      <c r="E25" s="12">
        <f>NYMEX_SEP!I39</f>
        <v>0</v>
      </c>
      <c r="F25" s="10">
        <f>NYMEX_SEP!E37*10000</f>
        <v>0</v>
      </c>
      <c r="G25" s="86"/>
      <c r="H25" s="86"/>
      <c r="I25" s="12">
        <v>0</v>
      </c>
      <c r="J25" s="10">
        <v>0</v>
      </c>
      <c r="K25" s="72"/>
      <c r="L25" s="97">
        <f t="shared" si="3"/>
        <v>0</v>
      </c>
      <c r="M25" s="3">
        <f t="shared" si="3"/>
        <v>0</v>
      </c>
      <c r="N25" s="98" t="e">
        <f t="shared" si="1"/>
        <v>#DIV/0!</v>
      </c>
      <c r="P25" s="83"/>
    </row>
    <row r="26" spans="1:16" x14ac:dyDescent="0.2">
      <c r="D26" t="s">
        <v>129</v>
      </c>
      <c r="E26" s="12">
        <f>N_V!I39</f>
        <v>4612.5000000001746</v>
      </c>
      <c r="F26" s="10">
        <f>N_V!E37*10000</f>
        <v>307500</v>
      </c>
      <c r="G26" s="86">
        <f>F26/153</f>
        <v>2009.8039215686274</v>
      </c>
      <c r="H26" s="86"/>
      <c r="I26" s="12">
        <v>0</v>
      </c>
      <c r="J26" s="10">
        <v>0</v>
      </c>
      <c r="K26" s="72"/>
      <c r="L26" s="97">
        <f t="shared" si="3"/>
        <v>4612.5000000001746</v>
      </c>
      <c r="M26" s="3">
        <f t="shared" si="3"/>
        <v>307500</v>
      </c>
      <c r="N26" s="98"/>
      <c r="P26" s="83"/>
    </row>
    <row r="27" spans="1:16" x14ac:dyDescent="0.2">
      <c r="B27">
        <v>9.7750000000000004</v>
      </c>
      <c r="D27" t="s">
        <v>115</v>
      </c>
      <c r="E27" s="12">
        <f>X_H!I39</f>
        <v>-173649.99999999898</v>
      </c>
      <c r="F27" s="10">
        <f>X_H!E37*10000</f>
        <v>0</v>
      </c>
      <c r="G27" s="86">
        <f>F27/151</f>
        <v>0</v>
      </c>
      <c r="H27" s="86"/>
      <c r="I27" s="12">
        <v>-111729.50000000084</v>
      </c>
      <c r="J27" s="10">
        <v>-377000</v>
      </c>
      <c r="K27" s="72"/>
      <c r="L27" s="97">
        <f>E27-I27</f>
        <v>-61920.499999998137</v>
      </c>
      <c r="M27" s="86">
        <f>F27-J27</f>
        <v>377000</v>
      </c>
      <c r="N27" s="98"/>
      <c r="P27" s="83"/>
    </row>
    <row r="28" spans="1:16" x14ac:dyDescent="0.2">
      <c r="B28">
        <v>8.7910000000000004</v>
      </c>
      <c r="E28" s="99">
        <f>SUM(E23:E27)</f>
        <v>62545.000000001426</v>
      </c>
      <c r="F28" s="100">
        <f>SUM(F23:F27)</f>
        <v>-675000</v>
      </c>
      <c r="G28" s="101"/>
      <c r="H28" s="101"/>
      <c r="I28" s="99">
        <v>138948</v>
      </c>
      <c r="J28" s="100">
        <v>-972000</v>
      </c>
      <c r="K28" s="102"/>
      <c r="L28" s="103">
        <f>SUM(L23:L27)</f>
        <v>-76402.999999998807</v>
      </c>
      <c r="M28" s="100">
        <f>SUM(M23:M27)</f>
        <v>297000</v>
      </c>
      <c r="N28" s="98"/>
      <c r="P28" s="83"/>
    </row>
    <row r="29" spans="1:16" x14ac:dyDescent="0.2">
      <c r="B29">
        <v>6.2910000000000004</v>
      </c>
      <c r="D29" s="92" t="s">
        <v>93</v>
      </c>
      <c r="E29" s="93">
        <f>E15+E22+E28</f>
        <v>330665.74500000151</v>
      </c>
      <c r="F29" s="94">
        <f>F15+F22+F28</f>
        <v>-443938</v>
      </c>
      <c r="G29" s="95"/>
      <c r="H29" s="95"/>
      <c r="I29" s="93">
        <v>399082.50100000051</v>
      </c>
      <c r="J29" s="94">
        <v>-859277</v>
      </c>
      <c r="K29" s="94" t="e">
        <f>K15+K22+#REF!</f>
        <v>#REF!</v>
      </c>
      <c r="L29" s="96">
        <f>L15+L22+L28</f>
        <v>-68416.755999998481</v>
      </c>
      <c r="M29" s="128">
        <f>M15+M22+M28</f>
        <v>415339</v>
      </c>
      <c r="N29" s="98">
        <f>L29/F29</f>
        <v>0.15411331312029716</v>
      </c>
      <c r="O29">
        <f>90.3+0.9+0.2+11.4</f>
        <v>102.80000000000001</v>
      </c>
      <c r="P29" s="83">
        <f>O29*10000/23</f>
        <v>44695.652173913048</v>
      </c>
    </row>
    <row r="30" spans="1:16" x14ac:dyDescent="0.2">
      <c r="B30">
        <v>5.4909999999999997</v>
      </c>
      <c r="E30" s="12"/>
      <c r="F30" s="3"/>
      <c r="J30" s="91"/>
      <c r="L30" s="12"/>
      <c r="P30" s="83"/>
    </row>
    <row r="31" spans="1:16" x14ac:dyDescent="0.2">
      <c r="B31">
        <v>5.4</v>
      </c>
      <c r="E31">
        <v>26</v>
      </c>
      <c r="O31">
        <f>SUM(O5:O29)</f>
        <v>283</v>
      </c>
      <c r="P31" s="83">
        <f>SUM(P5:P29)</f>
        <v>123043.47826086957</v>
      </c>
    </row>
    <row r="32" spans="1:16" x14ac:dyDescent="0.2">
      <c r="B32">
        <v>8.2856666666666676</v>
      </c>
      <c r="D32" t="s">
        <v>20</v>
      </c>
      <c r="E32" s="83">
        <f>F32/E31</f>
        <v>15387</v>
      </c>
      <c r="F32" s="3">
        <f>+KATHY_PHYS!P36</f>
        <v>400062</v>
      </c>
      <c r="G32" s="85"/>
      <c r="I32" s="3">
        <v>6098012.1699999999</v>
      </c>
      <c r="J32" s="3">
        <f>F32-I32</f>
        <v>-5697950.1699999999</v>
      </c>
      <c r="K32" s="3"/>
      <c r="L32" s="3">
        <v>-98500</v>
      </c>
      <c r="O32">
        <v>-39.1</v>
      </c>
      <c r="P32">
        <f>(P31/12)/10000</f>
        <v>1.0253623188405798</v>
      </c>
    </row>
    <row r="33" spans="2:15" x14ac:dyDescent="0.2">
      <c r="D33" t="s">
        <v>21</v>
      </c>
      <c r="E33" s="83">
        <f>F33/E31</f>
        <v>-6500</v>
      </c>
      <c r="F33" s="51">
        <f>HH_SWAP!AE36+HSC_SWAP!N36+WAHA_swap!M36+KATY_SWAP!W36</f>
        <v>-169000</v>
      </c>
      <c r="G33" s="3"/>
      <c r="I33" s="3">
        <v>-4495000</v>
      </c>
      <c r="J33" s="3">
        <f>F33-I33</f>
        <v>4326000</v>
      </c>
      <c r="K33" s="3"/>
      <c r="L33" s="3">
        <v>310000</v>
      </c>
      <c r="O33">
        <f>SUM(O31:O32)</f>
        <v>243.9</v>
      </c>
    </row>
    <row r="34" spans="2:15" x14ac:dyDescent="0.2">
      <c r="E34" s="84">
        <f>SUM(E32:E33)</f>
        <v>8887</v>
      </c>
      <c r="F34" s="3">
        <f>SUM(F32:F33)</f>
        <v>231062</v>
      </c>
      <c r="G34" s="3">
        <f>F34/E31</f>
        <v>8887</v>
      </c>
      <c r="I34" s="3">
        <v>1603012.17</v>
      </c>
      <c r="J34" s="3">
        <f>F34-I34</f>
        <v>-1371950.17</v>
      </c>
      <c r="K34" s="3"/>
      <c r="L34" s="3">
        <v>211500</v>
      </c>
    </row>
    <row r="35" spans="2:15" ht="13.5" thickBot="1" x14ac:dyDescent="0.25">
      <c r="B35">
        <v>8.66</v>
      </c>
      <c r="D35" t="s">
        <v>22</v>
      </c>
      <c r="F35" s="50">
        <f>(NYMEX_juL1!E41)*10000+(NYMEX_AUG!E43)*10000+('JUL Swap'!E37)*10000+NYMEX_SEP!E37*10000+NYMEX_juL2!E44*10000+(X_H!E37)*10000+(N_V!E37)*10000</f>
        <v>-675000</v>
      </c>
      <c r="G35" s="3"/>
      <c r="I35" s="3">
        <v>150000</v>
      </c>
      <c r="J35" s="3">
        <f>F35-I35</f>
        <v>-825000</v>
      </c>
      <c r="K35" s="3"/>
      <c r="L35" s="3">
        <v>0</v>
      </c>
    </row>
    <row r="36" spans="2:15" ht="13.5" thickTop="1" x14ac:dyDescent="0.2">
      <c r="E36" t="s">
        <v>23</v>
      </c>
      <c r="F36" s="3">
        <f>SUM(F34:F35)+F21</f>
        <v>-443938</v>
      </c>
      <c r="I36" s="3">
        <v>672000</v>
      </c>
      <c r="J36" s="3">
        <f>F36-I36</f>
        <v>-1115938</v>
      </c>
      <c r="K36" s="3"/>
      <c r="L36" s="3">
        <v>211500</v>
      </c>
      <c r="M36">
        <f>(225000*0.01)</f>
        <v>2250</v>
      </c>
    </row>
    <row r="37" spans="2:15" x14ac:dyDescent="0.2">
      <c r="E37" t="s">
        <v>117</v>
      </c>
      <c r="F37" s="85"/>
    </row>
    <row r="38" spans="2:15" x14ac:dyDescent="0.2">
      <c r="E38" t="s">
        <v>89</v>
      </c>
      <c r="F38" s="3"/>
      <c r="I38">
        <f>5023426-4713426</f>
        <v>310000</v>
      </c>
      <c r="M38">
        <f>8.65-8.08</f>
        <v>0.57000000000000028</v>
      </c>
    </row>
    <row r="39" spans="2:15" x14ac:dyDescent="0.2">
      <c r="F39" s="3">
        <f>SUM(F36:F38)</f>
        <v>-443938</v>
      </c>
      <c r="G39" s="108">
        <f>F39/E31</f>
        <v>-17074.538461538461</v>
      </c>
    </row>
    <row r="41" spans="2:15" x14ac:dyDescent="0.2">
      <c r="F41" s="3">
        <f>SUM(F39:F40)</f>
        <v>-443938</v>
      </c>
    </row>
    <row r="42" spans="2:15" x14ac:dyDescent="0.2">
      <c r="F42" s="12"/>
    </row>
    <row r="44" spans="2:15" x14ac:dyDescent="0.2">
      <c r="E44">
        <v>3.145</v>
      </c>
    </row>
    <row r="46" spans="2:15" x14ac:dyDescent="0.2">
      <c r="F46" s="3"/>
    </row>
  </sheetData>
  <phoneticPr fontId="0" type="noConversion"/>
  <pageMargins left="1.24" right="0" top="1.24" bottom="0" header="0" footer="0"/>
  <pageSetup scale="65" orientation="landscape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55"/>
  <sheetViews>
    <sheetView zoomScale="80" workbookViewId="0">
      <selection activeCell="B4" sqref="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2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2" x14ac:dyDescent="0.2">
      <c r="A2" s="20">
        <v>31</v>
      </c>
      <c r="B2" s="15">
        <v>4.0475000000000003</v>
      </c>
      <c r="C2" s="16">
        <f t="shared" ref="C2:C37" si="0">A2*B2*10000</f>
        <v>1254725</v>
      </c>
      <c r="D2" s="17"/>
      <c r="E2" s="21">
        <v>31</v>
      </c>
      <c r="F2" s="22">
        <v>3.8975</v>
      </c>
      <c r="G2" s="23">
        <f t="shared" ref="G2:G37" si="1">E2*F2*10000</f>
        <v>1208225</v>
      </c>
      <c r="I2" s="24"/>
    </row>
    <row r="3" spans="1:12" x14ac:dyDescent="0.2">
      <c r="A3" s="20">
        <v>15.5</v>
      </c>
      <c r="B3" s="15">
        <v>4.0525000000000002</v>
      </c>
      <c r="C3" s="16">
        <f t="shared" si="0"/>
        <v>628137.50000000012</v>
      </c>
      <c r="D3" s="17"/>
      <c r="E3" s="25"/>
      <c r="F3" s="15"/>
      <c r="G3" s="23">
        <f t="shared" si="1"/>
        <v>0</v>
      </c>
      <c r="I3" s="13"/>
      <c r="K3" s="26"/>
    </row>
    <row r="4" spans="1:12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/>
    </row>
    <row r="5" spans="1:12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2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2" x14ac:dyDescent="0.2">
      <c r="A7" s="25"/>
      <c r="B7" s="15"/>
      <c r="C7" s="16">
        <f t="shared" si="0"/>
        <v>0</v>
      </c>
      <c r="D7" s="17"/>
      <c r="E7" s="114"/>
      <c r="F7" s="115"/>
      <c r="G7" s="116">
        <f t="shared" si="1"/>
        <v>0</v>
      </c>
      <c r="I7" s="24" t="s">
        <v>109</v>
      </c>
    </row>
    <row r="8" spans="1:12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2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2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2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2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2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2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2500*31</f>
        <v>77500</v>
      </c>
    </row>
    <row r="15" spans="1:12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5000*31</f>
        <v>155000</v>
      </c>
    </row>
    <row r="16" spans="1:12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2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10000*31</f>
        <v>310000</v>
      </c>
    </row>
    <row r="18" spans="1:12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L18">
        <f>12500*31</f>
        <v>387500</v>
      </c>
    </row>
    <row r="19" spans="1:12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>
        <f>15000*31</f>
        <v>465000</v>
      </c>
    </row>
    <row r="20" spans="1:12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2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2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2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2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2" ht="9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2" ht="9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2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2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2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2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2" ht="9" customHeight="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2" ht="9" customHeight="1" x14ac:dyDescent="0.2">
      <c r="A32" s="25"/>
      <c r="B32" s="15"/>
      <c r="C32" s="16">
        <f t="shared" si="0"/>
        <v>0</v>
      </c>
      <c r="D32" s="17"/>
      <c r="E32" s="25"/>
      <c r="F32" s="15"/>
      <c r="G32" s="23">
        <f t="shared" si="1"/>
        <v>0</v>
      </c>
      <c r="I32" s="31"/>
    </row>
    <row r="33" spans="1:13" ht="9" customHeight="1" x14ac:dyDescent="0.2">
      <c r="A33" s="25"/>
      <c r="B33" s="15"/>
      <c r="C33" s="16">
        <f t="shared" si="0"/>
        <v>0</v>
      </c>
      <c r="D33" s="17"/>
      <c r="E33" s="25"/>
      <c r="F33" s="15"/>
      <c r="G33" s="23">
        <f t="shared" si="1"/>
        <v>0</v>
      </c>
      <c r="I33" s="31"/>
    </row>
    <row r="34" spans="1:13" ht="9" customHeight="1" x14ac:dyDescent="0.2">
      <c r="A34" s="25"/>
      <c r="B34" s="15"/>
      <c r="C34" s="16">
        <f t="shared" si="0"/>
        <v>0</v>
      </c>
      <c r="D34" s="17"/>
      <c r="E34" s="25"/>
      <c r="F34" s="15"/>
      <c r="G34" s="23">
        <f t="shared" si="1"/>
        <v>0</v>
      </c>
      <c r="I34" s="31"/>
    </row>
    <row r="35" spans="1:13" ht="9" customHeight="1" x14ac:dyDescent="0.2">
      <c r="A35" s="25"/>
      <c r="B35" s="15"/>
      <c r="C35" s="16"/>
      <c r="D35" s="17"/>
      <c r="E35" s="25"/>
      <c r="F35" s="15"/>
      <c r="G35" s="23">
        <f t="shared" si="1"/>
        <v>0</v>
      </c>
      <c r="I35" s="31"/>
    </row>
    <row r="36" spans="1:13" ht="9" customHeight="1" x14ac:dyDescent="0.2">
      <c r="A36" s="25"/>
      <c r="B36" s="15"/>
      <c r="C36" s="16"/>
      <c r="D36" s="17"/>
      <c r="E36" s="25"/>
      <c r="F36" s="15"/>
      <c r="G36" s="23">
        <f t="shared" si="1"/>
        <v>0</v>
      </c>
      <c r="I36" s="31"/>
    </row>
    <row r="37" spans="1:13" x14ac:dyDescent="0.2">
      <c r="A37" s="25"/>
      <c r="B37" s="15"/>
      <c r="C37" s="16">
        <f t="shared" si="0"/>
        <v>0</v>
      </c>
      <c r="D37" s="17"/>
      <c r="E37" s="25"/>
      <c r="F37" s="15"/>
      <c r="G37" s="23">
        <f t="shared" si="1"/>
        <v>0</v>
      </c>
      <c r="I37" s="31"/>
    </row>
    <row r="38" spans="1:13" x14ac:dyDescent="0.2">
      <c r="E38" s="32"/>
      <c r="G38" s="34"/>
    </row>
    <row r="39" spans="1:13" x14ac:dyDescent="0.2">
      <c r="A39" s="25">
        <f>SUM(A1:A38)</f>
        <v>46.5</v>
      </c>
      <c r="B39" s="15">
        <f>IF(A39=0, 0, C39/A39/10000)</f>
        <v>4.0491666666666664</v>
      </c>
      <c r="C39" s="16">
        <f>SUM(C1:C38)</f>
        <v>1882862.5</v>
      </c>
      <c r="E39" s="25">
        <f>SUM(E1:E38)</f>
        <v>31</v>
      </c>
      <c r="F39" s="15">
        <f>IF(E39=0, 0, G39/E39/10000)</f>
        <v>3.8975</v>
      </c>
      <c r="G39" s="23">
        <f>SUM(G1:G38)</f>
        <v>1208225</v>
      </c>
      <c r="I39" s="36">
        <f>MIN(A39,E39)*(B39-F39)*10000</f>
        <v>47016.666666666584</v>
      </c>
      <c r="J39" s="37"/>
      <c r="K39" s="37" t="s">
        <v>8</v>
      </c>
      <c r="L39" s="17"/>
      <c r="M39" s="17"/>
    </row>
    <row r="40" spans="1:13" x14ac:dyDescent="0.2">
      <c r="I40" s="36"/>
      <c r="J40" s="37"/>
      <c r="K40" s="37"/>
      <c r="L40" s="17"/>
      <c r="M40" s="17"/>
    </row>
    <row r="41" spans="1:13" x14ac:dyDescent="0.2">
      <c r="E41" s="38">
        <f>-A39+E39</f>
        <v>-15.5</v>
      </c>
      <c r="F41">
        <f>IF(E41&lt;0,B39,F39)</f>
        <v>4.0491666666666664</v>
      </c>
      <c r="G41" s="39">
        <f>IF(E41&lt;0, (F41-B44)*ABS(E41)*10000, -1*(F41-B44)*ABS(E41)*10000)</f>
        <v>3590.8333333333167</v>
      </c>
      <c r="I41" s="36">
        <f>G41</f>
        <v>3590.8333333333167</v>
      </c>
      <c r="J41" s="37"/>
      <c r="K41" s="37" t="s">
        <v>9</v>
      </c>
      <c r="L41" s="17"/>
      <c r="M41" s="17" t="s">
        <v>10</v>
      </c>
    </row>
    <row r="42" spans="1:13" x14ac:dyDescent="0.2">
      <c r="L42" s="17"/>
      <c r="M42" s="17"/>
    </row>
    <row r="43" spans="1:13" x14ac:dyDescent="0.2">
      <c r="E43" s="84">
        <f>-A39+E39</f>
        <v>-15.5</v>
      </c>
      <c r="F43">
        <f>IF(E43&lt;0, (B39+(I39/(ABS(E43)*10000))), IF(E43 = 0, 0, (F39-(I39/(ABS(E43)*10000)))))</f>
        <v>4.3524999999999991</v>
      </c>
      <c r="G43" s="39">
        <f>IF(E43&lt;0, (F43-B44)*ABS(E43)*10000, IF(E43 = 0, 0, -1*(F43-B44)*ABS(E43)*10000))</f>
        <v>50607.499999999898</v>
      </c>
      <c r="I43" s="40">
        <f>G43</f>
        <v>50607.499999999898</v>
      </c>
      <c r="J43" s="41"/>
      <c r="K43" s="41" t="s">
        <v>11</v>
      </c>
      <c r="L43" s="17"/>
      <c r="M43" s="17" t="s">
        <v>12</v>
      </c>
    </row>
    <row r="44" spans="1:13" x14ac:dyDescent="0.2">
      <c r="B44">
        <f>IF(ISBLANK(B45),'[1]Nymex Prices'!B10,B45)</f>
        <v>4.0259999999999998</v>
      </c>
      <c r="C44" s="42" t="s">
        <v>13</v>
      </c>
      <c r="L44" s="17"/>
      <c r="M44" s="17"/>
    </row>
    <row r="45" spans="1:13" x14ac:dyDescent="0.2">
      <c r="B45">
        <f>Summary!B6</f>
        <v>4.0259999999999998</v>
      </c>
      <c r="C45" s="42" t="s">
        <v>14</v>
      </c>
      <c r="I45" s="43">
        <f>I39+I41</f>
        <v>50607.499999999898</v>
      </c>
      <c r="J45" s="44"/>
      <c r="K45" s="44" t="s">
        <v>15</v>
      </c>
      <c r="L45" s="17"/>
      <c r="M45" s="17"/>
    </row>
    <row r="48" spans="1:13" x14ac:dyDescent="0.2">
      <c r="A48" s="45"/>
    </row>
    <row r="49" spans="1:3" x14ac:dyDescent="0.2">
      <c r="A49" s="45"/>
      <c r="C49" s="42"/>
    </row>
    <row r="50" spans="1:3" x14ac:dyDescent="0.2">
      <c r="A50" s="45"/>
    </row>
    <row r="51" spans="1:3" x14ac:dyDescent="0.2">
      <c r="A51" s="45"/>
    </row>
    <row r="52" spans="1:3" x14ac:dyDescent="0.2">
      <c r="A52" s="38"/>
    </row>
    <row r="53" spans="1:3" x14ac:dyDescent="0.2">
      <c r="A53" s="46"/>
    </row>
    <row r="54" spans="1:3" x14ac:dyDescent="0.2">
      <c r="A54" s="46"/>
    </row>
    <row r="55" spans="1:3" x14ac:dyDescent="0.2">
      <c r="A55" s="38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F56"/>
  <sheetViews>
    <sheetView zoomScale="95" workbookViewId="0">
      <pane xSplit="2" ySplit="3" topLeftCell="S4" activePane="bottomRight" state="frozenSplit"/>
      <selection pane="topRight" activeCell="C1" sqref="C1"/>
      <selection pane="bottomLeft" activeCell="A14" sqref="A14"/>
      <selection pane="bottomRight" activeCell="AF4" sqref="AF4"/>
    </sheetView>
  </sheetViews>
  <sheetFormatPr defaultRowHeight="12.75" x14ac:dyDescent="0.2"/>
  <cols>
    <col min="1" max="1" width="13.5703125" customWidth="1"/>
    <col min="2" max="2" width="0" hidden="1" customWidth="1"/>
    <col min="5" max="5" width="6" customWidth="1"/>
    <col min="7" max="7" width="6" customWidth="1"/>
    <col min="9" max="9" width="6" customWidth="1"/>
    <col min="11" max="11" width="6" customWidth="1"/>
    <col min="13" max="13" width="6" customWidth="1"/>
    <col min="15" max="15" width="6.28515625" customWidth="1"/>
    <col min="17" max="17" width="6" customWidth="1"/>
    <col min="19" max="19" width="6" customWidth="1"/>
    <col min="21" max="21" width="6" customWidth="1"/>
    <col min="23" max="23" width="6" customWidth="1"/>
    <col min="25" max="25" width="6" customWidth="1"/>
    <col min="27" max="27" width="6" customWidth="1"/>
    <col min="29" max="29" width="6" customWidth="1"/>
    <col min="31" max="31" width="6" customWidth="1"/>
    <col min="33" max="33" width="6" customWidth="1"/>
    <col min="35" max="35" width="6" customWidth="1"/>
    <col min="36" max="36" width="10" bestFit="1" customWidth="1"/>
    <col min="37" max="37" width="6" customWidth="1"/>
    <col min="39" max="39" width="6" customWidth="1"/>
    <col min="41" max="41" width="6" customWidth="1"/>
    <col min="43" max="43" width="6" customWidth="1"/>
    <col min="45" max="45" width="6" customWidth="1"/>
    <col min="47" max="47" width="6" customWidth="1"/>
  </cols>
  <sheetData>
    <row r="1" spans="1:47" x14ac:dyDescent="0.2">
      <c r="A1" s="52">
        <v>36770</v>
      </c>
      <c r="B1" s="53"/>
      <c r="C1" s="54" t="s">
        <v>16</v>
      </c>
      <c r="D1" s="54" t="s">
        <v>25</v>
      </c>
      <c r="E1" s="55"/>
      <c r="F1" s="54" t="s">
        <v>26</v>
      </c>
      <c r="G1" s="55"/>
      <c r="H1" s="54" t="s">
        <v>87</v>
      </c>
      <c r="I1" s="55"/>
      <c r="J1" s="54" t="s">
        <v>27</v>
      </c>
      <c r="K1" s="55"/>
      <c r="L1" s="54" t="s">
        <v>28</v>
      </c>
      <c r="M1" s="55"/>
      <c r="N1" s="56" t="s">
        <v>29</v>
      </c>
      <c r="O1" s="55"/>
      <c r="P1" s="54" t="s">
        <v>30</v>
      </c>
      <c r="Q1" s="55"/>
      <c r="R1" s="54" t="s">
        <v>31</v>
      </c>
      <c r="S1" s="55"/>
      <c r="T1" s="54" t="s">
        <v>32</v>
      </c>
      <c r="U1" s="55"/>
      <c r="V1" s="54" t="s">
        <v>112</v>
      </c>
      <c r="W1" s="55"/>
      <c r="X1" s="54" t="s">
        <v>113</v>
      </c>
      <c r="Y1" s="55"/>
      <c r="Z1" s="54" t="s">
        <v>33</v>
      </c>
      <c r="AA1" s="55"/>
      <c r="AB1" s="54">
        <v>500</v>
      </c>
      <c r="AC1" s="55"/>
      <c r="AD1" s="54">
        <v>800</v>
      </c>
      <c r="AE1" s="55"/>
      <c r="AF1" s="57" t="s">
        <v>34</v>
      </c>
      <c r="AG1" s="55"/>
      <c r="AH1" s="54" t="s">
        <v>35</v>
      </c>
      <c r="AI1" s="55"/>
      <c r="AJ1" s="54" t="s">
        <v>36</v>
      </c>
      <c r="AK1" s="55"/>
      <c r="AL1" s="54" t="s">
        <v>37</v>
      </c>
      <c r="AM1" s="55"/>
      <c r="AN1" s="54" t="s">
        <v>94</v>
      </c>
      <c r="AO1" s="55"/>
      <c r="AP1" s="54" t="s">
        <v>95</v>
      </c>
      <c r="AQ1" s="55"/>
      <c r="AR1" s="54" t="s">
        <v>96</v>
      </c>
      <c r="AS1" s="55"/>
      <c r="AT1" s="54" t="s">
        <v>97</v>
      </c>
      <c r="AU1" s="55"/>
    </row>
    <row r="2" spans="1:47" s="75" customFormat="1" x14ac:dyDescent="0.2">
      <c r="A2" s="74"/>
      <c r="C2" s="76"/>
      <c r="D2" s="76" t="s">
        <v>38</v>
      </c>
      <c r="E2" s="77"/>
      <c r="F2" s="76" t="s">
        <v>38</v>
      </c>
      <c r="G2" s="77"/>
      <c r="H2" s="76" t="s">
        <v>88</v>
      </c>
      <c r="I2" s="77"/>
      <c r="J2" s="76" t="s">
        <v>39</v>
      </c>
      <c r="K2" s="77"/>
      <c r="L2" s="76" t="s">
        <v>38</v>
      </c>
      <c r="M2" s="77"/>
      <c r="N2" s="76" t="s">
        <v>38</v>
      </c>
      <c r="O2" s="77"/>
      <c r="P2" s="76" t="s">
        <v>40</v>
      </c>
      <c r="Q2" s="77"/>
      <c r="R2" s="78"/>
      <c r="S2" s="77"/>
      <c r="T2" s="76"/>
      <c r="U2" s="77"/>
      <c r="V2" s="76"/>
      <c r="W2" s="77"/>
      <c r="X2" s="76"/>
      <c r="Y2" s="77"/>
      <c r="Z2" s="76"/>
      <c r="AA2" s="77"/>
      <c r="AB2" s="76"/>
      <c r="AC2" s="77"/>
      <c r="AD2" s="76"/>
      <c r="AE2" s="77"/>
      <c r="AF2" s="76"/>
      <c r="AG2" s="77"/>
      <c r="AH2" s="76"/>
      <c r="AI2" s="77"/>
      <c r="AJ2" s="76"/>
      <c r="AK2" s="77"/>
      <c r="AL2" s="76"/>
      <c r="AM2" s="77"/>
      <c r="AN2" s="76"/>
      <c r="AO2" s="77"/>
      <c r="AP2" s="76"/>
      <c r="AQ2" s="77"/>
      <c r="AR2" s="76"/>
      <c r="AS2" s="77"/>
      <c r="AT2" s="76"/>
      <c r="AU2" s="77"/>
    </row>
    <row r="3" spans="1:47" s="75" customFormat="1" x14ac:dyDescent="0.2">
      <c r="A3" s="74" t="s">
        <v>41</v>
      </c>
      <c r="B3" s="75" t="s">
        <v>42</v>
      </c>
      <c r="C3" s="76">
        <v>3.74</v>
      </c>
      <c r="D3" s="76"/>
      <c r="E3" s="77">
        <f t="shared" ref="E3:E34" si="0">IF(D3-$C3&lt;&gt;0,D3-$C3,"")</f>
        <v>-3.74</v>
      </c>
      <c r="F3" s="76"/>
      <c r="G3" s="77">
        <f t="shared" ref="G3:G34" si="1">IF(F3-$C3&lt;&gt;0,F3-$C3,"")</f>
        <v>-3.74</v>
      </c>
      <c r="H3" s="76"/>
      <c r="I3" s="77">
        <f t="shared" ref="I3:I34" si="2">IF(H3-$C3&lt;&gt;0,H3-$C3,"")</f>
        <v>-3.74</v>
      </c>
      <c r="J3" s="76"/>
      <c r="K3" s="77">
        <f t="shared" ref="K3:K34" si="3">IF(J3-$C3&lt;&gt;0,J3-$C3,"")</f>
        <v>-3.74</v>
      </c>
      <c r="L3" s="76"/>
      <c r="M3" s="77">
        <f t="shared" ref="M3:M34" si="4">IF(L3-$C3&lt;&gt;0,L3-$C3,"")</f>
        <v>-3.74</v>
      </c>
      <c r="N3" s="76"/>
      <c r="O3" s="77">
        <f t="shared" ref="O3:O34" si="5">IF(N3-$C3&lt;&gt;0,N3-$C3,"")</f>
        <v>-3.74</v>
      </c>
      <c r="P3" s="76"/>
      <c r="Q3" s="77">
        <f t="shared" ref="Q3:Q34" si="6">IF(P3-$C3&lt;&gt;0,P3-$C3,"")</f>
        <v>-3.74</v>
      </c>
      <c r="R3" s="121">
        <f>C3+0</f>
        <v>3.74</v>
      </c>
      <c r="S3" s="77" t="str">
        <f t="shared" ref="S3:S34" si="7">IF(R3-$C3&lt;&gt;0,R3-$C3,"")</f>
        <v/>
      </c>
      <c r="T3" s="76"/>
      <c r="U3" s="77">
        <f t="shared" ref="U3:U34" si="8">IF(T3-$C3&lt;&gt;0,T3-$C3,"")</f>
        <v>-3.74</v>
      </c>
      <c r="V3" s="76">
        <f>C3+0.03</f>
        <v>3.77</v>
      </c>
      <c r="W3" s="77">
        <f t="shared" ref="W3:W34" si="9">IF(V3-$C3&lt;&gt;0,V3-$C3,"")</f>
        <v>2.9999999999999805E-2</v>
      </c>
      <c r="X3" s="76"/>
      <c r="Y3" s="77">
        <f t="shared" ref="Y3:Y34" si="10">IF(X3-$C3&lt;&gt;0,X3-$C3,"")</f>
        <v>-3.74</v>
      </c>
      <c r="Z3" s="76"/>
      <c r="AA3" s="77">
        <f t="shared" ref="AA3:AA34" si="11">IF(Z3-$C3&lt;&gt;0,Z3-$C3,"")</f>
        <v>-3.74</v>
      </c>
      <c r="AB3" s="76"/>
      <c r="AC3" s="77">
        <f t="shared" ref="AC3:AC34" si="12">IF(AB3-$C3&lt;&gt;0,AB3-$C3,"")</f>
        <v>-3.74</v>
      </c>
      <c r="AD3" s="76"/>
      <c r="AE3" s="77">
        <f t="shared" ref="AE3:AE34" si="13">IF(AD3-$C3&lt;&gt;0,AD3-$C3,"")</f>
        <v>-3.74</v>
      </c>
      <c r="AF3" s="76">
        <f>C3+0.03</f>
        <v>3.77</v>
      </c>
      <c r="AG3" s="77">
        <f t="shared" ref="AG3:AG34" si="14">IF(AF3-$C3&lt;&gt;0,AF3-$C3,"")</f>
        <v>2.9999999999999805E-2</v>
      </c>
      <c r="AH3" s="76"/>
      <c r="AI3" s="77">
        <f t="shared" ref="AI3:AI34" si="15">IF(AH3-$C3&lt;&gt;0,AH3-$C3,"")</f>
        <v>-3.74</v>
      </c>
      <c r="AJ3" s="76"/>
      <c r="AK3" s="77">
        <f t="shared" ref="AK3:AK34" si="16">IF(AJ3-$C3&lt;&gt;0,AJ3-$C3,"")</f>
        <v>-3.74</v>
      </c>
      <c r="AL3" s="76"/>
      <c r="AM3" s="77">
        <f t="shared" ref="AM3:AO34" si="17">IF(AL3-$C3&lt;&gt;0,AL3-$C3,"")</f>
        <v>-3.74</v>
      </c>
      <c r="AN3" s="76"/>
      <c r="AO3" s="77">
        <f t="shared" si="17"/>
        <v>-3.74</v>
      </c>
      <c r="AP3" s="76"/>
      <c r="AQ3" s="77">
        <f t="shared" ref="AQ3:AQ34" si="18">IF(AP3-$C3&lt;&gt;0,AP3-$C3,"")</f>
        <v>-3.74</v>
      </c>
      <c r="AR3" s="76"/>
      <c r="AS3" s="77">
        <f t="shared" ref="AS3:AU34" si="19">IF(AR3-$C3&lt;&gt;0,AR3-$C3,"")</f>
        <v>-3.74</v>
      </c>
      <c r="AT3" s="76"/>
      <c r="AU3" s="77">
        <f t="shared" si="19"/>
        <v>-3.74</v>
      </c>
    </row>
    <row r="4" spans="1:47" s="118" customFormat="1" x14ac:dyDescent="0.2">
      <c r="A4" s="117" t="s">
        <v>43</v>
      </c>
      <c r="C4" s="119">
        <v>3.73</v>
      </c>
      <c r="D4" s="119"/>
      <c r="E4" s="120">
        <f t="shared" si="0"/>
        <v>-3.73</v>
      </c>
      <c r="F4" s="119"/>
      <c r="G4" s="120">
        <f t="shared" si="1"/>
        <v>-3.73</v>
      </c>
      <c r="H4" s="119"/>
      <c r="I4" s="120">
        <f t="shared" si="2"/>
        <v>-3.73</v>
      </c>
      <c r="J4" s="119"/>
      <c r="K4" s="120">
        <f t="shared" si="3"/>
        <v>-3.73</v>
      </c>
      <c r="L4" s="119"/>
      <c r="M4" s="120">
        <f t="shared" si="4"/>
        <v>-3.73</v>
      </c>
      <c r="N4" s="119"/>
      <c r="O4" s="120">
        <f t="shared" si="5"/>
        <v>-3.73</v>
      </c>
      <c r="P4" s="119"/>
      <c r="Q4" s="120">
        <f t="shared" si="6"/>
        <v>-3.73</v>
      </c>
      <c r="R4" s="122">
        <v>3.83</v>
      </c>
      <c r="S4" s="120">
        <f t="shared" si="7"/>
        <v>0.10000000000000009</v>
      </c>
      <c r="T4" s="119"/>
      <c r="U4" s="120">
        <f t="shared" si="8"/>
        <v>-3.73</v>
      </c>
      <c r="V4" s="76">
        <v>3.63</v>
      </c>
      <c r="W4" s="120">
        <f t="shared" si="9"/>
        <v>-0.10000000000000009</v>
      </c>
      <c r="X4" s="119"/>
      <c r="Y4" s="120">
        <f t="shared" si="10"/>
        <v>-3.73</v>
      </c>
      <c r="Z4" s="119"/>
      <c r="AA4" s="120">
        <f t="shared" si="11"/>
        <v>-3.73</v>
      </c>
      <c r="AB4" s="119"/>
      <c r="AC4" s="120">
        <f t="shared" si="12"/>
        <v>-3.73</v>
      </c>
      <c r="AD4" s="119"/>
      <c r="AE4" s="120">
        <f t="shared" si="13"/>
        <v>-3.73</v>
      </c>
      <c r="AF4" s="76">
        <v>3.83</v>
      </c>
      <c r="AG4" s="120">
        <f t="shared" si="14"/>
        <v>0.10000000000000009</v>
      </c>
      <c r="AH4" s="119"/>
      <c r="AI4" s="120">
        <f t="shared" si="15"/>
        <v>-3.73</v>
      </c>
      <c r="AJ4" s="119"/>
      <c r="AK4" s="120">
        <f t="shared" si="16"/>
        <v>-3.73</v>
      </c>
      <c r="AL4" s="119"/>
      <c r="AM4" s="120">
        <f t="shared" si="17"/>
        <v>-3.73</v>
      </c>
      <c r="AN4" s="119"/>
      <c r="AO4" s="120">
        <f t="shared" si="17"/>
        <v>-3.73</v>
      </c>
      <c r="AP4" s="119"/>
      <c r="AQ4" s="120">
        <f t="shared" si="18"/>
        <v>-3.73</v>
      </c>
      <c r="AR4" s="119"/>
      <c r="AS4" s="120">
        <f t="shared" si="19"/>
        <v>-3.73</v>
      </c>
      <c r="AT4" s="119"/>
      <c r="AU4" s="120">
        <f t="shared" si="19"/>
        <v>-3.73</v>
      </c>
    </row>
    <row r="5" spans="1:47" s="118" customFormat="1" x14ac:dyDescent="0.2">
      <c r="A5" s="117">
        <v>2</v>
      </c>
      <c r="B5" s="118" t="s">
        <v>45</v>
      </c>
      <c r="C5" s="119">
        <f>Summary!$D$2</f>
        <v>3.835</v>
      </c>
      <c r="D5" s="119"/>
      <c r="E5" s="120">
        <f t="shared" si="0"/>
        <v>-3.835</v>
      </c>
      <c r="F5" s="119"/>
      <c r="G5" s="120">
        <f t="shared" si="1"/>
        <v>-3.835</v>
      </c>
      <c r="H5" s="119"/>
      <c r="I5" s="120">
        <f t="shared" si="2"/>
        <v>-3.835</v>
      </c>
      <c r="J5" s="119"/>
      <c r="K5" s="120">
        <f t="shared" si="3"/>
        <v>-3.835</v>
      </c>
      <c r="L5" s="119"/>
      <c r="M5" s="120">
        <f t="shared" si="4"/>
        <v>-3.835</v>
      </c>
      <c r="N5" s="119"/>
      <c r="O5" s="120">
        <f t="shared" si="5"/>
        <v>-3.835</v>
      </c>
      <c r="P5" s="119"/>
      <c r="Q5" s="120">
        <f t="shared" si="6"/>
        <v>-3.835</v>
      </c>
      <c r="R5" s="122">
        <f t="shared" ref="R5:R33" si="20">C5+0.01</f>
        <v>3.8449999999999998</v>
      </c>
      <c r="S5" s="120">
        <f t="shared" si="7"/>
        <v>9.9999999999997868E-3</v>
      </c>
      <c r="T5" s="119"/>
      <c r="U5" s="120">
        <f t="shared" si="8"/>
        <v>-3.835</v>
      </c>
      <c r="V5" s="76">
        <f t="shared" ref="V5:V33" si="21">C5-0.08</f>
        <v>3.7549999999999999</v>
      </c>
      <c r="W5" s="120">
        <f t="shared" si="9"/>
        <v>-8.0000000000000071E-2</v>
      </c>
      <c r="X5" s="119"/>
      <c r="Y5" s="120">
        <f t="shared" si="10"/>
        <v>-3.835</v>
      </c>
      <c r="Z5" s="119"/>
      <c r="AA5" s="120">
        <f t="shared" si="11"/>
        <v>-3.835</v>
      </c>
      <c r="AB5" s="119"/>
      <c r="AC5" s="120">
        <f t="shared" si="12"/>
        <v>-3.835</v>
      </c>
      <c r="AD5" s="119"/>
      <c r="AE5" s="120">
        <f t="shared" si="13"/>
        <v>-3.835</v>
      </c>
      <c r="AF5" s="76">
        <f t="shared" ref="AF5:AF28" si="22">C5+0.04</f>
        <v>3.875</v>
      </c>
      <c r="AG5" s="120">
        <f t="shared" si="14"/>
        <v>4.0000000000000036E-2</v>
      </c>
      <c r="AH5" s="119"/>
      <c r="AI5" s="120">
        <f t="shared" si="15"/>
        <v>-3.835</v>
      </c>
      <c r="AJ5" s="119"/>
      <c r="AK5" s="120">
        <f t="shared" si="16"/>
        <v>-3.835</v>
      </c>
      <c r="AL5" s="119"/>
      <c r="AM5" s="120">
        <f t="shared" si="17"/>
        <v>-3.835</v>
      </c>
      <c r="AN5" s="119"/>
      <c r="AO5" s="120">
        <f t="shared" si="17"/>
        <v>-3.835</v>
      </c>
      <c r="AP5" s="119"/>
      <c r="AQ5" s="120">
        <f t="shared" si="18"/>
        <v>-3.835</v>
      </c>
      <c r="AR5" s="119"/>
      <c r="AS5" s="120">
        <f t="shared" si="19"/>
        <v>-3.835</v>
      </c>
      <c r="AT5" s="119"/>
      <c r="AU5" s="120">
        <f t="shared" si="19"/>
        <v>-3.835</v>
      </c>
    </row>
    <row r="6" spans="1:47" s="118" customFormat="1" x14ac:dyDescent="0.2">
      <c r="A6" s="117">
        <v>3</v>
      </c>
      <c r="B6" s="118" t="s">
        <v>45</v>
      </c>
      <c r="C6" s="119">
        <f>Summary!$D$2</f>
        <v>3.835</v>
      </c>
      <c r="D6" s="119"/>
      <c r="E6" s="120">
        <f t="shared" si="0"/>
        <v>-3.835</v>
      </c>
      <c r="F6" s="119"/>
      <c r="G6" s="120">
        <f t="shared" si="1"/>
        <v>-3.835</v>
      </c>
      <c r="H6" s="119"/>
      <c r="I6" s="120">
        <f t="shared" si="2"/>
        <v>-3.835</v>
      </c>
      <c r="J6" s="119"/>
      <c r="K6" s="120">
        <f t="shared" si="3"/>
        <v>-3.835</v>
      </c>
      <c r="L6" s="119"/>
      <c r="M6" s="120">
        <f t="shared" si="4"/>
        <v>-3.835</v>
      </c>
      <c r="N6" s="119"/>
      <c r="O6" s="120">
        <f t="shared" si="5"/>
        <v>-3.835</v>
      </c>
      <c r="P6" s="119"/>
      <c r="Q6" s="120">
        <f t="shared" si="6"/>
        <v>-3.835</v>
      </c>
      <c r="R6" s="122">
        <f t="shared" si="20"/>
        <v>3.8449999999999998</v>
      </c>
      <c r="S6" s="120">
        <f t="shared" si="7"/>
        <v>9.9999999999997868E-3</v>
      </c>
      <c r="T6" s="119"/>
      <c r="U6" s="120">
        <f t="shared" si="8"/>
        <v>-3.835</v>
      </c>
      <c r="V6" s="76">
        <f t="shared" si="21"/>
        <v>3.7549999999999999</v>
      </c>
      <c r="W6" s="120">
        <f t="shared" si="9"/>
        <v>-8.0000000000000071E-2</v>
      </c>
      <c r="X6" s="119"/>
      <c r="Y6" s="120">
        <f t="shared" si="10"/>
        <v>-3.835</v>
      </c>
      <c r="Z6" s="119"/>
      <c r="AA6" s="120">
        <f t="shared" si="11"/>
        <v>-3.835</v>
      </c>
      <c r="AB6" s="119"/>
      <c r="AC6" s="120">
        <f t="shared" si="12"/>
        <v>-3.835</v>
      </c>
      <c r="AD6" s="119"/>
      <c r="AE6" s="120">
        <f t="shared" si="13"/>
        <v>-3.835</v>
      </c>
      <c r="AF6" s="76">
        <f t="shared" si="22"/>
        <v>3.875</v>
      </c>
      <c r="AG6" s="120">
        <f t="shared" si="14"/>
        <v>4.0000000000000036E-2</v>
      </c>
      <c r="AH6" s="119"/>
      <c r="AI6" s="120">
        <f t="shared" si="15"/>
        <v>-3.835</v>
      </c>
      <c r="AJ6" s="119"/>
      <c r="AK6" s="120">
        <f t="shared" si="16"/>
        <v>-3.835</v>
      </c>
      <c r="AL6" s="119"/>
      <c r="AM6" s="120">
        <f t="shared" si="17"/>
        <v>-3.835</v>
      </c>
      <c r="AN6" s="119"/>
      <c r="AO6" s="120">
        <f t="shared" si="17"/>
        <v>-3.835</v>
      </c>
      <c r="AP6" s="119"/>
      <c r="AQ6" s="120">
        <f t="shared" si="18"/>
        <v>-3.835</v>
      </c>
      <c r="AR6" s="119"/>
      <c r="AS6" s="120">
        <f t="shared" si="19"/>
        <v>-3.835</v>
      </c>
      <c r="AT6" s="119"/>
      <c r="AU6" s="120">
        <f t="shared" si="19"/>
        <v>-3.835</v>
      </c>
    </row>
    <row r="7" spans="1:47" s="118" customFormat="1" x14ac:dyDescent="0.2">
      <c r="A7" s="117">
        <v>4</v>
      </c>
      <c r="B7" s="118" t="s">
        <v>45</v>
      </c>
      <c r="C7" s="119">
        <f>Summary!$D$2</f>
        <v>3.835</v>
      </c>
      <c r="D7" s="119"/>
      <c r="E7" s="120">
        <f t="shared" si="0"/>
        <v>-3.835</v>
      </c>
      <c r="F7" s="119"/>
      <c r="G7" s="120">
        <f t="shared" si="1"/>
        <v>-3.835</v>
      </c>
      <c r="H7" s="119"/>
      <c r="I7" s="120">
        <f t="shared" si="2"/>
        <v>-3.835</v>
      </c>
      <c r="J7" s="119"/>
      <c r="K7" s="120">
        <f t="shared" si="3"/>
        <v>-3.835</v>
      </c>
      <c r="L7" s="119"/>
      <c r="M7" s="120">
        <f t="shared" si="4"/>
        <v>-3.835</v>
      </c>
      <c r="N7" s="119"/>
      <c r="O7" s="120">
        <f t="shared" si="5"/>
        <v>-3.835</v>
      </c>
      <c r="P7" s="119"/>
      <c r="Q7" s="120">
        <f t="shared" si="6"/>
        <v>-3.835</v>
      </c>
      <c r="R7" s="122">
        <f t="shared" si="20"/>
        <v>3.8449999999999998</v>
      </c>
      <c r="S7" s="120">
        <f t="shared" si="7"/>
        <v>9.9999999999997868E-3</v>
      </c>
      <c r="T7" s="119"/>
      <c r="U7" s="120">
        <f t="shared" si="8"/>
        <v>-3.835</v>
      </c>
      <c r="V7" s="76">
        <f t="shared" si="21"/>
        <v>3.7549999999999999</v>
      </c>
      <c r="W7" s="120">
        <f t="shared" si="9"/>
        <v>-8.0000000000000071E-2</v>
      </c>
      <c r="X7" s="119"/>
      <c r="Y7" s="120">
        <f t="shared" si="10"/>
        <v>-3.835</v>
      </c>
      <c r="Z7" s="119"/>
      <c r="AA7" s="120">
        <f t="shared" si="11"/>
        <v>-3.835</v>
      </c>
      <c r="AB7" s="119"/>
      <c r="AC7" s="120">
        <f t="shared" si="12"/>
        <v>-3.835</v>
      </c>
      <c r="AD7" s="119"/>
      <c r="AE7" s="120">
        <f t="shared" si="13"/>
        <v>-3.835</v>
      </c>
      <c r="AF7" s="76">
        <f t="shared" si="22"/>
        <v>3.875</v>
      </c>
      <c r="AG7" s="120">
        <f t="shared" si="14"/>
        <v>4.0000000000000036E-2</v>
      </c>
      <c r="AH7" s="119"/>
      <c r="AI7" s="120">
        <f t="shared" si="15"/>
        <v>-3.835</v>
      </c>
      <c r="AJ7" s="119"/>
      <c r="AK7" s="120">
        <f t="shared" si="16"/>
        <v>-3.835</v>
      </c>
      <c r="AL7" s="119"/>
      <c r="AM7" s="120">
        <f t="shared" si="17"/>
        <v>-3.835</v>
      </c>
      <c r="AN7" s="119"/>
      <c r="AO7" s="120">
        <f t="shared" si="17"/>
        <v>-3.835</v>
      </c>
      <c r="AP7" s="119"/>
      <c r="AQ7" s="120">
        <f t="shared" si="18"/>
        <v>-3.835</v>
      </c>
      <c r="AR7" s="119"/>
      <c r="AS7" s="120">
        <f t="shared" si="19"/>
        <v>-3.835</v>
      </c>
      <c r="AT7" s="119"/>
      <c r="AU7" s="120">
        <f t="shared" si="19"/>
        <v>-3.835</v>
      </c>
    </row>
    <row r="8" spans="1:47" s="118" customFormat="1" x14ac:dyDescent="0.2">
      <c r="A8" s="117">
        <v>5</v>
      </c>
      <c r="B8" s="118" t="s">
        <v>45</v>
      </c>
      <c r="C8" s="119">
        <f>Summary!$D$2</f>
        <v>3.835</v>
      </c>
      <c r="D8" s="119"/>
      <c r="E8" s="120">
        <f t="shared" si="0"/>
        <v>-3.835</v>
      </c>
      <c r="F8" s="119"/>
      <c r="G8" s="120">
        <f t="shared" si="1"/>
        <v>-3.835</v>
      </c>
      <c r="H8" s="119"/>
      <c r="I8" s="120">
        <f t="shared" si="2"/>
        <v>-3.835</v>
      </c>
      <c r="J8" s="119"/>
      <c r="K8" s="120">
        <f t="shared" si="3"/>
        <v>-3.835</v>
      </c>
      <c r="L8" s="119"/>
      <c r="M8" s="120">
        <f t="shared" si="4"/>
        <v>-3.835</v>
      </c>
      <c r="N8" s="119"/>
      <c r="O8" s="120">
        <f t="shared" si="5"/>
        <v>-3.835</v>
      </c>
      <c r="P8" s="119"/>
      <c r="Q8" s="120">
        <f t="shared" si="6"/>
        <v>-3.835</v>
      </c>
      <c r="R8" s="122">
        <f t="shared" si="20"/>
        <v>3.8449999999999998</v>
      </c>
      <c r="S8" s="120">
        <f t="shared" si="7"/>
        <v>9.9999999999997868E-3</v>
      </c>
      <c r="T8" s="119"/>
      <c r="U8" s="120">
        <f t="shared" si="8"/>
        <v>-3.835</v>
      </c>
      <c r="V8" s="76">
        <f t="shared" si="21"/>
        <v>3.7549999999999999</v>
      </c>
      <c r="W8" s="120">
        <f t="shared" si="9"/>
        <v>-8.0000000000000071E-2</v>
      </c>
      <c r="X8" s="119"/>
      <c r="Y8" s="120">
        <f t="shared" si="10"/>
        <v>-3.835</v>
      </c>
      <c r="Z8" s="119"/>
      <c r="AA8" s="120">
        <f t="shared" si="11"/>
        <v>-3.835</v>
      </c>
      <c r="AB8" s="119"/>
      <c r="AC8" s="120">
        <f t="shared" si="12"/>
        <v>-3.835</v>
      </c>
      <c r="AD8" s="119"/>
      <c r="AE8" s="120">
        <f t="shared" si="13"/>
        <v>-3.835</v>
      </c>
      <c r="AF8" s="76">
        <f t="shared" si="22"/>
        <v>3.875</v>
      </c>
      <c r="AG8" s="120">
        <f t="shared" si="14"/>
        <v>4.0000000000000036E-2</v>
      </c>
      <c r="AH8" s="119"/>
      <c r="AI8" s="120">
        <f t="shared" si="15"/>
        <v>-3.835</v>
      </c>
      <c r="AJ8" s="119"/>
      <c r="AK8" s="120">
        <f t="shared" si="16"/>
        <v>-3.835</v>
      </c>
      <c r="AL8" s="119"/>
      <c r="AM8" s="120">
        <f t="shared" si="17"/>
        <v>-3.835</v>
      </c>
      <c r="AN8" s="119"/>
      <c r="AO8" s="120">
        <f t="shared" si="17"/>
        <v>-3.835</v>
      </c>
      <c r="AP8" s="119"/>
      <c r="AQ8" s="120">
        <f t="shared" si="18"/>
        <v>-3.835</v>
      </c>
      <c r="AR8" s="119"/>
      <c r="AS8" s="120">
        <f t="shared" si="19"/>
        <v>-3.835</v>
      </c>
      <c r="AT8" s="119"/>
      <c r="AU8" s="120">
        <f t="shared" si="19"/>
        <v>-3.835</v>
      </c>
    </row>
    <row r="9" spans="1:47" s="118" customFormat="1" x14ac:dyDescent="0.2">
      <c r="A9" s="117">
        <v>6</v>
      </c>
      <c r="B9" s="118" t="s">
        <v>45</v>
      </c>
      <c r="C9" s="119">
        <f>Summary!$D$2</f>
        <v>3.835</v>
      </c>
      <c r="D9" s="119"/>
      <c r="E9" s="120">
        <f t="shared" si="0"/>
        <v>-3.835</v>
      </c>
      <c r="F9" s="119"/>
      <c r="G9" s="120">
        <f t="shared" si="1"/>
        <v>-3.835</v>
      </c>
      <c r="H9" s="119"/>
      <c r="I9" s="120">
        <f t="shared" si="2"/>
        <v>-3.835</v>
      </c>
      <c r="J9" s="119"/>
      <c r="K9" s="120">
        <f t="shared" si="3"/>
        <v>-3.835</v>
      </c>
      <c r="L9" s="119"/>
      <c r="M9" s="120">
        <f t="shared" si="4"/>
        <v>-3.835</v>
      </c>
      <c r="N9" s="119"/>
      <c r="O9" s="120">
        <f t="shared" si="5"/>
        <v>-3.835</v>
      </c>
      <c r="P9" s="119"/>
      <c r="Q9" s="120">
        <f t="shared" si="6"/>
        <v>-3.835</v>
      </c>
      <c r="R9" s="122">
        <f t="shared" si="20"/>
        <v>3.8449999999999998</v>
      </c>
      <c r="S9" s="120">
        <f t="shared" si="7"/>
        <v>9.9999999999997868E-3</v>
      </c>
      <c r="T9" s="119"/>
      <c r="U9" s="120">
        <f t="shared" si="8"/>
        <v>-3.835</v>
      </c>
      <c r="V9" s="76">
        <f t="shared" si="21"/>
        <v>3.7549999999999999</v>
      </c>
      <c r="W9" s="120">
        <f t="shared" si="9"/>
        <v>-8.0000000000000071E-2</v>
      </c>
      <c r="X9" s="119"/>
      <c r="Y9" s="120">
        <f t="shared" si="10"/>
        <v>-3.835</v>
      </c>
      <c r="Z9" s="119"/>
      <c r="AA9" s="120">
        <f t="shared" si="11"/>
        <v>-3.835</v>
      </c>
      <c r="AB9" s="119"/>
      <c r="AC9" s="120">
        <f t="shared" si="12"/>
        <v>-3.835</v>
      </c>
      <c r="AD9" s="119"/>
      <c r="AE9" s="120">
        <f t="shared" si="13"/>
        <v>-3.835</v>
      </c>
      <c r="AF9" s="76">
        <f t="shared" si="22"/>
        <v>3.875</v>
      </c>
      <c r="AG9" s="120">
        <f t="shared" si="14"/>
        <v>4.0000000000000036E-2</v>
      </c>
      <c r="AH9" s="119"/>
      <c r="AI9" s="120">
        <f t="shared" si="15"/>
        <v>-3.835</v>
      </c>
      <c r="AJ9" s="119"/>
      <c r="AK9" s="120">
        <f t="shared" si="16"/>
        <v>-3.835</v>
      </c>
      <c r="AL9" s="119"/>
      <c r="AM9" s="120">
        <f t="shared" si="17"/>
        <v>-3.835</v>
      </c>
      <c r="AN9" s="119"/>
      <c r="AO9" s="120">
        <f t="shared" si="17"/>
        <v>-3.835</v>
      </c>
      <c r="AP9" s="119"/>
      <c r="AQ9" s="120">
        <f t="shared" si="18"/>
        <v>-3.835</v>
      </c>
      <c r="AR9" s="119"/>
      <c r="AS9" s="120">
        <f t="shared" si="19"/>
        <v>-3.835</v>
      </c>
      <c r="AT9" s="119"/>
      <c r="AU9" s="120">
        <f t="shared" si="19"/>
        <v>-3.835</v>
      </c>
    </row>
    <row r="10" spans="1:47" s="118" customFormat="1" x14ac:dyDescent="0.2">
      <c r="A10" s="117">
        <v>7</v>
      </c>
      <c r="B10" s="118" t="s">
        <v>45</v>
      </c>
      <c r="C10" s="119">
        <f>Summary!$D$2</f>
        <v>3.835</v>
      </c>
      <c r="D10" s="119"/>
      <c r="E10" s="120">
        <f t="shared" si="0"/>
        <v>-3.835</v>
      </c>
      <c r="F10" s="119"/>
      <c r="G10" s="120">
        <f t="shared" si="1"/>
        <v>-3.835</v>
      </c>
      <c r="H10" s="119"/>
      <c r="I10" s="120">
        <f t="shared" si="2"/>
        <v>-3.835</v>
      </c>
      <c r="J10" s="119"/>
      <c r="K10" s="120">
        <f t="shared" si="3"/>
        <v>-3.835</v>
      </c>
      <c r="L10" s="119"/>
      <c r="M10" s="120">
        <f t="shared" si="4"/>
        <v>-3.835</v>
      </c>
      <c r="N10" s="119"/>
      <c r="O10" s="120">
        <f t="shared" si="5"/>
        <v>-3.835</v>
      </c>
      <c r="P10" s="119"/>
      <c r="Q10" s="120">
        <f t="shared" si="6"/>
        <v>-3.835</v>
      </c>
      <c r="R10" s="122">
        <f t="shared" si="20"/>
        <v>3.8449999999999998</v>
      </c>
      <c r="S10" s="120">
        <f t="shared" si="7"/>
        <v>9.9999999999997868E-3</v>
      </c>
      <c r="T10" s="119"/>
      <c r="U10" s="120">
        <f t="shared" si="8"/>
        <v>-3.835</v>
      </c>
      <c r="V10" s="76">
        <f t="shared" si="21"/>
        <v>3.7549999999999999</v>
      </c>
      <c r="W10" s="120">
        <f t="shared" si="9"/>
        <v>-8.0000000000000071E-2</v>
      </c>
      <c r="X10" s="119"/>
      <c r="Y10" s="120">
        <f t="shared" si="10"/>
        <v>-3.835</v>
      </c>
      <c r="Z10" s="119"/>
      <c r="AA10" s="120">
        <f t="shared" si="11"/>
        <v>-3.835</v>
      </c>
      <c r="AB10" s="119"/>
      <c r="AC10" s="120">
        <f t="shared" si="12"/>
        <v>-3.835</v>
      </c>
      <c r="AD10" s="119"/>
      <c r="AE10" s="120">
        <f t="shared" si="13"/>
        <v>-3.835</v>
      </c>
      <c r="AF10" s="76">
        <f t="shared" si="22"/>
        <v>3.875</v>
      </c>
      <c r="AG10" s="120">
        <f t="shared" si="14"/>
        <v>4.0000000000000036E-2</v>
      </c>
      <c r="AH10" s="119"/>
      <c r="AI10" s="120">
        <f t="shared" si="15"/>
        <v>-3.835</v>
      </c>
      <c r="AJ10" s="119"/>
      <c r="AK10" s="120">
        <f t="shared" si="16"/>
        <v>-3.835</v>
      </c>
      <c r="AL10" s="119"/>
      <c r="AM10" s="120">
        <f t="shared" si="17"/>
        <v>-3.835</v>
      </c>
      <c r="AN10" s="119"/>
      <c r="AO10" s="120">
        <f t="shared" si="17"/>
        <v>-3.835</v>
      </c>
      <c r="AP10" s="119"/>
      <c r="AQ10" s="120">
        <f t="shared" si="18"/>
        <v>-3.835</v>
      </c>
      <c r="AR10" s="119"/>
      <c r="AS10" s="120">
        <f t="shared" si="19"/>
        <v>-3.835</v>
      </c>
      <c r="AT10" s="119"/>
      <c r="AU10" s="120">
        <f t="shared" si="19"/>
        <v>-3.835</v>
      </c>
    </row>
    <row r="11" spans="1:47" s="118" customFormat="1" x14ac:dyDescent="0.2">
      <c r="A11" s="117">
        <v>8</v>
      </c>
      <c r="B11" s="118" t="s">
        <v>45</v>
      </c>
      <c r="C11" s="119">
        <f>Summary!$D$2</f>
        <v>3.835</v>
      </c>
      <c r="D11" s="119"/>
      <c r="E11" s="120">
        <f t="shared" si="0"/>
        <v>-3.835</v>
      </c>
      <c r="F11" s="119"/>
      <c r="G11" s="120">
        <f t="shared" si="1"/>
        <v>-3.835</v>
      </c>
      <c r="H11" s="119"/>
      <c r="I11" s="120">
        <f t="shared" si="2"/>
        <v>-3.835</v>
      </c>
      <c r="J11" s="119"/>
      <c r="K11" s="120">
        <f t="shared" si="3"/>
        <v>-3.835</v>
      </c>
      <c r="L11" s="119"/>
      <c r="M11" s="120">
        <f t="shared" si="4"/>
        <v>-3.835</v>
      </c>
      <c r="N11" s="119"/>
      <c r="O11" s="120">
        <f t="shared" si="5"/>
        <v>-3.835</v>
      </c>
      <c r="P11" s="119"/>
      <c r="Q11" s="120">
        <f t="shared" si="6"/>
        <v>-3.835</v>
      </c>
      <c r="R11" s="122">
        <f t="shared" si="20"/>
        <v>3.8449999999999998</v>
      </c>
      <c r="S11" s="120">
        <f t="shared" si="7"/>
        <v>9.9999999999997868E-3</v>
      </c>
      <c r="T11" s="119"/>
      <c r="U11" s="120">
        <f t="shared" si="8"/>
        <v>-3.835</v>
      </c>
      <c r="V11" s="76">
        <f t="shared" si="21"/>
        <v>3.7549999999999999</v>
      </c>
      <c r="W11" s="120">
        <f t="shared" si="9"/>
        <v>-8.0000000000000071E-2</v>
      </c>
      <c r="X11" s="119"/>
      <c r="Y11" s="120">
        <f t="shared" si="10"/>
        <v>-3.835</v>
      </c>
      <c r="Z11" s="119"/>
      <c r="AA11" s="120">
        <f t="shared" si="11"/>
        <v>-3.835</v>
      </c>
      <c r="AB11" s="119"/>
      <c r="AC11" s="120">
        <f t="shared" si="12"/>
        <v>-3.835</v>
      </c>
      <c r="AD11" s="119"/>
      <c r="AE11" s="120">
        <f t="shared" si="13"/>
        <v>-3.835</v>
      </c>
      <c r="AF11" s="76">
        <f t="shared" si="22"/>
        <v>3.875</v>
      </c>
      <c r="AG11" s="120">
        <f t="shared" si="14"/>
        <v>4.0000000000000036E-2</v>
      </c>
      <c r="AH11" s="119"/>
      <c r="AI11" s="120">
        <f t="shared" si="15"/>
        <v>-3.835</v>
      </c>
      <c r="AJ11" s="119"/>
      <c r="AK11" s="120">
        <f t="shared" si="16"/>
        <v>-3.835</v>
      </c>
      <c r="AL11" s="119"/>
      <c r="AM11" s="120">
        <f t="shared" si="17"/>
        <v>-3.835</v>
      </c>
      <c r="AN11" s="119"/>
      <c r="AO11" s="120">
        <f t="shared" si="17"/>
        <v>-3.835</v>
      </c>
      <c r="AP11" s="119"/>
      <c r="AQ11" s="120">
        <f t="shared" si="18"/>
        <v>-3.835</v>
      </c>
      <c r="AR11" s="119"/>
      <c r="AS11" s="120">
        <f t="shared" si="19"/>
        <v>-3.835</v>
      </c>
      <c r="AT11" s="119"/>
      <c r="AU11" s="120">
        <f t="shared" si="19"/>
        <v>-3.835</v>
      </c>
    </row>
    <row r="12" spans="1:47" s="118" customFormat="1" x14ac:dyDescent="0.2">
      <c r="A12" s="117">
        <v>9</v>
      </c>
      <c r="B12" s="118" t="s">
        <v>45</v>
      </c>
      <c r="C12" s="119">
        <f>Summary!$D$2</f>
        <v>3.835</v>
      </c>
      <c r="D12" s="119"/>
      <c r="E12" s="120">
        <f t="shared" si="0"/>
        <v>-3.835</v>
      </c>
      <c r="F12" s="119"/>
      <c r="G12" s="120">
        <f t="shared" si="1"/>
        <v>-3.835</v>
      </c>
      <c r="H12" s="119"/>
      <c r="I12" s="120">
        <f t="shared" si="2"/>
        <v>-3.835</v>
      </c>
      <c r="J12" s="119"/>
      <c r="K12" s="120">
        <f t="shared" si="3"/>
        <v>-3.835</v>
      </c>
      <c r="L12" s="119"/>
      <c r="M12" s="120">
        <f t="shared" si="4"/>
        <v>-3.835</v>
      </c>
      <c r="N12" s="119"/>
      <c r="O12" s="120">
        <f t="shared" si="5"/>
        <v>-3.835</v>
      </c>
      <c r="P12" s="119"/>
      <c r="Q12" s="120">
        <f t="shared" si="6"/>
        <v>-3.835</v>
      </c>
      <c r="R12" s="122">
        <f t="shared" si="20"/>
        <v>3.8449999999999998</v>
      </c>
      <c r="S12" s="120">
        <f t="shared" si="7"/>
        <v>9.9999999999997868E-3</v>
      </c>
      <c r="T12" s="119"/>
      <c r="U12" s="120">
        <f t="shared" si="8"/>
        <v>-3.835</v>
      </c>
      <c r="V12" s="76">
        <f t="shared" si="21"/>
        <v>3.7549999999999999</v>
      </c>
      <c r="W12" s="120">
        <f t="shared" si="9"/>
        <v>-8.0000000000000071E-2</v>
      </c>
      <c r="X12" s="119"/>
      <c r="Y12" s="120">
        <f t="shared" si="10"/>
        <v>-3.835</v>
      </c>
      <c r="Z12" s="119"/>
      <c r="AA12" s="120">
        <f t="shared" si="11"/>
        <v>-3.835</v>
      </c>
      <c r="AB12" s="119"/>
      <c r="AC12" s="120">
        <f t="shared" si="12"/>
        <v>-3.835</v>
      </c>
      <c r="AD12" s="119"/>
      <c r="AE12" s="120">
        <f t="shared" si="13"/>
        <v>-3.835</v>
      </c>
      <c r="AF12" s="76">
        <f t="shared" si="22"/>
        <v>3.875</v>
      </c>
      <c r="AG12" s="120">
        <f t="shared" si="14"/>
        <v>4.0000000000000036E-2</v>
      </c>
      <c r="AH12" s="119"/>
      <c r="AI12" s="120">
        <f t="shared" si="15"/>
        <v>-3.835</v>
      </c>
      <c r="AJ12" s="119"/>
      <c r="AK12" s="120">
        <f t="shared" si="16"/>
        <v>-3.835</v>
      </c>
      <c r="AL12" s="119"/>
      <c r="AM12" s="120">
        <f t="shared" si="17"/>
        <v>-3.835</v>
      </c>
      <c r="AN12" s="119"/>
      <c r="AO12" s="120">
        <f t="shared" si="17"/>
        <v>-3.835</v>
      </c>
      <c r="AP12" s="119"/>
      <c r="AQ12" s="120">
        <f t="shared" si="18"/>
        <v>-3.835</v>
      </c>
      <c r="AR12" s="119"/>
      <c r="AS12" s="120">
        <f t="shared" si="19"/>
        <v>-3.835</v>
      </c>
      <c r="AT12" s="119"/>
      <c r="AU12" s="120">
        <f t="shared" si="19"/>
        <v>-3.835</v>
      </c>
    </row>
    <row r="13" spans="1:47" s="118" customFormat="1" x14ac:dyDescent="0.2">
      <c r="A13" s="117">
        <v>10</v>
      </c>
      <c r="B13" s="118" t="s">
        <v>45</v>
      </c>
      <c r="C13" s="119">
        <f>Summary!$D$2</f>
        <v>3.835</v>
      </c>
      <c r="D13" s="119"/>
      <c r="E13" s="120">
        <f t="shared" si="0"/>
        <v>-3.835</v>
      </c>
      <c r="F13" s="119"/>
      <c r="G13" s="120">
        <f t="shared" si="1"/>
        <v>-3.835</v>
      </c>
      <c r="H13" s="119"/>
      <c r="I13" s="120">
        <f t="shared" si="2"/>
        <v>-3.835</v>
      </c>
      <c r="J13" s="119"/>
      <c r="K13" s="120">
        <f t="shared" si="3"/>
        <v>-3.835</v>
      </c>
      <c r="L13" s="119"/>
      <c r="M13" s="120">
        <f t="shared" si="4"/>
        <v>-3.835</v>
      </c>
      <c r="N13" s="119"/>
      <c r="O13" s="120">
        <f t="shared" si="5"/>
        <v>-3.835</v>
      </c>
      <c r="P13" s="119"/>
      <c r="Q13" s="120">
        <f t="shared" si="6"/>
        <v>-3.835</v>
      </c>
      <c r="R13" s="122">
        <f t="shared" si="20"/>
        <v>3.8449999999999998</v>
      </c>
      <c r="S13" s="120">
        <f t="shared" si="7"/>
        <v>9.9999999999997868E-3</v>
      </c>
      <c r="T13" s="119"/>
      <c r="U13" s="120">
        <f t="shared" si="8"/>
        <v>-3.835</v>
      </c>
      <c r="V13" s="76">
        <f t="shared" si="21"/>
        <v>3.7549999999999999</v>
      </c>
      <c r="W13" s="120">
        <f t="shared" si="9"/>
        <v>-8.0000000000000071E-2</v>
      </c>
      <c r="X13" s="119"/>
      <c r="Y13" s="120">
        <f t="shared" si="10"/>
        <v>-3.835</v>
      </c>
      <c r="Z13" s="119"/>
      <c r="AA13" s="120">
        <f t="shared" si="11"/>
        <v>-3.835</v>
      </c>
      <c r="AB13" s="119"/>
      <c r="AC13" s="120">
        <f t="shared" si="12"/>
        <v>-3.835</v>
      </c>
      <c r="AD13" s="119"/>
      <c r="AE13" s="120">
        <f t="shared" si="13"/>
        <v>-3.835</v>
      </c>
      <c r="AF13" s="76">
        <f t="shared" si="22"/>
        <v>3.875</v>
      </c>
      <c r="AG13" s="120">
        <f t="shared" si="14"/>
        <v>4.0000000000000036E-2</v>
      </c>
      <c r="AH13" s="119"/>
      <c r="AI13" s="120">
        <f t="shared" si="15"/>
        <v>-3.835</v>
      </c>
      <c r="AJ13" s="119"/>
      <c r="AK13" s="120">
        <f t="shared" si="16"/>
        <v>-3.835</v>
      </c>
      <c r="AL13" s="119"/>
      <c r="AM13" s="120">
        <f t="shared" si="17"/>
        <v>-3.835</v>
      </c>
      <c r="AN13" s="119"/>
      <c r="AO13" s="120">
        <f t="shared" si="17"/>
        <v>-3.835</v>
      </c>
      <c r="AP13" s="119"/>
      <c r="AQ13" s="120">
        <f t="shared" si="18"/>
        <v>-3.835</v>
      </c>
      <c r="AR13" s="119"/>
      <c r="AS13" s="120">
        <f t="shared" si="19"/>
        <v>-3.835</v>
      </c>
      <c r="AT13" s="119"/>
      <c r="AU13" s="120">
        <f t="shared" si="19"/>
        <v>-3.835</v>
      </c>
    </row>
    <row r="14" spans="1:47" s="118" customFormat="1" x14ac:dyDescent="0.2">
      <c r="A14" s="117">
        <v>11</v>
      </c>
      <c r="B14" s="118" t="s">
        <v>45</v>
      </c>
      <c r="C14" s="119">
        <f>Summary!$D$2</f>
        <v>3.835</v>
      </c>
      <c r="D14" s="119"/>
      <c r="E14" s="120">
        <f t="shared" si="0"/>
        <v>-3.835</v>
      </c>
      <c r="F14" s="119"/>
      <c r="G14" s="120">
        <f t="shared" si="1"/>
        <v>-3.835</v>
      </c>
      <c r="H14" s="119"/>
      <c r="I14" s="120">
        <f t="shared" si="2"/>
        <v>-3.835</v>
      </c>
      <c r="J14" s="119"/>
      <c r="K14" s="120">
        <f t="shared" si="3"/>
        <v>-3.835</v>
      </c>
      <c r="L14" s="119"/>
      <c r="M14" s="120">
        <f t="shared" si="4"/>
        <v>-3.835</v>
      </c>
      <c r="N14" s="119"/>
      <c r="O14" s="120">
        <f t="shared" si="5"/>
        <v>-3.835</v>
      </c>
      <c r="P14" s="119"/>
      <c r="Q14" s="120">
        <f t="shared" si="6"/>
        <v>-3.835</v>
      </c>
      <c r="R14" s="122">
        <f t="shared" si="20"/>
        <v>3.8449999999999998</v>
      </c>
      <c r="S14" s="120">
        <f t="shared" si="7"/>
        <v>9.9999999999997868E-3</v>
      </c>
      <c r="T14" s="119"/>
      <c r="U14" s="120">
        <f t="shared" si="8"/>
        <v>-3.835</v>
      </c>
      <c r="V14" s="76">
        <f t="shared" si="21"/>
        <v>3.7549999999999999</v>
      </c>
      <c r="W14" s="120">
        <f t="shared" si="9"/>
        <v>-8.0000000000000071E-2</v>
      </c>
      <c r="X14" s="119"/>
      <c r="Y14" s="120">
        <f t="shared" si="10"/>
        <v>-3.835</v>
      </c>
      <c r="Z14" s="119"/>
      <c r="AA14" s="120">
        <f t="shared" si="11"/>
        <v>-3.835</v>
      </c>
      <c r="AB14" s="119"/>
      <c r="AC14" s="120">
        <f t="shared" si="12"/>
        <v>-3.835</v>
      </c>
      <c r="AD14" s="119"/>
      <c r="AE14" s="120">
        <f t="shared" si="13"/>
        <v>-3.835</v>
      </c>
      <c r="AF14" s="76">
        <f t="shared" si="22"/>
        <v>3.875</v>
      </c>
      <c r="AG14" s="120">
        <f t="shared" si="14"/>
        <v>4.0000000000000036E-2</v>
      </c>
      <c r="AH14" s="119"/>
      <c r="AI14" s="120">
        <f t="shared" si="15"/>
        <v>-3.835</v>
      </c>
      <c r="AJ14" s="119"/>
      <c r="AK14" s="120">
        <f t="shared" si="16"/>
        <v>-3.835</v>
      </c>
      <c r="AL14" s="119"/>
      <c r="AM14" s="120">
        <f t="shared" si="17"/>
        <v>-3.835</v>
      </c>
      <c r="AN14" s="119"/>
      <c r="AO14" s="120">
        <f t="shared" si="17"/>
        <v>-3.835</v>
      </c>
      <c r="AP14" s="119"/>
      <c r="AQ14" s="120">
        <f t="shared" si="18"/>
        <v>-3.835</v>
      </c>
      <c r="AR14" s="119"/>
      <c r="AS14" s="120">
        <f t="shared" si="19"/>
        <v>-3.835</v>
      </c>
      <c r="AT14" s="119"/>
      <c r="AU14" s="120">
        <f t="shared" si="19"/>
        <v>-3.835</v>
      </c>
    </row>
    <row r="15" spans="1:47" s="118" customFormat="1" x14ac:dyDescent="0.2">
      <c r="A15" s="117">
        <v>12</v>
      </c>
      <c r="B15" s="118" t="s">
        <v>45</v>
      </c>
      <c r="C15" s="119">
        <f>Summary!$D$2</f>
        <v>3.835</v>
      </c>
      <c r="D15" s="119"/>
      <c r="E15" s="120">
        <f t="shared" si="0"/>
        <v>-3.835</v>
      </c>
      <c r="F15" s="119"/>
      <c r="G15" s="120">
        <f t="shared" si="1"/>
        <v>-3.835</v>
      </c>
      <c r="H15" s="119"/>
      <c r="I15" s="120">
        <f t="shared" si="2"/>
        <v>-3.835</v>
      </c>
      <c r="J15" s="119"/>
      <c r="K15" s="120">
        <f t="shared" si="3"/>
        <v>-3.835</v>
      </c>
      <c r="L15" s="119"/>
      <c r="M15" s="120">
        <f t="shared" si="4"/>
        <v>-3.835</v>
      </c>
      <c r="N15" s="119"/>
      <c r="O15" s="120">
        <f t="shared" si="5"/>
        <v>-3.835</v>
      </c>
      <c r="P15" s="119"/>
      <c r="Q15" s="120">
        <f t="shared" si="6"/>
        <v>-3.835</v>
      </c>
      <c r="R15" s="122">
        <f t="shared" si="20"/>
        <v>3.8449999999999998</v>
      </c>
      <c r="S15" s="120">
        <f t="shared" si="7"/>
        <v>9.9999999999997868E-3</v>
      </c>
      <c r="T15" s="119"/>
      <c r="U15" s="120">
        <f t="shared" si="8"/>
        <v>-3.835</v>
      </c>
      <c r="V15" s="76">
        <f t="shared" si="21"/>
        <v>3.7549999999999999</v>
      </c>
      <c r="W15" s="120">
        <f t="shared" si="9"/>
        <v>-8.0000000000000071E-2</v>
      </c>
      <c r="X15" s="119"/>
      <c r="Y15" s="120">
        <f t="shared" si="10"/>
        <v>-3.835</v>
      </c>
      <c r="Z15" s="119"/>
      <c r="AA15" s="120">
        <f t="shared" si="11"/>
        <v>-3.835</v>
      </c>
      <c r="AB15" s="119"/>
      <c r="AC15" s="120">
        <f t="shared" si="12"/>
        <v>-3.835</v>
      </c>
      <c r="AD15" s="119"/>
      <c r="AE15" s="120">
        <f t="shared" si="13"/>
        <v>-3.835</v>
      </c>
      <c r="AF15" s="76">
        <f t="shared" si="22"/>
        <v>3.875</v>
      </c>
      <c r="AG15" s="120">
        <f t="shared" si="14"/>
        <v>4.0000000000000036E-2</v>
      </c>
      <c r="AH15" s="119"/>
      <c r="AI15" s="120">
        <f t="shared" si="15"/>
        <v>-3.835</v>
      </c>
      <c r="AJ15" s="119"/>
      <c r="AK15" s="120">
        <f t="shared" si="16"/>
        <v>-3.835</v>
      </c>
      <c r="AL15" s="119"/>
      <c r="AM15" s="120">
        <f t="shared" si="17"/>
        <v>-3.835</v>
      </c>
      <c r="AN15" s="119"/>
      <c r="AO15" s="120">
        <f t="shared" si="17"/>
        <v>-3.835</v>
      </c>
      <c r="AP15" s="119"/>
      <c r="AQ15" s="120">
        <f t="shared" si="18"/>
        <v>-3.835</v>
      </c>
      <c r="AR15" s="119"/>
      <c r="AS15" s="120">
        <f t="shared" si="19"/>
        <v>-3.835</v>
      </c>
      <c r="AT15" s="119"/>
      <c r="AU15" s="120">
        <f t="shared" si="19"/>
        <v>-3.835</v>
      </c>
    </row>
    <row r="16" spans="1:47" s="118" customFormat="1" x14ac:dyDescent="0.2">
      <c r="A16" s="117">
        <v>13</v>
      </c>
      <c r="B16" s="118" t="s">
        <v>45</v>
      </c>
      <c r="C16" s="119">
        <f>Summary!$D$2</f>
        <v>3.835</v>
      </c>
      <c r="D16" s="119"/>
      <c r="E16" s="120">
        <f t="shared" si="0"/>
        <v>-3.835</v>
      </c>
      <c r="F16" s="119"/>
      <c r="G16" s="120">
        <f t="shared" si="1"/>
        <v>-3.835</v>
      </c>
      <c r="H16" s="119"/>
      <c r="I16" s="120">
        <f t="shared" si="2"/>
        <v>-3.835</v>
      </c>
      <c r="J16" s="119"/>
      <c r="K16" s="120">
        <f t="shared" si="3"/>
        <v>-3.835</v>
      </c>
      <c r="L16" s="119"/>
      <c r="M16" s="120">
        <f t="shared" si="4"/>
        <v>-3.835</v>
      </c>
      <c r="N16" s="119"/>
      <c r="O16" s="120">
        <f t="shared" si="5"/>
        <v>-3.835</v>
      </c>
      <c r="P16" s="119"/>
      <c r="Q16" s="120">
        <f t="shared" si="6"/>
        <v>-3.835</v>
      </c>
      <c r="R16" s="122">
        <f t="shared" si="20"/>
        <v>3.8449999999999998</v>
      </c>
      <c r="S16" s="120">
        <f t="shared" si="7"/>
        <v>9.9999999999997868E-3</v>
      </c>
      <c r="T16" s="119"/>
      <c r="U16" s="120">
        <f t="shared" si="8"/>
        <v>-3.835</v>
      </c>
      <c r="V16" s="76">
        <f t="shared" si="21"/>
        <v>3.7549999999999999</v>
      </c>
      <c r="W16" s="120">
        <f t="shared" si="9"/>
        <v>-8.0000000000000071E-2</v>
      </c>
      <c r="X16" s="119"/>
      <c r="Y16" s="120">
        <f t="shared" si="10"/>
        <v>-3.835</v>
      </c>
      <c r="Z16" s="119"/>
      <c r="AA16" s="120">
        <f t="shared" si="11"/>
        <v>-3.835</v>
      </c>
      <c r="AB16" s="119"/>
      <c r="AC16" s="120">
        <f t="shared" si="12"/>
        <v>-3.835</v>
      </c>
      <c r="AD16" s="119"/>
      <c r="AE16" s="120">
        <f t="shared" si="13"/>
        <v>-3.835</v>
      </c>
      <c r="AF16" s="76">
        <f t="shared" si="22"/>
        <v>3.875</v>
      </c>
      <c r="AG16" s="120">
        <f t="shared" si="14"/>
        <v>4.0000000000000036E-2</v>
      </c>
      <c r="AH16" s="119"/>
      <c r="AI16" s="120">
        <f t="shared" si="15"/>
        <v>-3.835</v>
      </c>
      <c r="AJ16" s="119"/>
      <c r="AK16" s="120">
        <f t="shared" si="16"/>
        <v>-3.835</v>
      </c>
      <c r="AL16" s="119"/>
      <c r="AM16" s="120">
        <f t="shared" si="17"/>
        <v>-3.835</v>
      </c>
      <c r="AN16" s="119"/>
      <c r="AO16" s="120">
        <f t="shared" si="17"/>
        <v>-3.835</v>
      </c>
      <c r="AP16" s="119"/>
      <c r="AQ16" s="120">
        <f t="shared" si="18"/>
        <v>-3.835</v>
      </c>
      <c r="AR16" s="119"/>
      <c r="AS16" s="120">
        <f t="shared" si="19"/>
        <v>-3.835</v>
      </c>
      <c r="AT16" s="119"/>
      <c r="AU16" s="120">
        <f t="shared" si="19"/>
        <v>-3.835</v>
      </c>
    </row>
    <row r="17" spans="1:47" s="118" customFormat="1" x14ac:dyDescent="0.2">
      <c r="A17" s="117">
        <v>14</v>
      </c>
      <c r="B17" s="118" t="s">
        <v>45</v>
      </c>
      <c r="C17" s="119">
        <f>Summary!$D$2</f>
        <v>3.835</v>
      </c>
      <c r="D17" s="119"/>
      <c r="E17" s="120">
        <f t="shared" si="0"/>
        <v>-3.835</v>
      </c>
      <c r="F17" s="119"/>
      <c r="G17" s="120">
        <f t="shared" si="1"/>
        <v>-3.835</v>
      </c>
      <c r="H17" s="119"/>
      <c r="I17" s="120">
        <f t="shared" si="2"/>
        <v>-3.835</v>
      </c>
      <c r="J17" s="119"/>
      <c r="K17" s="120">
        <f t="shared" si="3"/>
        <v>-3.835</v>
      </c>
      <c r="L17" s="119"/>
      <c r="M17" s="120">
        <f t="shared" si="4"/>
        <v>-3.835</v>
      </c>
      <c r="N17" s="119"/>
      <c r="O17" s="120">
        <f t="shared" si="5"/>
        <v>-3.835</v>
      </c>
      <c r="P17" s="119"/>
      <c r="Q17" s="120">
        <f t="shared" si="6"/>
        <v>-3.835</v>
      </c>
      <c r="R17" s="122">
        <f t="shared" si="20"/>
        <v>3.8449999999999998</v>
      </c>
      <c r="S17" s="120">
        <f t="shared" si="7"/>
        <v>9.9999999999997868E-3</v>
      </c>
      <c r="T17" s="119"/>
      <c r="U17" s="120">
        <f t="shared" si="8"/>
        <v>-3.835</v>
      </c>
      <c r="V17" s="76">
        <f t="shared" si="21"/>
        <v>3.7549999999999999</v>
      </c>
      <c r="W17" s="120">
        <f t="shared" si="9"/>
        <v>-8.0000000000000071E-2</v>
      </c>
      <c r="X17" s="119"/>
      <c r="Y17" s="120">
        <f t="shared" si="10"/>
        <v>-3.835</v>
      </c>
      <c r="Z17" s="119"/>
      <c r="AA17" s="120">
        <f t="shared" si="11"/>
        <v>-3.835</v>
      </c>
      <c r="AB17" s="119"/>
      <c r="AC17" s="120">
        <f t="shared" si="12"/>
        <v>-3.835</v>
      </c>
      <c r="AD17" s="119"/>
      <c r="AE17" s="120">
        <f t="shared" si="13"/>
        <v>-3.835</v>
      </c>
      <c r="AF17" s="76">
        <f t="shared" si="22"/>
        <v>3.875</v>
      </c>
      <c r="AG17" s="120">
        <f t="shared" si="14"/>
        <v>4.0000000000000036E-2</v>
      </c>
      <c r="AH17" s="119"/>
      <c r="AI17" s="120">
        <f t="shared" si="15"/>
        <v>-3.835</v>
      </c>
      <c r="AJ17" s="119"/>
      <c r="AK17" s="120">
        <f t="shared" si="16"/>
        <v>-3.835</v>
      </c>
      <c r="AL17" s="119"/>
      <c r="AM17" s="120">
        <f t="shared" si="17"/>
        <v>-3.835</v>
      </c>
      <c r="AN17" s="119"/>
      <c r="AO17" s="120">
        <f t="shared" si="17"/>
        <v>-3.835</v>
      </c>
      <c r="AP17" s="119"/>
      <c r="AQ17" s="120">
        <f t="shared" si="18"/>
        <v>-3.835</v>
      </c>
      <c r="AR17" s="119"/>
      <c r="AS17" s="120">
        <f t="shared" si="19"/>
        <v>-3.835</v>
      </c>
      <c r="AT17" s="119"/>
      <c r="AU17" s="120">
        <f t="shared" si="19"/>
        <v>-3.835</v>
      </c>
    </row>
    <row r="18" spans="1:47" s="118" customFormat="1" x14ac:dyDescent="0.2">
      <c r="A18" s="117">
        <v>15</v>
      </c>
      <c r="B18" s="118" t="s">
        <v>45</v>
      </c>
      <c r="C18" s="119">
        <f>Summary!$D$2</f>
        <v>3.835</v>
      </c>
      <c r="D18" s="119"/>
      <c r="E18" s="120">
        <f t="shared" si="0"/>
        <v>-3.835</v>
      </c>
      <c r="F18" s="119"/>
      <c r="G18" s="120">
        <f t="shared" si="1"/>
        <v>-3.835</v>
      </c>
      <c r="H18" s="119"/>
      <c r="I18" s="120">
        <f t="shared" si="2"/>
        <v>-3.835</v>
      </c>
      <c r="J18" s="119"/>
      <c r="K18" s="120">
        <f t="shared" si="3"/>
        <v>-3.835</v>
      </c>
      <c r="L18" s="119"/>
      <c r="M18" s="120">
        <f t="shared" si="4"/>
        <v>-3.835</v>
      </c>
      <c r="N18" s="119"/>
      <c r="O18" s="120">
        <f t="shared" si="5"/>
        <v>-3.835</v>
      </c>
      <c r="P18" s="119"/>
      <c r="Q18" s="120">
        <f t="shared" si="6"/>
        <v>-3.835</v>
      </c>
      <c r="R18" s="122">
        <f t="shared" si="20"/>
        <v>3.8449999999999998</v>
      </c>
      <c r="S18" s="120">
        <f t="shared" si="7"/>
        <v>9.9999999999997868E-3</v>
      </c>
      <c r="T18" s="119"/>
      <c r="U18" s="120">
        <f t="shared" si="8"/>
        <v>-3.835</v>
      </c>
      <c r="V18" s="76">
        <f t="shared" si="21"/>
        <v>3.7549999999999999</v>
      </c>
      <c r="W18" s="120">
        <f t="shared" si="9"/>
        <v>-8.0000000000000071E-2</v>
      </c>
      <c r="X18" s="119"/>
      <c r="Y18" s="120">
        <f t="shared" si="10"/>
        <v>-3.835</v>
      </c>
      <c r="Z18" s="119"/>
      <c r="AA18" s="120">
        <f t="shared" si="11"/>
        <v>-3.835</v>
      </c>
      <c r="AB18" s="119"/>
      <c r="AC18" s="120">
        <f t="shared" si="12"/>
        <v>-3.835</v>
      </c>
      <c r="AD18" s="119"/>
      <c r="AE18" s="120">
        <f t="shared" si="13"/>
        <v>-3.835</v>
      </c>
      <c r="AF18" s="76">
        <f t="shared" si="22"/>
        <v>3.875</v>
      </c>
      <c r="AG18" s="120">
        <f t="shared" si="14"/>
        <v>4.0000000000000036E-2</v>
      </c>
      <c r="AH18" s="119"/>
      <c r="AI18" s="120">
        <f t="shared" si="15"/>
        <v>-3.835</v>
      </c>
      <c r="AJ18" s="119"/>
      <c r="AK18" s="120">
        <f t="shared" si="16"/>
        <v>-3.835</v>
      </c>
      <c r="AL18" s="119"/>
      <c r="AM18" s="120">
        <f t="shared" si="17"/>
        <v>-3.835</v>
      </c>
      <c r="AN18" s="119"/>
      <c r="AO18" s="120">
        <f t="shared" si="17"/>
        <v>-3.835</v>
      </c>
      <c r="AP18" s="119"/>
      <c r="AQ18" s="120">
        <f t="shared" si="18"/>
        <v>-3.835</v>
      </c>
      <c r="AR18" s="119"/>
      <c r="AS18" s="120">
        <f t="shared" si="19"/>
        <v>-3.835</v>
      </c>
      <c r="AT18" s="119"/>
      <c r="AU18" s="120">
        <f t="shared" si="19"/>
        <v>-3.835</v>
      </c>
    </row>
    <row r="19" spans="1:47" s="118" customFormat="1" x14ac:dyDescent="0.2">
      <c r="A19" s="117">
        <v>16</v>
      </c>
      <c r="B19" s="118" t="s">
        <v>45</v>
      </c>
      <c r="C19" s="119">
        <f>Summary!$D$2</f>
        <v>3.835</v>
      </c>
      <c r="D19" s="119"/>
      <c r="E19" s="120">
        <f t="shared" si="0"/>
        <v>-3.835</v>
      </c>
      <c r="F19" s="119"/>
      <c r="G19" s="120">
        <f t="shared" si="1"/>
        <v>-3.835</v>
      </c>
      <c r="H19" s="119"/>
      <c r="I19" s="120">
        <f t="shared" si="2"/>
        <v>-3.835</v>
      </c>
      <c r="J19" s="119"/>
      <c r="K19" s="120">
        <f t="shared" si="3"/>
        <v>-3.835</v>
      </c>
      <c r="L19" s="119"/>
      <c r="M19" s="120">
        <f t="shared" si="4"/>
        <v>-3.835</v>
      </c>
      <c r="N19" s="119"/>
      <c r="O19" s="120">
        <f t="shared" si="5"/>
        <v>-3.835</v>
      </c>
      <c r="P19" s="119"/>
      <c r="Q19" s="120">
        <f t="shared" si="6"/>
        <v>-3.835</v>
      </c>
      <c r="R19" s="122">
        <f t="shared" si="20"/>
        <v>3.8449999999999998</v>
      </c>
      <c r="S19" s="120">
        <f t="shared" si="7"/>
        <v>9.9999999999997868E-3</v>
      </c>
      <c r="T19" s="119"/>
      <c r="U19" s="120">
        <f t="shared" si="8"/>
        <v>-3.835</v>
      </c>
      <c r="V19" s="76">
        <f t="shared" si="21"/>
        <v>3.7549999999999999</v>
      </c>
      <c r="W19" s="120">
        <f t="shared" si="9"/>
        <v>-8.0000000000000071E-2</v>
      </c>
      <c r="X19" s="119"/>
      <c r="Y19" s="120">
        <f t="shared" si="10"/>
        <v>-3.835</v>
      </c>
      <c r="Z19" s="119"/>
      <c r="AA19" s="120">
        <f t="shared" si="11"/>
        <v>-3.835</v>
      </c>
      <c r="AB19" s="119"/>
      <c r="AC19" s="120">
        <f t="shared" si="12"/>
        <v>-3.835</v>
      </c>
      <c r="AD19" s="119"/>
      <c r="AE19" s="120">
        <f t="shared" si="13"/>
        <v>-3.835</v>
      </c>
      <c r="AF19" s="76">
        <f t="shared" si="22"/>
        <v>3.875</v>
      </c>
      <c r="AG19" s="120">
        <f t="shared" si="14"/>
        <v>4.0000000000000036E-2</v>
      </c>
      <c r="AH19" s="119"/>
      <c r="AI19" s="120">
        <f t="shared" si="15"/>
        <v>-3.835</v>
      </c>
      <c r="AJ19" s="119"/>
      <c r="AK19" s="120">
        <f t="shared" si="16"/>
        <v>-3.835</v>
      </c>
      <c r="AL19" s="119"/>
      <c r="AM19" s="120">
        <f t="shared" si="17"/>
        <v>-3.835</v>
      </c>
      <c r="AN19" s="119"/>
      <c r="AO19" s="120">
        <f t="shared" si="17"/>
        <v>-3.835</v>
      </c>
      <c r="AP19" s="119"/>
      <c r="AQ19" s="120">
        <f t="shared" si="18"/>
        <v>-3.835</v>
      </c>
      <c r="AR19" s="119"/>
      <c r="AS19" s="120">
        <f t="shared" si="19"/>
        <v>-3.835</v>
      </c>
      <c r="AT19" s="119"/>
      <c r="AU19" s="120">
        <f t="shared" si="19"/>
        <v>-3.835</v>
      </c>
    </row>
    <row r="20" spans="1:47" s="75" customFormat="1" x14ac:dyDescent="0.2">
      <c r="A20" s="74">
        <v>17</v>
      </c>
      <c r="B20" s="75" t="s">
        <v>45</v>
      </c>
      <c r="C20" s="119">
        <f>Summary!$D$2</f>
        <v>3.835</v>
      </c>
      <c r="D20" s="76"/>
      <c r="E20" s="77">
        <f t="shared" si="0"/>
        <v>-3.835</v>
      </c>
      <c r="F20" s="76"/>
      <c r="G20" s="77">
        <f t="shared" si="1"/>
        <v>-3.835</v>
      </c>
      <c r="H20" s="76"/>
      <c r="I20" s="77">
        <f t="shared" si="2"/>
        <v>-3.835</v>
      </c>
      <c r="J20" s="76"/>
      <c r="K20" s="77">
        <f t="shared" si="3"/>
        <v>-3.835</v>
      </c>
      <c r="L20" s="76"/>
      <c r="M20" s="77">
        <f t="shared" si="4"/>
        <v>-3.835</v>
      </c>
      <c r="N20" s="76"/>
      <c r="O20" s="77">
        <f t="shared" si="5"/>
        <v>-3.835</v>
      </c>
      <c r="P20" s="76"/>
      <c r="Q20" s="77">
        <f t="shared" si="6"/>
        <v>-3.835</v>
      </c>
      <c r="R20" s="122">
        <f t="shared" si="20"/>
        <v>3.8449999999999998</v>
      </c>
      <c r="S20" s="77">
        <f t="shared" si="7"/>
        <v>9.9999999999997868E-3</v>
      </c>
      <c r="T20" s="76"/>
      <c r="U20" s="77">
        <f t="shared" si="8"/>
        <v>-3.835</v>
      </c>
      <c r="V20" s="76">
        <f t="shared" si="21"/>
        <v>3.7549999999999999</v>
      </c>
      <c r="W20" s="77">
        <f t="shared" si="9"/>
        <v>-8.0000000000000071E-2</v>
      </c>
      <c r="X20" s="76"/>
      <c r="Y20" s="77">
        <f t="shared" si="10"/>
        <v>-3.835</v>
      </c>
      <c r="Z20" s="76"/>
      <c r="AA20" s="77">
        <f t="shared" si="11"/>
        <v>-3.835</v>
      </c>
      <c r="AB20" s="76"/>
      <c r="AC20" s="77">
        <f t="shared" si="12"/>
        <v>-3.835</v>
      </c>
      <c r="AD20" s="76"/>
      <c r="AE20" s="77">
        <f t="shared" si="13"/>
        <v>-3.835</v>
      </c>
      <c r="AF20" s="76">
        <f t="shared" si="22"/>
        <v>3.875</v>
      </c>
      <c r="AG20" s="77">
        <f t="shared" si="14"/>
        <v>4.0000000000000036E-2</v>
      </c>
      <c r="AH20" s="76"/>
      <c r="AI20" s="77">
        <f t="shared" si="15"/>
        <v>-3.835</v>
      </c>
      <c r="AJ20" s="76"/>
      <c r="AK20" s="77">
        <f t="shared" si="16"/>
        <v>-3.835</v>
      </c>
      <c r="AL20" s="76"/>
      <c r="AM20" s="77">
        <f t="shared" si="17"/>
        <v>-3.835</v>
      </c>
      <c r="AN20" s="76"/>
      <c r="AO20" s="77">
        <f t="shared" si="17"/>
        <v>-3.835</v>
      </c>
      <c r="AP20" s="76"/>
      <c r="AQ20" s="77">
        <f t="shared" si="18"/>
        <v>-3.835</v>
      </c>
      <c r="AR20" s="76"/>
      <c r="AS20" s="77">
        <f t="shared" si="19"/>
        <v>-3.835</v>
      </c>
      <c r="AT20" s="76"/>
      <c r="AU20" s="77">
        <f t="shared" si="19"/>
        <v>-3.835</v>
      </c>
    </row>
    <row r="21" spans="1:47" s="118" customFormat="1" x14ac:dyDescent="0.2">
      <c r="A21" s="117">
        <v>18</v>
      </c>
      <c r="B21" s="118" t="s">
        <v>45</v>
      </c>
      <c r="C21" s="119">
        <f>Summary!$D$2</f>
        <v>3.835</v>
      </c>
      <c r="D21" s="119"/>
      <c r="E21" s="120">
        <f t="shared" si="0"/>
        <v>-3.835</v>
      </c>
      <c r="F21" s="119"/>
      <c r="G21" s="120">
        <f t="shared" si="1"/>
        <v>-3.835</v>
      </c>
      <c r="H21" s="119"/>
      <c r="I21" s="120">
        <f t="shared" si="2"/>
        <v>-3.835</v>
      </c>
      <c r="J21" s="119"/>
      <c r="K21" s="120">
        <f t="shared" si="3"/>
        <v>-3.835</v>
      </c>
      <c r="L21" s="119"/>
      <c r="M21" s="120">
        <f t="shared" si="4"/>
        <v>-3.835</v>
      </c>
      <c r="N21" s="119"/>
      <c r="O21" s="120">
        <f t="shared" si="5"/>
        <v>-3.835</v>
      </c>
      <c r="P21" s="119"/>
      <c r="Q21" s="120">
        <f t="shared" si="6"/>
        <v>-3.835</v>
      </c>
      <c r="R21" s="122">
        <f t="shared" si="20"/>
        <v>3.8449999999999998</v>
      </c>
      <c r="S21" s="120">
        <f t="shared" si="7"/>
        <v>9.9999999999997868E-3</v>
      </c>
      <c r="T21" s="119"/>
      <c r="U21" s="120">
        <f t="shared" si="8"/>
        <v>-3.835</v>
      </c>
      <c r="V21" s="76">
        <f t="shared" si="21"/>
        <v>3.7549999999999999</v>
      </c>
      <c r="W21" s="120">
        <f t="shared" si="9"/>
        <v>-8.0000000000000071E-2</v>
      </c>
      <c r="X21" s="119"/>
      <c r="Y21" s="120">
        <f t="shared" si="10"/>
        <v>-3.835</v>
      </c>
      <c r="Z21" s="119"/>
      <c r="AA21" s="120">
        <f t="shared" si="11"/>
        <v>-3.835</v>
      </c>
      <c r="AB21" s="119"/>
      <c r="AC21" s="120">
        <f t="shared" si="12"/>
        <v>-3.835</v>
      </c>
      <c r="AD21" s="119"/>
      <c r="AE21" s="120">
        <f t="shared" si="13"/>
        <v>-3.835</v>
      </c>
      <c r="AF21" s="76">
        <f t="shared" si="22"/>
        <v>3.875</v>
      </c>
      <c r="AG21" s="120">
        <f t="shared" si="14"/>
        <v>4.0000000000000036E-2</v>
      </c>
      <c r="AH21" s="119"/>
      <c r="AI21" s="120">
        <f t="shared" si="15"/>
        <v>-3.835</v>
      </c>
      <c r="AJ21" s="119"/>
      <c r="AK21" s="120">
        <f t="shared" si="16"/>
        <v>-3.835</v>
      </c>
      <c r="AL21" s="119"/>
      <c r="AM21" s="120">
        <f t="shared" si="17"/>
        <v>-3.835</v>
      </c>
      <c r="AN21" s="119"/>
      <c r="AO21" s="120">
        <f t="shared" si="17"/>
        <v>-3.835</v>
      </c>
      <c r="AP21" s="119"/>
      <c r="AQ21" s="120">
        <f t="shared" si="18"/>
        <v>-3.835</v>
      </c>
      <c r="AR21" s="119"/>
      <c r="AS21" s="120">
        <f t="shared" si="19"/>
        <v>-3.835</v>
      </c>
      <c r="AT21" s="119"/>
      <c r="AU21" s="120">
        <f t="shared" si="19"/>
        <v>-3.835</v>
      </c>
    </row>
    <row r="22" spans="1:47" s="118" customFormat="1" x14ac:dyDescent="0.2">
      <c r="A22" s="117">
        <v>19</v>
      </c>
      <c r="B22" s="118" t="s">
        <v>45</v>
      </c>
      <c r="C22" s="119">
        <f>Summary!$D$2</f>
        <v>3.835</v>
      </c>
      <c r="D22" s="119"/>
      <c r="E22" s="120">
        <f t="shared" si="0"/>
        <v>-3.835</v>
      </c>
      <c r="F22" s="119"/>
      <c r="G22" s="120">
        <f t="shared" si="1"/>
        <v>-3.835</v>
      </c>
      <c r="H22" s="119"/>
      <c r="I22" s="120">
        <f t="shared" si="2"/>
        <v>-3.835</v>
      </c>
      <c r="J22" s="119"/>
      <c r="K22" s="120">
        <f t="shared" si="3"/>
        <v>-3.835</v>
      </c>
      <c r="L22" s="119"/>
      <c r="M22" s="120">
        <f t="shared" si="4"/>
        <v>-3.835</v>
      </c>
      <c r="N22" s="119"/>
      <c r="O22" s="120">
        <f t="shared" si="5"/>
        <v>-3.835</v>
      </c>
      <c r="P22" s="119"/>
      <c r="Q22" s="120">
        <f t="shared" si="6"/>
        <v>-3.835</v>
      </c>
      <c r="R22" s="122">
        <f t="shared" si="20"/>
        <v>3.8449999999999998</v>
      </c>
      <c r="S22" s="120">
        <f t="shared" si="7"/>
        <v>9.9999999999997868E-3</v>
      </c>
      <c r="T22" s="119"/>
      <c r="U22" s="120">
        <f t="shared" si="8"/>
        <v>-3.835</v>
      </c>
      <c r="V22" s="76">
        <f t="shared" si="21"/>
        <v>3.7549999999999999</v>
      </c>
      <c r="W22" s="120">
        <f t="shared" si="9"/>
        <v>-8.0000000000000071E-2</v>
      </c>
      <c r="X22" s="119"/>
      <c r="Y22" s="120">
        <f t="shared" si="10"/>
        <v>-3.835</v>
      </c>
      <c r="Z22" s="119"/>
      <c r="AA22" s="120">
        <f t="shared" si="11"/>
        <v>-3.835</v>
      </c>
      <c r="AB22" s="119"/>
      <c r="AC22" s="120">
        <f t="shared" si="12"/>
        <v>-3.835</v>
      </c>
      <c r="AD22" s="119"/>
      <c r="AE22" s="120">
        <f t="shared" si="13"/>
        <v>-3.835</v>
      </c>
      <c r="AF22" s="76">
        <f t="shared" si="22"/>
        <v>3.875</v>
      </c>
      <c r="AG22" s="120">
        <f t="shared" si="14"/>
        <v>4.0000000000000036E-2</v>
      </c>
      <c r="AH22" s="119"/>
      <c r="AI22" s="120">
        <f t="shared" si="15"/>
        <v>-3.835</v>
      </c>
      <c r="AJ22" s="119"/>
      <c r="AK22" s="120">
        <f t="shared" si="16"/>
        <v>-3.835</v>
      </c>
      <c r="AL22" s="119"/>
      <c r="AM22" s="120">
        <f t="shared" si="17"/>
        <v>-3.835</v>
      </c>
      <c r="AN22" s="119"/>
      <c r="AO22" s="120">
        <f t="shared" si="17"/>
        <v>-3.835</v>
      </c>
      <c r="AP22" s="119"/>
      <c r="AQ22" s="120">
        <f t="shared" si="18"/>
        <v>-3.835</v>
      </c>
      <c r="AR22" s="119"/>
      <c r="AS22" s="120">
        <f t="shared" si="19"/>
        <v>-3.835</v>
      </c>
      <c r="AT22" s="119"/>
      <c r="AU22" s="120">
        <f t="shared" si="19"/>
        <v>-3.835</v>
      </c>
    </row>
    <row r="23" spans="1:47" s="118" customFormat="1" x14ac:dyDescent="0.2">
      <c r="A23" s="117">
        <v>20</v>
      </c>
      <c r="B23" s="118" t="s">
        <v>45</v>
      </c>
      <c r="C23" s="119">
        <f>Summary!$D$2</f>
        <v>3.835</v>
      </c>
      <c r="D23" s="119"/>
      <c r="E23" s="120">
        <f t="shared" si="0"/>
        <v>-3.835</v>
      </c>
      <c r="F23" s="119"/>
      <c r="G23" s="120">
        <f t="shared" si="1"/>
        <v>-3.835</v>
      </c>
      <c r="H23" s="119"/>
      <c r="I23" s="120">
        <f t="shared" si="2"/>
        <v>-3.835</v>
      </c>
      <c r="J23" s="119"/>
      <c r="K23" s="120">
        <f t="shared" si="3"/>
        <v>-3.835</v>
      </c>
      <c r="L23" s="119"/>
      <c r="M23" s="120">
        <f t="shared" si="4"/>
        <v>-3.835</v>
      </c>
      <c r="N23" s="119"/>
      <c r="O23" s="120">
        <f t="shared" si="5"/>
        <v>-3.835</v>
      </c>
      <c r="P23" s="119"/>
      <c r="Q23" s="120">
        <f t="shared" si="6"/>
        <v>-3.835</v>
      </c>
      <c r="R23" s="122">
        <f t="shared" si="20"/>
        <v>3.8449999999999998</v>
      </c>
      <c r="S23" s="120">
        <f t="shared" si="7"/>
        <v>9.9999999999997868E-3</v>
      </c>
      <c r="T23" s="119"/>
      <c r="U23" s="120">
        <f t="shared" si="8"/>
        <v>-3.835</v>
      </c>
      <c r="V23" s="76">
        <f t="shared" si="21"/>
        <v>3.7549999999999999</v>
      </c>
      <c r="W23" s="120">
        <f t="shared" si="9"/>
        <v>-8.0000000000000071E-2</v>
      </c>
      <c r="X23" s="119"/>
      <c r="Y23" s="120">
        <f t="shared" si="10"/>
        <v>-3.835</v>
      </c>
      <c r="Z23" s="119"/>
      <c r="AA23" s="120">
        <f t="shared" si="11"/>
        <v>-3.835</v>
      </c>
      <c r="AB23" s="119"/>
      <c r="AC23" s="120">
        <f t="shared" si="12"/>
        <v>-3.835</v>
      </c>
      <c r="AD23" s="119"/>
      <c r="AE23" s="120">
        <f t="shared" si="13"/>
        <v>-3.835</v>
      </c>
      <c r="AF23" s="76">
        <f t="shared" si="22"/>
        <v>3.875</v>
      </c>
      <c r="AG23" s="120">
        <f t="shared" si="14"/>
        <v>4.0000000000000036E-2</v>
      </c>
      <c r="AH23" s="119"/>
      <c r="AI23" s="120">
        <f t="shared" si="15"/>
        <v>-3.835</v>
      </c>
      <c r="AJ23" s="119"/>
      <c r="AK23" s="120">
        <f t="shared" si="16"/>
        <v>-3.835</v>
      </c>
      <c r="AL23" s="119"/>
      <c r="AM23" s="120">
        <f t="shared" si="17"/>
        <v>-3.835</v>
      </c>
      <c r="AN23" s="119"/>
      <c r="AO23" s="120">
        <f t="shared" si="17"/>
        <v>-3.835</v>
      </c>
      <c r="AP23" s="119"/>
      <c r="AQ23" s="120">
        <f t="shared" si="18"/>
        <v>-3.835</v>
      </c>
      <c r="AR23" s="119"/>
      <c r="AS23" s="120">
        <f t="shared" si="19"/>
        <v>-3.835</v>
      </c>
      <c r="AT23" s="119"/>
      <c r="AU23" s="120">
        <f t="shared" si="19"/>
        <v>-3.835</v>
      </c>
    </row>
    <row r="24" spans="1:47" s="118" customFormat="1" x14ac:dyDescent="0.2">
      <c r="A24" s="117">
        <v>21</v>
      </c>
      <c r="B24" s="118" t="s">
        <v>45</v>
      </c>
      <c r="C24" s="119">
        <f>Summary!$D$2</f>
        <v>3.835</v>
      </c>
      <c r="D24" s="119"/>
      <c r="E24" s="120">
        <f t="shared" si="0"/>
        <v>-3.835</v>
      </c>
      <c r="F24" s="119"/>
      <c r="G24" s="120">
        <f t="shared" si="1"/>
        <v>-3.835</v>
      </c>
      <c r="H24" s="119"/>
      <c r="I24" s="120">
        <f t="shared" si="2"/>
        <v>-3.835</v>
      </c>
      <c r="J24" s="119"/>
      <c r="K24" s="120">
        <f t="shared" si="3"/>
        <v>-3.835</v>
      </c>
      <c r="L24" s="119"/>
      <c r="M24" s="120">
        <f t="shared" si="4"/>
        <v>-3.835</v>
      </c>
      <c r="N24" s="119"/>
      <c r="O24" s="120">
        <f t="shared" si="5"/>
        <v>-3.835</v>
      </c>
      <c r="P24" s="119"/>
      <c r="Q24" s="120">
        <f t="shared" si="6"/>
        <v>-3.835</v>
      </c>
      <c r="R24" s="122">
        <f t="shared" si="20"/>
        <v>3.8449999999999998</v>
      </c>
      <c r="S24" s="120">
        <f t="shared" si="7"/>
        <v>9.9999999999997868E-3</v>
      </c>
      <c r="T24" s="119"/>
      <c r="U24" s="120">
        <f t="shared" si="8"/>
        <v>-3.835</v>
      </c>
      <c r="V24" s="76">
        <f t="shared" si="21"/>
        <v>3.7549999999999999</v>
      </c>
      <c r="W24" s="120">
        <f t="shared" si="9"/>
        <v>-8.0000000000000071E-2</v>
      </c>
      <c r="X24" s="119"/>
      <c r="Y24" s="120">
        <f t="shared" si="10"/>
        <v>-3.835</v>
      </c>
      <c r="Z24" s="119"/>
      <c r="AA24" s="120">
        <f t="shared" si="11"/>
        <v>-3.835</v>
      </c>
      <c r="AB24" s="119"/>
      <c r="AC24" s="120">
        <f t="shared" si="12"/>
        <v>-3.835</v>
      </c>
      <c r="AD24" s="119"/>
      <c r="AE24" s="120">
        <f t="shared" si="13"/>
        <v>-3.835</v>
      </c>
      <c r="AF24" s="76">
        <f t="shared" si="22"/>
        <v>3.875</v>
      </c>
      <c r="AG24" s="120">
        <f t="shared" si="14"/>
        <v>4.0000000000000036E-2</v>
      </c>
      <c r="AH24" s="119"/>
      <c r="AI24" s="120">
        <f t="shared" si="15"/>
        <v>-3.835</v>
      </c>
      <c r="AJ24" s="119"/>
      <c r="AK24" s="120">
        <f t="shared" si="16"/>
        <v>-3.835</v>
      </c>
      <c r="AL24" s="119"/>
      <c r="AM24" s="120">
        <f t="shared" si="17"/>
        <v>-3.835</v>
      </c>
      <c r="AN24" s="119"/>
      <c r="AO24" s="120">
        <f t="shared" si="17"/>
        <v>-3.835</v>
      </c>
      <c r="AP24" s="119"/>
      <c r="AQ24" s="120">
        <f t="shared" si="18"/>
        <v>-3.835</v>
      </c>
      <c r="AR24" s="119"/>
      <c r="AS24" s="120">
        <f t="shared" si="19"/>
        <v>-3.835</v>
      </c>
      <c r="AT24" s="119"/>
      <c r="AU24" s="120">
        <f t="shared" si="19"/>
        <v>-3.835</v>
      </c>
    </row>
    <row r="25" spans="1:47" s="118" customFormat="1" x14ac:dyDescent="0.2">
      <c r="A25" s="117">
        <v>22</v>
      </c>
      <c r="B25" s="118" t="s">
        <v>45</v>
      </c>
      <c r="C25" s="119">
        <f>Summary!$D$2</f>
        <v>3.835</v>
      </c>
      <c r="D25" s="119"/>
      <c r="E25" s="120">
        <f t="shared" si="0"/>
        <v>-3.835</v>
      </c>
      <c r="F25" s="119"/>
      <c r="G25" s="120">
        <f t="shared" si="1"/>
        <v>-3.835</v>
      </c>
      <c r="H25" s="119"/>
      <c r="I25" s="120">
        <f t="shared" si="2"/>
        <v>-3.835</v>
      </c>
      <c r="J25" s="119"/>
      <c r="K25" s="120">
        <f t="shared" si="3"/>
        <v>-3.835</v>
      </c>
      <c r="L25" s="119"/>
      <c r="M25" s="120">
        <f t="shared" si="4"/>
        <v>-3.835</v>
      </c>
      <c r="N25" s="119"/>
      <c r="O25" s="120">
        <f t="shared" si="5"/>
        <v>-3.835</v>
      </c>
      <c r="P25" s="119"/>
      <c r="Q25" s="120">
        <f t="shared" si="6"/>
        <v>-3.835</v>
      </c>
      <c r="R25" s="122">
        <f t="shared" si="20"/>
        <v>3.8449999999999998</v>
      </c>
      <c r="S25" s="120">
        <f t="shared" si="7"/>
        <v>9.9999999999997868E-3</v>
      </c>
      <c r="T25" s="119"/>
      <c r="U25" s="120">
        <f t="shared" si="8"/>
        <v>-3.835</v>
      </c>
      <c r="V25" s="76">
        <f t="shared" si="21"/>
        <v>3.7549999999999999</v>
      </c>
      <c r="W25" s="120">
        <f t="shared" si="9"/>
        <v>-8.0000000000000071E-2</v>
      </c>
      <c r="X25" s="119"/>
      <c r="Y25" s="120">
        <f t="shared" si="10"/>
        <v>-3.835</v>
      </c>
      <c r="Z25" s="119"/>
      <c r="AA25" s="120">
        <f t="shared" si="11"/>
        <v>-3.835</v>
      </c>
      <c r="AB25" s="119"/>
      <c r="AC25" s="120">
        <f t="shared" si="12"/>
        <v>-3.835</v>
      </c>
      <c r="AD25" s="119"/>
      <c r="AE25" s="120">
        <f t="shared" si="13"/>
        <v>-3.835</v>
      </c>
      <c r="AF25" s="76">
        <f t="shared" si="22"/>
        <v>3.875</v>
      </c>
      <c r="AG25" s="120">
        <f t="shared" si="14"/>
        <v>4.0000000000000036E-2</v>
      </c>
      <c r="AH25" s="119"/>
      <c r="AI25" s="120">
        <f t="shared" si="15"/>
        <v>-3.835</v>
      </c>
      <c r="AJ25" s="119"/>
      <c r="AK25" s="120">
        <f t="shared" si="16"/>
        <v>-3.835</v>
      </c>
      <c r="AL25" s="119"/>
      <c r="AM25" s="120">
        <f t="shared" si="17"/>
        <v>-3.835</v>
      </c>
      <c r="AN25" s="119"/>
      <c r="AO25" s="120">
        <f t="shared" si="17"/>
        <v>-3.835</v>
      </c>
      <c r="AP25" s="119"/>
      <c r="AQ25" s="120">
        <f t="shared" si="18"/>
        <v>-3.835</v>
      </c>
      <c r="AR25" s="119"/>
      <c r="AS25" s="120">
        <f t="shared" si="19"/>
        <v>-3.835</v>
      </c>
      <c r="AT25" s="119"/>
      <c r="AU25" s="120">
        <f t="shared" si="19"/>
        <v>-3.835</v>
      </c>
    </row>
    <row r="26" spans="1:47" s="118" customFormat="1" x14ac:dyDescent="0.2">
      <c r="A26" s="117">
        <v>23</v>
      </c>
      <c r="B26" s="118" t="s">
        <v>45</v>
      </c>
      <c r="C26" s="119">
        <f>Summary!$D$2</f>
        <v>3.835</v>
      </c>
      <c r="D26" s="119"/>
      <c r="E26" s="120">
        <f t="shared" si="0"/>
        <v>-3.835</v>
      </c>
      <c r="F26" s="119"/>
      <c r="G26" s="120">
        <f t="shared" si="1"/>
        <v>-3.835</v>
      </c>
      <c r="H26" s="119"/>
      <c r="I26" s="120">
        <f t="shared" si="2"/>
        <v>-3.835</v>
      </c>
      <c r="J26" s="119"/>
      <c r="K26" s="120">
        <f t="shared" si="3"/>
        <v>-3.835</v>
      </c>
      <c r="L26" s="119"/>
      <c r="M26" s="120">
        <f t="shared" si="4"/>
        <v>-3.835</v>
      </c>
      <c r="N26" s="119"/>
      <c r="O26" s="120">
        <f t="shared" si="5"/>
        <v>-3.835</v>
      </c>
      <c r="P26" s="119"/>
      <c r="Q26" s="120">
        <f t="shared" si="6"/>
        <v>-3.835</v>
      </c>
      <c r="R26" s="122">
        <f t="shared" si="20"/>
        <v>3.8449999999999998</v>
      </c>
      <c r="S26" s="120">
        <f t="shared" si="7"/>
        <v>9.9999999999997868E-3</v>
      </c>
      <c r="T26" s="119"/>
      <c r="U26" s="120">
        <f t="shared" si="8"/>
        <v>-3.835</v>
      </c>
      <c r="V26" s="76">
        <f t="shared" si="21"/>
        <v>3.7549999999999999</v>
      </c>
      <c r="W26" s="120">
        <f t="shared" si="9"/>
        <v>-8.0000000000000071E-2</v>
      </c>
      <c r="X26" s="119"/>
      <c r="Y26" s="120">
        <f t="shared" si="10"/>
        <v>-3.835</v>
      </c>
      <c r="Z26" s="119"/>
      <c r="AA26" s="120">
        <f t="shared" si="11"/>
        <v>-3.835</v>
      </c>
      <c r="AB26" s="119"/>
      <c r="AC26" s="120">
        <f t="shared" si="12"/>
        <v>-3.835</v>
      </c>
      <c r="AD26" s="119"/>
      <c r="AE26" s="120">
        <f t="shared" si="13"/>
        <v>-3.835</v>
      </c>
      <c r="AF26" s="76">
        <f t="shared" si="22"/>
        <v>3.875</v>
      </c>
      <c r="AG26" s="120">
        <f t="shared" si="14"/>
        <v>4.0000000000000036E-2</v>
      </c>
      <c r="AH26" s="119"/>
      <c r="AI26" s="120">
        <f t="shared" si="15"/>
        <v>-3.835</v>
      </c>
      <c r="AJ26" s="119"/>
      <c r="AK26" s="120">
        <f t="shared" si="16"/>
        <v>-3.835</v>
      </c>
      <c r="AL26" s="119"/>
      <c r="AM26" s="120">
        <f t="shared" si="17"/>
        <v>-3.835</v>
      </c>
      <c r="AN26" s="119"/>
      <c r="AO26" s="120">
        <f t="shared" si="17"/>
        <v>-3.835</v>
      </c>
      <c r="AP26" s="119"/>
      <c r="AQ26" s="120">
        <f t="shared" si="18"/>
        <v>-3.835</v>
      </c>
      <c r="AR26" s="119"/>
      <c r="AS26" s="120">
        <f t="shared" si="19"/>
        <v>-3.835</v>
      </c>
      <c r="AT26" s="119"/>
      <c r="AU26" s="120">
        <f t="shared" si="19"/>
        <v>-3.835</v>
      </c>
    </row>
    <row r="27" spans="1:47" s="118" customFormat="1" x14ac:dyDescent="0.2">
      <c r="A27" s="117">
        <v>24</v>
      </c>
      <c r="B27" s="118" t="s">
        <v>45</v>
      </c>
      <c r="C27" s="119">
        <f>Summary!$D$2</f>
        <v>3.835</v>
      </c>
      <c r="D27" s="119"/>
      <c r="E27" s="120">
        <f t="shared" si="0"/>
        <v>-3.835</v>
      </c>
      <c r="F27" s="119"/>
      <c r="G27" s="120">
        <f t="shared" si="1"/>
        <v>-3.835</v>
      </c>
      <c r="H27" s="119"/>
      <c r="I27" s="120">
        <f t="shared" si="2"/>
        <v>-3.835</v>
      </c>
      <c r="J27" s="119"/>
      <c r="K27" s="120">
        <f t="shared" si="3"/>
        <v>-3.835</v>
      </c>
      <c r="L27" s="119"/>
      <c r="M27" s="120">
        <f t="shared" si="4"/>
        <v>-3.835</v>
      </c>
      <c r="N27" s="119"/>
      <c r="O27" s="120">
        <f t="shared" si="5"/>
        <v>-3.835</v>
      </c>
      <c r="P27" s="119"/>
      <c r="Q27" s="120">
        <f t="shared" si="6"/>
        <v>-3.835</v>
      </c>
      <c r="R27" s="122">
        <f t="shared" si="20"/>
        <v>3.8449999999999998</v>
      </c>
      <c r="S27" s="120">
        <f t="shared" si="7"/>
        <v>9.9999999999997868E-3</v>
      </c>
      <c r="T27" s="119"/>
      <c r="U27" s="120">
        <f t="shared" si="8"/>
        <v>-3.835</v>
      </c>
      <c r="V27" s="76">
        <f t="shared" si="21"/>
        <v>3.7549999999999999</v>
      </c>
      <c r="W27" s="120">
        <f t="shared" si="9"/>
        <v>-8.0000000000000071E-2</v>
      </c>
      <c r="X27" s="119"/>
      <c r="Y27" s="120">
        <f t="shared" si="10"/>
        <v>-3.835</v>
      </c>
      <c r="Z27" s="119"/>
      <c r="AA27" s="120">
        <f t="shared" si="11"/>
        <v>-3.835</v>
      </c>
      <c r="AB27" s="119"/>
      <c r="AC27" s="120">
        <f t="shared" si="12"/>
        <v>-3.835</v>
      </c>
      <c r="AD27" s="119"/>
      <c r="AE27" s="120">
        <f t="shared" si="13"/>
        <v>-3.835</v>
      </c>
      <c r="AF27" s="76">
        <f t="shared" si="22"/>
        <v>3.875</v>
      </c>
      <c r="AG27" s="120">
        <f t="shared" si="14"/>
        <v>4.0000000000000036E-2</v>
      </c>
      <c r="AH27" s="119"/>
      <c r="AI27" s="120">
        <f t="shared" si="15"/>
        <v>-3.835</v>
      </c>
      <c r="AJ27" s="119"/>
      <c r="AK27" s="120">
        <f t="shared" si="16"/>
        <v>-3.835</v>
      </c>
      <c r="AL27" s="119"/>
      <c r="AM27" s="120">
        <f t="shared" si="17"/>
        <v>-3.835</v>
      </c>
      <c r="AN27" s="119"/>
      <c r="AO27" s="120">
        <f t="shared" si="17"/>
        <v>-3.835</v>
      </c>
      <c r="AP27" s="119"/>
      <c r="AQ27" s="120">
        <f t="shared" si="18"/>
        <v>-3.835</v>
      </c>
      <c r="AR27" s="119"/>
      <c r="AS27" s="120">
        <f t="shared" si="19"/>
        <v>-3.835</v>
      </c>
      <c r="AT27" s="119"/>
      <c r="AU27" s="120">
        <f t="shared" si="19"/>
        <v>-3.835</v>
      </c>
    </row>
    <row r="28" spans="1:47" s="118" customFormat="1" x14ac:dyDescent="0.2">
      <c r="A28" s="117">
        <v>25</v>
      </c>
      <c r="B28" s="118" t="s">
        <v>45</v>
      </c>
      <c r="C28" s="119">
        <f>Summary!$D$2</f>
        <v>3.835</v>
      </c>
      <c r="D28" s="119"/>
      <c r="E28" s="120">
        <f t="shared" si="0"/>
        <v>-3.835</v>
      </c>
      <c r="F28" s="119"/>
      <c r="G28" s="120">
        <f t="shared" si="1"/>
        <v>-3.835</v>
      </c>
      <c r="H28" s="119"/>
      <c r="I28" s="120">
        <f t="shared" si="2"/>
        <v>-3.835</v>
      </c>
      <c r="J28" s="119"/>
      <c r="K28" s="120">
        <f t="shared" si="3"/>
        <v>-3.835</v>
      </c>
      <c r="L28" s="119"/>
      <c r="M28" s="120">
        <f t="shared" si="4"/>
        <v>-3.835</v>
      </c>
      <c r="N28" s="119"/>
      <c r="O28" s="120">
        <f t="shared" si="5"/>
        <v>-3.835</v>
      </c>
      <c r="P28" s="119"/>
      <c r="Q28" s="120">
        <f t="shared" si="6"/>
        <v>-3.835</v>
      </c>
      <c r="R28" s="122">
        <f t="shared" si="20"/>
        <v>3.8449999999999998</v>
      </c>
      <c r="S28" s="120">
        <f t="shared" si="7"/>
        <v>9.9999999999997868E-3</v>
      </c>
      <c r="T28" s="119"/>
      <c r="U28" s="120">
        <f t="shared" si="8"/>
        <v>-3.835</v>
      </c>
      <c r="V28" s="76">
        <f t="shared" si="21"/>
        <v>3.7549999999999999</v>
      </c>
      <c r="W28" s="120">
        <f t="shared" si="9"/>
        <v>-8.0000000000000071E-2</v>
      </c>
      <c r="X28" s="119"/>
      <c r="Y28" s="120">
        <f t="shared" si="10"/>
        <v>-3.835</v>
      </c>
      <c r="Z28" s="119"/>
      <c r="AA28" s="120">
        <f t="shared" si="11"/>
        <v>-3.835</v>
      </c>
      <c r="AB28" s="119"/>
      <c r="AC28" s="120">
        <f t="shared" si="12"/>
        <v>-3.835</v>
      </c>
      <c r="AD28" s="119"/>
      <c r="AE28" s="120">
        <f t="shared" si="13"/>
        <v>-3.835</v>
      </c>
      <c r="AF28" s="76">
        <f t="shared" si="22"/>
        <v>3.875</v>
      </c>
      <c r="AG28" s="120">
        <f t="shared" si="14"/>
        <v>4.0000000000000036E-2</v>
      </c>
      <c r="AH28" s="119"/>
      <c r="AI28" s="120">
        <f t="shared" si="15"/>
        <v>-3.835</v>
      </c>
      <c r="AJ28" s="119"/>
      <c r="AK28" s="120">
        <f t="shared" si="16"/>
        <v>-3.835</v>
      </c>
      <c r="AL28" s="119"/>
      <c r="AM28" s="120">
        <f t="shared" si="17"/>
        <v>-3.835</v>
      </c>
      <c r="AN28" s="119"/>
      <c r="AO28" s="120">
        <f t="shared" si="17"/>
        <v>-3.835</v>
      </c>
      <c r="AP28" s="119"/>
      <c r="AQ28" s="120">
        <f t="shared" si="18"/>
        <v>-3.835</v>
      </c>
      <c r="AR28" s="119"/>
      <c r="AS28" s="120">
        <f t="shared" si="19"/>
        <v>-3.835</v>
      </c>
      <c r="AT28" s="119"/>
      <c r="AU28" s="120">
        <f t="shared" si="19"/>
        <v>-3.835</v>
      </c>
    </row>
    <row r="29" spans="1:47" s="75" customFormat="1" x14ac:dyDescent="0.2">
      <c r="A29" s="74">
        <v>26</v>
      </c>
      <c r="B29" s="75" t="s">
        <v>45</v>
      </c>
      <c r="C29" s="119">
        <f>Summary!$D$2</f>
        <v>3.835</v>
      </c>
      <c r="D29" s="76"/>
      <c r="E29" s="77">
        <f t="shared" si="0"/>
        <v>-3.835</v>
      </c>
      <c r="F29" s="76"/>
      <c r="G29" s="77">
        <f t="shared" si="1"/>
        <v>-3.835</v>
      </c>
      <c r="H29" s="76"/>
      <c r="I29" s="77">
        <f t="shared" si="2"/>
        <v>-3.835</v>
      </c>
      <c r="J29" s="76"/>
      <c r="K29" s="77">
        <f t="shared" si="3"/>
        <v>-3.835</v>
      </c>
      <c r="L29" s="76"/>
      <c r="M29" s="77">
        <f t="shared" si="4"/>
        <v>-3.835</v>
      </c>
      <c r="N29" s="76"/>
      <c r="O29" s="77">
        <f t="shared" si="5"/>
        <v>-3.835</v>
      </c>
      <c r="P29" s="76"/>
      <c r="Q29" s="77">
        <f t="shared" si="6"/>
        <v>-3.835</v>
      </c>
      <c r="R29" s="122">
        <f t="shared" si="20"/>
        <v>3.8449999999999998</v>
      </c>
      <c r="S29" s="77">
        <f t="shared" si="7"/>
        <v>9.9999999999997868E-3</v>
      </c>
      <c r="T29" s="76"/>
      <c r="U29" s="77">
        <f t="shared" si="8"/>
        <v>-3.835</v>
      </c>
      <c r="V29" s="76">
        <f t="shared" si="21"/>
        <v>3.7549999999999999</v>
      </c>
      <c r="W29" s="77">
        <f t="shared" si="9"/>
        <v>-8.0000000000000071E-2</v>
      </c>
      <c r="X29" s="76"/>
      <c r="Y29" s="77">
        <f t="shared" si="10"/>
        <v>-3.835</v>
      </c>
      <c r="Z29" s="76"/>
      <c r="AA29" s="77">
        <f t="shared" si="11"/>
        <v>-3.835</v>
      </c>
      <c r="AB29" s="76"/>
      <c r="AC29" s="77">
        <f t="shared" si="12"/>
        <v>-3.835</v>
      </c>
      <c r="AD29" s="76"/>
      <c r="AE29" s="77">
        <f t="shared" si="13"/>
        <v>-3.835</v>
      </c>
      <c r="AF29" s="76">
        <f t="shared" ref="AF29:AF34" si="23">C29+0.04</f>
        <v>3.875</v>
      </c>
      <c r="AG29" s="77">
        <f t="shared" si="14"/>
        <v>4.0000000000000036E-2</v>
      </c>
      <c r="AH29" s="76"/>
      <c r="AI29" s="77">
        <f t="shared" si="15"/>
        <v>-3.835</v>
      </c>
      <c r="AJ29" s="76"/>
      <c r="AK29" s="77">
        <f t="shared" si="16"/>
        <v>-3.835</v>
      </c>
      <c r="AL29" s="76"/>
      <c r="AM29" s="77">
        <f t="shared" si="17"/>
        <v>-3.835</v>
      </c>
      <c r="AN29" s="76"/>
      <c r="AO29" s="77">
        <f t="shared" si="17"/>
        <v>-3.835</v>
      </c>
      <c r="AP29" s="76"/>
      <c r="AQ29" s="77">
        <f t="shared" si="18"/>
        <v>-3.835</v>
      </c>
      <c r="AR29" s="76"/>
      <c r="AS29" s="77">
        <f t="shared" si="19"/>
        <v>-3.835</v>
      </c>
      <c r="AT29" s="76"/>
      <c r="AU29" s="77">
        <f t="shared" si="19"/>
        <v>-3.835</v>
      </c>
    </row>
    <row r="30" spans="1:47" s="75" customFormat="1" x14ac:dyDescent="0.2">
      <c r="A30" s="74">
        <v>27</v>
      </c>
      <c r="B30" s="75" t="s">
        <v>45</v>
      </c>
      <c r="C30" s="119">
        <f>Summary!$D$2</f>
        <v>3.835</v>
      </c>
      <c r="D30" s="76"/>
      <c r="E30" s="77">
        <f t="shared" si="0"/>
        <v>-3.835</v>
      </c>
      <c r="F30" s="76"/>
      <c r="G30" s="77">
        <f t="shared" si="1"/>
        <v>-3.835</v>
      </c>
      <c r="H30" s="76"/>
      <c r="I30" s="77">
        <f t="shared" si="2"/>
        <v>-3.835</v>
      </c>
      <c r="J30" s="76"/>
      <c r="K30" s="77">
        <f t="shared" si="3"/>
        <v>-3.835</v>
      </c>
      <c r="L30" s="76"/>
      <c r="M30" s="77">
        <f t="shared" si="4"/>
        <v>-3.835</v>
      </c>
      <c r="N30" s="76"/>
      <c r="O30" s="77">
        <f t="shared" si="5"/>
        <v>-3.835</v>
      </c>
      <c r="P30" s="76"/>
      <c r="Q30" s="77">
        <f t="shared" si="6"/>
        <v>-3.835</v>
      </c>
      <c r="R30" s="122">
        <f t="shared" si="20"/>
        <v>3.8449999999999998</v>
      </c>
      <c r="S30" s="77">
        <f t="shared" si="7"/>
        <v>9.9999999999997868E-3</v>
      </c>
      <c r="T30" s="76"/>
      <c r="U30" s="77">
        <f t="shared" si="8"/>
        <v>-3.835</v>
      </c>
      <c r="V30" s="76">
        <f t="shared" si="21"/>
        <v>3.7549999999999999</v>
      </c>
      <c r="W30" s="77">
        <f t="shared" si="9"/>
        <v>-8.0000000000000071E-2</v>
      </c>
      <c r="X30" s="76"/>
      <c r="Y30" s="77">
        <f t="shared" si="10"/>
        <v>-3.835</v>
      </c>
      <c r="Z30" s="76"/>
      <c r="AA30" s="77">
        <f t="shared" si="11"/>
        <v>-3.835</v>
      </c>
      <c r="AB30" s="76"/>
      <c r="AC30" s="77">
        <f t="shared" si="12"/>
        <v>-3.835</v>
      </c>
      <c r="AD30" s="76"/>
      <c r="AE30" s="77">
        <f t="shared" si="13"/>
        <v>-3.835</v>
      </c>
      <c r="AF30" s="76">
        <f t="shared" si="23"/>
        <v>3.875</v>
      </c>
      <c r="AG30" s="77">
        <f t="shared" si="14"/>
        <v>4.0000000000000036E-2</v>
      </c>
      <c r="AH30" s="76"/>
      <c r="AI30" s="77">
        <f t="shared" si="15"/>
        <v>-3.835</v>
      </c>
      <c r="AJ30" s="76"/>
      <c r="AK30" s="77">
        <f t="shared" si="16"/>
        <v>-3.835</v>
      </c>
      <c r="AL30" s="76"/>
      <c r="AM30" s="77">
        <f t="shared" si="17"/>
        <v>-3.835</v>
      </c>
      <c r="AN30" s="76"/>
      <c r="AO30" s="77">
        <f t="shared" si="17"/>
        <v>-3.835</v>
      </c>
      <c r="AP30" s="76"/>
      <c r="AQ30" s="77">
        <f t="shared" si="18"/>
        <v>-3.835</v>
      </c>
      <c r="AR30" s="76"/>
      <c r="AS30" s="77">
        <f t="shared" si="19"/>
        <v>-3.835</v>
      </c>
      <c r="AT30" s="76"/>
      <c r="AU30" s="77">
        <f t="shared" si="19"/>
        <v>-3.835</v>
      </c>
    </row>
    <row r="31" spans="1:47" s="75" customFormat="1" x14ac:dyDescent="0.2">
      <c r="A31" s="74">
        <v>28</v>
      </c>
      <c r="B31" s="75" t="s">
        <v>44</v>
      </c>
      <c r="C31" s="119">
        <f>Summary!$D$2</f>
        <v>3.835</v>
      </c>
      <c r="D31" s="76"/>
      <c r="E31" s="77">
        <f t="shared" si="0"/>
        <v>-3.835</v>
      </c>
      <c r="F31" s="76"/>
      <c r="G31" s="77">
        <f t="shared" si="1"/>
        <v>-3.835</v>
      </c>
      <c r="H31" s="76"/>
      <c r="I31" s="77">
        <f t="shared" si="2"/>
        <v>-3.835</v>
      </c>
      <c r="J31" s="76"/>
      <c r="K31" s="77">
        <f t="shared" si="3"/>
        <v>-3.835</v>
      </c>
      <c r="L31" s="76"/>
      <c r="M31" s="77">
        <f t="shared" si="4"/>
        <v>-3.835</v>
      </c>
      <c r="N31" s="76"/>
      <c r="O31" s="77">
        <f t="shared" si="5"/>
        <v>-3.835</v>
      </c>
      <c r="P31" s="76"/>
      <c r="Q31" s="77">
        <f t="shared" si="6"/>
        <v>-3.835</v>
      </c>
      <c r="R31" s="122">
        <f t="shared" si="20"/>
        <v>3.8449999999999998</v>
      </c>
      <c r="S31" s="77">
        <f t="shared" si="7"/>
        <v>9.9999999999997868E-3</v>
      </c>
      <c r="T31" s="76"/>
      <c r="U31" s="77">
        <f t="shared" si="8"/>
        <v>-3.835</v>
      </c>
      <c r="V31" s="76">
        <f t="shared" si="21"/>
        <v>3.7549999999999999</v>
      </c>
      <c r="W31" s="77">
        <f t="shared" si="9"/>
        <v>-8.0000000000000071E-2</v>
      </c>
      <c r="X31" s="76"/>
      <c r="Y31" s="77">
        <f t="shared" si="10"/>
        <v>-3.835</v>
      </c>
      <c r="Z31" s="76"/>
      <c r="AA31" s="77">
        <f t="shared" si="11"/>
        <v>-3.835</v>
      </c>
      <c r="AB31" s="76"/>
      <c r="AC31" s="77">
        <f t="shared" si="12"/>
        <v>-3.835</v>
      </c>
      <c r="AD31" s="76"/>
      <c r="AE31" s="77">
        <f t="shared" si="13"/>
        <v>-3.835</v>
      </c>
      <c r="AF31" s="76">
        <f t="shared" si="23"/>
        <v>3.875</v>
      </c>
      <c r="AG31" s="77">
        <f t="shared" si="14"/>
        <v>4.0000000000000036E-2</v>
      </c>
      <c r="AH31" s="76"/>
      <c r="AI31" s="77">
        <f t="shared" si="15"/>
        <v>-3.835</v>
      </c>
      <c r="AJ31" s="76"/>
      <c r="AK31" s="77">
        <f t="shared" si="16"/>
        <v>-3.835</v>
      </c>
      <c r="AL31" s="76"/>
      <c r="AM31" s="77">
        <f t="shared" si="17"/>
        <v>-3.835</v>
      </c>
      <c r="AN31" s="76"/>
      <c r="AO31" s="77">
        <f t="shared" si="17"/>
        <v>-3.835</v>
      </c>
      <c r="AP31" s="76"/>
      <c r="AQ31" s="77">
        <f t="shared" si="18"/>
        <v>-3.835</v>
      </c>
      <c r="AR31" s="76"/>
      <c r="AS31" s="77">
        <f t="shared" si="19"/>
        <v>-3.835</v>
      </c>
      <c r="AT31" s="76"/>
      <c r="AU31" s="77">
        <f t="shared" si="19"/>
        <v>-3.835</v>
      </c>
    </row>
    <row r="32" spans="1:47" s="75" customFormat="1" x14ac:dyDescent="0.2">
      <c r="A32" s="74">
        <v>29</v>
      </c>
      <c r="B32" s="75" t="s">
        <v>45</v>
      </c>
      <c r="C32" s="119">
        <f>Summary!$D$2</f>
        <v>3.835</v>
      </c>
      <c r="D32" s="76"/>
      <c r="E32" s="77">
        <f t="shared" si="0"/>
        <v>-3.835</v>
      </c>
      <c r="F32" s="76"/>
      <c r="G32" s="77">
        <f t="shared" si="1"/>
        <v>-3.835</v>
      </c>
      <c r="H32" s="76"/>
      <c r="I32" s="77">
        <f t="shared" si="2"/>
        <v>-3.835</v>
      </c>
      <c r="J32" s="76"/>
      <c r="K32" s="77">
        <f t="shared" si="3"/>
        <v>-3.835</v>
      </c>
      <c r="L32" s="76"/>
      <c r="M32" s="77">
        <f t="shared" si="4"/>
        <v>-3.835</v>
      </c>
      <c r="N32" s="76"/>
      <c r="O32" s="77">
        <f t="shared" si="5"/>
        <v>-3.835</v>
      </c>
      <c r="P32" s="76"/>
      <c r="Q32" s="77">
        <f t="shared" si="6"/>
        <v>-3.835</v>
      </c>
      <c r="R32" s="122">
        <f t="shared" si="20"/>
        <v>3.8449999999999998</v>
      </c>
      <c r="S32" s="77">
        <f t="shared" si="7"/>
        <v>9.9999999999997868E-3</v>
      </c>
      <c r="T32" s="76"/>
      <c r="U32" s="77">
        <f t="shared" si="8"/>
        <v>-3.835</v>
      </c>
      <c r="V32" s="76">
        <f t="shared" si="21"/>
        <v>3.7549999999999999</v>
      </c>
      <c r="W32" s="77">
        <f t="shared" si="9"/>
        <v>-8.0000000000000071E-2</v>
      </c>
      <c r="X32" s="76"/>
      <c r="Y32" s="77">
        <f t="shared" si="10"/>
        <v>-3.835</v>
      </c>
      <c r="Z32" s="76"/>
      <c r="AA32" s="77">
        <f t="shared" si="11"/>
        <v>-3.835</v>
      </c>
      <c r="AB32" s="76"/>
      <c r="AC32" s="77">
        <f t="shared" si="12"/>
        <v>-3.835</v>
      </c>
      <c r="AD32" s="76"/>
      <c r="AE32" s="77">
        <f t="shared" si="13"/>
        <v>-3.835</v>
      </c>
      <c r="AF32" s="76">
        <f t="shared" si="23"/>
        <v>3.875</v>
      </c>
      <c r="AG32" s="77">
        <f t="shared" si="14"/>
        <v>4.0000000000000036E-2</v>
      </c>
      <c r="AH32" s="76"/>
      <c r="AI32" s="77">
        <f t="shared" si="15"/>
        <v>-3.835</v>
      </c>
      <c r="AJ32" s="76"/>
      <c r="AK32" s="77">
        <f t="shared" si="16"/>
        <v>-3.835</v>
      </c>
      <c r="AL32" s="76"/>
      <c r="AM32" s="77">
        <f t="shared" si="17"/>
        <v>-3.835</v>
      </c>
      <c r="AN32" s="76"/>
      <c r="AO32" s="77">
        <f t="shared" si="17"/>
        <v>-3.835</v>
      </c>
      <c r="AP32" s="76"/>
      <c r="AQ32" s="77">
        <f t="shared" si="18"/>
        <v>-3.835</v>
      </c>
      <c r="AR32" s="76"/>
      <c r="AS32" s="77">
        <f t="shared" si="19"/>
        <v>-3.835</v>
      </c>
      <c r="AT32" s="76"/>
      <c r="AU32" s="77">
        <f t="shared" si="19"/>
        <v>-3.835</v>
      </c>
    </row>
    <row r="33" spans="1:47" s="75" customFormat="1" x14ac:dyDescent="0.2">
      <c r="A33" s="74">
        <v>30</v>
      </c>
      <c r="B33" s="75" t="s">
        <v>46</v>
      </c>
      <c r="C33" s="119">
        <f>Summary!$D$2</f>
        <v>3.835</v>
      </c>
      <c r="D33" s="76"/>
      <c r="E33" s="77">
        <f t="shared" si="0"/>
        <v>-3.835</v>
      </c>
      <c r="F33" s="76"/>
      <c r="G33" s="77">
        <f t="shared" si="1"/>
        <v>-3.835</v>
      </c>
      <c r="H33" s="76">
        <v>0</v>
      </c>
      <c r="I33" s="77">
        <f t="shared" si="2"/>
        <v>-3.835</v>
      </c>
      <c r="J33" s="76"/>
      <c r="K33" s="77">
        <f t="shared" si="3"/>
        <v>-3.835</v>
      </c>
      <c r="L33" s="76"/>
      <c r="M33" s="77">
        <f t="shared" si="4"/>
        <v>-3.835</v>
      </c>
      <c r="N33" s="76">
        <f>C33-0.15</f>
        <v>3.6850000000000001</v>
      </c>
      <c r="O33" s="77">
        <f t="shared" si="5"/>
        <v>-0.14999999999999991</v>
      </c>
      <c r="P33" s="76"/>
      <c r="Q33" s="77">
        <f t="shared" si="6"/>
        <v>-3.835</v>
      </c>
      <c r="R33" s="122">
        <f t="shared" si="20"/>
        <v>3.8449999999999998</v>
      </c>
      <c r="S33" s="77">
        <f t="shared" si="7"/>
        <v>9.9999999999997868E-3</v>
      </c>
      <c r="T33" s="76"/>
      <c r="U33" s="77">
        <f t="shared" si="8"/>
        <v>-3.835</v>
      </c>
      <c r="V33" s="76">
        <f t="shared" si="21"/>
        <v>3.7549999999999999</v>
      </c>
      <c r="W33" s="77">
        <f t="shared" si="9"/>
        <v>-8.0000000000000071E-2</v>
      </c>
      <c r="X33" s="76"/>
      <c r="Y33" s="77">
        <f t="shared" si="10"/>
        <v>-3.835</v>
      </c>
      <c r="Z33" s="76">
        <v>0</v>
      </c>
      <c r="AA33" s="77">
        <f t="shared" si="11"/>
        <v>-3.835</v>
      </c>
      <c r="AB33" s="76"/>
      <c r="AC33" s="77">
        <f t="shared" si="12"/>
        <v>-3.835</v>
      </c>
      <c r="AD33" s="76"/>
      <c r="AE33" s="77">
        <f t="shared" si="13"/>
        <v>-3.835</v>
      </c>
      <c r="AF33" s="76">
        <f t="shared" si="23"/>
        <v>3.875</v>
      </c>
      <c r="AG33" s="77">
        <f t="shared" si="14"/>
        <v>4.0000000000000036E-2</v>
      </c>
      <c r="AH33" s="76"/>
      <c r="AI33" s="77">
        <f t="shared" si="15"/>
        <v>-3.835</v>
      </c>
      <c r="AJ33" s="76"/>
      <c r="AK33" s="77">
        <f t="shared" si="16"/>
        <v>-3.835</v>
      </c>
      <c r="AL33" s="76">
        <v>0</v>
      </c>
      <c r="AM33" s="77">
        <f t="shared" si="17"/>
        <v>-3.835</v>
      </c>
      <c r="AN33" s="76"/>
      <c r="AO33" s="77">
        <f t="shared" si="17"/>
        <v>-3.835</v>
      </c>
      <c r="AP33" s="76"/>
      <c r="AQ33" s="77">
        <f t="shared" si="18"/>
        <v>-3.835</v>
      </c>
      <c r="AR33" s="76"/>
      <c r="AS33" s="77">
        <f t="shared" si="19"/>
        <v>-3.835</v>
      </c>
      <c r="AT33" s="76"/>
      <c r="AU33" s="77">
        <f t="shared" si="19"/>
        <v>-3.835</v>
      </c>
    </row>
    <row r="34" spans="1:47" s="109" customFormat="1" x14ac:dyDescent="0.2">
      <c r="A34" s="74">
        <v>31</v>
      </c>
      <c r="B34" s="109" t="s">
        <v>47</v>
      </c>
      <c r="C34" s="76"/>
      <c r="D34" s="76"/>
      <c r="E34" s="77" t="str">
        <f t="shared" si="0"/>
        <v/>
      </c>
      <c r="F34" s="76"/>
      <c r="G34" s="77" t="str">
        <f t="shared" si="1"/>
        <v/>
      </c>
      <c r="H34" s="76">
        <v>0</v>
      </c>
      <c r="I34" s="77" t="str">
        <f t="shared" si="2"/>
        <v/>
      </c>
      <c r="J34" s="76">
        <f>C34-0.06</f>
        <v>-0.06</v>
      </c>
      <c r="K34" s="77">
        <f t="shared" si="3"/>
        <v>-0.06</v>
      </c>
      <c r="L34" s="76">
        <v>0</v>
      </c>
      <c r="M34" s="77" t="str">
        <f t="shared" si="4"/>
        <v/>
      </c>
      <c r="N34" s="76">
        <f>C34-0.06</f>
        <v>-0.06</v>
      </c>
      <c r="O34" s="77">
        <f t="shared" si="5"/>
        <v>-0.06</v>
      </c>
      <c r="P34" s="76"/>
      <c r="Q34" s="77" t="str">
        <f t="shared" si="6"/>
        <v/>
      </c>
      <c r="R34" s="122">
        <f>C34+0</f>
        <v>0</v>
      </c>
      <c r="S34" s="77" t="str">
        <f t="shared" si="7"/>
        <v/>
      </c>
      <c r="T34" s="76">
        <v>0</v>
      </c>
      <c r="U34" s="77" t="str">
        <f t="shared" si="8"/>
        <v/>
      </c>
      <c r="V34" s="76">
        <f>C34+0.03</f>
        <v>0.03</v>
      </c>
      <c r="W34" s="77">
        <f t="shared" si="9"/>
        <v>0.03</v>
      </c>
      <c r="X34" s="76">
        <f>C34-0.125</f>
        <v>-0.125</v>
      </c>
      <c r="Y34" s="77">
        <f t="shared" si="10"/>
        <v>-0.125</v>
      </c>
      <c r="Z34" s="76">
        <v>0</v>
      </c>
      <c r="AA34" s="77" t="str">
        <f t="shared" si="11"/>
        <v/>
      </c>
      <c r="AB34" s="76">
        <v>0</v>
      </c>
      <c r="AC34" s="77" t="str">
        <f t="shared" si="12"/>
        <v/>
      </c>
      <c r="AD34" s="76">
        <v>0</v>
      </c>
      <c r="AE34" s="77" t="str">
        <f t="shared" si="13"/>
        <v/>
      </c>
      <c r="AF34" s="76">
        <f t="shared" si="23"/>
        <v>0.04</v>
      </c>
      <c r="AG34" s="77">
        <f t="shared" si="14"/>
        <v>0.04</v>
      </c>
      <c r="AH34" s="76">
        <v>0</v>
      </c>
      <c r="AI34" s="77" t="str">
        <f t="shared" si="15"/>
        <v/>
      </c>
      <c r="AJ34" s="76">
        <v>0</v>
      </c>
      <c r="AK34" s="77" t="str">
        <f t="shared" si="16"/>
        <v/>
      </c>
      <c r="AL34" s="76">
        <v>0</v>
      </c>
      <c r="AM34" s="77" t="str">
        <f t="shared" si="17"/>
        <v/>
      </c>
      <c r="AN34" s="76"/>
      <c r="AO34" s="77" t="str">
        <f t="shared" si="17"/>
        <v/>
      </c>
      <c r="AP34" s="76"/>
      <c r="AQ34" s="77" t="str">
        <f t="shared" si="18"/>
        <v/>
      </c>
      <c r="AR34" s="76"/>
      <c r="AS34" s="77" t="str">
        <f t="shared" si="19"/>
        <v/>
      </c>
      <c r="AT34" s="76">
        <v>0</v>
      </c>
      <c r="AU34" s="77" t="str">
        <f t="shared" si="19"/>
        <v/>
      </c>
    </row>
    <row r="35" spans="1:47" x14ac:dyDescent="0.2">
      <c r="D35" s="58"/>
      <c r="E35" s="59"/>
      <c r="F35" s="60"/>
      <c r="G35" s="59"/>
      <c r="H35" s="58"/>
      <c r="I35" s="59"/>
      <c r="J35" s="58"/>
      <c r="K35" s="59"/>
      <c r="L35" s="58"/>
      <c r="M35" s="59"/>
      <c r="N35" s="58"/>
      <c r="O35" s="59"/>
      <c r="P35" s="61"/>
      <c r="Q35" s="59"/>
      <c r="R35" s="61"/>
      <c r="S35" s="59"/>
      <c r="T35" s="62"/>
      <c r="U35" s="59"/>
      <c r="V35" s="62"/>
      <c r="W35" s="59"/>
      <c r="X35" s="58"/>
      <c r="Y35" s="59"/>
      <c r="Z35" s="58"/>
      <c r="AA35" s="59"/>
      <c r="AB35" s="58"/>
      <c r="AC35" s="59"/>
      <c r="AD35" s="58"/>
      <c r="AE35" s="59"/>
      <c r="AF35" s="58"/>
      <c r="AG35" s="59"/>
      <c r="AH35" s="58"/>
      <c r="AI35" s="59"/>
      <c r="AJ35" s="58"/>
      <c r="AK35" s="59"/>
      <c r="AL35" s="58"/>
      <c r="AM35" s="59"/>
      <c r="AN35" s="58"/>
      <c r="AO35" s="59"/>
      <c r="AP35" s="58"/>
      <c r="AQ35" s="59"/>
      <c r="AR35" s="58"/>
      <c r="AS35" s="59"/>
      <c r="AT35" s="58"/>
      <c r="AU35" s="59"/>
    </row>
    <row r="36" spans="1:47" x14ac:dyDescent="0.2">
      <c r="A36" s="63" t="s">
        <v>48</v>
      </c>
      <c r="C36" s="64">
        <f>AVERAGE(C4:C34)</f>
        <v>3.8314999999999975</v>
      </c>
      <c r="D36" s="64" t="e">
        <f t="shared" ref="D36:AL36" si="24">AVERAGE(D4:D34)</f>
        <v>#DIV/0!</v>
      </c>
      <c r="E36" s="65"/>
      <c r="F36" s="64" t="e">
        <f t="shared" si="24"/>
        <v>#DIV/0!</v>
      </c>
      <c r="G36" s="65"/>
      <c r="H36" s="64">
        <f t="shared" si="24"/>
        <v>0</v>
      </c>
      <c r="I36" s="65"/>
      <c r="J36" s="64">
        <f t="shared" si="24"/>
        <v>-0.06</v>
      </c>
      <c r="K36" s="65"/>
      <c r="L36" s="64">
        <f t="shared" si="24"/>
        <v>0</v>
      </c>
      <c r="M36" s="65"/>
      <c r="N36" s="64">
        <f t="shared" si="24"/>
        <v>1.8125</v>
      </c>
      <c r="O36" s="65"/>
      <c r="P36" s="64" t="e">
        <f t="shared" si="24"/>
        <v>#DIV/0!</v>
      </c>
      <c r="Q36" s="65"/>
      <c r="R36" s="64">
        <f t="shared" si="24"/>
        <v>3.7204838709677412</v>
      </c>
      <c r="S36" s="65"/>
      <c r="T36" s="64">
        <f t="shared" si="24"/>
        <v>0</v>
      </c>
      <c r="U36" s="65"/>
      <c r="V36" s="64">
        <f t="shared" si="24"/>
        <v>3.6308064516129019</v>
      </c>
      <c r="W36" s="65"/>
      <c r="X36" s="64">
        <f t="shared" si="24"/>
        <v>-0.125</v>
      </c>
      <c r="Y36" s="65"/>
      <c r="Z36" s="64">
        <f t="shared" si="24"/>
        <v>0</v>
      </c>
      <c r="AA36" s="65"/>
      <c r="AB36" s="64">
        <f t="shared" si="24"/>
        <v>0</v>
      </c>
      <c r="AC36" s="65"/>
      <c r="AD36" s="64">
        <f t="shared" si="24"/>
        <v>0</v>
      </c>
      <c r="AE36" s="65"/>
      <c r="AF36" s="64">
        <f t="shared" si="24"/>
        <v>3.7498387096774195</v>
      </c>
      <c r="AG36" s="65"/>
      <c r="AH36" s="64">
        <f t="shared" si="24"/>
        <v>0</v>
      </c>
      <c r="AI36" s="65"/>
      <c r="AJ36" s="64">
        <f t="shared" si="24"/>
        <v>0</v>
      </c>
      <c r="AK36" s="65"/>
      <c r="AL36" s="64">
        <f t="shared" si="24"/>
        <v>0</v>
      </c>
      <c r="AM36" s="65"/>
      <c r="AN36" s="64" t="e">
        <f>AVERAGE(AN4:AN34)</f>
        <v>#DIV/0!</v>
      </c>
      <c r="AO36" s="65"/>
      <c r="AP36" s="64" t="e">
        <f>AVERAGE(AP4:AP34)</f>
        <v>#DIV/0!</v>
      </c>
      <c r="AQ36" s="65"/>
      <c r="AR36" s="64" t="e">
        <f>AVERAGE(AR4:AR34)</f>
        <v>#DIV/0!</v>
      </c>
      <c r="AS36" s="65"/>
      <c r="AT36" s="64">
        <f>AVERAGE(AT4:AT34)</f>
        <v>0</v>
      </c>
      <c r="AU36" s="65"/>
    </row>
    <row r="37" spans="1:47" x14ac:dyDescent="0.2">
      <c r="A37" s="66" t="s">
        <v>49</v>
      </c>
      <c r="C37" s="64">
        <f>+C36-(+$C$36)</f>
        <v>0</v>
      </c>
      <c r="D37" s="64" t="e">
        <f t="shared" ref="D37:J37" si="25">+D36-(+$C$36)</f>
        <v>#DIV/0!</v>
      </c>
      <c r="E37" s="65"/>
      <c r="F37" s="64" t="e">
        <f t="shared" si="25"/>
        <v>#DIV/0!</v>
      </c>
      <c r="G37" s="65"/>
      <c r="H37" s="64">
        <f t="shared" si="25"/>
        <v>-3.8314999999999975</v>
      </c>
      <c r="I37" s="65"/>
      <c r="J37" s="64">
        <f t="shared" si="25"/>
        <v>-3.8914999999999975</v>
      </c>
      <c r="K37" s="65"/>
      <c r="L37" s="64">
        <f>+L36-(+$C$36)</f>
        <v>-3.8314999999999975</v>
      </c>
      <c r="M37" s="65"/>
      <c r="N37" s="64">
        <f>+N36-(+$C$36)</f>
        <v>-2.0189999999999975</v>
      </c>
      <c r="O37" s="65"/>
      <c r="P37" s="64" t="e">
        <f>+P36-(+$C$36)</f>
        <v>#DIV/0!</v>
      </c>
      <c r="Q37" s="65"/>
      <c r="R37" s="64">
        <f>+R36-(+$C$36)</f>
        <v>-0.11101612903225622</v>
      </c>
      <c r="S37" s="65"/>
      <c r="T37" s="64">
        <f>+T36-(+$C$36)</f>
        <v>-3.8314999999999975</v>
      </c>
      <c r="U37" s="65"/>
      <c r="V37" s="64">
        <f>+V36-(+$C$36)</f>
        <v>-0.20069354838709552</v>
      </c>
      <c r="W37" s="65"/>
      <c r="X37" s="64">
        <f>+X36-(+$C$36)</f>
        <v>-3.9564999999999975</v>
      </c>
      <c r="Y37" s="65"/>
      <c r="Z37" s="64">
        <f>+Z36-(+$C$36)</f>
        <v>-3.8314999999999975</v>
      </c>
      <c r="AA37" s="65"/>
      <c r="AB37" s="64">
        <f>+AB36-(+$C$36)</f>
        <v>-3.8314999999999975</v>
      </c>
      <c r="AC37" s="65"/>
      <c r="AD37" s="64">
        <f>+AD36-(+$C$36)</f>
        <v>-3.8314999999999975</v>
      </c>
      <c r="AE37" s="65"/>
      <c r="AF37" s="64">
        <f>+AF36-(+$C$36)</f>
        <v>-8.1661290322577962E-2</v>
      </c>
      <c r="AG37" s="65"/>
      <c r="AH37" s="64">
        <f>+AH36-(+$C$36)</f>
        <v>-3.8314999999999975</v>
      </c>
      <c r="AI37" s="65"/>
      <c r="AJ37" s="64">
        <f>+AJ36-(+$C$36)</f>
        <v>-3.8314999999999975</v>
      </c>
      <c r="AK37" s="65"/>
      <c r="AL37" s="64">
        <f>+AL36-(+$C$36)</f>
        <v>-3.8314999999999975</v>
      </c>
      <c r="AM37" s="65"/>
      <c r="AN37" s="64" t="e">
        <f>+AN36-(+$C$36)</f>
        <v>#DIV/0!</v>
      </c>
      <c r="AO37" s="65"/>
      <c r="AP37" s="64" t="e">
        <f>+AP36-(+$C$36)</f>
        <v>#DIV/0!</v>
      </c>
      <c r="AQ37" s="65"/>
      <c r="AR37" s="64" t="e">
        <f>+AR36-(+$C$36)</f>
        <v>#DIV/0!</v>
      </c>
      <c r="AS37" s="65"/>
      <c r="AT37" s="64">
        <f>+AT36-(+$C$36)</f>
        <v>-3.8314999999999975</v>
      </c>
      <c r="AU37" s="65"/>
    </row>
    <row r="38" spans="1:47" x14ac:dyDescent="0.2">
      <c r="A38" s="66" t="s">
        <v>50</v>
      </c>
      <c r="C38" s="64">
        <f>-C4+C36</f>
        <v>0.10149999999999748</v>
      </c>
      <c r="D38" s="64" t="e">
        <f>-D4+D36</f>
        <v>#DIV/0!</v>
      </c>
      <c r="E38" s="65"/>
      <c r="F38" s="64" t="e">
        <f>-F4+F36</f>
        <v>#DIV/0!</v>
      </c>
      <c r="G38" s="65"/>
      <c r="H38" s="64">
        <f>-H4+H36</f>
        <v>0</v>
      </c>
      <c r="I38" s="65"/>
      <c r="J38" s="64">
        <f>-J4+J36</f>
        <v>-0.06</v>
      </c>
      <c r="K38" s="65"/>
      <c r="L38" s="64">
        <f t="shared" ref="L38:AL38" si="26">-L4+L36</f>
        <v>0</v>
      </c>
      <c r="M38" s="65"/>
      <c r="N38" s="64">
        <f t="shared" si="26"/>
        <v>1.8125</v>
      </c>
      <c r="O38" s="65"/>
      <c r="P38" s="64" t="e">
        <f t="shared" si="26"/>
        <v>#DIV/0!</v>
      </c>
      <c r="Q38" s="65"/>
      <c r="R38" s="64">
        <f t="shared" si="26"/>
        <v>-0.10951612903225882</v>
      </c>
      <c r="S38" s="65"/>
      <c r="T38" s="64">
        <f t="shared" si="26"/>
        <v>0</v>
      </c>
      <c r="U38" s="65"/>
      <c r="V38" s="64">
        <f t="shared" si="26"/>
        <v>8.0645161290204825E-4</v>
      </c>
      <c r="W38" s="65"/>
      <c r="X38" s="64">
        <f t="shared" si="26"/>
        <v>-0.125</v>
      </c>
      <c r="Y38" s="65"/>
      <c r="Z38" s="64">
        <f t="shared" si="26"/>
        <v>0</v>
      </c>
      <c r="AA38" s="65"/>
      <c r="AB38" s="64">
        <f t="shared" si="26"/>
        <v>0</v>
      </c>
      <c r="AC38" s="65"/>
      <c r="AD38" s="64">
        <f t="shared" si="26"/>
        <v>0</v>
      </c>
      <c r="AE38" s="65"/>
      <c r="AF38" s="64">
        <f t="shared" si="26"/>
        <v>-8.016129032258057E-2</v>
      </c>
      <c r="AG38" s="65"/>
      <c r="AH38" s="64">
        <f t="shared" si="26"/>
        <v>0</v>
      </c>
      <c r="AI38" s="65"/>
      <c r="AJ38" s="64">
        <f t="shared" si="26"/>
        <v>0</v>
      </c>
      <c r="AK38" s="65"/>
      <c r="AL38" s="64">
        <f t="shared" si="26"/>
        <v>0</v>
      </c>
      <c r="AM38" s="65"/>
      <c r="AN38" s="64" t="e">
        <f>-AN4+AN36</f>
        <v>#DIV/0!</v>
      </c>
      <c r="AO38" s="65"/>
      <c r="AP38" s="64" t="e">
        <f>-AP4+AP36</f>
        <v>#DIV/0!</v>
      </c>
      <c r="AQ38" s="65"/>
      <c r="AR38" s="64" t="e">
        <f>-AR4+AR36</f>
        <v>#DIV/0!</v>
      </c>
      <c r="AS38" s="65"/>
      <c r="AT38" s="64">
        <f>-AT4+AT36</f>
        <v>0</v>
      </c>
      <c r="AU38" s="65"/>
    </row>
    <row r="39" spans="1:47" x14ac:dyDescent="0.2">
      <c r="A39" s="67" t="s">
        <v>51</v>
      </c>
      <c r="C39" s="68">
        <f ca="1">((INDIRECT(C$56&amp;ROW(C$4)-1+COUNTA(C$4:C$34)))+(INDIRECT(C$56&amp;ROW(C$4)-2+COUNTA(C$4:C$34)))+(INDIRECT(C$56&amp;ROW(C$4)-3+COUNTA(C$4:C$34))))/3</f>
        <v>3.8349999999999995</v>
      </c>
      <c r="D39" s="68" t="e">
        <f ca="1">((INDIRECT(D$56&amp;ROW(D$4)-1+COUNTA(D$4:D$34)))+(INDIRECT(D$56&amp;ROW(D$4)-2+COUNTA(D$4:D$34)))+(INDIRECT(D$56&amp;ROW(D$4)-3+COUNTA(D$4:D$34))))/3</f>
        <v>#VALUE!</v>
      </c>
      <c r="E39" s="65"/>
      <c r="F39" s="68" t="e">
        <f ca="1">((INDIRECT(F$56&amp;ROW(F$4)-1+COUNTA(F$4:F$34)))+(INDIRECT(F$56&amp;ROW(F$4)-2+COUNTA(F$4:F$34)))+(INDIRECT(F$56&amp;ROW(F$4)-3+COUNTA(F$4:F$34))))/3</f>
        <v>#VALUE!</v>
      </c>
      <c r="G39" s="65"/>
      <c r="H39" s="68">
        <f ca="1">((INDIRECT(F$56&amp;ROW(H$4)-1+COUNTA(H$4:H$34)))+(INDIRECT(F$56&amp;ROW(H$4)-2+COUNTA(H$4:H$34)))+(INDIRECT(F$56&amp;ROW(H$4)-3+COUNTA(H$4:H$34))))/3</f>
        <v>0</v>
      </c>
      <c r="I39" s="65"/>
      <c r="J39" s="68" t="e">
        <f ca="1">((INDIRECT(J$56&amp;ROW(J$4)-1+COUNTA(J$4:J$34)))+(INDIRECT(J$56&amp;ROW(J$4)-2+COUNTA(J$4:J$34)))+(INDIRECT(J$56&amp;ROW(J$4)-3+COUNTA(J$4:J$34))))/3</f>
        <v>#VALUE!</v>
      </c>
      <c r="K39" s="65"/>
      <c r="L39" s="68" t="e">
        <f ca="1">((INDIRECT(J$56&amp;ROW(N$4)-1+COUNTA(L$4:L$34)))+(INDIRECT(J$56&amp;ROW(N$4)-2+COUNTA(L$4:L$34)))+(INDIRECT(J$56&amp;ROW(N$4)-3+COUNTA(L$4:L$34))))/3</f>
        <v>#VALUE!</v>
      </c>
      <c r="M39" s="65"/>
      <c r="N39" s="68">
        <f ca="1">((INDIRECT(J$56&amp;ROW(N$4)-1+COUNTA(N$4:N$34)))+(INDIRECT(J$56&amp;ROW(N$4)-2+COUNTA(N$4:N$34)))+(INDIRECT(J$56&amp;ROW(N$4)-3+COUNTA(N$4:N$34))))/3</f>
        <v>0</v>
      </c>
      <c r="O39" s="65"/>
      <c r="P39" s="68" t="e">
        <f ca="1">((INDIRECT(N$56&amp;ROW(R$4)-1+COUNTA(P$4:P$34)))+(INDIRECT(N$56&amp;ROW(R$4)-2+COUNTA(P$4:P$34)))+(INDIRECT(N$56&amp;ROW(R$4)-3+COUNTA(P$4:P$34))))/3</f>
        <v>#VALUE!</v>
      </c>
      <c r="Q39" s="65"/>
      <c r="R39" s="68">
        <f ca="1">((INDIRECT(R$56&amp;ROW(R$4)-1+COUNTA(R$4:R$34)))+(INDIRECT(R$56&amp;ROW(R$4)-2+COUNTA(R$4:R$34)))+(INDIRECT(R$56&amp;ROW(R$4)-3+COUNTA(R$4:R$34))))/3</f>
        <v>0</v>
      </c>
      <c r="S39" s="65"/>
      <c r="T39" s="68" t="e">
        <f ca="1">((INDIRECT(R$56&amp;ROW(V$4)-1+COUNTA(T$4:T$34)))+(INDIRECT(R$56&amp;ROW(V$4)-2+COUNTA(T$4:T$34)))+(INDIRECT(R$56&amp;ROW(V$4)-3+COUNTA(T$4:T$34))))/3</f>
        <v>#VALUE!</v>
      </c>
      <c r="U39" s="65"/>
      <c r="V39" s="68">
        <f ca="1">((INDIRECT(V$56&amp;ROW(V$4)-1+COUNTA(V$4:V$34)))+(INDIRECT(V$56&amp;ROW(V$4)-2+COUNTA(V$4:V$34)))+(INDIRECT(V$56&amp;ROW(V$4)-3+COUNTA(V$4:V$34))))/3</f>
        <v>1.2083333333333333</v>
      </c>
      <c r="W39" s="65"/>
      <c r="X39" s="68" t="e">
        <f ca="1">((INDIRECT(V$56&amp;ROW(Z$4)-1+COUNTA(X$4:X$34)))+(INDIRECT(V$56&amp;ROW(Z$4)-2+COUNTA(X$4:X$34)))+(INDIRECT(V$56&amp;ROW(Z$4)-3+COUNTA(X$4:X$34))))/3</f>
        <v>#VALUE!</v>
      </c>
      <c r="Y39" s="65"/>
      <c r="Z39" s="68">
        <f ca="1">((INDIRECT(Z$56&amp;ROW(Z$4)-1+COUNTA(Z$4:Z$34)))+(INDIRECT(Z$56&amp;ROW(Z$4)-2+COUNTA(Z$4:Z$34)))+(INDIRECT(Z$56&amp;ROW(Z$4)-3+COUNTA(Z$4:Z$34))))/3</f>
        <v>0</v>
      </c>
      <c r="AA39" s="65"/>
      <c r="AB39" s="68" t="e">
        <f ca="1">((INDIRECT(Z$56&amp;ROW(AD$4)-1+COUNTA(AB$4:AB$34)))+(INDIRECT(Z$56&amp;ROW(AD$4)-2+COUNTA(AB$4:AB$34)))+(INDIRECT(Z$56&amp;ROW(AD$4)-3+COUNTA(AB$4:AB$34))))/3</f>
        <v>#VALUE!</v>
      </c>
      <c r="AC39" s="65"/>
      <c r="AD39" s="68">
        <f ca="1">((INDIRECT(AD$56&amp;ROW(AD$4)-1+COUNTA(AD$4:AD$34)))+(INDIRECT(AD$56&amp;ROW(AD$4)-2+COUNTA(AD$4:AD$34)))+(INDIRECT(AD$56&amp;ROW(AD$4)-3+COUNTA(AD$4:AD$34))))/3</f>
        <v>2.5233333333333334</v>
      </c>
      <c r="AE39" s="65"/>
      <c r="AF39" s="68">
        <f ca="1">((INDIRECT(AD$56&amp;ROW(AH$4)-1+COUNTA(AF$4:AF$34)))+(INDIRECT(AD$56&amp;ROW(AH$4)-2+COUNTA(AF$4:AF$34)))+(INDIRECT(AD$56&amp;ROW(AH$4)-3+COUNTA(AF$4:AF$34))))/3</f>
        <v>2.563333333333333</v>
      </c>
      <c r="AG39" s="65"/>
      <c r="AH39" s="68">
        <f ca="1">((INDIRECT(AH$56&amp;ROW(AH$4)-1+COUNTA(AH$4:AH$34)))+(INDIRECT(AH$56&amp;ROW(AH$4)-2+COUNTA(AH$4:AH$34)))+(INDIRECT(AH$56&amp;ROW(AH$4)-3+COUNTA(AH$4:AH$34))))/3</f>
        <v>0</v>
      </c>
      <c r="AI39" s="65"/>
      <c r="AJ39" s="68">
        <f ca="1">((INDIRECT(AH$56&amp;ROW(AL$4)-1+COUNTA(AJ$4:AJ$34)))+(INDIRECT(AH$56&amp;ROW(AL$4)-2+COUNTA(AJ$4:AJ$34)))+(INDIRECT(AH$56&amp;ROW(AL$4)-3+COUNTA(AJ$4:AJ$34))))/3</f>
        <v>0</v>
      </c>
      <c r="AK39" s="65"/>
      <c r="AL39" s="68">
        <f ca="1">((INDIRECT(AL$56&amp;ROW(AL$4)-1+COUNTA(AL$4:AL$34)))+(INDIRECT(AL$56&amp;ROW(AL$4)-2+COUNTA(AL$4:AL$34)))+(INDIRECT(AL$56&amp;ROW(AL$4)-3+COUNTA(AL$4:AL$34))))/3</f>
        <v>3.7183333333333333</v>
      </c>
      <c r="AM39" s="65"/>
      <c r="AN39" s="68" t="e">
        <f ca="1">((INDIRECT(AN$56&amp;ROW(AN$4)-1+COUNTA(AN$4:AN$34)))+(INDIRECT(AN$56&amp;ROW(AN$4)-2+COUNTA(AN$4:AN$34)))+(INDIRECT(AN$56&amp;ROW(AN$4)-3+COUNTA(AN$4:AN$34))))/3</f>
        <v>#VALUE!</v>
      </c>
      <c r="AO39" s="65"/>
      <c r="AP39" s="68" t="e">
        <f ca="1">((INDIRECT(AP$56&amp;ROW(AP$4)-1+COUNTA(AP$4:AP$34)))+(INDIRECT(AP$56&amp;ROW(AP$4)-2+COUNTA(AP$4:AP$34)))+(INDIRECT(AP$56&amp;ROW(AP$4)-3+COUNTA(AP$4:AP$34))))/3</f>
        <v>#VALUE!</v>
      </c>
      <c r="AQ39" s="65"/>
      <c r="AR39" s="68" t="e">
        <f ca="1">((INDIRECT(AR$56&amp;ROW(AR$4)-1+COUNTA(AR$4:AR$34)))+(INDIRECT(AR$56&amp;ROW(AR$4)-2+COUNTA(AR$4:AR$34)))+(INDIRECT(AR$56&amp;ROW(AR$4)-3+COUNTA(AR$4:AR$34))))/3</f>
        <v>#VALUE!</v>
      </c>
      <c r="AS39" s="65"/>
      <c r="AT39" s="68">
        <f ca="1">((INDIRECT(AT$56&amp;ROW(AT$4)-1+COUNTA(AT$4:AT$34)))+(INDIRECT(AT$56&amp;ROW(AT$4)-2+COUNTA(AT$4:AT$34)))+(INDIRECT(AT$56&amp;ROW(AT$4)-3+COUNTA(AT$4:AT$34))))/3</f>
        <v>2.4666666666666668</v>
      </c>
      <c r="AU39" s="65"/>
    </row>
    <row r="40" spans="1:47" x14ac:dyDescent="0.2">
      <c r="A40" s="67" t="s">
        <v>52</v>
      </c>
      <c r="C40" s="68">
        <f ca="1">((INDIRECT(C$56&amp;ROW(C$4)-1+COUNTA(C$4:C$34)))+(INDIRECT(C$56&amp;ROW(C$4)-2+COUNTA(C$4:C$34)))+(INDIRECT(C$56&amp;ROW(C$4)-3+COUNTA(C$4:C$34)))+(INDIRECT(C$56&amp;ROW(C$4)-4+COUNTA(C$4:C$34)))+(INDIRECT(C$56&amp;ROW(C$4)-5+COUNTA(C$4:C$34))))/5</f>
        <v>3.835</v>
      </c>
      <c r="D40" s="68" t="e">
        <f ca="1">((INDIRECT(D$56&amp;ROW(D$4)-1+COUNTA(D$4:D$34)))+(INDIRECT(D$56&amp;ROW(D$4)-2+COUNTA(D$4:D$34)))+(INDIRECT(D$56&amp;ROW(D$4)-3+COUNTA(D$4:D$34)))+(INDIRECT(D$56&amp;ROW(D$4)-4+COUNTA(D$4:D$34)))+(INDIRECT(D$56&amp;ROW(D$4)-5+COUNTA(D$4:D$34))))/5</f>
        <v>#VALUE!</v>
      </c>
      <c r="E40" s="65"/>
      <c r="F40" s="68" t="e">
        <f ca="1">((INDIRECT(F$56&amp;ROW(F$4)-1+COUNTA(F$4:F$34)))+(INDIRECT(F$56&amp;ROW(F$4)-2+COUNTA(F$4:F$34)))+(INDIRECT(F$56&amp;ROW(F$4)-3+COUNTA(F$4:F$34)))+(INDIRECT(F$56&amp;ROW(F$4)-4+COUNTA(F$4:F$34)))+(INDIRECT(F$56&amp;ROW(F$4)-5+COUNTA(F$4:F$34))))/5</f>
        <v>#VALUE!</v>
      </c>
      <c r="G40" s="65"/>
      <c r="H40" s="68" t="e">
        <f ca="1">((INDIRECT(F$56&amp;ROW(H$4)-1+COUNTA(H$4:H$34)))+(INDIRECT(F$56&amp;ROW(H$4)-2+COUNTA(H$4:H$34)))+(INDIRECT(F$56&amp;ROW(H$4)-3+COUNTA(H$4:H$34)))+(INDIRECT(F$56&amp;ROW(H$4)-4+COUNTA(H$4:H$34)))+(INDIRECT(F$56&amp;ROW(H$4)-5+COUNTA(H$4:H$34))))/5</f>
        <v>#VALUE!</v>
      </c>
      <c r="I40" s="65"/>
      <c r="J40" s="68" t="e">
        <f ca="1">((INDIRECT(J$56&amp;ROW(J$4)-1+COUNTA(J$4:J$34)))+(INDIRECT(J$56&amp;ROW(J$4)-2+COUNTA(J$4:J$34)))+(INDIRECT(J$56&amp;ROW(J$4)-3+COUNTA(J$4:J$34)))+(INDIRECT(J$56&amp;ROW(J$4)-4+COUNTA(J$4:J$34)))+(INDIRECT(J$56&amp;ROW(J$4)-5+COUNTA(J$4:J$34))))/5</f>
        <v>#VALUE!</v>
      </c>
      <c r="K40" s="65"/>
      <c r="L40" s="68" t="e">
        <f ca="1">((INDIRECT(J$56&amp;ROW(N$4)-1+COUNTA(L$4:L$34)))+(INDIRECT(J$56&amp;ROW(N$4)-2+COUNTA(L$4:L$34)))+(INDIRECT(J$56&amp;ROW(N$4)-3+COUNTA(L$4:L$34)))+(INDIRECT(J$56&amp;ROW(N$4)-4+COUNTA(L$4:L$34)))+(INDIRECT(J$56&amp;ROW(N$4)-5+COUNTA(L$4:L$34))))/5</f>
        <v>#VALUE!</v>
      </c>
      <c r="M40" s="65"/>
      <c r="N40" s="68" t="e">
        <f ca="1">((INDIRECT(J$56&amp;ROW(N$4)-1+COUNTA(N$4:N$34)))+(INDIRECT(J$56&amp;ROW(N$4)-2+COUNTA(N$4:N$34)))+(INDIRECT(J$56&amp;ROW(N$4)-3+COUNTA(N$4:N$34)))+(INDIRECT(J$56&amp;ROW(N$4)-4+COUNTA(N$4:N$34)))+(INDIRECT(J$56&amp;ROW(N$4)-5+COUNTA(N$4:N$34))))/5</f>
        <v>#VALUE!</v>
      </c>
      <c r="O40" s="65"/>
      <c r="P40" s="68" t="e">
        <f ca="1">((INDIRECT(N$56&amp;ROW(R$4)-1+COUNTA(P$4:P$34)))+(INDIRECT(N$56&amp;ROW(R$4)-2+COUNTA(P$4:P$34)))+(INDIRECT(N$56&amp;ROW(R$4)-3+COUNTA(P$4:P$34)))+(INDIRECT(N$56&amp;ROW(R$4)-4+COUNTA(P$4:P$34)))+(INDIRECT(N$56&amp;ROW(R$4)-5+COUNTA(P$4:P$34))))/5</f>
        <v>#VALUE!</v>
      </c>
      <c r="Q40" s="65"/>
      <c r="R40" s="68">
        <f ca="1">((INDIRECT(R$56&amp;ROW(R$4)-1+COUNTA(R$4:R$34)))+(INDIRECT(R$56&amp;ROW(R$4)-2+COUNTA(R$4:R$34)))+(INDIRECT(R$56&amp;ROW(R$4)-3+COUNTA(R$4:R$34)))+(INDIRECT(R$56&amp;ROW(R$4)-4+COUNTA(R$4:R$34)))+(INDIRECT(R$56&amp;ROW(R$4)-5+COUNTA(R$4:R$34))))/5</f>
        <v>0</v>
      </c>
      <c r="S40" s="65"/>
      <c r="T40" s="68" t="e">
        <f ca="1">((INDIRECT(R$56&amp;ROW(V$4)-1+COUNTA(T$4:T$34)))+(INDIRECT(R$56&amp;ROW(V$4)-2+COUNTA(T$4:T$34)))+(INDIRECT(R$56&amp;ROW(V$4)-3+COUNTA(T$4:T$34)))+(INDIRECT(R$56&amp;ROW(V$4)-4+COUNTA(T$4:T$34)))+(INDIRECT(R$56&amp;ROW(V$4)-5+COUNTA(T$4:T$34))))/5</f>
        <v>#VALUE!</v>
      </c>
      <c r="U40" s="65"/>
      <c r="V40" s="68">
        <f ca="1">((INDIRECT(V$56&amp;ROW(V$4)-1+COUNTA(V$4:V$34)))+(INDIRECT(V$56&amp;ROW(V$4)-2+COUNTA(V$4:V$34)))+(INDIRECT(V$56&amp;ROW(V$4)-3+COUNTA(V$4:V$34)))+(INDIRECT(V$56&amp;ROW(V$4)-4+COUNTA(V$4:V$34)))+(INDIRECT(V$56&amp;ROW(V$4)-5+COUNTA(V$4:V$34))))/5</f>
        <v>0.72499999999999998</v>
      </c>
      <c r="W40" s="65"/>
      <c r="X40" s="68" t="e">
        <f ca="1">((INDIRECT(V$56&amp;ROW(Z$4)-1+COUNTA(X$4:X$34)))+(INDIRECT(V$56&amp;ROW(Z$4)-2+COUNTA(X$4:X$34)))+(INDIRECT(V$56&amp;ROW(Z$4)-3+COUNTA(X$4:X$34)))+(INDIRECT(V$56&amp;ROW(Z$4)-4+COUNTA(X$4:X$34)))+(INDIRECT(V$56&amp;ROW(Z$4)-5+COUNTA(X$4:X$34))))/5</f>
        <v>#VALUE!</v>
      </c>
      <c r="Y40" s="65"/>
      <c r="Z40" s="68" t="e">
        <f ca="1">((INDIRECT(Z$56&amp;ROW(Z$4)-1+COUNTA(Z$4:Z$34)))+(INDIRECT(Z$56&amp;ROW(Z$4)-2+COUNTA(Z$4:Z$34)))+(INDIRECT(Z$56&amp;ROW(Z$4)-3+COUNTA(Z$4:Z$34)))+(INDIRECT(Z$56&amp;ROW(Z$4)-4+COUNTA(Z$4:Z$34)))+(INDIRECT(Z$56&amp;ROW(Z$4)-5+COUNTA(Z$4:Z$34))))/5</f>
        <v>#VALUE!</v>
      </c>
      <c r="AA40" s="65"/>
      <c r="AB40" s="68" t="e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((INDIRECT(Z$56&amp;ROW(AD$4)-1+COUNTA(AB$4:AB$34)))+(INDIRECT(Z$56&amp;ROW(AD$4)-2+COUNTA(AB$4:AB$34)))+(INDIRECT(Z$56&amp;ROW(AD$4)-3+COUNTA(AB$4:AB$34)))+(INDIRECT(Z$56&amp;ROW(AD$4)-4+COUNTA(AB$4:AB$34)))+(INDIRECT(Z$56&amp;ROW(AD$4)-5+COUNTA(AB$4:AB$34))))/5</f>
        <v>#VALUE!</v>
      </c>
      <c r="AC40" s="65"/>
      <c r="AD40" s="68" t="e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((INDIRECT(AD$56&amp;ROW(AD$4)-1+COUNTA(AD$4:AD$34)))+(INDIRECT(AD$56&amp;ROW(AD$4)-2+COUNTA(AD$4:AD$34)))+(INDIRECT(AD$56&amp;ROW(AD$4)-3+COUNTA(AD$4:AD$34)))+(INDIRECT(AD$56&amp;ROW(AD$4)-4+COUNTA(AD$4:AD$34)))+(INDIRECT(AD$56&amp;ROW(AD$4)-5+COUNTA(AD$4:AD$34))))/5</f>
        <v>#VALUE!</v>
      </c>
      <c r="AE40" s="65"/>
      <c r="AF40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((INDIRECT(AD$56&amp;ROW(AH$4)-1+COUNTA(AF$4:AF$34)))+(INDIRECT(AD$56&amp;ROW(AH$4)-2+COUNTA(AF$4:AF$34)))+(INDIRECT(AD$56&amp;ROW(AH$4)-3+COUNTA(AF$4:AF$34)))+(INDIRECT(AD$56&amp;ROW(AH$4)-4+COUNTA(AF$4:AF$34)))+(INDIRECT(AD$56&amp;ROW(AH$4)-5+COUNTA(AF$4:AF$34))))/5</f>
        <v>3.0759999999999996</v>
      </c>
      <c r="AG40" s="65"/>
      <c r="AH40" s="68" t="e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((INDIRECT(AH$56&amp;ROW(AH$4)-1+COUNTA(AH$4:AH$34)))+(INDIRECT(AH$56&amp;ROW(AH$4)-2+COUNTA(AH$4:AH$34)))+(INDIRECT(AH$56&amp;ROW(AH$4)-3+COUNTA(AH$4:AH$34)))+(INDIRECT(AH$56&amp;ROW(AH$4)-4+COUNTA(AH$4:AH$34)))+(INDIRECT(AH$56&amp;ROW(AH$4)-5+COUNTA(AH$4:AH$34))))/5</f>
        <v>#VALUE!</v>
      </c>
      <c r="AI40" s="65"/>
      <c r="AJ40" s="68" t="e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((INDIRECT(AH$56&amp;ROW(AL$4)-1+COUNTA(AJ$4:AJ$34)))+(INDIRECT(AH$56&amp;ROW(AL$4)-2+COUNTA(AJ$4:AJ$34)))+(INDIRECT(AH$56&amp;ROW(AL$4)-3+COUNTA(AJ$4:AJ$34)))+(INDIRECT(AH$56&amp;ROW(AL$4)-4+COUNTA(AJ$4:AJ$34)))+(INDIRECT(AH$56&amp;ROW(AL$4)-5+COUNTA(AJ$4:AJ$34))))/5</f>
        <v>#VALUE!</v>
      </c>
      <c r="AK40" s="65"/>
      <c r="AL40" s="68" t="e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((INDIRECT(AL$56&amp;ROW(AL$4)-1+COUNTA(AL$4:AL$34)))+(INDIRECT(AL$56&amp;ROW(AL$4)-2+COUNTA(AL$4:AL$34)))+(INDIRECT(AL$56&amp;ROW(AL$4)-3+COUNTA(AL$4:AL$34)))+(INDIRECT(AL$56&amp;ROW(AL$4)-4+COUNTA(AL$4:AL$34)))+(INDIRECT(AL$56&amp;ROW(AL$4)-5+COUNTA(AL$4:AL$34))))/5</f>
        <v>#VALUE!</v>
      </c>
      <c r="AM40" s="65"/>
      <c r="AN40" s="68" t="e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((INDIRECT(AN$56&amp;ROW(AN$4)-1+COUNTA(AN$4:AN$34)))+(INDIRECT(AN$56&amp;ROW(AN$4)-2+COUNTA(AN$4:AN$34)))+(INDIRECT(AN$56&amp;ROW(AN$4)-3+COUNTA(AN$4:AN$34)))+(INDIRECT(AN$56&amp;ROW(AN$4)-4+COUNTA(AN$4:AN$34)))+(INDIRECT(AN$56&amp;ROW(AN$4)-5+COUNTA(AN$4:AN$34))))/5</f>
        <v>#VALUE!</v>
      </c>
      <c r="AO40" s="65"/>
      <c r="AP40" s="68" t="e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((INDIRECT(AP$56&amp;ROW(AP$4)-1+COUNTA(AP$4:AP$34)))+(INDIRECT(AP$56&amp;ROW(AP$4)-2+COUNTA(AP$4:AP$34)))+(INDIRECT(AP$56&amp;ROW(AP$4)-3+COUNTA(AP$4:AP$34)))+(INDIRECT(AP$56&amp;ROW(AP$4)-4+COUNTA(AP$4:AP$34)))+(INDIRECT(AP$56&amp;ROW(AP$4)-5+COUNTA(AP$4:AP$34))))/5</f>
        <v>#VALUE!</v>
      </c>
      <c r="AQ40" s="65"/>
      <c r="AR40" s="68" t="e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((INDIRECT(AR$56&amp;ROW(AR$4)-1+COUNTA(AR$4:AR$34)))+(INDIRECT(AR$56&amp;ROW(AR$4)-2+COUNTA(AR$4:AR$34)))+(INDIRECT(AR$56&amp;ROW(AR$4)-3+COUNTA(AR$4:AR$34)))+(INDIRECT(AR$56&amp;ROW(AR$4)-4+COUNTA(AR$4:AR$34)))+(INDIRECT(AR$56&amp;ROW(AR$4)-5+COUNTA(AR$4:AR$34))))/5</f>
        <v>#VALUE!</v>
      </c>
      <c r="AS40" s="65"/>
      <c r="AT40" s="68" t="e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((INDIRECT(AT$56&amp;ROW(AT$4)-1+COUNTA(AT$4:AT$34)))+(INDIRECT(AT$56&amp;ROW(AT$4)-2+COUNTA(AT$4:AT$34)))+(INDIRECT(AT$56&amp;ROW(AT$4)-3+COUNTA(AT$4:AT$34)))+(INDIRECT(AT$56&amp;ROW(AT$4)-4+COUNTA(AT$4:AT$34)))+(INDIRECT(AT$56&amp;ROW(AT$4)-5+COUNTA(AT$4:AT$34))))/5</f>
        <v>#VALUE!</v>
      </c>
      <c r="AU40" s="65"/>
    </row>
    <row r="41" spans="1:47" x14ac:dyDescent="0.2">
      <c r="A41" s="67" t="s">
        <v>53</v>
      </c>
      <c r="C41" s="68">
        <f ca="1">((INDIRECT(C$56&amp;ROW(C$4)-1+COUNTA(C$4:C$34)))+(INDIRECT(C$56&amp;ROW(C$4)-2+COUNTA(C$4:C$34)))+(INDIRECT(C$56&amp;ROW(C$4)-3+COUNTA(C$4:C$34)))+(INDIRECT(C$56&amp;ROW(C$4)-4+COUNTA(C$4:C$34)))+(INDIRECT(C$56&amp;ROW(C$4)-5+COUNTA(C$4:C$34)))+(INDIRECT(C$56&amp;ROW(C$4)-6+COUNTA(C$4:C$34)))+(INDIRECT(C$56&amp;ROW(C$4)-7+COUNTA(C$4:C$34))))/7</f>
        <v>3.8350000000000004</v>
      </c>
      <c r="D41" s="68" t="e">
        <f ca="1">((INDIRECT(D$56&amp;ROW(D$4)-1+COUNTA(D$4:D$34)))+(INDIRECT(D$56&amp;ROW(D$4)-2+COUNTA(D$4:D$34)))+(INDIRECT(D$56&amp;ROW(D$4)-3+COUNTA(D$4:D$34)))+(INDIRECT(D$56&amp;ROW(D$4)-4+COUNTA(D$4:D$34)))+(INDIRECT(D$56&amp;ROW(D$4)-5+COUNTA(D$4:D$34)))+(INDIRECT(D$56&amp;ROW(D$4)-6+COUNTA(D$4:D$34)))+(INDIRECT(D$56&amp;ROW(D$4)-7+COUNTA(D$4:D$34))))/7</f>
        <v>#VALUE!</v>
      </c>
      <c r="E41" s="65"/>
      <c r="F41" s="68" t="e">
        <f ca="1">((INDIRECT(F$56&amp;ROW(F$4)-1+COUNTA(F$4:F$34)))+(INDIRECT(F$56&amp;ROW(F$4)-2+COUNTA(F$4:F$34)))+(INDIRECT(F$56&amp;ROW(F$4)-3+COUNTA(F$4:F$34)))+(INDIRECT(F$56&amp;ROW(F$4)-4+COUNTA(F$4:F$34)))+(INDIRECT(F$56&amp;ROW(F$4)-5+COUNTA(F$4:F$34)))+(INDIRECT(F$56&amp;ROW(F$4)-6+COUNTA(F$4:F$34)))+(INDIRECT(F$56&amp;ROW(F$4)-7+COUNTA(F$4:F$34))))/7</f>
        <v>#VALUE!</v>
      </c>
      <c r="G41" s="65"/>
      <c r="H41" s="68" t="e">
        <f ca="1">((INDIRECT(F$56&amp;ROW(H$4)-1+COUNTA(H$4:H$34)))+(INDIRECT(F$56&amp;ROW(H$4)-2+COUNTA(H$4:H$34)))+(INDIRECT(F$56&amp;ROW(H$4)-3+COUNTA(H$4:H$34)))+(INDIRECT(F$56&amp;ROW(H$4)-4+COUNTA(H$4:H$34)))+(INDIRECT(F$56&amp;ROW(H$4)-5+COUNTA(H$4:H$34)))+(INDIRECT(F$56&amp;ROW(H$4)-6+COUNTA(H$4:H$34)))+(INDIRECT(F$56&amp;ROW(H$4)-7+COUNTA(H$4:H$34))))/7</f>
        <v>#VALUE!</v>
      </c>
      <c r="I41" s="65"/>
      <c r="J41" s="68" t="e">
        <f ca="1">((INDIRECT(J$56&amp;ROW(J$4)-1+COUNTA(J$4:J$34)))+(INDIRECT(J$56&amp;ROW(J$4)-2+COUNTA(J$4:J$34)))+(INDIRECT(J$56&amp;ROW(J$4)-3+COUNTA(J$4:J$34)))+(INDIRECT(J$56&amp;ROW(J$4)-4+COUNTA(J$4:J$34)))+(INDIRECT(J$56&amp;ROW(J$4)-5+COUNTA(J$4:J$34)))+(INDIRECT(J$56&amp;ROW(J$4)-6+COUNTA(J$4:J$34)))+(INDIRECT(J$56&amp;ROW(J$4)-7+COUNTA(J$4:J$34))))/7</f>
        <v>#VALUE!</v>
      </c>
      <c r="K41" s="65"/>
      <c r="L41" s="68" t="e">
        <f ca="1">((INDIRECT(J$56&amp;ROW(N$4)-1+COUNTA(L$4:L$34)))+(INDIRECT(J$56&amp;ROW(N$4)-2+COUNTA(L$4:L$34)))+(INDIRECT(J$56&amp;ROW(N$4)-3+COUNTA(L$4:L$34)))+(INDIRECT(J$56&amp;ROW(N$4)-4+COUNTA(L$4:L$34)))+(INDIRECT(J$56&amp;ROW(N$4)-5+COUNTA(L$4:L$34)))+(INDIRECT(J$56&amp;ROW(N$4)-6+COUNTA(L$4:L$34)))+(INDIRECT(J$56&amp;ROW(N$4)-7+COUNTA(L$4:L$34))))/7</f>
        <v>#VALUE!</v>
      </c>
      <c r="M41" s="65"/>
      <c r="N41" s="68" t="e">
        <f ca="1">((INDIRECT(J$56&amp;ROW(N$4)-1+COUNTA(N$4:N$34)))+(INDIRECT(J$56&amp;ROW(N$4)-2+COUNTA(N$4:N$34)))+(INDIRECT(J$56&amp;ROW(N$4)-3+COUNTA(N$4:N$34)))+(INDIRECT(J$56&amp;ROW(N$4)-4+COUNTA(N$4:N$34)))+(INDIRECT(J$56&amp;ROW(N$4)-5+COUNTA(N$4:N$34)))+(INDIRECT(J$56&amp;ROW(N$4)-6+COUNTA(N$4:N$34)))+(INDIRECT(J$56&amp;ROW(N$4)-7+COUNTA(N$4:N$34))))/7</f>
        <v>#VALUE!</v>
      </c>
      <c r="O41" s="65"/>
      <c r="P41" s="68" t="e">
        <f ca="1">((INDIRECT(N$56&amp;ROW(R$4)-1+COUNTA(P$4:P$34)))+(INDIRECT(N$56&amp;ROW(R$4)-2+COUNTA(P$4:P$34)))+(INDIRECT(N$56&amp;ROW(R$4)-3+COUNTA(P$4:P$34)))+(INDIRECT(N$56&amp;ROW(R$4)-4+COUNTA(P$4:P$34)))+(INDIRECT(N$56&amp;ROW(R$4)-5+COUNTA(P$4:P$34)))+(INDIRECT(N$56&amp;ROW(R$4)-6+COUNTA(P$4:P$34)))+(INDIRECT(N$56&amp;ROW(R$4)-7+COUNTA(P$4:P$34))))/7</f>
        <v>#VALUE!</v>
      </c>
      <c r="Q41" s="65"/>
      <c r="R41" s="68">
        <f ca="1">((INDIRECT(R$56&amp;ROW(R$4)-1+COUNTA(R$4:R$34)))+(INDIRECT(R$56&amp;ROW(R$4)-2+COUNTA(R$4:R$34)))+(INDIRECT(R$56&amp;ROW(R$4)-3+COUNTA(R$4:R$34)))+(INDIRECT(R$56&amp;ROW(R$4)-4+COUNTA(R$4:R$34)))+(INDIRECT(R$56&amp;ROW(R$4)-5+COUNTA(R$4:R$34)))+(INDIRECT(R$56&amp;ROW(R$4)-6+COUNTA(R$4:R$34)))+(INDIRECT(R$56&amp;ROW(R$4)-7+COUNTA(R$4:R$34))))/7</f>
        <v>0</v>
      </c>
      <c r="S41" s="65"/>
      <c r="T41" s="68" t="e">
        <f ca="1">((INDIRECT(R$56&amp;ROW(V$4)-1+COUNTA(T$4:T$34)))+(INDIRECT(R$56&amp;ROW(V$4)-2+COUNTA(T$4:T$34)))+(INDIRECT(R$56&amp;ROW(V$4)-3+COUNTA(T$4:T$34)))+(INDIRECT(R$56&amp;ROW(V$4)-4+COUNTA(T$4:T$34)))+(INDIRECT(R$56&amp;ROW(V$4)-5+COUNTA(T$4:T$34)))+(INDIRECT(R$56&amp;ROW(V$4)-6+COUNTA(T$4:T$34)))+(INDIRECT(R$56&amp;ROW(V$4)-7+COUNTA(T$4:T$34))))/7</f>
        <v>#VALUE!</v>
      </c>
      <c r="U41" s="65"/>
      <c r="V41" s="68">
        <f ca="1">((INDIRECT(V$56&amp;ROW(V$4)-1+COUNTA(V$4:V$34)))+(INDIRECT(V$56&amp;ROW(V$4)-2+COUNTA(V$4:V$34)))+(INDIRECT(V$56&amp;ROW(V$4)-3+COUNTA(V$4:V$34)))+(INDIRECT(V$56&amp;ROW(V$4)-4+COUNTA(V$4:V$34)))+(INDIRECT(V$56&amp;ROW(V$4)-5+COUNTA(V$4:V$34)))+(INDIRECT(V$56&amp;ROW(V$4)-6+COUNTA(V$4:V$34)))+(INDIRECT(V$56&amp;ROW(V$4)-7+COUNTA(V$4:V$34))))/7</f>
        <v>0.5178571428571429</v>
      </c>
      <c r="W41" s="65"/>
      <c r="X41" s="68" t="e">
        <f ca="1">((INDIRECT(V$56&amp;ROW(Z$4)-1+COUNTA(X$4:X$34)))+(INDIRECT(V$56&amp;ROW(Z$4)-2+COUNTA(X$4:X$34)))+(INDIRECT(V$56&amp;ROW(Z$4)-3+COUNTA(X$4:X$34)))+(INDIRECT(V$56&amp;ROW(Z$4)-4+COUNTA(X$4:X$34)))+(INDIRECT(V$56&amp;ROW(Z$4)-5+COUNTA(X$4:X$34)))+(INDIRECT(V$56&amp;ROW(Z$4)-6+COUNTA(X$4:X$34)))+(INDIRECT(V$56&amp;ROW(Z$4)-7+COUNTA(X$4:X$34))))/7</f>
        <v>#VALUE!</v>
      </c>
      <c r="Y41" s="65"/>
      <c r="Z41" s="68" t="e">
        <f ca="1">((INDIRECT(Z$56&amp;ROW(Z$4)-1+COUNTA(Z$4:Z$34)))+(INDIRECT(Z$56&amp;ROW(Z$4)-2+COUNTA(Z$4:Z$34)))+(INDIRECT(Z$56&amp;ROW(Z$4)-3+COUNTA(Z$4:Z$34)))+(INDIRECT(Z$56&amp;ROW(Z$4)-4+COUNTA(Z$4:Z$34)))+(INDIRECT(Z$56&amp;ROW(Z$4)-5+COUNTA(Z$4:Z$34)))+(INDIRECT(Z$56&amp;ROW(Z$4)-6+COUNTA(Z$4:Z$34)))+(INDIRECT(Z$56&amp;ROW(Z$4)-7+COUNTA(Z$4:Z$34))))/7</f>
        <v>#VALUE!</v>
      </c>
      <c r="AA41" s="65"/>
      <c r="AB41" s="68" t="e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+(INDIRECT(Z$56&amp;ROW(AD$4)-6+COUNTA(AB$4:AB$34)))+(INDIRECT(Z$56&amp;ROW(AD$4)-7+COUNTA(AB$4:AB$34))))/7</f>
        <v>#VALUE!</v>
      </c>
      <c r="AC41" s="65"/>
      <c r="AD41" s="68" t="e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+(INDIRECT(AD$56&amp;ROW(AD$4)-6+COUNTA(AD$4:AD$34)))+(INDIRECT(AD$56&amp;ROW(AD$4)-7+COUNTA(AD$4:AD$34))))/7</f>
        <v>#VALUE!</v>
      </c>
      <c r="AE41" s="65"/>
      <c r="AF41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+(INDIRECT(AD$56&amp;ROW(AH$4)-6+COUNTA(AF$4:AF$34)))+(INDIRECT(AD$56&amp;ROW(AH$4)-7+COUNTA(AF$4:AF$34))))/7</f>
        <v>3.2957142857142854</v>
      </c>
      <c r="AG41" s="65"/>
      <c r="AH41" s="68" t="e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+(INDIRECT(AH$56&amp;ROW(AH$4)-6+COUNTA(AH$4:AH$34)))+(INDIRECT(AH$56&amp;ROW(AH$4)-7+COUNTA(AH$4:AH$34))))/7</f>
        <v>#VALUE!</v>
      </c>
      <c r="AI41" s="65"/>
      <c r="AJ41" s="68" t="e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+(INDIRECT(AH$56&amp;ROW(AL$4)-6+COUNTA(AJ$4:AJ$34)))+(INDIRECT(AH$56&amp;ROW(AL$4)-7+COUNTA(AJ$4:AJ$34))))/7</f>
        <v>#VALUE!</v>
      </c>
      <c r="AK41" s="65"/>
      <c r="AL41" s="68" t="e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+(INDIRECT(AL$56&amp;ROW(AL$4)-6+COUNTA(AL$4:AL$34)))+(INDIRECT(AL$56&amp;ROW(AL$4)-7+COUNTA(AL$4:AL$34))))/7</f>
        <v>#VALUE!</v>
      </c>
      <c r="AM41" s="65"/>
      <c r="AN41" s="68" t="e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+(INDIRECT(AN$56&amp;ROW(AN$4)-6+COUNTA(AN$4:AN$34)))+(INDIRECT(AN$56&amp;ROW(AN$4)-7+COUNTA(AN$4:AN$34))))/7</f>
        <v>#VALUE!</v>
      </c>
      <c r="AO41" s="65"/>
      <c r="AP41" s="68" t="e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+(INDIRECT(AP$56&amp;ROW(AP$4)-6+COUNTA(AP$4:AP$34)))+(INDIRECT(AP$56&amp;ROW(AP$4)-7+COUNTA(AP$4:AP$34))))/7</f>
        <v>#VALUE!</v>
      </c>
      <c r="AQ41" s="65"/>
      <c r="AR41" s="68" t="e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+(INDIRECT(AR$56&amp;ROW(AR$4)-6+COUNTA(AR$4:AR$34)))+(INDIRECT(AR$56&amp;ROW(AR$4)-7+COUNTA(AR$4:AR$34))))/7</f>
        <v>#VALUE!</v>
      </c>
      <c r="AS41" s="65"/>
      <c r="AT41" s="68" t="e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+(INDIRECT(AT$56&amp;ROW(AT$4)-6+COUNTA(AT$4:AT$34)))+(INDIRECT(AT$56&amp;ROW(AT$4)-7+COUNTA(AT$4:AT$34))))/7</f>
        <v>#VALUE!</v>
      </c>
      <c r="AU41" s="65"/>
    </row>
    <row r="42" spans="1:47" x14ac:dyDescent="0.2">
      <c r="A42" s="67" t="s">
        <v>54</v>
      </c>
      <c r="C42" s="69">
        <f>+C36-C3</f>
        <v>9.149999999999725E-2</v>
      </c>
      <c r="D42" s="69" t="e">
        <f>+D36-D3</f>
        <v>#DIV/0!</v>
      </c>
      <c r="E42" s="65"/>
      <c r="F42" s="69" t="e">
        <f>+F36-F3</f>
        <v>#DIV/0!</v>
      </c>
      <c r="G42" s="65"/>
      <c r="H42" s="69">
        <f>+H36-H3</f>
        <v>0</v>
      </c>
      <c r="I42" s="65"/>
      <c r="J42" s="69">
        <f>+J36-J3</f>
        <v>-0.06</v>
      </c>
      <c r="K42" s="65"/>
      <c r="L42" s="69">
        <f t="shared" ref="L42:AL42" si="27">+L36-L3</f>
        <v>0</v>
      </c>
      <c r="M42" s="65"/>
      <c r="N42" s="69">
        <f t="shared" si="27"/>
        <v>1.8125</v>
      </c>
      <c r="O42" s="65"/>
      <c r="P42" s="69" t="e">
        <f t="shared" si="27"/>
        <v>#DIV/0!</v>
      </c>
      <c r="Q42" s="65"/>
      <c r="R42" s="69">
        <f t="shared" si="27"/>
        <v>-1.9516129032258966E-2</v>
      </c>
      <c r="S42" s="65"/>
      <c r="T42" s="69">
        <f t="shared" si="27"/>
        <v>0</v>
      </c>
      <c r="U42" s="65"/>
      <c r="V42" s="69">
        <f t="shared" si="27"/>
        <v>-0.13919354838709808</v>
      </c>
      <c r="W42" s="65"/>
      <c r="X42" s="69">
        <f t="shared" si="27"/>
        <v>-0.125</v>
      </c>
      <c r="Y42" s="65"/>
      <c r="Z42" s="69">
        <f t="shared" si="27"/>
        <v>0</v>
      </c>
      <c r="AA42" s="65"/>
      <c r="AB42" s="69">
        <f t="shared" si="27"/>
        <v>0</v>
      </c>
      <c r="AC42" s="65"/>
      <c r="AD42" s="69">
        <f t="shared" si="27"/>
        <v>0</v>
      </c>
      <c r="AE42" s="65"/>
      <c r="AF42" s="69">
        <f t="shared" si="27"/>
        <v>-2.0161290322580516E-2</v>
      </c>
      <c r="AG42" s="65"/>
      <c r="AH42" s="69">
        <f t="shared" si="27"/>
        <v>0</v>
      </c>
      <c r="AI42" s="65"/>
      <c r="AJ42" s="69">
        <f t="shared" si="27"/>
        <v>0</v>
      </c>
      <c r="AK42" s="65"/>
      <c r="AL42" s="69">
        <f t="shared" si="27"/>
        <v>0</v>
      </c>
      <c r="AM42" s="65"/>
      <c r="AN42" s="69" t="e">
        <f>+AN36-AN3</f>
        <v>#DIV/0!</v>
      </c>
      <c r="AO42" s="65"/>
      <c r="AP42" s="69" t="e">
        <f>+AP36-AP3</f>
        <v>#DIV/0!</v>
      </c>
      <c r="AQ42" s="65"/>
      <c r="AR42" s="69" t="e">
        <f>+AR36-AR3</f>
        <v>#DIV/0!</v>
      </c>
      <c r="AS42" s="65"/>
      <c r="AT42" s="69">
        <f>+AT36-AT3</f>
        <v>0</v>
      </c>
      <c r="AU42" s="65"/>
    </row>
    <row r="56" spans="3:58" x14ac:dyDescent="0.2">
      <c r="C56" s="70" t="s">
        <v>55</v>
      </c>
      <c r="D56" s="70" t="s">
        <v>56</v>
      </c>
      <c r="E56" s="70" t="s">
        <v>57</v>
      </c>
      <c r="F56" s="70" t="s">
        <v>58</v>
      </c>
      <c r="G56" s="70" t="s">
        <v>57</v>
      </c>
      <c r="H56" s="70" t="s">
        <v>59</v>
      </c>
      <c r="I56" s="70" t="s">
        <v>57</v>
      </c>
      <c r="J56" s="70" t="s">
        <v>60</v>
      </c>
      <c r="K56" s="70" t="s">
        <v>57</v>
      </c>
      <c r="L56" s="70" t="s">
        <v>61</v>
      </c>
      <c r="M56" s="70" t="s">
        <v>57</v>
      </c>
      <c r="N56" s="70" t="s">
        <v>62</v>
      </c>
      <c r="O56" s="70" t="s">
        <v>57</v>
      </c>
      <c r="P56" s="70" t="s">
        <v>63</v>
      </c>
      <c r="Q56" s="70" t="s">
        <v>57</v>
      </c>
      <c r="R56" s="70" t="s">
        <v>64</v>
      </c>
      <c r="S56" s="70" t="s">
        <v>57</v>
      </c>
      <c r="T56" s="70" t="s">
        <v>65</v>
      </c>
      <c r="U56" s="70" t="s">
        <v>57</v>
      </c>
      <c r="V56" s="70" t="s">
        <v>66</v>
      </c>
      <c r="W56" s="70" t="s">
        <v>57</v>
      </c>
      <c r="X56" s="70" t="s">
        <v>67</v>
      </c>
      <c r="Y56" s="70" t="s">
        <v>57</v>
      </c>
      <c r="Z56" s="70" t="s">
        <v>68</v>
      </c>
      <c r="AA56" s="70" t="s">
        <v>57</v>
      </c>
      <c r="AB56" s="71" t="s">
        <v>69</v>
      </c>
      <c r="AC56" s="70" t="s">
        <v>57</v>
      </c>
      <c r="AD56" s="71" t="s">
        <v>70</v>
      </c>
      <c r="AE56" s="70" t="s">
        <v>57</v>
      </c>
      <c r="AF56" s="71" t="s">
        <v>17</v>
      </c>
      <c r="AG56" s="70" t="s">
        <v>57</v>
      </c>
      <c r="AH56" s="70" t="s">
        <v>71</v>
      </c>
      <c r="AI56" s="70" t="s">
        <v>57</v>
      </c>
      <c r="AJ56" s="70" t="s">
        <v>72</v>
      </c>
      <c r="AK56" s="70" t="s">
        <v>57</v>
      </c>
      <c r="AL56" s="70" t="s">
        <v>73</v>
      </c>
      <c r="AM56" s="70" t="s">
        <v>57</v>
      </c>
      <c r="AN56" s="70" t="s">
        <v>73</v>
      </c>
      <c r="AO56" s="70" t="s">
        <v>57</v>
      </c>
      <c r="AP56" s="70" t="s">
        <v>73</v>
      </c>
      <c r="AQ56" s="70" t="s">
        <v>57</v>
      </c>
      <c r="AR56" s="70" t="s">
        <v>73</v>
      </c>
      <c r="AS56" s="70" t="s">
        <v>57</v>
      </c>
      <c r="AT56" s="70" t="s">
        <v>73</v>
      </c>
      <c r="AU56" s="70" t="s">
        <v>57</v>
      </c>
      <c r="AV56" s="70" t="s">
        <v>74</v>
      </c>
      <c r="AW56" s="70" t="s">
        <v>75</v>
      </c>
      <c r="AX56" s="70" t="s">
        <v>76</v>
      </c>
      <c r="AY56" s="70" t="s">
        <v>77</v>
      </c>
      <c r="AZ56" s="70" t="s">
        <v>78</v>
      </c>
      <c r="BA56" s="70" t="s">
        <v>79</v>
      </c>
      <c r="BB56" s="70" t="s">
        <v>80</v>
      </c>
      <c r="BC56" s="70" t="s">
        <v>81</v>
      </c>
      <c r="BD56" s="70" t="s">
        <v>82</v>
      </c>
      <c r="BE56" s="70" t="s">
        <v>83</v>
      </c>
      <c r="BF56" s="70" t="s">
        <v>84</v>
      </c>
    </row>
  </sheetData>
  <phoneticPr fontId="0" type="noConversion"/>
  <pageMargins left="0.36" right="0.22" top="0.34" bottom="1" header="0.5" footer="0.5"/>
  <pageSetup paperSize="5" scale="5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49"/>
  <sheetViews>
    <sheetView topLeftCell="A4" zoomScale="80" workbookViewId="0">
      <selection activeCell="P42" sqref="N42:P43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L7">
        <v>15</v>
      </c>
      <c r="M7">
        <v>5.4550000000000001</v>
      </c>
      <c r="N7">
        <f t="shared" ref="N7:N12" si="2">L7*M7</f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K10">
        <f>2500*30</f>
        <v>75000</v>
      </c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f>7500*30</f>
        <v>225000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f>12500*30</f>
        <v>375000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4.0579999999999998</v>
      </c>
      <c r="C38" s="42" t="s">
        <v>13</v>
      </c>
      <c r="L38" s="17"/>
      <c r="M38" s="17"/>
    </row>
    <row r="39" spans="1:13" x14ac:dyDescent="0.2">
      <c r="B39">
        <f>Summary!B7</f>
        <v>4.0579999999999998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5"/>
  <sheetViews>
    <sheetView zoomScale="95" workbookViewId="0">
      <selection activeCell="G19" sqref="G19"/>
    </sheetView>
  </sheetViews>
  <sheetFormatPr defaultColWidth="12.7109375" defaultRowHeight="12.75" x14ac:dyDescent="0.2"/>
  <cols>
    <col min="1" max="1" width="9.85546875" style="47" bestFit="1" customWidth="1"/>
    <col min="2" max="2" width="11.85546875" customWidth="1"/>
    <col min="3" max="3" width="11.5703125" customWidth="1"/>
    <col min="4" max="4" width="12.42578125" bestFit="1" customWidth="1"/>
    <col min="5" max="5" width="11.42578125" customWidth="1"/>
    <col min="6" max="6" width="11" customWidth="1"/>
    <col min="7" max="7" width="11.140625" customWidth="1"/>
    <col min="8" max="8" width="14.42578125" bestFit="1" customWidth="1"/>
    <col min="9" max="9" width="15.42578125" bestFit="1" customWidth="1"/>
    <col min="10" max="10" width="8" bestFit="1" customWidth="1"/>
    <col min="11" max="11" width="10.7109375" bestFit="1" customWidth="1"/>
  </cols>
  <sheetData>
    <row r="1" spans="1:9" s="47" customFormat="1" x14ac:dyDescent="0.2">
      <c r="B1" s="48" t="s">
        <v>113</v>
      </c>
      <c r="C1" s="48" t="s">
        <v>31</v>
      </c>
      <c r="D1" s="48" t="s">
        <v>130</v>
      </c>
      <c r="E1" s="48" t="s">
        <v>34</v>
      </c>
      <c r="F1" s="48"/>
    </row>
    <row r="2" spans="1:9" s="47" customFormat="1" x14ac:dyDescent="0.2">
      <c r="B2" s="48"/>
      <c r="C2" s="48"/>
      <c r="D2" s="48"/>
      <c r="E2" s="48"/>
    </row>
    <row r="3" spans="1:9" x14ac:dyDescent="0.2">
      <c r="A3" s="7">
        <v>37043</v>
      </c>
      <c r="B3" s="123"/>
      <c r="C3" s="10"/>
      <c r="D3" s="104"/>
      <c r="E3" s="10"/>
      <c r="F3" s="124">
        <v>-0.06</v>
      </c>
      <c r="G3">
        <f>0.021-0.005</f>
        <v>1.6E-2</v>
      </c>
      <c r="H3">
        <f>G3*760000</f>
        <v>12160</v>
      </c>
    </row>
    <row r="4" spans="1:9" x14ac:dyDescent="0.2">
      <c r="A4" s="7">
        <v>37073</v>
      </c>
      <c r="B4" s="123">
        <f>-31-31</f>
        <v>-62</v>
      </c>
      <c r="C4" s="10"/>
      <c r="D4" s="10">
        <v>-31</v>
      </c>
      <c r="E4" s="10">
        <v>-139.5</v>
      </c>
      <c r="F4" s="124">
        <v>0.04</v>
      </c>
      <c r="G4">
        <v>1.4999999999999999E-2</v>
      </c>
      <c r="H4">
        <f>G4*900000</f>
        <v>13500</v>
      </c>
    </row>
    <row r="5" spans="1:9" x14ac:dyDescent="0.2">
      <c r="A5" s="7">
        <v>37104</v>
      </c>
      <c r="B5" s="123">
        <f>-31-31</f>
        <v>-62</v>
      </c>
      <c r="C5" s="10"/>
      <c r="D5" s="10">
        <v>-31</v>
      </c>
      <c r="E5" s="10"/>
      <c r="F5" s="124">
        <v>7.0000000000000007E-2</v>
      </c>
      <c r="H5">
        <f>SUM(H3:H4)</f>
        <v>25660</v>
      </c>
    </row>
    <row r="6" spans="1:9" x14ac:dyDescent="0.2">
      <c r="A6" s="7">
        <v>37135</v>
      </c>
      <c r="B6" s="123">
        <f>-30-30</f>
        <v>-60</v>
      </c>
      <c r="C6" s="10"/>
      <c r="D6" s="10">
        <v>-30</v>
      </c>
      <c r="E6" s="10"/>
      <c r="F6" s="124">
        <v>0.04</v>
      </c>
    </row>
    <row r="7" spans="1:9" x14ac:dyDescent="0.2">
      <c r="A7" s="7">
        <v>37165</v>
      </c>
      <c r="B7" s="123"/>
      <c r="C7" s="10"/>
      <c r="D7" s="10"/>
      <c r="E7" s="10"/>
      <c r="F7" s="124">
        <v>1.4999999999999999E-2</v>
      </c>
    </row>
    <row r="8" spans="1:9" x14ac:dyDescent="0.2">
      <c r="A8" s="7">
        <v>37196</v>
      </c>
      <c r="B8" s="10"/>
      <c r="C8" s="10"/>
      <c r="D8" s="10"/>
      <c r="E8" s="10"/>
      <c r="F8" s="10"/>
    </row>
    <row r="9" spans="1:9" x14ac:dyDescent="0.2">
      <c r="A9" s="7">
        <v>37226</v>
      </c>
      <c r="B9" s="10"/>
      <c r="C9" s="10"/>
      <c r="D9" s="10"/>
      <c r="E9" s="10"/>
      <c r="F9" s="10"/>
    </row>
    <row r="10" spans="1:9" x14ac:dyDescent="0.2">
      <c r="A10" s="7">
        <v>37257</v>
      </c>
      <c r="B10" s="10"/>
      <c r="C10" s="10"/>
      <c r="D10" s="10"/>
      <c r="E10" s="10"/>
      <c r="F10" s="10"/>
    </row>
    <row r="11" spans="1:9" x14ac:dyDescent="0.2">
      <c r="A11" s="7">
        <v>37288</v>
      </c>
      <c r="B11" s="10"/>
      <c r="C11" s="10"/>
      <c r="D11" s="10"/>
      <c r="E11" s="10"/>
      <c r="F11" s="10"/>
    </row>
    <row r="12" spans="1:9" x14ac:dyDescent="0.2">
      <c r="A12" s="7">
        <v>37316</v>
      </c>
      <c r="B12" s="10"/>
      <c r="C12" s="10"/>
      <c r="D12" s="10"/>
      <c r="E12" s="10"/>
      <c r="F12" s="10"/>
    </row>
    <row r="13" spans="1:9" x14ac:dyDescent="0.2">
      <c r="A13" s="7">
        <v>37347</v>
      </c>
      <c r="B13" s="10"/>
      <c r="C13" s="10"/>
      <c r="D13" s="10"/>
      <c r="E13" s="10"/>
      <c r="F13" s="10"/>
    </row>
    <row r="14" spans="1:9" x14ac:dyDescent="0.2">
      <c r="A14" s="7">
        <v>37377</v>
      </c>
      <c r="B14" s="10"/>
      <c r="C14" s="10"/>
      <c r="D14" s="10"/>
      <c r="E14" s="10"/>
      <c r="F14" s="10"/>
      <c r="I14">
        <f>4.5*31</f>
        <v>139.5</v>
      </c>
    </row>
    <row r="15" spans="1:9" x14ac:dyDescent="0.2">
      <c r="A15" s="7">
        <v>37408</v>
      </c>
      <c r="B15" s="10"/>
      <c r="C15" s="10"/>
      <c r="D15" s="10"/>
      <c r="E15" s="10"/>
      <c r="F15" s="10"/>
    </row>
    <row r="16" spans="1:9" x14ac:dyDescent="0.2">
      <c r="A16" s="7">
        <v>37438</v>
      </c>
      <c r="B16" s="10"/>
      <c r="C16" s="10"/>
      <c r="D16" s="10"/>
      <c r="E16" s="104"/>
      <c r="F16" s="104"/>
    </row>
    <row r="17" spans="1:8" x14ac:dyDescent="0.2">
      <c r="A17" s="7"/>
      <c r="B17" s="123">
        <f>SUM(B3:B16)</f>
        <v>-184</v>
      </c>
      <c r="C17" s="123">
        <f>SUM(C3:C16)</f>
        <v>0</v>
      </c>
      <c r="D17" s="123">
        <f>SUM(D3:D16)</f>
        <v>-92</v>
      </c>
      <c r="E17" s="10"/>
      <c r="F17" s="10"/>
    </row>
    <row r="18" spans="1:8" x14ac:dyDescent="0.2">
      <c r="A18" s="7"/>
      <c r="B18" s="10"/>
      <c r="C18" s="10"/>
      <c r="D18" s="10"/>
      <c r="E18" s="10"/>
      <c r="F18" s="10"/>
    </row>
    <row r="19" spans="1:8" x14ac:dyDescent="0.2">
      <c r="A19" s="7"/>
      <c r="B19" s="10">
        <f>SUM(B17:E17)</f>
        <v>-276</v>
      </c>
      <c r="C19" s="10">
        <f>SUM(C17:F17)</f>
        <v>-92</v>
      </c>
      <c r="D19" s="10">
        <f>SUM(D17:G17)</f>
        <v>-92</v>
      </c>
      <c r="E19" s="10"/>
      <c r="F19" s="10"/>
    </row>
    <row r="20" spans="1:8" x14ac:dyDescent="0.2">
      <c r="A20" s="7"/>
      <c r="B20" s="10"/>
      <c r="C20" s="10"/>
      <c r="D20" s="10"/>
      <c r="E20" s="10"/>
      <c r="F20" s="10"/>
    </row>
    <row r="21" spans="1:8" x14ac:dyDescent="0.2">
      <c r="A21" s="7"/>
      <c r="B21" s="10"/>
      <c r="C21" s="10"/>
      <c r="D21" s="10"/>
      <c r="E21" s="10"/>
      <c r="F21" s="10"/>
    </row>
    <row r="22" spans="1:8" x14ac:dyDescent="0.2">
      <c r="A22" s="7"/>
      <c r="B22" s="10"/>
      <c r="C22" s="10"/>
      <c r="D22" s="10">
        <f>270*10000</f>
        <v>2700000</v>
      </c>
      <c r="E22" s="10"/>
      <c r="F22" s="10"/>
    </row>
    <row r="23" spans="1:8" x14ac:dyDescent="0.2">
      <c r="A23" s="7"/>
      <c r="B23" s="10"/>
      <c r="C23" s="10"/>
      <c r="D23" s="10">
        <f>D22*0.0075</f>
        <v>20250</v>
      </c>
      <c r="E23" s="10"/>
      <c r="F23" s="10"/>
    </row>
    <row r="24" spans="1:8" x14ac:dyDescent="0.2">
      <c r="A24" s="7"/>
      <c r="B24" s="10"/>
      <c r="C24" s="10"/>
      <c r="D24" s="10"/>
      <c r="E24" s="10"/>
      <c r="F24" s="10"/>
    </row>
    <row r="25" spans="1:8" x14ac:dyDescent="0.2">
      <c r="A25" s="7"/>
      <c r="B25" s="10"/>
      <c r="C25" s="10"/>
      <c r="D25" s="10"/>
      <c r="E25" s="10"/>
      <c r="F25" s="10"/>
    </row>
    <row r="26" spans="1:8" x14ac:dyDescent="0.2">
      <c r="A26" s="7"/>
      <c r="B26" s="10"/>
      <c r="C26" s="10"/>
      <c r="D26" s="10"/>
      <c r="E26" s="10"/>
      <c r="F26" s="10"/>
    </row>
    <row r="27" spans="1:8" x14ac:dyDescent="0.2">
      <c r="A27" s="7"/>
      <c r="B27" s="10"/>
      <c r="C27" s="10"/>
      <c r="D27" s="10"/>
      <c r="E27" s="10"/>
      <c r="F27" s="10"/>
    </row>
    <row r="28" spans="1:8" x14ac:dyDescent="0.2">
      <c r="A28" s="7"/>
      <c r="B28" s="10"/>
      <c r="C28" s="10"/>
      <c r="D28" s="10"/>
      <c r="E28" s="10"/>
      <c r="F28" s="10"/>
    </row>
    <row r="29" spans="1:8" x14ac:dyDescent="0.2">
      <c r="A29" s="7"/>
      <c r="B29" s="10"/>
      <c r="C29" s="10"/>
      <c r="D29" s="10"/>
      <c r="E29" s="10"/>
      <c r="F29" s="10"/>
    </row>
    <row r="30" spans="1:8" x14ac:dyDescent="0.2">
      <c r="A30" s="7"/>
      <c r="B30" s="10"/>
      <c r="C30" s="10"/>
      <c r="D30" s="10"/>
      <c r="E30" s="10"/>
      <c r="F30" s="10"/>
    </row>
    <row r="31" spans="1:8" x14ac:dyDescent="0.2">
      <c r="A31" s="7"/>
      <c r="B31" s="10"/>
      <c r="C31" s="10"/>
      <c r="D31" s="10"/>
      <c r="E31" s="10"/>
      <c r="F31" s="10"/>
      <c r="G31" s="3"/>
      <c r="H31" s="3"/>
    </row>
    <row r="32" spans="1:8" x14ac:dyDescent="0.2">
      <c r="A32" s="7"/>
      <c r="B32" s="10"/>
      <c r="C32" s="10"/>
      <c r="D32" s="10"/>
      <c r="E32" s="10"/>
      <c r="F32" s="10"/>
    </row>
    <row r="33" spans="1:12" x14ac:dyDescent="0.2">
      <c r="A33" s="7"/>
      <c r="B33" s="10"/>
      <c r="C33" s="10"/>
      <c r="D33" s="10"/>
      <c r="E33" s="10"/>
      <c r="F33" s="10"/>
    </row>
    <row r="34" spans="1:12" x14ac:dyDescent="0.2">
      <c r="A34" s="7"/>
      <c r="B34" s="3"/>
      <c r="C34" s="3"/>
      <c r="D34" s="3"/>
      <c r="E34" s="3"/>
      <c r="F34" s="3"/>
      <c r="G34" s="79"/>
      <c r="H34" s="82"/>
      <c r="I34" s="79"/>
      <c r="J34" s="79"/>
      <c r="K34" s="80"/>
      <c r="L34" s="80"/>
    </row>
    <row r="35" spans="1:12" x14ac:dyDescent="0.2">
      <c r="E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49"/>
  <sheetViews>
    <sheetView zoomScale="80" workbookViewId="0">
      <selection activeCell="E2" sqref="E2"/>
    </sheetView>
  </sheetViews>
  <sheetFormatPr defaultRowHeight="12.75" x14ac:dyDescent="0.2"/>
  <cols>
    <col min="1" max="1" width="10.140625" style="32" bestFit="1" customWidth="1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/>
      <c r="F1" s="15"/>
      <c r="G1" s="18"/>
      <c r="I1" s="19"/>
      <c r="K1" s="1"/>
    </row>
    <row r="2" spans="1:14" x14ac:dyDescent="0.2">
      <c r="A2" s="20">
        <v>37.75</v>
      </c>
      <c r="B2" s="15">
        <v>4.1550000000000002</v>
      </c>
      <c r="C2" s="16">
        <f t="shared" ref="C2:C31" si="0">A2*B2*10000</f>
        <v>1568512.5000000002</v>
      </c>
      <c r="D2" s="17"/>
      <c r="E2" s="21">
        <v>37.75</v>
      </c>
      <c r="F2" s="22">
        <v>4.28</v>
      </c>
      <c r="G2" s="23">
        <f t="shared" ref="G2:G31" si="1">E2*F2*10000</f>
        <v>1615700.0000000002</v>
      </c>
      <c r="I2" s="24"/>
    </row>
    <row r="3" spans="1:14" x14ac:dyDescent="0.2">
      <c r="A3" s="20">
        <v>37.75</v>
      </c>
      <c r="B3" s="15">
        <v>4.16</v>
      </c>
      <c r="C3" s="16">
        <f t="shared" si="0"/>
        <v>1570400</v>
      </c>
      <c r="D3" s="17"/>
      <c r="E3" s="25">
        <v>37.75</v>
      </c>
      <c r="F3" s="15">
        <v>4.3049999999999997</v>
      </c>
      <c r="G3" s="23">
        <f t="shared" si="1"/>
        <v>1625137.4999999998</v>
      </c>
      <c r="I3" s="13"/>
      <c r="K3" s="26"/>
    </row>
    <row r="4" spans="1:14" x14ac:dyDescent="0.2">
      <c r="A4" s="27">
        <v>37.75</v>
      </c>
      <c r="B4" s="22">
        <v>4.2750000000000004</v>
      </c>
      <c r="C4" s="16">
        <f t="shared" si="0"/>
        <v>1613812.5000000002</v>
      </c>
      <c r="D4" s="17"/>
      <c r="E4" s="25">
        <v>37.75</v>
      </c>
      <c r="F4" s="15">
        <v>4.38</v>
      </c>
      <c r="G4" s="23">
        <f t="shared" si="1"/>
        <v>1653450</v>
      </c>
      <c r="J4" s="24"/>
      <c r="K4" s="17">
        <f>4.69+0.032</f>
        <v>4.7220000000000004</v>
      </c>
    </row>
    <row r="5" spans="1:14" x14ac:dyDescent="0.2">
      <c r="A5" s="27">
        <v>37.75</v>
      </c>
      <c r="B5" s="22">
        <v>4.28</v>
      </c>
      <c r="C5" s="16">
        <f t="shared" si="0"/>
        <v>1615700.0000000002</v>
      </c>
      <c r="D5" s="17"/>
      <c r="E5" s="21">
        <v>37.75</v>
      </c>
      <c r="F5" s="22">
        <v>4.3650000000000002</v>
      </c>
      <c r="G5" s="23">
        <f t="shared" si="1"/>
        <v>1647787.5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K19">
        <f>2500*151</f>
        <v>377500</v>
      </c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  <c r="K22">
        <f>151/4</f>
        <v>37.75</v>
      </c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112">
        <f>SUM(A1:A32)</f>
        <v>151</v>
      </c>
      <c r="B33" s="15">
        <f>IF(A33=0, 0, C33/A33/10000)</f>
        <v>4.2175000000000002</v>
      </c>
      <c r="C33" s="16">
        <f>SUM(C1:C32)</f>
        <v>6368425</v>
      </c>
      <c r="E33" s="112">
        <f>SUM(E1:E32)</f>
        <v>151</v>
      </c>
      <c r="F33" s="15">
        <f>IF(E33=0, 0, G33/E33/10000)</f>
        <v>4.3324999999999996</v>
      </c>
      <c r="G33" s="23">
        <f>SUM(G1:G32)</f>
        <v>6542075</v>
      </c>
      <c r="I33" s="36">
        <f>MIN(A33,E33)*(B33-F33)*10000</f>
        <v>-173649.99999999898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4.3324999999999996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111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4.3500000000000005</v>
      </c>
      <c r="C38" s="42" t="s">
        <v>13</v>
      </c>
      <c r="L38" s="17"/>
      <c r="M38" s="17"/>
    </row>
    <row r="39" spans="1:13" x14ac:dyDescent="0.2">
      <c r="B39">
        <f>Summary!B10</f>
        <v>4.3500000000000005</v>
      </c>
      <c r="C39" s="42" t="s">
        <v>14</v>
      </c>
      <c r="I39" s="43">
        <f>I33+I35</f>
        <v>-173649.99999999898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49"/>
  <sheetViews>
    <sheetView zoomScale="80" workbookViewId="0">
      <selection activeCell="B3" sqref="B3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30.75</v>
      </c>
      <c r="B2" s="15">
        <v>4.03</v>
      </c>
      <c r="C2" s="16">
        <f t="shared" ref="C2:C31" si="0">A2*B2*10000</f>
        <v>1239225.0000000002</v>
      </c>
      <c r="D2" s="17"/>
      <c r="E2" s="21">
        <v>61.5</v>
      </c>
      <c r="F2" s="22">
        <v>4.0250000000000004</v>
      </c>
      <c r="G2" s="23">
        <f t="shared" ref="G2:G31" si="1">E2*F2*10000</f>
        <v>2475375</v>
      </c>
      <c r="I2" s="24"/>
    </row>
    <row r="3" spans="1:14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5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 t="s">
        <v>102</v>
      </c>
      <c r="M17" s="5">
        <v>31</v>
      </c>
      <c r="N17" s="5">
        <f>M17/2</f>
        <v>15.5</v>
      </c>
      <c r="O17" s="5">
        <f>M17/4</f>
        <v>7.75</v>
      </c>
    </row>
    <row r="18" spans="1:15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  <c r="L18" t="s">
        <v>105</v>
      </c>
      <c r="M18" s="5">
        <v>31</v>
      </c>
      <c r="N18" s="5">
        <f>M18/2</f>
        <v>15.5</v>
      </c>
      <c r="O18" s="5">
        <f>M18/4</f>
        <v>7.75</v>
      </c>
    </row>
    <row r="19" spans="1:15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 t="s">
        <v>128</v>
      </c>
      <c r="M19" s="5">
        <v>30</v>
      </c>
      <c r="N19" s="5">
        <f>M19/2</f>
        <v>15</v>
      </c>
      <c r="O19" s="5">
        <f>M19/4</f>
        <v>7.5</v>
      </c>
    </row>
    <row r="20" spans="1:15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L20" t="s">
        <v>111</v>
      </c>
      <c r="M20" s="5">
        <v>31</v>
      </c>
      <c r="N20" s="5">
        <f>M20/2</f>
        <v>15.5</v>
      </c>
      <c r="O20" s="5">
        <f>M20/4</f>
        <v>7.75</v>
      </c>
    </row>
    <row r="21" spans="1:15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5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5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5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5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5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5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5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5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5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5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5" x14ac:dyDescent="0.2">
      <c r="E32" s="32"/>
      <c r="G32" s="34"/>
    </row>
    <row r="33" spans="1:13" x14ac:dyDescent="0.2">
      <c r="A33" s="25">
        <f>SUM(A1:A32)</f>
        <v>30.75</v>
      </c>
      <c r="B33" s="15">
        <f>IF(A33=0, 0, C33/A33/10000)</f>
        <v>4.0300000000000011</v>
      </c>
      <c r="C33" s="16">
        <f>SUM(C1:C32)</f>
        <v>1239225.0000000002</v>
      </c>
      <c r="E33" s="25">
        <f>SUM(E1:E32)</f>
        <v>61.5</v>
      </c>
      <c r="F33" s="15">
        <f>IF(E33=0, 0, G33/E33/10000)</f>
        <v>4.0250000000000004</v>
      </c>
      <c r="G33" s="23">
        <f>SUM(G1:G32)</f>
        <v>2475375</v>
      </c>
      <c r="I33" s="36">
        <f>MIN(A33,E33)*(B33-F33)*10000</f>
        <v>1537.5000000002403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30.75</v>
      </c>
      <c r="F35">
        <f>IF(E35&lt;0,B33,F33)</f>
        <v>4.0250000000000004</v>
      </c>
      <c r="G35" s="39">
        <f>IF(E35&lt;0, (F35-B38)*ABS(E35)*10000, -1*(F35-B38)*ABS(E35)*10000)</f>
        <v>3074.9999999999345</v>
      </c>
      <c r="I35" s="36">
        <f>G35</f>
        <v>3074.9999999999345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30.75</v>
      </c>
      <c r="F37">
        <f>IF(E37&lt;0, (B33+(I33/(ABS(E37)*10000))), IF(E37 = 0, 0, (F33-(I33/(ABS(E37)*10000)))))</f>
        <v>4.0199999999999996</v>
      </c>
      <c r="G37" s="39">
        <f>IF(E37&lt;0, (F37-B38)*ABS(E37)*10000, IF(E37 = 0, 0, -1*(F37-B38)*ABS(E37)*10000))</f>
        <v>4612.5000000001746</v>
      </c>
      <c r="I37" s="40">
        <f>G37</f>
        <v>4612.5000000001746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4.0350000000000001</v>
      </c>
      <c r="C38" s="42" t="s">
        <v>13</v>
      </c>
      <c r="L38" s="17"/>
      <c r="M38" s="17"/>
    </row>
    <row r="39" spans="1:13" x14ac:dyDescent="0.2">
      <c r="B39">
        <f>Summary!B11</f>
        <v>4.0350000000000001</v>
      </c>
      <c r="C39" s="42" t="s">
        <v>14</v>
      </c>
      <c r="I39" s="43">
        <f>I33+I35</f>
        <v>4612.5000000001746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49"/>
  <sheetViews>
    <sheetView zoomScale="80" workbookViewId="0">
      <selection activeCell="B4" sqref="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37.75</v>
      </c>
      <c r="B2" s="15">
        <f>5.41-0.177</f>
        <v>5.2330000000000005</v>
      </c>
      <c r="C2" s="16">
        <f t="shared" ref="C2:C31" si="0">A2*B2*10000</f>
        <v>1975457.5000000002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>
        <v>15.5</v>
      </c>
      <c r="B3" s="15">
        <v>5.28</v>
      </c>
      <c r="C3" s="16">
        <f t="shared" si="0"/>
        <v>818400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K20">
        <f>2500*30</f>
        <v>75000</v>
      </c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25">
        <f>SUM(A1:A32)</f>
        <v>53.25</v>
      </c>
      <c r="B33" s="15">
        <f>IF(A33=0, 0, C33/A33/10000)</f>
        <v>5.2466807511737086</v>
      </c>
      <c r="C33" s="16">
        <f>SUM(C1:C32)</f>
        <v>2793857.5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-53.25</v>
      </c>
      <c r="F35">
        <f>IF(E35&lt;0,B33,F33)</f>
        <v>5.2466807511737086</v>
      </c>
      <c r="G35" s="39">
        <f>IF(E35&lt;0, (F35-B38)*ABS(E35)*10000, -1*(F35-B38)*ABS(E35)*10000)</f>
        <v>-108267.50000000028</v>
      </c>
      <c r="I35" s="36">
        <f>G35</f>
        <v>-108267.50000000028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-53.25</v>
      </c>
      <c r="F37">
        <f>IF(E37&lt;0, (B33+(I33/(ABS(E37)*10000))), IF(E37 = 0, 0, (F33-(I33/(ABS(E37)*10000)))))</f>
        <v>5.2466807511737086</v>
      </c>
      <c r="G37" s="39">
        <f>IF(E37&lt;0, (F37-B38)*ABS(E37)*10000, IF(E37 = 0, 0, -1*(F37-B38)*ABS(E37)*10000))</f>
        <v>-108267.50000000028</v>
      </c>
      <c r="I37" s="40">
        <f>G37</f>
        <v>-108267.50000000028</v>
      </c>
      <c r="J37" s="41"/>
      <c r="K37" s="41" t="s">
        <v>11</v>
      </c>
      <c r="L37" s="17"/>
      <c r="M37" s="17" t="s">
        <v>12</v>
      </c>
    </row>
    <row r="38" spans="1:13" x14ac:dyDescent="0.2">
      <c r="B38">
        <v>5.45</v>
      </c>
      <c r="C38" s="42" t="s">
        <v>13</v>
      </c>
      <c r="L38" s="17"/>
      <c r="M38" s="17"/>
    </row>
    <row r="39" spans="1:13" x14ac:dyDescent="0.2">
      <c r="B39">
        <f>Summary!B11</f>
        <v>4.0350000000000001</v>
      </c>
      <c r="C39" s="42" t="s">
        <v>14</v>
      </c>
      <c r="I39" s="43">
        <f>I33+I35</f>
        <v>-108267.50000000028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opLeftCell="C1" workbookViewId="0">
      <selection activeCell="M11" sqref="M11"/>
    </sheetView>
  </sheetViews>
  <sheetFormatPr defaultRowHeight="12.75" x14ac:dyDescent="0.2"/>
  <sheetData>
    <row r="1" spans="3:14" x14ac:dyDescent="0.2">
      <c r="C1" s="129" t="s">
        <v>31</v>
      </c>
      <c r="D1" s="129"/>
      <c r="E1" s="2">
        <f>Summary!B5+0.03-0.025</f>
        <v>3.9550000000000001</v>
      </c>
      <c r="F1" s="2"/>
      <c r="G1" s="2"/>
      <c r="H1" s="129" t="s">
        <v>112</v>
      </c>
      <c r="I1" s="129"/>
      <c r="J1">
        <f>Summary!B5+0.03</f>
        <v>3.98</v>
      </c>
      <c r="L1" s="129" t="s">
        <v>121</v>
      </c>
      <c r="M1" s="129"/>
      <c r="N1">
        <f>Summary!D1+0.015</f>
        <v>3.9650000000000003</v>
      </c>
    </row>
    <row r="2" spans="3:14" x14ac:dyDescent="0.2">
      <c r="C2" s="2"/>
      <c r="D2" s="2"/>
      <c r="E2" s="2"/>
      <c r="F2" s="2"/>
      <c r="G2" s="2"/>
      <c r="H2" s="2"/>
      <c r="I2" s="2"/>
    </row>
    <row r="3" spans="3:14" x14ac:dyDescent="0.2">
      <c r="E3">
        <f t="shared" ref="E3:E20" si="0">($E$1-D3)*(C3*10000)</f>
        <v>0</v>
      </c>
      <c r="J3">
        <f>($J$1-I3)*(H3*10000)</f>
        <v>0</v>
      </c>
      <c r="N3">
        <f>($N$1-M3)*(L3*10000)</f>
        <v>0</v>
      </c>
    </row>
    <row r="4" spans="3:14" x14ac:dyDescent="0.2">
      <c r="E4">
        <f t="shared" si="0"/>
        <v>0</v>
      </c>
      <c r="J4">
        <f>($J$1-I4)*(H4*10000)</f>
        <v>0</v>
      </c>
      <c r="N4">
        <f>($J$1-M4)*(L4*10000)</f>
        <v>0</v>
      </c>
    </row>
    <row r="5" spans="3:14" x14ac:dyDescent="0.2">
      <c r="E5">
        <f t="shared" si="0"/>
        <v>0</v>
      </c>
      <c r="J5">
        <f>($J$1-I5)*(H5*10000)</f>
        <v>0</v>
      </c>
      <c r="N5">
        <f>($J$1-M5)*(L5*10000)</f>
        <v>0</v>
      </c>
    </row>
    <row r="6" spans="3:14" x14ac:dyDescent="0.2">
      <c r="E6">
        <f t="shared" si="0"/>
        <v>0</v>
      </c>
    </row>
    <row r="7" spans="3:14" x14ac:dyDescent="0.2">
      <c r="E7">
        <f t="shared" si="0"/>
        <v>0</v>
      </c>
    </row>
    <row r="8" spans="3:14" x14ac:dyDescent="0.2">
      <c r="E8">
        <f t="shared" si="0"/>
        <v>0</v>
      </c>
    </row>
    <row r="9" spans="3:14" x14ac:dyDescent="0.2">
      <c r="E9">
        <f t="shared" si="0"/>
        <v>0</v>
      </c>
    </row>
    <row r="10" spans="3:14" x14ac:dyDescent="0.2">
      <c r="E10">
        <f t="shared" si="0"/>
        <v>0</v>
      </c>
    </row>
    <row r="11" spans="3:14" x14ac:dyDescent="0.2">
      <c r="E11">
        <f t="shared" si="0"/>
        <v>0</v>
      </c>
    </row>
    <row r="12" spans="3:14" x14ac:dyDescent="0.2">
      <c r="E12">
        <f t="shared" si="0"/>
        <v>0</v>
      </c>
    </row>
    <row r="13" spans="3:14" x14ac:dyDescent="0.2">
      <c r="E13">
        <f t="shared" si="0"/>
        <v>0</v>
      </c>
    </row>
    <row r="14" spans="3:14" x14ac:dyDescent="0.2">
      <c r="E14">
        <f t="shared" si="0"/>
        <v>0</v>
      </c>
    </row>
    <row r="15" spans="3:14" x14ac:dyDescent="0.2">
      <c r="E15">
        <f t="shared" si="0"/>
        <v>0</v>
      </c>
    </row>
    <row r="16" spans="3:14" x14ac:dyDescent="0.2">
      <c r="E16">
        <f t="shared" si="0"/>
        <v>0</v>
      </c>
    </row>
    <row r="17" spans="3:14" x14ac:dyDescent="0.2">
      <c r="E17">
        <f t="shared" si="0"/>
        <v>0</v>
      </c>
    </row>
    <row r="18" spans="3:14" x14ac:dyDescent="0.2">
      <c r="E18">
        <f t="shared" si="0"/>
        <v>0</v>
      </c>
    </row>
    <row r="19" spans="3:14" x14ac:dyDescent="0.2">
      <c r="E19">
        <f t="shared" si="0"/>
        <v>0</v>
      </c>
    </row>
    <row r="20" spans="3:14" x14ac:dyDescent="0.2">
      <c r="E20">
        <f t="shared" si="0"/>
        <v>0</v>
      </c>
    </row>
    <row r="22" spans="3:14" x14ac:dyDescent="0.2">
      <c r="C22">
        <f>SUM(C3:C21)</f>
        <v>0</v>
      </c>
      <c r="E22">
        <f>SUM(E3:E20)</f>
        <v>0</v>
      </c>
      <c r="H22">
        <f>SUM(H3:H14)</f>
        <v>0</v>
      </c>
      <c r="J22">
        <f>SUM(J3:J14)</f>
        <v>0</v>
      </c>
      <c r="L22">
        <f>SUM(L3:L14)</f>
        <v>0</v>
      </c>
      <c r="N22">
        <f>SUM(N3:N14)</f>
        <v>0</v>
      </c>
    </row>
    <row r="25" spans="3:14" x14ac:dyDescent="0.2">
      <c r="F25" s="2" t="s">
        <v>118</v>
      </c>
      <c r="G25" s="2" t="s">
        <v>91</v>
      </c>
    </row>
    <row r="26" spans="3:14" x14ac:dyDescent="0.2">
      <c r="F26" s="125">
        <f>C22+H22+L22</f>
        <v>0</v>
      </c>
      <c r="G26" s="125">
        <f>E22+J22+N22</f>
        <v>0</v>
      </c>
    </row>
  </sheetData>
  <mergeCells count="3">
    <mergeCell ref="C1:D1"/>
    <mergeCell ref="H1:I1"/>
    <mergeCell ref="L1:M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AF37"/>
  <sheetViews>
    <sheetView topLeftCell="B2" zoomScale="85" workbookViewId="0">
      <selection activeCell="D4" sqref="D4:D33"/>
    </sheetView>
  </sheetViews>
  <sheetFormatPr defaultRowHeight="12.75" x14ac:dyDescent="0.2"/>
  <cols>
    <col min="1" max="1" width="9.28515625" bestFit="1" customWidth="1"/>
    <col min="7" max="8" width="9.85546875" bestFit="1" customWidth="1"/>
    <col min="13" max="13" width="7.28515625" customWidth="1"/>
    <col min="16" max="16" width="13.140625" style="2" customWidth="1"/>
    <col min="17" max="17" width="2.85546875" style="8" customWidth="1"/>
    <col min="31" max="31" width="2.7109375" style="8" customWidth="1"/>
    <col min="32" max="32" width="10.85546875" bestFit="1" customWidth="1"/>
  </cols>
  <sheetData>
    <row r="1" spans="1:32" x14ac:dyDescent="0.2">
      <c r="B1" s="2" t="s">
        <v>0</v>
      </c>
    </row>
    <row r="2" spans="1:32" x14ac:dyDescent="0.2">
      <c r="B2" s="6">
        <v>5.3</v>
      </c>
      <c r="C2" s="4"/>
      <c r="P2" s="2" t="s">
        <v>4</v>
      </c>
    </row>
    <row r="3" spans="1:32" x14ac:dyDescent="0.2">
      <c r="B3" s="5">
        <v>0</v>
      </c>
      <c r="C3" t="s">
        <v>1</v>
      </c>
      <c r="D3" s="5">
        <v>3.74</v>
      </c>
      <c r="E3" s="5">
        <v>3.64</v>
      </c>
      <c r="F3" s="5">
        <v>3.65</v>
      </c>
      <c r="G3" s="5">
        <v>3.66</v>
      </c>
      <c r="H3" s="5">
        <v>3.8250000000000002</v>
      </c>
      <c r="I3" s="5"/>
      <c r="J3" s="5"/>
      <c r="K3" s="5"/>
      <c r="L3" s="5"/>
      <c r="M3" s="5"/>
      <c r="N3" s="5"/>
      <c r="O3" s="5"/>
      <c r="AF3" t="s">
        <v>3</v>
      </c>
    </row>
    <row r="4" spans="1:32" x14ac:dyDescent="0.2">
      <c r="A4" s="107">
        <v>36951</v>
      </c>
      <c r="B4">
        <f t="shared" ref="B4:B34" si="0">B$2+B$3</f>
        <v>5.3</v>
      </c>
      <c r="C4" s="5">
        <f>GasDaily!R4</f>
        <v>3.83</v>
      </c>
      <c r="D4" s="3">
        <v>29387</v>
      </c>
      <c r="E4" s="3">
        <v>-5000</v>
      </c>
      <c r="F4" s="3">
        <v>-5000</v>
      </c>
      <c r="G4" s="3">
        <v>-5000</v>
      </c>
      <c r="H4" s="3">
        <v>1000</v>
      </c>
      <c r="I4" s="3"/>
      <c r="J4" s="3"/>
      <c r="K4" s="3"/>
      <c r="L4" s="3"/>
      <c r="M4" s="3"/>
      <c r="N4" s="3"/>
      <c r="O4" s="3"/>
      <c r="P4" s="10">
        <f t="shared" ref="P4:P34" si="1">SUM(D4:O4)</f>
        <v>15387</v>
      </c>
      <c r="Q4" s="9"/>
      <c r="R4">
        <f t="shared" ref="R4:R31" si="2">D4*($C4-D$3)</f>
        <v>2644.8299999999958</v>
      </c>
      <c r="S4">
        <f t="shared" ref="S4:T31" si="3">E4*($C4-E$3)</f>
        <v>-949.99999999999977</v>
      </c>
      <c r="T4">
        <f>F4*($C4-F$3)</f>
        <v>-900.0000000000008</v>
      </c>
      <c r="U4">
        <f t="shared" ref="U4:U34" si="4">G4*($C4-G$3)</f>
        <v>-849.99999999999966</v>
      </c>
      <c r="V4">
        <f t="shared" ref="V4:V34" si="5">H4*($C4-H$3)</f>
        <v>4.9999999999998934</v>
      </c>
      <c r="W4">
        <f t="shared" ref="W4:W34" si="6">I4*($C4-I$3)</f>
        <v>0</v>
      </c>
      <c r="X4">
        <f t="shared" ref="X4:X34" si="7">J4*($C4-J$3)</f>
        <v>0</v>
      </c>
      <c r="Y4">
        <f t="shared" ref="Y4:Y34" si="8">K4*($C4-K$3)</f>
        <v>0</v>
      </c>
      <c r="Z4">
        <f t="shared" ref="Z4:Z34" si="9">L4*($C4-L$3)</f>
        <v>0</v>
      </c>
      <c r="AA4">
        <f t="shared" ref="AA4:AA34" si="10">M4*($C4-M$3)</f>
        <v>0</v>
      </c>
      <c r="AB4">
        <f t="shared" ref="AB4:AB34" si="11">N4*($C4-N$3)</f>
        <v>0</v>
      </c>
      <c r="AF4">
        <f>SUM(R4:AB4)</f>
        <v>-50.170000000004499</v>
      </c>
    </row>
    <row r="5" spans="1:32" x14ac:dyDescent="0.2">
      <c r="A5" s="107">
        <v>36952</v>
      </c>
      <c r="B5">
        <f t="shared" si="0"/>
        <v>5.3</v>
      </c>
      <c r="C5" s="5">
        <f>GasDaily!R5</f>
        <v>3.8449999999999998</v>
      </c>
      <c r="D5" s="3">
        <v>29387</v>
      </c>
      <c r="E5" s="3">
        <v>-5000</v>
      </c>
      <c r="F5" s="3">
        <v>-5000</v>
      </c>
      <c r="G5" s="3">
        <v>-5000</v>
      </c>
      <c r="H5" s="3">
        <v>1000</v>
      </c>
      <c r="I5" s="3"/>
      <c r="J5" s="3"/>
      <c r="K5" s="3"/>
      <c r="L5" s="3"/>
      <c r="M5" s="3"/>
      <c r="N5" s="3"/>
      <c r="O5" s="3"/>
      <c r="P5" s="10">
        <f t="shared" si="1"/>
        <v>15387</v>
      </c>
      <c r="Q5" s="9"/>
      <c r="R5">
        <f t="shared" si="2"/>
        <v>3085.6349999999866</v>
      </c>
      <c r="S5">
        <f t="shared" si="3"/>
        <v>-1024.9999999999982</v>
      </c>
      <c r="T5">
        <f t="shared" si="3"/>
        <v>-974.9999999999992</v>
      </c>
      <c r="U5">
        <f t="shared" si="4"/>
        <v>-924.99999999999807</v>
      </c>
      <c r="V5">
        <f t="shared" si="5"/>
        <v>19.999999999999574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  <c r="AF5">
        <f t="shared" ref="AF5:AF34" si="12">SUM(R5:AB5)</f>
        <v>180.63499999999081</v>
      </c>
    </row>
    <row r="6" spans="1:32" x14ac:dyDescent="0.2">
      <c r="A6" s="107">
        <v>36953</v>
      </c>
      <c r="B6">
        <f t="shared" si="0"/>
        <v>5.3</v>
      </c>
      <c r="C6" s="5">
        <f>GasDaily!R6</f>
        <v>3.8449999999999998</v>
      </c>
      <c r="D6" s="3">
        <v>29387</v>
      </c>
      <c r="E6" s="3">
        <v>-5000</v>
      </c>
      <c r="F6" s="3">
        <v>-5000</v>
      </c>
      <c r="G6" s="3">
        <v>-5000</v>
      </c>
      <c r="H6" s="3">
        <v>1000</v>
      </c>
      <c r="I6" s="3"/>
      <c r="J6" s="3"/>
      <c r="K6" s="3"/>
      <c r="L6" s="3"/>
      <c r="M6" s="3"/>
      <c r="N6" s="3"/>
      <c r="O6" s="3"/>
      <c r="P6" s="10">
        <f t="shared" si="1"/>
        <v>15387</v>
      </c>
      <c r="Q6" s="9"/>
      <c r="R6">
        <f t="shared" si="2"/>
        <v>3085.6349999999866</v>
      </c>
      <c r="S6">
        <f t="shared" si="3"/>
        <v>-1024.9999999999982</v>
      </c>
      <c r="T6">
        <f t="shared" si="3"/>
        <v>-974.9999999999992</v>
      </c>
      <c r="U6">
        <f t="shared" si="4"/>
        <v>-924.99999999999807</v>
      </c>
      <c r="V6">
        <f t="shared" si="5"/>
        <v>19.999999999999574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F6">
        <f t="shared" si="12"/>
        <v>180.63499999999081</v>
      </c>
    </row>
    <row r="7" spans="1:32" x14ac:dyDescent="0.2">
      <c r="A7" s="107">
        <v>36954</v>
      </c>
      <c r="B7">
        <f t="shared" si="0"/>
        <v>5.3</v>
      </c>
      <c r="C7" s="5">
        <f>GasDaily!R7</f>
        <v>3.8449999999999998</v>
      </c>
      <c r="D7" s="3">
        <v>29387</v>
      </c>
      <c r="E7" s="3">
        <v>-5000</v>
      </c>
      <c r="F7" s="3">
        <v>-5000</v>
      </c>
      <c r="G7" s="3">
        <v>-5000</v>
      </c>
      <c r="H7" s="3">
        <v>1000</v>
      </c>
      <c r="I7" s="3"/>
      <c r="J7" s="3"/>
      <c r="K7" s="3"/>
      <c r="L7" s="3"/>
      <c r="M7" s="3"/>
      <c r="N7" s="3"/>
      <c r="O7" s="3"/>
      <c r="P7" s="10">
        <f t="shared" si="1"/>
        <v>15387</v>
      </c>
      <c r="Q7" s="9"/>
      <c r="R7">
        <f t="shared" si="2"/>
        <v>3085.6349999999866</v>
      </c>
      <c r="S7">
        <f t="shared" si="3"/>
        <v>-1024.9999999999982</v>
      </c>
      <c r="T7">
        <f t="shared" si="3"/>
        <v>-974.9999999999992</v>
      </c>
      <c r="U7">
        <f t="shared" si="4"/>
        <v>-924.99999999999807</v>
      </c>
      <c r="V7">
        <f t="shared" si="5"/>
        <v>19.999999999999574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F7">
        <f t="shared" si="12"/>
        <v>180.63499999999081</v>
      </c>
    </row>
    <row r="8" spans="1:32" x14ac:dyDescent="0.2">
      <c r="A8" s="107">
        <v>36955</v>
      </c>
      <c r="B8">
        <f t="shared" si="0"/>
        <v>5.3</v>
      </c>
      <c r="C8" s="5">
        <f>GasDaily!R8</f>
        <v>3.8449999999999998</v>
      </c>
      <c r="D8" s="3">
        <v>29387</v>
      </c>
      <c r="E8" s="3">
        <v>-5000</v>
      </c>
      <c r="F8" s="3">
        <v>-5000</v>
      </c>
      <c r="G8" s="3">
        <v>-5000</v>
      </c>
      <c r="H8" s="3">
        <v>1000</v>
      </c>
      <c r="I8" s="3"/>
      <c r="J8" s="3"/>
      <c r="K8" s="3"/>
      <c r="L8" s="3"/>
      <c r="M8" s="3"/>
      <c r="N8" s="3"/>
      <c r="O8" s="3"/>
      <c r="P8" s="10">
        <f t="shared" si="1"/>
        <v>15387</v>
      </c>
      <c r="Q8" s="9"/>
      <c r="R8">
        <f t="shared" si="2"/>
        <v>3085.6349999999866</v>
      </c>
      <c r="S8">
        <f t="shared" si="3"/>
        <v>-1024.9999999999982</v>
      </c>
      <c r="T8">
        <f t="shared" si="3"/>
        <v>-974.9999999999992</v>
      </c>
      <c r="U8">
        <f t="shared" si="4"/>
        <v>-924.99999999999807</v>
      </c>
      <c r="V8">
        <f t="shared" si="5"/>
        <v>19.999999999999574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F8">
        <f t="shared" si="12"/>
        <v>180.63499999999081</v>
      </c>
    </row>
    <row r="9" spans="1:32" x14ac:dyDescent="0.2">
      <c r="A9" s="107">
        <v>36956</v>
      </c>
      <c r="B9">
        <f t="shared" si="0"/>
        <v>5.3</v>
      </c>
      <c r="C9" s="5">
        <f>GasDaily!R9</f>
        <v>3.8449999999999998</v>
      </c>
      <c r="D9" s="3">
        <v>29387</v>
      </c>
      <c r="E9" s="3">
        <v>-5000</v>
      </c>
      <c r="F9" s="3">
        <v>-5000</v>
      </c>
      <c r="G9" s="3">
        <v>-5000</v>
      </c>
      <c r="H9" s="3">
        <v>1000</v>
      </c>
      <c r="I9" s="3"/>
      <c r="J9" s="3"/>
      <c r="K9" s="3"/>
      <c r="L9" s="3"/>
      <c r="M9" s="3"/>
      <c r="N9" s="3"/>
      <c r="O9" s="3"/>
      <c r="P9" s="10">
        <f t="shared" si="1"/>
        <v>15387</v>
      </c>
      <c r="Q9" s="9"/>
      <c r="R9">
        <f t="shared" si="2"/>
        <v>3085.6349999999866</v>
      </c>
      <c r="S9">
        <f t="shared" si="3"/>
        <v>-1024.9999999999982</v>
      </c>
      <c r="T9">
        <f t="shared" si="3"/>
        <v>-974.9999999999992</v>
      </c>
      <c r="U9">
        <f t="shared" si="4"/>
        <v>-924.99999999999807</v>
      </c>
      <c r="V9">
        <f t="shared" si="5"/>
        <v>19.999999999999574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F9">
        <f t="shared" si="12"/>
        <v>180.63499999999081</v>
      </c>
    </row>
    <row r="10" spans="1:32" x14ac:dyDescent="0.2">
      <c r="A10" s="107">
        <v>36957</v>
      </c>
      <c r="B10">
        <f t="shared" si="0"/>
        <v>5.3</v>
      </c>
      <c r="C10" s="5">
        <f>GasDaily!R10</f>
        <v>3.8449999999999998</v>
      </c>
      <c r="D10" s="3">
        <v>29387</v>
      </c>
      <c r="E10" s="3">
        <v>-5000</v>
      </c>
      <c r="F10" s="3">
        <v>-5000</v>
      </c>
      <c r="G10" s="3">
        <v>-5000</v>
      </c>
      <c r="H10" s="3">
        <v>1000</v>
      </c>
      <c r="I10" s="3"/>
      <c r="J10" s="3"/>
      <c r="K10" s="3"/>
      <c r="L10" s="3"/>
      <c r="M10" s="3"/>
      <c r="N10" s="3"/>
      <c r="O10" s="3"/>
      <c r="P10" s="10">
        <f t="shared" si="1"/>
        <v>15387</v>
      </c>
      <c r="Q10" s="9"/>
      <c r="R10">
        <f t="shared" si="2"/>
        <v>3085.6349999999866</v>
      </c>
      <c r="S10">
        <f t="shared" si="3"/>
        <v>-1024.9999999999982</v>
      </c>
      <c r="T10">
        <f t="shared" si="3"/>
        <v>-974.9999999999992</v>
      </c>
      <c r="U10">
        <f t="shared" si="4"/>
        <v>-924.99999999999807</v>
      </c>
      <c r="V10">
        <f t="shared" si="5"/>
        <v>19.999999999999574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F10">
        <f t="shared" si="12"/>
        <v>180.63499999999081</v>
      </c>
    </row>
    <row r="11" spans="1:32" x14ac:dyDescent="0.2">
      <c r="A11" s="107">
        <v>36958</v>
      </c>
      <c r="B11">
        <f t="shared" si="0"/>
        <v>5.3</v>
      </c>
      <c r="C11" s="5">
        <f>GasDaily!R11</f>
        <v>3.8449999999999998</v>
      </c>
      <c r="D11" s="3">
        <v>29387</v>
      </c>
      <c r="E11" s="3">
        <v>-5000</v>
      </c>
      <c r="F11" s="3">
        <v>-5000</v>
      </c>
      <c r="G11" s="3">
        <v>-5000</v>
      </c>
      <c r="H11" s="3">
        <v>1000</v>
      </c>
      <c r="I11" s="3"/>
      <c r="J11" s="3"/>
      <c r="K11" s="3"/>
      <c r="L11" s="3"/>
      <c r="M11" s="3"/>
      <c r="N11" s="3"/>
      <c r="O11" s="3"/>
      <c r="P11" s="10">
        <f t="shared" si="1"/>
        <v>15387</v>
      </c>
      <c r="Q11" s="9"/>
      <c r="R11">
        <f t="shared" si="2"/>
        <v>3085.6349999999866</v>
      </c>
      <c r="S11">
        <f t="shared" si="3"/>
        <v>-1024.9999999999982</v>
      </c>
      <c r="T11">
        <f t="shared" si="3"/>
        <v>-974.9999999999992</v>
      </c>
      <c r="U11">
        <f t="shared" si="4"/>
        <v>-924.99999999999807</v>
      </c>
      <c r="V11">
        <f t="shared" si="5"/>
        <v>19.999999999999574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F11">
        <f t="shared" si="12"/>
        <v>180.63499999999081</v>
      </c>
    </row>
    <row r="12" spans="1:32" x14ac:dyDescent="0.2">
      <c r="A12" s="107">
        <v>36959</v>
      </c>
      <c r="B12">
        <f t="shared" si="0"/>
        <v>5.3</v>
      </c>
      <c r="C12" s="5">
        <f>GasDaily!R12</f>
        <v>3.8449999999999998</v>
      </c>
      <c r="D12" s="3">
        <v>29387</v>
      </c>
      <c r="E12" s="3">
        <v>-5000</v>
      </c>
      <c r="F12" s="3">
        <v>-5000</v>
      </c>
      <c r="G12" s="3">
        <v>-5000</v>
      </c>
      <c r="H12" s="3">
        <v>1000</v>
      </c>
      <c r="I12" s="3"/>
      <c r="J12" s="3"/>
      <c r="K12" s="3"/>
      <c r="L12" s="3"/>
      <c r="M12" s="3"/>
      <c r="N12" s="3"/>
      <c r="O12" s="3"/>
      <c r="P12" s="10">
        <f t="shared" si="1"/>
        <v>15387</v>
      </c>
      <c r="Q12" s="9"/>
      <c r="R12">
        <f t="shared" si="2"/>
        <v>3085.6349999999866</v>
      </c>
      <c r="S12">
        <f t="shared" si="3"/>
        <v>-1024.9999999999982</v>
      </c>
      <c r="T12">
        <f t="shared" si="3"/>
        <v>-974.9999999999992</v>
      </c>
      <c r="U12">
        <f t="shared" si="4"/>
        <v>-924.99999999999807</v>
      </c>
      <c r="V12">
        <f t="shared" si="5"/>
        <v>19.999999999999574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F12">
        <f t="shared" si="12"/>
        <v>180.63499999999081</v>
      </c>
    </row>
    <row r="13" spans="1:32" x14ac:dyDescent="0.2">
      <c r="A13" s="107">
        <v>36960</v>
      </c>
      <c r="B13">
        <f t="shared" si="0"/>
        <v>5.3</v>
      </c>
      <c r="C13" s="5">
        <f>GasDaily!R13</f>
        <v>3.8449999999999998</v>
      </c>
      <c r="D13" s="3">
        <v>29387</v>
      </c>
      <c r="E13" s="3">
        <v>-5000</v>
      </c>
      <c r="F13" s="3">
        <v>-5000</v>
      </c>
      <c r="G13" s="3">
        <v>-5000</v>
      </c>
      <c r="H13" s="3">
        <v>1000</v>
      </c>
      <c r="I13" s="3"/>
      <c r="J13" s="3"/>
      <c r="K13" s="3"/>
      <c r="L13" s="3"/>
      <c r="M13" s="3"/>
      <c r="N13" s="3"/>
      <c r="O13" s="3"/>
      <c r="P13" s="10">
        <f t="shared" si="1"/>
        <v>15387</v>
      </c>
      <c r="Q13" s="9"/>
      <c r="R13">
        <f t="shared" si="2"/>
        <v>3085.6349999999866</v>
      </c>
      <c r="S13">
        <f t="shared" si="3"/>
        <v>-1024.9999999999982</v>
      </c>
      <c r="T13">
        <f t="shared" si="3"/>
        <v>-974.9999999999992</v>
      </c>
      <c r="U13">
        <f t="shared" si="4"/>
        <v>-924.99999999999807</v>
      </c>
      <c r="V13">
        <f t="shared" si="5"/>
        <v>19.999999999999574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F13">
        <f t="shared" si="12"/>
        <v>180.63499999999081</v>
      </c>
    </row>
    <row r="14" spans="1:32" x14ac:dyDescent="0.2">
      <c r="A14" s="107">
        <v>36961</v>
      </c>
      <c r="B14">
        <f t="shared" si="0"/>
        <v>5.3</v>
      </c>
      <c r="C14" s="5">
        <f>GasDaily!R14</f>
        <v>3.8449999999999998</v>
      </c>
      <c r="D14" s="3">
        <v>29387</v>
      </c>
      <c r="E14" s="3">
        <v>-5000</v>
      </c>
      <c r="F14" s="3">
        <v>-5000</v>
      </c>
      <c r="G14" s="3">
        <v>-5000</v>
      </c>
      <c r="H14" s="3">
        <v>1000</v>
      </c>
      <c r="I14" s="3"/>
      <c r="J14" s="3"/>
      <c r="K14" s="3"/>
      <c r="L14" s="3"/>
      <c r="M14" s="3"/>
      <c r="N14" s="3"/>
      <c r="O14" s="3"/>
      <c r="P14" s="10">
        <f t="shared" si="1"/>
        <v>15387</v>
      </c>
      <c r="Q14" s="9"/>
      <c r="R14">
        <f t="shared" si="2"/>
        <v>3085.6349999999866</v>
      </c>
      <c r="S14">
        <f t="shared" si="3"/>
        <v>-1024.9999999999982</v>
      </c>
      <c r="T14">
        <f t="shared" si="3"/>
        <v>-974.9999999999992</v>
      </c>
      <c r="U14">
        <f t="shared" si="4"/>
        <v>-924.99999999999807</v>
      </c>
      <c r="V14">
        <f t="shared" si="5"/>
        <v>19.999999999999574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F14">
        <f t="shared" si="12"/>
        <v>180.63499999999081</v>
      </c>
    </row>
    <row r="15" spans="1:32" x14ac:dyDescent="0.2">
      <c r="A15" s="107">
        <v>36962</v>
      </c>
      <c r="B15">
        <f t="shared" si="0"/>
        <v>5.3</v>
      </c>
      <c r="C15" s="5">
        <f>GasDaily!R15</f>
        <v>3.8449999999999998</v>
      </c>
      <c r="D15" s="3">
        <v>29387</v>
      </c>
      <c r="E15" s="3">
        <v>-5000</v>
      </c>
      <c r="F15" s="3">
        <v>-5000</v>
      </c>
      <c r="G15" s="3">
        <v>-5000</v>
      </c>
      <c r="H15" s="3">
        <v>1000</v>
      </c>
      <c r="I15" s="3"/>
      <c r="J15" s="3"/>
      <c r="K15" s="3"/>
      <c r="L15" s="3"/>
      <c r="M15" s="3"/>
      <c r="N15" s="3"/>
      <c r="O15" s="3"/>
      <c r="P15" s="10">
        <f t="shared" si="1"/>
        <v>15387</v>
      </c>
      <c r="Q15" s="9"/>
      <c r="R15">
        <f t="shared" si="2"/>
        <v>3085.6349999999866</v>
      </c>
      <c r="S15">
        <f t="shared" si="3"/>
        <v>-1024.9999999999982</v>
      </c>
      <c r="T15">
        <f t="shared" si="3"/>
        <v>-974.9999999999992</v>
      </c>
      <c r="U15">
        <f t="shared" si="4"/>
        <v>-924.99999999999807</v>
      </c>
      <c r="V15">
        <f t="shared" si="5"/>
        <v>19.999999999999574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F15">
        <f t="shared" si="12"/>
        <v>180.63499999999081</v>
      </c>
    </row>
    <row r="16" spans="1:32" x14ac:dyDescent="0.2">
      <c r="A16" s="107">
        <v>36963</v>
      </c>
      <c r="B16">
        <f t="shared" si="0"/>
        <v>5.3</v>
      </c>
      <c r="C16" s="5">
        <f>GasDaily!R16</f>
        <v>3.8449999999999998</v>
      </c>
      <c r="D16" s="3">
        <v>29387</v>
      </c>
      <c r="E16" s="3">
        <v>-5000</v>
      </c>
      <c r="F16" s="3">
        <v>-5000</v>
      </c>
      <c r="G16" s="3">
        <v>-5000</v>
      </c>
      <c r="H16" s="3">
        <v>1000</v>
      </c>
      <c r="I16" s="3"/>
      <c r="J16" s="3"/>
      <c r="K16" s="3"/>
      <c r="L16" s="3"/>
      <c r="M16" s="3"/>
      <c r="N16" s="3"/>
      <c r="O16" s="3"/>
      <c r="P16" s="10">
        <f t="shared" si="1"/>
        <v>15387</v>
      </c>
      <c r="Q16" s="9"/>
      <c r="R16">
        <f t="shared" si="2"/>
        <v>3085.6349999999866</v>
      </c>
      <c r="S16">
        <f t="shared" si="3"/>
        <v>-1024.9999999999982</v>
      </c>
      <c r="T16">
        <f t="shared" si="3"/>
        <v>-974.9999999999992</v>
      </c>
      <c r="U16">
        <f t="shared" si="4"/>
        <v>-924.99999999999807</v>
      </c>
      <c r="V16">
        <f t="shared" si="5"/>
        <v>19.999999999999574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F16">
        <f t="shared" si="12"/>
        <v>180.63499999999081</v>
      </c>
    </row>
    <row r="17" spans="1:32" x14ac:dyDescent="0.2">
      <c r="A17" s="107">
        <v>36964</v>
      </c>
      <c r="B17">
        <f t="shared" si="0"/>
        <v>5.3</v>
      </c>
      <c r="C17" s="5">
        <f>GasDaily!R17</f>
        <v>3.8449999999999998</v>
      </c>
      <c r="D17" s="3">
        <v>29387</v>
      </c>
      <c r="E17" s="3">
        <v>-5000</v>
      </c>
      <c r="F17" s="3">
        <v>-5000</v>
      </c>
      <c r="G17" s="3">
        <v>-5000</v>
      </c>
      <c r="H17" s="3">
        <v>1000</v>
      </c>
      <c r="I17" s="3"/>
      <c r="J17" s="3"/>
      <c r="K17" s="3"/>
      <c r="L17" s="3"/>
      <c r="M17" s="3"/>
      <c r="N17" s="3"/>
      <c r="O17" s="3"/>
      <c r="P17" s="10">
        <f t="shared" si="1"/>
        <v>15387</v>
      </c>
      <c r="Q17" s="9"/>
      <c r="R17">
        <f t="shared" si="2"/>
        <v>3085.6349999999866</v>
      </c>
      <c r="S17">
        <f t="shared" si="3"/>
        <v>-1024.9999999999982</v>
      </c>
      <c r="T17">
        <f t="shared" si="3"/>
        <v>-974.9999999999992</v>
      </c>
      <c r="U17">
        <f t="shared" si="4"/>
        <v>-924.99999999999807</v>
      </c>
      <c r="V17">
        <f t="shared" si="5"/>
        <v>19.999999999999574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  <c r="AF17">
        <f t="shared" si="12"/>
        <v>180.63499999999081</v>
      </c>
    </row>
    <row r="18" spans="1:32" x14ac:dyDescent="0.2">
      <c r="A18" s="107">
        <v>36965</v>
      </c>
      <c r="B18">
        <f t="shared" si="0"/>
        <v>5.3</v>
      </c>
      <c r="C18" s="5">
        <f>GasDaily!R18</f>
        <v>3.8449999999999998</v>
      </c>
      <c r="D18" s="3">
        <v>29387</v>
      </c>
      <c r="E18" s="3">
        <v>-5000</v>
      </c>
      <c r="F18" s="3">
        <v>-5000</v>
      </c>
      <c r="G18" s="3">
        <v>-5000</v>
      </c>
      <c r="H18" s="3">
        <v>1000</v>
      </c>
      <c r="I18" s="3"/>
      <c r="J18" s="3"/>
      <c r="K18" s="3"/>
      <c r="L18" s="3"/>
      <c r="M18" s="3"/>
      <c r="N18" s="3"/>
      <c r="O18" s="3"/>
      <c r="P18" s="10">
        <f t="shared" si="1"/>
        <v>15387</v>
      </c>
      <c r="Q18" s="9"/>
      <c r="R18">
        <f t="shared" si="2"/>
        <v>3085.6349999999866</v>
      </c>
      <c r="S18">
        <f t="shared" si="3"/>
        <v>-1024.9999999999982</v>
      </c>
      <c r="T18">
        <f t="shared" si="3"/>
        <v>-974.9999999999992</v>
      </c>
      <c r="U18">
        <f t="shared" si="4"/>
        <v>-924.99999999999807</v>
      </c>
      <c r="V18">
        <f t="shared" si="5"/>
        <v>19.999999999999574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F18">
        <f t="shared" si="12"/>
        <v>180.63499999999081</v>
      </c>
    </row>
    <row r="19" spans="1:32" x14ac:dyDescent="0.2">
      <c r="A19" s="107">
        <v>36966</v>
      </c>
      <c r="B19">
        <f t="shared" si="0"/>
        <v>5.3</v>
      </c>
      <c r="C19" s="5">
        <f>GasDaily!R19</f>
        <v>3.8449999999999998</v>
      </c>
      <c r="D19" s="3">
        <v>29387</v>
      </c>
      <c r="E19" s="3">
        <v>-5000</v>
      </c>
      <c r="F19" s="3">
        <v>-5000</v>
      </c>
      <c r="G19" s="3">
        <v>-5000</v>
      </c>
      <c r="H19" s="3">
        <v>1000</v>
      </c>
      <c r="I19" s="3"/>
      <c r="J19" s="3"/>
      <c r="K19" s="3"/>
      <c r="L19" s="3"/>
      <c r="M19" s="3"/>
      <c r="N19" s="3"/>
      <c r="O19" s="3"/>
      <c r="P19" s="10">
        <f t="shared" si="1"/>
        <v>15387</v>
      </c>
      <c r="Q19" s="9"/>
      <c r="R19">
        <f t="shared" si="2"/>
        <v>3085.6349999999866</v>
      </c>
      <c r="S19">
        <f t="shared" si="3"/>
        <v>-1024.9999999999982</v>
      </c>
      <c r="T19">
        <f t="shared" si="3"/>
        <v>-974.9999999999992</v>
      </c>
      <c r="U19">
        <f t="shared" si="4"/>
        <v>-924.99999999999807</v>
      </c>
      <c r="V19">
        <f t="shared" si="5"/>
        <v>19.999999999999574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F19">
        <f t="shared" si="12"/>
        <v>180.63499999999081</v>
      </c>
    </row>
    <row r="20" spans="1:32" x14ac:dyDescent="0.2">
      <c r="A20" s="107">
        <v>36967</v>
      </c>
      <c r="B20">
        <f t="shared" si="0"/>
        <v>5.3</v>
      </c>
      <c r="C20" s="5">
        <f>GasDaily!R20</f>
        <v>3.8449999999999998</v>
      </c>
      <c r="D20" s="3">
        <v>29387</v>
      </c>
      <c r="E20" s="3">
        <v>-5000</v>
      </c>
      <c r="F20" s="3">
        <v>-5000</v>
      </c>
      <c r="G20" s="3">
        <v>-5000</v>
      </c>
      <c r="H20" s="3">
        <v>1000</v>
      </c>
      <c r="I20" s="3"/>
      <c r="J20" s="3"/>
      <c r="K20" s="3"/>
      <c r="L20" s="3"/>
      <c r="M20" s="3"/>
      <c r="N20" s="3"/>
      <c r="O20" s="3"/>
      <c r="P20" s="10">
        <f t="shared" si="1"/>
        <v>15387</v>
      </c>
      <c r="Q20" s="9"/>
      <c r="R20">
        <f t="shared" si="2"/>
        <v>3085.6349999999866</v>
      </c>
      <c r="S20">
        <f t="shared" si="3"/>
        <v>-1024.9999999999982</v>
      </c>
      <c r="T20">
        <f t="shared" si="3"/>
        <v>-974.9999999999992</v>
      </c>
      <c r="U20">
        <f t="shared" si="4"/>
        <v>-924.99999999999807</v>
      </c>
      <c r="V20">
        <f t="shared" si="5"/>
        <v>19.999999999999574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  <c r="AF20">
        <f t="shared" si="12"/>
        <v>180.63499999999081</v>
      </c>
    </row>
    <row r="21" spans="1:32" x14ac:dyDescent="0.2">
      <c r="A21" s="107">
        <v>36968</v>
      </c>
      <c r="B21">
        <f t="shared" si="0"/>
        <v>5.3</v>
      </c>
      <c r="C21" s="5">
        <f>GasDaily!R21</f>
        <v>3.8449999999999998</v>
      </c>
      <c r="D21" s="3">
        <v>29387</v>
      </c>
      <c r="E21" s="3">
        <v>-5000</v>
      </c>
      <c r="F21" s="3">
        <v>-5000</v>
      </c>
      <c r="G21" s="3">
        <v>-5000</v>
      </c>
      <c r="H21" s="3">
        <v>1000</v>
      </c>
      <c r="I21" s="3"/>
      <c r="J21" s="3"/>
      <c r="K21" s="3"/>
      <c r="L21" s="3"/>
      <c r="M21" s="3"/>
      <c r="N21" s="3"/>
      <c r="O21" s="3"/>
      <c r="P21" s="10">
        <f t="shared" si="1"/>
        <v>15387</v>
      </c>
      <c r="Q21" s="9"/>
      <c r="R21">
        <f t="shared" si="2"/>
        <v>3085.6349999999866</v>
      </c>
      <c r="S21">
        <f t="shared" si="3"/>
        <v>-1024.9999999999982</v>
      </c>
      <c r="T21">
        <f t="shared" si="3"/>
        <v>-974.9999999999992</v>
      </c>
      <c r="U21">
        <f t="shared" si="4"/>
        <v>-924.99999999999807</v>
      </c>
      <c r="V21">
        <f t="shared" si="5"/>
        <v>19.999999999999574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  <c r="AF21">
        <f t="shared" si="12"/>
        <v>180.63499999999081</v>
      </c>
    </row>
    <row r="22" spans="1:32" x14ac:dyDescent="0.2">
      <c r="A22" s="107">
        <v>36969</v>
      </c>
      <c r="B22">
        <f t="shared" si="0"/>
        <v>5.3</v>
      </c>
      <c r="C22" s="5">
        <f>GasDaily!R22</f>
        <v>3.8449999999999998</v>
      </c>
      <c r="D22" s="3">
        <v>29387</v>
      </c>
      <c r="E22" s="3">
        <v>-5000</v>
      </c>
      <c r="F22" s="3">
        <v>-5000</v>
      </c>
      <c r="G22" s="3">
        <v>-5000</v>
      </c>
      <c r="H22" s="3">
        <v>1000</v>
      </c>
      <c r="I22" s="3"/>
      <c r="J22" s="3"/>
      <c r="K22" s="3"/>
      <c r="L22" s="3"/>
      <c r="M22" s="3"/>
      <c r="N22" s="3"/>
      <c r="O22" s="3"/>
      <c r="P22" s="10">
        <f t="shared" si="1"/>
        <v>15387</v>
      </c>
      <c r="Q22" s="9"/>
      <c r="R22">
        <f t="shared" si="2"/>
        <v>3085.6349999999866</v>
      </c>
      <c r="S22">
        <f t="shared" si="3"/>
        <v>-1024.9999999999982</v>
      </c>
      <c r="T22">
        <f t="shared" si="3"/>
        <v>-974.9999999999992</v>
      </c>
      <c r="U22">
        <f t="shared" si="4"/>
        <v>-924.99999999999807</v>
      </c>
      <c r="V22">
        <f t="shared" si="5"/>
        <v>19.999999999999574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F22">
        <f t="shared" si="12"/>
        <v>180.63499999999081</v>
      </c>
    </row>
    <row r="23" spans="1:32" x14ac:dyDescent="0.2">
      <c r="A23" s="107">
        <v>36970</v>
      </c>
      <c r="B23">
        <f t="shared" si="0"/>
        <v>5.3</v>
      </c>
      <c r="C23" s="5">
        <f>GasDaily!R23</f>
        <v>3.8449999999999998</v>
      </c>
      <c r="D23" s="3">
        <v>29387</v>
      </c>
      <c r="E23" s="3">
        <v>-5000</v>
      </c>
      <c r="F23" s="3">
        <v>-5000</v>
      </c>
      <c r="G23" s="3">
        <v>-5000</v>
      </c>
      <c r="H23" s="3">
        <v>1000</v>
      </c>
      <c r="I23" s="3"/>
      <c r="J23" s="3"/>
      <c r="K23" s="3"/>
      <c r="L23" s="3"/>
      <c r="M23" s="3"/>
      <c r="N23" s="3"/>
      <c r="O23" s="3"/>
      <c r="P23" s="10">
        <f t="shared" si="1"/>
        <v>15387</v>
      </c>
      <c r="Q23" s="9"/>
      <c r="R23">
        <f t="shared" si="2"/>
        <v>3085.6349999999866</v>
      </c>
      <c r="S23">
        <f t="shared" si="3"/>
        <v>-1024.9999999999982</v>
      </c>
      <c r="T23">
        <f t="shared" si="3"/>
        <v>-974.9999999999992</v>
      </c>
      <c r="U23">
        <f t="shared" si="4"/>
        <v>-924.99999999999807</v>
      </c>
      <c r="V23">
        <f t="shared" si="5"/>
        <v>19.999999999999574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  <c r="AF23">
        <f t="shared" si="12"/>
        <v>180.63499999999081</v>
      </c>
    </row>
    <row r="24" spans="1:32" x14ac:dyDescent="0.2">
      <c r="A24" s="107">
        <v>36971</v>
      </c>
      <c r="B24">
        <f t="shared" si="0"/>
        <v>5.3</v>
      </c>
      <c r="C24" s="5">
        <f>GasDaily!R24</f>
        <v>3.8449999999999998</v>
      </c>
      <c r="D24" s="3">
        <v>29387</v>
      </c>
      <c r="E24" s="3">
        <v>-5000</v>
      </c>
      <c r="F24" s="3">
        <v>-5000</v>
      </c>
      <c r="G24" s="3">
        <v>-5000</v>
      </c>
      <c r="H24" s="3">
        <v>1000</v>
      </c>
      <c r="I24" s="3"/>
      <c r="J24" s="3"/>
      <c r="K24" s="3"/>
      <c r="L24" s="3"/>
      <c r="M24" s="3"/>
      <c r="N24" s="3"/>
      <c r="O24" s="3"/>
      <c r="P24" s="10">
        <f t="shared" si="1"/>
        <v>15387</v>
      </c>
      <c r="Q24" s="9"/>
      <c r="R24">
        <f t="shared" si="2"/>
        <v>3085.6349999999866</v>
      </c>
      <c r="S24">
        <f t="shared" si="3"/>
        <v>-1024.9999999999982</v>
      </c>
      <c r="T24">
        <f t="shared" si="3"/>
        <v>-974.9999999999992</v>
      </c>
      <c r="U24">
        <f t="shared" si="4"/>
        <v>-924.99999999999807</v>
      </c>
      <c r="V24">
        <f t="shared" si="5"/>
        <v>19.999999999999574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  <c r="AF24">
        <f t="shared" si="12"/>
        <v>180.63499999999081</v>
      </c>
    </row>
    <row r="25" spans="1:32" x14ac:dyDescent="0.2">
      <c r="A25" s="107">
        <v>36972</v>
      </c>
      <c r="B25">
        <f t="shared" si="0"/>
        <v>5.3</v>
      </c>
      <c r="C25" s="5">
        <f>GasDaily!R25</f>
        <v>3.8449999999999998</v>
      </c>
      <c r="D25" s="3">
        <v>29387</v>
      </c>
      <c r="E25" s="3">
        <v>-5000</v>
      </c>
      <c r="F25" s="3">
        <v>-5000</v>
      </c>
      <c r="G25" s="3">
        <v>-5000</v>
      </c>
      <c r="H25" s="3">
        <v>1000</v>
      </c>
      <c r="I25" s="3"/>
      <c r="J25" s="3"/>
      <c r="K25" s="3"/>
      <c r="L25" s="3"/>
      <c r="M25" s="3"/>
      <c r="N25" s="3"/>
      <c r="O25" s="3"/>
      <c r="P25" s="10">
        <f t="shared" si="1"/>
        <v>15387</v>
      </c>
      <c r="Q25" s="9"/>
      <c r="R25">
        <f t="shared" si="2"/>
        <v>3085.6349999999866</v>
      </c>
      <c r="S25">
        <f t="shared" si="3"/>
        <v>-1024.9999999999982</v>
      </c>
      <c r="T25">
        <f t="shared" si="3"/>
        <v>-974.9999999999992</v>
      </c>
      <c r="U25">
        <f t="shared" si="4"/>
        <v>-924.99999999999807</v>
      </c>
      <c r="V25">
        <f t="shared" si="5"/>
        <v>19.999999999999574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  <c r="AF25">
        <f t="shared" si="12"/>
        <v>180.63499999999081</v>
      </c>
    </row>
    <row r="26" spans="1:32" x14ac:dyDescent="0.2">
      <c r="A26" s="107">
        <v>36973</v>
      </c>
      <c r="B26">
        <f t="shared" si="0"/>
        <v>5.3</v>
      </c>
      <c r="C26" s="5">
        <f>GasDaily!R26</f>
        <v>3.8449999999999998</v>
      </c>
      <c r="D26" s="3">
        <v>29387</v>
      </c>
      <c r="E26" s="3">
        <v>-5000</v>
      </c>
      <c r="F26" s="3">
        <v>-5000</v>
      </c>
      <c r="G26" s="3">
        <v>-5000</v>
      </c>
      <c r="H26" s="3">
        <v>1000</v>
      </c>
      <c r="I26" s="3"/>
      <c r="J26" s="3"/>
      <c r="K26" s="3"/>
      <c r="L26" s="3"/>
      <c r="M26" s="3"/>
      <c r="N26" s="3"/>
      <c r="O26" s="3"/>
      <c r="P26" s="10">
        <f t="shared" si="1"/>
        <v>15387</v>
      </c>
      <c r="Q26" s="9"/>
      <c r="R26">
        <f t="shared" si="2"/>
        <v>3085.6349999999866</v>
      </c>
      <c r="S26">
        <f t="shared" si="3"/>
        <v>-1024.9999999999982</v>
      </c>
      <c r="T26">
        <f t="shared" si="3"/>
        <v>-974.9999999999992</v>
      </c>
      <c r="U26">
        <f t="shared" si="4"/>
        <v>-924.99999999999807</v>
      </c>
      <c r="V26">
        <f t="shared" si="5"/>
        <v>19.999999999999574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>
        <f t="shared" si="10"/>
        <v>0</v>
      </c>
      <c r="AB26">
        <f t="shared" si="11"/>
        <v>0</v>
      </c>
      <c r="AF26">
        <f t="shared" si="12"/>
        <v>180.63499999999081</v>
      </c>
    </row>
    <row r="27" spans="1:32" x14ac:dyDescent="0.2">
      <c r="A27" s="107">
        <v>36974</v>
      </c>
      <c r="B27">
        <f t="shared" si="0"/>
        <v>5.3</v>
      </c>
      <c r="C27" s="5">
        <f>GasDaily!R27</f>
        <v>3.8449999999999998</v>
      </c>
      <c r="D27" s="3">
        <v>29387</v>
      </c>
      <c r="E27" s="3">
        <v>-5000</v>
      </c>
      <c r="F27" s="3">
        <v>-5000</v>
      </c>
      <c r="G27" s="3">
        <v>-5000</v>
      </c>
      <c r="H27" s="3">
        <v>1000</v>
      </c>
      <c r="I27" s="3"/>
      <c r="J27" s="3"/>
      <c r="K27" s="3"/>
      <c r="L27" s="3"/>
      <c r="M27" s="3"/>
      <c r="N27" s="3"/>
      <c r="O27" s="3"/>
      <c r="P27" s="10">
        <f t="shared" si="1"/>
        <v>15387</v>
      </c>
      <c r="Q27" s="9"/>
      <c r="R27">
        <f t="shared" si="2"/>
        <v>3085.6349999999866</v>
      </c>
      <c r="S27">
        <f t="shared" si="3"/>
        <v>-1024.9999999999982</v>
      </c>
      <c r="T27">
        <f t="shared" si="3"/>
        <v>-974.9999999999992</v>
      </c>
      <c r="U27">
        <f t="shared" si="4"/>
        <v>-924.99999999999807</v>
      </c>
      <c r="V27">
        <f t="shared" si="5"/>
        <v>19.999999999999574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  <c r="AF27">
        <f t="shared" si="12"/>
        <v>180.63499999999081</v>
      </c>
    </row>
    <row r="28" spans="1:32" x14ac:dyDescent="0.2">
      <c r="A28" s="107">
        <v>36975</v>
      </c>
      <c r="B28">
        <f t="shared" si="0"/>
        <v>5.3</v>
      </c>
      <c r="C28" s="5">
        <f>GasDaily!R28</f>
        <v>3.8449999999999998</v>
      </c>
      <c r="D28" s="3">
        <v>29387</v>
      </c>
      <c r="E28" s="3">
        <v>-5000</v>
      </c>
      <c r="F28" s="3">
        <v>-5000</v>
      </c>
      <c r="G28" s="3">
        <v>-5000</v>
      </c>
      <c r="H28" s="3">
        <v>1000</v>
      </c>
      <c r="I28" s="3"/>
      <c r="J28" s="3"/>
      <c r="K28" s="3"/>
      <c r="L28" s="3"/>
      <c r="M28" s="3"/>
      <c r="N28" s="3"/>
      <c r="O28" s="3"/>
      <c r="P28" s="10">
        <f t="shared" si="1"/>
        <v>15387</v>
      </c>
      <c r="Q28" s="9"/>
      <c r="R28">
        <f t="shared" si="2"/>
        <v>3085.6349999999866</v>
      </c>
      <c r="S28">
        <f t="shared" si="3"/>
        <v>-1024.9999999999982</v>
      </c>
      <c r="T28">
        <f t="shared" si="3"/>
        <v>-974.9999999999992</v>
      </c>
      <c r="U28">
        <f t="shared" si="4"/>
        <v>-924.99999999999807</v>
      </c>
      <c r="V28">
        <f t="shared" si="5"/>
        <v>19.999999999999574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F28">
        <f t="shared" si="12"/>
        <v>180.63499999999081</v>
      </c>
    </row>
    <row r="29" spans="1:32" x14ac:dyDescent="0.2">
      <c r="A29" s="107">
        <v>36976</v>
      </c>
      <c r="B29">
        <f t="shared" si="0"/>
        <v>5.3</v>
      </c>
      <c r="C29" s="5">
        <f>GasDaily!R29</f>
        <v>3.8449999999999998</v>
      </c>
      <c r="D29" s="3">
        <v>29387</v>
      </c>
      <c r="E29" s="3">
        <v>-5000</v>
      </c>
      <c r="F29" s="3">
        <v>-5000</v>
      </c>
      <c r="G29" s="3">
        <v>-5000</v>
      </c>
      <c r="H29" s="3">
        <v>1000</v>
      </c>
      <c r="I29" s="3"/>
      <c r="J29" s="3"/>
      <c r="K29" s="3"/>
      <c r="L29" s="3"/>
      <c r="M29" s="3"/>
      <c r="N29" s="3"/>
      <c r="O29" s="3"/>
      <c r="P29" s="10">
        <f t="shared" si="1"/>
        <v>15387</v>
      </c>
      <c r="Q29" s="9"/>
      <c r="R29">
        <f t="shared" si="2"/>
        <v>3085.6349999999866</v>
      </c>
      <c r="S29">
        <f t="shared" si="3"/>
        <v>-1024.9999999999982</v>
      </c>
      <c r="T29">
        <f t="shared" si="3"/>
        <v>-974.9999999999992</v>
      </c>
      <c r="U29">
        <f t="shared" si="4"/>
        <v>-924.99999999999807</v>
      </c>
      <c r="V29">
        <f t="shared" si="5"/>
        <v>19.999999999999574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0</v>
      </c>
      <c r="AB29">
        <f t="shared" si="11"/>
        <v>0</v>
      </c>
      <c r="AF29">
        <f t="shared" si="12"/>
        <v>180.63499999999081</v>
      </c>
    </row>
    <row r="30" spans="1:32" x14ac:dyDescent="0.2">
      <c r="A30" s="107">
        <v>36977</v>
      </c>
      <c r="B30">
        <f t="shared" si="0"/>
        <v>5.3</v>
      </c>
      <c r="C30" s="5">
        <f>GasDaily!R30</f>
        <v>3.8449999999999998</v>
      </c>
      <c r="D30" s="3">
        <v>29387</v>
      </c>
      <c r="E30" s="3">
        <v>-5000</v>
      </c>
      <c r="F30" s="3">
        <v>-5000</v>
      </c>
      <c r="G30" s="3">
        <v>-5000</v>
      </c>
      <c r="H30" s="3">
        <v>1000</v>
      </c>
      <c r="I30" s="3"/>
      <c r="J30" s="3"/>
      <c r="K30" s="3"/>
      <c r="L30" s="3"/>
      <c r="M30" s="3"/>
      <c r="N30" s="3"/>
      <c r="O30" s="3"/>
      <c r="P30" s="10">
        <f t="shared" si="1"/>
        <v>15387</v>
      </c>
      <c r="Q30" s="9"/>
      <c r="R30">
        <f t="shared" si="2"/>
        <v>3085.6349999999866</v>
      </c>
      <c r="S30">
        <f t="shared" si="3"/>
        <v>-1024.9999999999982</v>
      </c>
      <c r="T30">
        <f t="shared" si="3"/>
        <v>-974.9999999999992</v>
      </c>
      <c r="U30">
        <f t="shared" si="4"/>
        <v>-924.99999999999807</v>
      </c>
      <c r="V30">
        <f t="shared" si="5"/>
        <v>19.999999999999574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F30">
        <f t="shared" si="12"/>
        <v>180.63499999999081</v>
      </c>
    </row>
    <row r="31" spans="1:32" x14ac:dyDescent="0.2">
      <c r="A31" s="107">
        <v>36978</v>
      </c>
      <c r="B31">
        <f t="shared" si="0"/>
        <v>5.3</v>
      </c>
      <c r="C31" s="5">
        <f>GasDaily!R31</f>
        <v>3.8449999999999998</v>
      </c>
      <c r="D31" s="3">
        <v>29387</v>
      </c>
      <c r="E31" s="3">
        <v>-5000</v>
      </c>
      <c r="F31" s="3">
        <v>-5000</v>
      </c>
      <c r="G31" s="3">
        <v>-5000</v>
      </c>
      <c r="H31" s="3">
        <v>1000</v>
      </c>
      <c r="I31" s="3"/>
      <c r="J31" s="3"/>
      <c r="K31" s="3"/>
      <c r="L31" s="3"/>
      <c r="M31" s="3"/>
      <c r="N31" s="3"/>
      <c r="O31" s="3"/>
      <c r="P31" s="10">
        <f t="shared" si="1"/>
        <v>15387</v>
      </c>
      <c r="Q31" s="9"/>
      <c r="R31">
        <f t="shared" si="2"/>
        <v>3085.6349999999866</v>
      </c>
      <c r="S31">
        <f t="shared" si="3"/>
        <v>-1024.9999999999982</v>
      </c>
      <c r="T31">
        <f t="shared" si="3"/>
        <v>-974.9999999999992</v>
      </c>
      <c r="U31">
        <f t="shared" si="4"/>
        <v>-924.99999999999807</v>
      </c>
      <c r="V31">
        <f t="shared" si="5"/>
        <v>19.999999999999574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F31">
        <f t="shared" si="12"/>
        <v>180.63499999999081</v>
      </c>
    </row>
    <row r="32" spans="1:32" x14ac:dyDescent="0.2">
      <c r="A32" s="107">
        <v>36979</v>
      </c>
      <c r="B32">
        <f t="shared" si="0"/>
        <v>5.3</v>
      </c>
      <c r="C32" s="5">
        <f>GasDaily!R32</f>
        <v>3.8449999999999998</v>
      </c>
      <c r="D32" s="3">
        <v>29387</v>
      </c>
      <c r="E32" s="3">
        <v>-5000</v>
      </c>
      <c r="F32" s="3">
        <v>-5000</v>
      </c>
      <c r="G32" s="3">
        <v>-5000</v>
      </c>
      <c r="H32" s="3">
        <v>1000</v>
      </c>
      <c r="I32" s="3"/>
      <c r="J32" s="3"/>
      <c r="K32" s="3"/>
      <c r="L32" s="3"/>
      <c r="M32" s="3"/>
      <c r="N32" s="3"/>
      <c r="O32" s="3"/>
      <c r="P32" s="10">
        <f t="shared" si="1"/>
        <v>15387</v>
      </c>
      <c r="Q32" s="9"/>
      <c r="R32">
        <f>D32*(C32-D$3)</f>
        <v>3085.6349999999866</v>
      </c>
      <c r="S32">
        <f t="shared" ref="S32:T34" si="13">E32*($C32-E$3)</f>
        <v>-1024.9999999999982</v>
      </c>
      <c r="T32">
        <f t="shared" si="13"/>
        <v>-974.9999999999992</v>
      </c>
      <c r="U32">
        <f t="shared" si="4"/>
        <v>-924.99999999999807</v>
      </c>
      <c r="V32">
        <f t="shared" si="5"/>
        <v>19.999999999999574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  <c r="AF32">
        <f t="shared" si="12"/>
        <v>180.63499999999081</v>
      </c>
    </row>
    <row r="33" spans="1:32" x14ac:dyDescent="0.2">
      <c r="A33" s="107">
        <v>36980</v>
      </c>
      <c r="B33">
        <f t="shared" si="0"/>
        <v>5.3</v>
      </c>
      <c r="C33" s="5">
        <f>GasDaily!R33</f>
        <v>3.8449999999999998</v>
      </c>
      <c r="D33" s="3">
        <v>29387</v>
      </c>
      <c r="E33" s="3">
        <v>-5000</v>
      </c>
      <c r="F33" s="3">
        <v>-5000</v>
      </c>
      <c r="G33" s="3">
        <v>-5000</v>
      </c>
      <c r="H33" s="3">
        <v>1000</v>
      </c>
      <c r="I33" s="3"/>
      <c r="J33" s="3"/>
      <c r="K33" s="3"/>
      <c r="L33" s="3"/>
      <c r="M33" s="3"/>
      <c r="N33" s="3"/>
      <c r="P33" s="10">
        <f t="shared" si="1"/>
        <v>15387</v>
      </c>
      <c r="R33">
        <f>D33*(C33-D$3)</f>
        <v>3085.6349999999866</v>
      </c>
      <c r="S33">
        <f t="shared" si="13"/>
        <v>-1024.9999999999982</v>
      </c>
      <c r="T33">
        <f t="shared" si="13"/>
        <v>-974.9999999999992</v>
      </c>
      <c r="U33">
        <f t="shared" si="4"/>
        <v>-924.99999999999807</v>
      </c>
      <c r="V33">
        <f t="shared" si="5"/>
        <v>19.999999999999574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  <c r="AF33">
        <f t="shared" si="12"/>
        <v>180.63499999999081</v>
      </c>
    </row>
    <row r="34" spans="1:32" x14ac:dyDescent="0.2">
      <c r="A34" s="107">
        <v>36981</v>
      </c>
      <c r="B34">
        <f t="shared" si="0"/>
        <v>5.3</v>
      </c>
      <c r="C34" s="5">
        <f>GasDaily!F34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10">
        <f t="shared" si="1"/>
        <v>0</v>
      </c>
      <c r="R34">
        <f>D34*(C34-D$3)</f>
        <v>0</v>
      </c>
      <c r="S34">
        <f t="shared" si="13"/>
        <v>0</v>
      </c>
      <c r="T34">
        <f t="shared" si="1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F34">
        <f t="shared" si="12"/>
        <v>0</v>
      </c>
    </row>
    <row r="35" spans="1:32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32" x14ac:dyDescent="0.2">
      <c r="P36" s="10">
        <f>SUM(P8:P34)</f>
        <v>400062</v>
      </c>
      <c r="AF36" s="11">
        <f>SUM(AF4:AF34)</f>
        <v>5188.2449999997298</v>
      </c>
    </row>
    <row r="37" spans="1:32" x14ac:dyDescent="0.2">
      <c r="A37">
        <f>COUNT(A4:A33)</f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/>
  <dimension ref="A1:Z37"/>
  <sheetViews>
    <sheetView topLeftCell="A2" zoomScale="85" workbookViewId="0">
      <selection activeCell="M37" sqref="M37"/>
    </sheetView>
  </sheetViews>
  <sheetFormatPr defaultRowHeight="12.75" x14ac:dyDescent="0.2"/>
  <cols>
    <col min="1" max="1" width="9.28515625" bestFit="1" customWidth="1"/>
    <col min="13" max="13" width="13.140625" style="2" customWidth="1"/>
    <col min="14" max="14" width="2.85546875" style="8" customWidth="1"/>
    <col min="25" max="25" width="2.7109375" style="8" customWidth="1"/>
    <col min="26" max="26" width="10.85546875" bestFit="1" customWidth="1"/>
  </cols>
  <sheetData>
    <row r="1" spans="1:26" x14ac:dyDescent="0.2">
      <c r="B1" s="2" t="s">
        <v>0</v>
      </c>
    </row>
    <row r="2" spans="1:26" x14ac:dyDescent="0.2">
      <c r="B2" s="6">
        <v>5.31</v>
      </c>
      <c r="C2" s="4"/>
      <c r="M2" s="2" t="s">
        <v>4</v>
      </c>
    </row>
    <row r="3" spans="1:26" x14ac:dyDescent="0.2">
      <c r="B3" s="5"/>
      <c r="C3" t="s">
        <v>1</v>
      </c>
      <c r="D3">
        <v>3.77</v>
      </c>
      <c r="Z3" t="s">
        <v>3</v>
      </c>
    </row>
    <row r="4" spans="1:26" x14ac:dyDescent="0.2">
      <c r="A4" s="107">
        <v>36861</v>
      </c>
      <c r="B4">
        <f t="shared" ref="B4:B34" si="0">B$2+B$3</f>
        <v>5.31</v>
      </c>
      <c r="C4" s="5">
        <f>GasDaily!V4</f>
        <v>3.63</v>
      </c>
      <c r="D4" s="3">
        <v>-20000</v>
      </c>
      <c r="E4" s="3"/>
      <c r="F4" s="3"/>
      <c r="G4" s="3"/>
      <c r="H4" s="3"/>
      <c r="I4" s="3"/>
      <c r="J4" s="3"/>
      <c r="K4" s="3"/>
      <c r="L4" s="3"/>
      <c r="M4" s="10">
        <f t="shared" ref="M4:M34" si="1">SUM(D4:L4)</f>
        <v>-20000</v>
      </c>
      <c r="N4" s="9"/>
      <c r="O4">
        <f t="shared" ref="O4:O31" si="2">D4*($C4-D$3)</f>
        <v>2800.0000000000023</v>
      </c>
      <c r="P4">
        <f t="shared" ref="P4:P34" si="3">E4*($C4-E$3)</f>
        <v>0</v>
      </c>
      <c r="Q4">
        <f t="shared" ref="Q4:Q34" si="4">F4*($C4-F$3)</f>
        <v>0</v>
      </c>
      <c r="R4">
        <f t="shared" ref="R4:R34" si="5">G4*($C4-G$3)</f>
        <v>0</v>
      </c>
      <c r="S4">
        <f t="shared" ref="S4:V34" si="6">H4*($C4-H$3)</f>
        <v>0</v>
      </c>
      <c r="T4">
        <f t="shared" si="6"/>
        <v>0</v>
      </c>
      <c r="U4">
        <f t="shared" si="6"/>
        <v>0</v>
      </c>
      <c r="V4">
        <f t="shared" si="6"/>
        <v>0</v>
      </c>
      <c r="Z4">
        <f t="shared" ref="Z4:Z34" si="7">SUM(O4:Y4)</f>
        <v>2800.0000000000023</v>
      </c>
    </row>
    <row r="5" spans="1:26" x14ac:dyDescent="0.2">
      <c r="A5" s="107">
        <v>36862</v>
      </c>
      <c r="B5">
        <f t="shared" si="0"/>
        <v>5.31</v>
      </c>
      <c r="C5" s="5">
        <f>GasDaily!V5</f>
        <v>3.7549999999999999</v>
      </c>
      <c r="D5" s="3">
        <v>-20000</v>
      </c>
      <c r="E5" s="3"/>
      <c r="F5" s="3"/>
      <c r="G5" s="3"/>
      <c r="H5" s="3"/>
      <c r="I5" s="3"/>
      <c r="J5" s="3"/>
      <c r="K5" s="3"/>
      <c r="L5" s="3"/>
      <c r="M5" s="10">
        <f t="shared" si="1"/>
        <v>-20000</v>
      </c>
      <c r="N5" s="9"/>
      <c r="O5">
        <f t="shared" si="2"/>
        <v>300.0000000000025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Z5">
        <f t="shared" si="7"/>
        <v>300.0000000000025</v>
      </c>
    </row>
    <row r="6" spans="1:26" x14ac:dyDescent="0.2">
      <c r="A6" s="107">
        <v>36863</v>
      </c>
      <c r="B6">
        <f t="shared" si="0"/>
        <v>5.31</v>
      </c>
      <c r="C6" s="5">
        <f>GasDaily!V6</f>
        <v>3.7549999999999999</v>
      </c>
      <c r="D6" s="3">
        <v>-20000</v>
      </c>
      <c r="E6" s="3"/>
      <c r="F6" s="3"/>
      <c r="G6" s="3"/>
      <c r="H6" s="3"/>
      <c r="I6" s="3"/>
      <c r="J6" s="3"/>
      <c r="K6" s="3"/>
      <c r="L6" s="3"/>
      <c r="M6" s="10">
        <f t="shared" si="1"/>
        <v>-20000</v>
      </c>
      <c r="N6" s="9"/>
      <c r="O6">
        <f t="shared" si="2"/>
        <v>300.0000000000025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Z6">
        <f t="shared" si="7"/>
        <v>300.0000000000025</v>
      </c>
    </row>
    <row r="7" spans="1:26" x14ac:dyDescent="0.2">
      <c r="A7" s="107">
        <v>36864</v>
      </c>
      <c r="B7">
        <f t="shared" si="0"/>
        <v>5.31</v>
      </c>
      <c r="C7" s="5">
        <f>GasDaily!V7</f>
        <v>3.7549999999999999</v>
      </c>
      <c r="D7" s="3">
        <v>-20000</v>
      </c>
      <c r="E7" s="3"/>
      <c r="F7" s="3"/>
      <c r="G7" s="3"/>
      <c r="H7" s="3"/>
      <c r="I7" s="3"/>
      <c r="J7" s="3"/>
      <c r="K7" s="3"/>
      <c r="L7" s="3"/>
      <c r="M7" s="10">
        <f t="shared" si="1"/>
        <v>-20000</v>
      </c>
      <c r="N7" s="9"/>
      <c r="O7">
        <f t="shared" si="2"/>
        <v>300.0000000000025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Z7">
        <f t="shared" si="7"/>
        <v>300.0000000000025</v>
      </c>
    </row>
    <row r="8" spans="1:26" x14ac:dyDescent="0.2">
      <c r="A8" s="107">
        <v>36865</v>
      </c>
      <c r="B8">
        <f t="shared" si="0"/>
        <v>5.31</v>
      </c>
      <c r="C8" s="5">
        <f>GasDaily!V8</f>
        <v>3.7549999999999999</v>
      </c>
      <c r="D8" s="3">
        <v>-20000</v>
      </c>
      <c r="E8" s="3"/>
      <c r="F8" s="3"/>
      <c r="G8" s="3"/>
      <c r="H8" s="3"/>
      <c r="I8" s="3"/>
      <c r="J8" s="3"/>
      <c r="K8" s="3"/>
      <c r="L8" s="3"/>
      <c r="M8" s="10">
        <f t="shared" si="1"/>
        <v>-20000</v>
      </c>
      <c r="N8" s="9"/>
      <c r="O8">
        <f t="shared" si="2"/>
        <v>300.0000000000025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Z8">
        <f t="shared" si="7"/>
        <v>300.0000000000025</v>
      </c>
    </row>
    <row r="9" spans="1:26" x14ac:dyDescent="0.2">
      <c r="A9" s="107">
        <v>36866</v>
      </c>
      <c r="B9">
        <f t="shared" si="0"/>
        <v>5.31</v>
      </c>
      <c r="C9" s="5">
        <f>GasDaily!V9</f>
        <v>3.7549999999999999</v>
      </c>
      <c r="D9" s="3">
        <v>-20000</v>
      </c>
      <c r="E9" s="3"/>
      <c r="F9" s="3"/>
      <c r="G9" s="3"/>
      <c r="H9" s="3"/>
      <c r="I9" s="3"/>
      <c r="J9" s="3"/>
      <c r="K9" s="3"/>
      <c r="L9" s="3"/>
      <c r="M9" s="10">
        <f t="shared" si="1"/>
        <v>-20000</v>
      </c>
      <c r="N9" s="9"/>
      <c r="O9">
        <f t="shared" si="2"/>
        <v>300.0000000000025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Z9">
        <f t="shared" si="7"/>
        <v>300.0000000000025</v>
      </c>
    </row>
    <row r="10" spans="1:26" x14ac:dyDescent="0.2">
      <c r="A10" s="107">
        <v>36867</v>
      </c>
      <c r="B10">
        <f t="shared" si="0"/>
        <v>5.31</v>
      </c>
      <c r="C10" s="5">
        <f>GasDaily!V10</f>
        <v>3.7549999999999999</v>
      </c>
      <c r="D10" s="3">
        <v>-20000</v>
      </c>
      <c r="E10" s="3"/>
      <c r="F10" s="3"/>
      <c r="G10" s="3"/>
      <c r="H10" s="3"/>
      <c r="I10" s="3"/>
      <c r="J10" s="3"/>
      <c r="K10" s="3"/>
      <c r="L10" s="3"/>
      <c r="M10" s="10">
        <f t="shared" si="1"/>
        <v>-20000</v>
      </c>
      <c r="N10" s="9"/>
      <c r="O10">
        <f t="shared" si="2"/>
        <v>300.0000000000025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Z10">
        <f t="shared" si="7"/>
        <v>300.0000000000025</v>
      </c>
    </row>
    <row r="11" spans="1:26" x14ac:dyDescent="0.2">
      <c r="A11" s="107">
        <v>36868</v>
      </c>
      <c r="B11">
        <f t="shared" si="0"/>
        <v>5.31</v>
      </c>
      <c r="C11" s="5">
        <f>GasDaily!V11</f>
        <v>3.7549999999999999</v>
      </c>
      <c r="D11" s="3">
        <v>-20000</v>
      </c>
      <c r="E11" s="3"/>
      <c r="F11" s="3"/>
      <c r="G11" s="3"/>
      <c r="H11" s="3"/>
      <c r="I11" s="3"/>
      <c r="J11" s="3"/>
      <c r="K11" s="3"/>
      <c r="L11" s="3"/>
      <c r="M11" s="10">
        <f t="shared" si="1"/>
        <v>-20000</v>
      </c>
      <c r="N11" s="9"/>
      <c r="O11">
        <f t="shared" si="2"/>
        <v>300.0000000000025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Z11">
        <f t="shared" si="7"/>
        <v>300.0000000000025</v>
      </c>
    </row>
    <row r="12" spans="1:26" x14ac:dyDescent="0.2">
      <c r="A12" s="107">
        <v>36869</v>
      </c>
      <c r="B12">
        <f t="shared" si="0"/>
        <v>5.31</v>
      </c>
      <c r="C12" s="5">
        <f>GasDaily!V12</f>
        <v>3.7549999999999999</v>
      </c>
      <c r="D12" s="3">
        <v>-20000</v>
      </c>
      <c r="E12" s="3"/>
      <c r="F12" s="3"/>
      <c r="G12" s="3"/>
      <c r="H12" s="3"/>
      <c r="I12" s="3"/>
      <c r="J12" s="3"/>
      <c r="K12" s="3"/>
      <c r="L12" s="3"/>
      <c r="M12" s="10">
        <f t="shared" si="1"/>
        <v>-20000</v>
      </c>
      <c r="N12" s="9"/>
      <c r="O12">
        <f t="shared" si="2"/>
        <v>300.0000000000025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Z12">
        <f t="shared" si="7"/>
        <v>300.0000000000025</v>
      </c>
    </row>
    <row r="13" spans="1:26" x14ac:dyDescent="0.2">
      <c r="A13" s="107">
        <v>36870</v>
      </c>
      <c r="B13">
        <f t="shared" si="0"/>
        <v>5.31</v>
      </c>
      <c r="C13" s="5">
        <f>GasDaily!V13</f>
        <v>3.7549999999999999</v>
      </c>
      <c r="D13" s="3">
        <v>-20000</v>
      </c>
      <c r="E13" s="3"/>
      <c r="F13" s="3"/>
      <c r="G13" s="3"/>
      <c r="H13" s="3"/>
      <c r="I13" s="3"/>
      <c r="J13" s="3"/>
      <c r="K13" s="3"/>
      <c r="L13" s="3"/>
      <c r="M13" s="10">
        <f t="shared" si="1"/>
        <v>-20000</v>
      </c>
      <c r="N13" s="9"/>
      <c r="O13">
        <f t="shared" si="2"/>
        <v>300.0000000000025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Z13">
        <f t="shared" si="7"/>
        <v>300.0000000000025</v>
      </c>
    </row>
    <row r="14" spans="1:26" x14ac:dyDescent="0.2">
      <c r="A14" s="107">
        <v>36871</v>
      </c>
      <c r="B14">
        <f t="shared" si="0"/>
        <v>5.31</v>
      </c>
      <c r="C14" s="5">
        <f>GasDaily!V14</f>
        <v>3.7549999999999999</v>
      </c>
      <c r="D14" s="3">
        <v>-20000</v>
      </c>
      <c r="E14" s="3"/>
      <c r="F14" s="3"/>
      <c r="G14" s="3"/>
      <c r="H14" s="3"/>
      <c r="I14" s="3"/>
      <c r="J14" s="3"/>
      <c r="K14" s="3"/>
      <c r="L14" s="3"/>
      <c r="M14" s="10">
        <f t="shared" si="1"/>
        <v>-20000</v>
      </c>
      <c r="N14" s="9"/>
      <c r="O14">
        <f t="shared" si="2"/>
        <v>300.0000000000025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Z14">
        <f t="shared" si="7"/>
        <v>300.0000000000025</v>
      </c>
    </row>
    <row r="15" spans="1:26" x14ac:dyDescent="0.2">
      <c r="A15" s="107">
        <v>36872</v>
      </c>
      <c r="B15">
        <f t="shared" si="0"/>
        <v>5.31</v>
      </c>
      <c r="C15" s="5">
        <f>GasDaily!V15</f>
        <v>3.7549999999999999</v>
      </c>
      <c r="D15" s="3">
        <v>-20000</v>
      </c>
      <c r="E15" s="3"/>
      <c r="F15" s="3"/>
      <c r="G15" s="3"/>
      <c r="H15" s="3"/>
      <c r="I15" s="3"/>
      <c r="J15" s="3"/>
      <c r="K15" s="3"/>
      <c r="L15" s="3"/>
      <c r="M15" s="10">
        <f t="shared" si="1"/>
        <v>-20000</v>
      </c>
      <c r="N15" s="9"/>
      <c r="O15">
        <f t="shared" si="2"/>
        <v>300.0000000000025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Z15">
        <f t="shared" si="7"/>
        <v>300.0000000000025</v>
      </c>
    </row>
    <row r="16" spans="1:26" x14ac:dyDescent="0.2">
      <c r="A16" s="107">
        <v>36873</v>
      </c>
      <c r="B16">
        <f t="shared" si="0"/>
        <v>5.31</v>
      </c>
      <c r="C16" s="5">
        <f>GasDaily!V16</f>
        <v>3.7549999999999999</v>
      </c>
      <c r="D16" s="3">
        <v>-20000</v>
      </c>
      <c r="E16" s="3"/>
      <c r="F16" s="3"/>
      <c r="G16" s="3"/>
      <c r="H16" s="3"/>
      <c r="I16" s="3"/>
      <c r="J16" s="3"/>
      <c r="K16" s="3"/>
      <c r="L16" s="3"/>
      <c r="M16" s="10">
        <f t="shared" si="1"/>
        <v>-20000</v>
      </c>
      <c r="N16" s="9"/>
      <c r="O16">
        <f t="shared" si="2"/>
        <v>300.0000000000025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Z16">
        <f t="shared" si="7"/>
        <v>300.0000000000025</v>
      </c>
    </row>
    <row r="17" spans="1:26" x14ac:dyDescent="0.2">
      <c r="A17" s="107">
        <v>36874</v>
      </c>
      <c r="B17">
        <f t="shared" si="0"/>
        <v>5.31</v>
      </c>
      <c r="C17" s="5">
        <f>GasDaily!V17</f>
        <v>3.7549999999999999</v>
      </c>
      <c r="D17" s="3">
        <v>-20000</v>
      </c>
      <c r="E17" s="3"/>
      <c r="F17" s="3"/>
      <c r="G17" s="3"/>
      <c r="H17" s="3"/>
      <c r="I17" s="3"/>
      <c r="J17" s="3"/>
      <c r="K17" s="3"/>
      <c r="L17" s="3"/>
      <c r="M17" s="10">
        <f t="shared" si="1"/>
        <v>-20000</v>
      </c>
      <c r="N17" s="9"/>
      <c r="O17">
        <f t="shared" si="2"/>
        <v>300.0000000000025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Z17">
        <f t="shared" si="7"/>
        <v>300.0000000000025</v>
      </c>
    </row>
    <row r="18" spans="1:26" x14ac:dyDescent="0.2">
      <c r="A18" s="107">
        <v>36875</v>
      </c>
      <c r="B18">
        <f t="shared" si="0"/>
        <v>5.31</v>
      </c>
      <c r="C18" s="5">
        <f>GasDaily!V18</f>
        <v>3.7549999999999999</v>
      </c>
      <c r="D18" s="3">
        <v>-20000</v>
      </c>
      <c r="E18" s="3"/>
      <c r="F18" s="3"/>
      <c r="G18" s="3"/>
      <c r="H18" s="3"/>
      <c r="I18" s="3"/>
      <c r="J18" s="3"/>
      <c r="K18" s="3"/>
      <c r="L18" s="3"/>
      <c r="M18" s="10">
        <f t="shared" si="1"/>
        <v>-20000</v>
      </c>
      <c r="N18" s="9"/>
      <c r="O18">
        <f t="shared" si="2"/>
        <v>300.0000000000025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Z18">
        <f t="shared" si="7"/>
        <v>300.0000000000025</v>
      </c>
    </row>
    <row r="19" spans="1:26" x14ac:dyDescent="0.2">
      <c r="A19" s="107">
        <v>36876</v>
      </c>
      <c r="B19">
        <f t="shared" si="0"/>
        <v>5.31</v>
      </c>
      <c r="C19" s="5">
        <f>GasDaily!V19</f>
        <v>3.7549999999999999</v>
      </c>
      <c r="D19" s="3">
        <v>-20000</v>
      </c>
      <c r="E19" s="3"/>
      <c r="F19" s="3"/>
      <c r="G19" s="3"/>
      <c r="H19" s="3"/>
      <c r="I19" s="3"/>
      <c r="J19" s="3"/>
      <c r="K19" s="3"/>
      <c r="L19" s="3"/>
      <c r="M19" s="10">
        <f t="shared" si="1"/>
        <v>-20000</v>
      </c>
      <c r="N19" s="9"/>
      <c r="O19">
        <f t="shared" si="2"/>
        <v>300.0000000000025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Z19">
        <f t="shared" si="7"/>
        <v>300.0000000000025</v>
      </c>
    </row>
    <row r="20" spans="1:26" x14ac:dyDescent="0.2">
      <c r="A20" s="107">
        <v>36877</v>
      </c>
      <c r="B20">
        <f t="shared" si="0"/>
        <v>5.31</v>
      </c>
      <c r="C20" s="5">
        <f>GasDaily!V20</f>
        <v>3.7549999999999999</v>
      </c>
      <c r="D20" s="3">
        <v>-20000</v>
      </c>
      <c r="E20" s="3"/>
      <c r="F20" s="3"/>
      <c r="G20" s="3"/>
      <c r="H20" s="3"/>
      <c r="I20" s="3"/>
      <c r="J20" s="3"/>
      <c r="K20" s="3"/>
      <c r="L20" s="3"/>
      <c r="M20" s="10">
        <f t="shared" si="1"/>
        <v>-20000</v>
      </c>
      <c r="N20" s="9"/>
      <c r="O20">
        <f t="shared" si="2"/>
        <v>300.0000000000025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Z20">
        <f t="shared" si="7"/>
        <v>300.0000000000025</v>
      </c>
    </row>
    <row r="21" spans="1:26" x14ac:dyDescent="0.2">
      <c r="A21" s="107">
        <v>36878</v>
      </c>
      <c r="B21">
        <f t="shared" si="0"/>
        <v>5.31</v>
      </c>
      <c r="C21" s="5">
        <f>GasDaily!V21</f>
        <v>3.7549999999999999</v>
      </c>
      <c r="D21" s="3">
        <v>-20000</v>
      </c>
      <c r="E21" s="3"/>
      <c r="F21" s="3"/>
      <c r="G21" s="3"/>
      <c r="H21" s="3"/>
      <c r="I21" s="3"/>
      <c r="J21" s="3"/>
      <c r="K21" s="3"/>
      <c r="L21" s="3"/>
      <c r="M21" s="10">
        <f t="shared" si="1"/>
        <v>-20000</v>
      </c>
      <c r="N21" s="9"/>
      <c r="O21">
        <f t="shared" si="2"/>
        <v>300.0000000000025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Z21">
        <f t="shared" si="7"/>
        <v>300.0000000000025</v>
      </c>
    </row>
    <row r="22" spans="1:26" x14ac:dyDescent="0.2">
      <c r="A22" s="107">
        <v>36879</v>
      </c>
      <c r="B22">
        <f t="shared" si="0"/>
        <v>5.31</v>
      </c>
      <c r="C22" s="5">
        <f>GasDaily!V22</f>
        <v>3.7549999999999999</v>
      </c>
      <c r="D22" s="3">
        <v>-20000</v>
      </c>
      <c r="E22" s="3"/>
      <c r="F22" s="3"/>
      <c r="G22" s="3"/>
      <c r="H22" s="3"/>
      <c r="I22" s="3"/>
      <c r="J22" s="3"/>
      <c r="K22" s="3"/>
      <c r="L22" s="3"/>
      <c r="M22" s="10">
        <f t="shared" si="1"/>
        <v>-20000</v>
      </c>
      <c r="N22" s="9"/>
      <c r="O22">
        <f t="shared" si="2"/>
        <v>300.0000000000025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Z22">
        <f t="shared" si="7"/>
        <v>300.0000000000025</v>
      </c>
    </row>
    <row r="23" spans="1:26" x14ac:dyDescent="0.2">
      <c r="A23" s="107">
        <v>36880</v>
      </c>
      <c r="B23">
        <f t="shared" si="0"/>
        <v>5.31</v>
      </c>
      <c r="C23" s="5">
        <f>GasDaily!V23</f>
        <v>3.7549999999999999</v>
      </c>
      <c r="D23" s="3">
        <v>-20000</v>
      </c>
      <c r="E23" s="3"/>
      <c r="F23" s="3"/>
      <c r="G23" s="3"/>
      <c r="H23" s="3"/>
      <c r="I23" s="3"/>
      <c r="J23" s="3"/>
      <c r="K23" s="3"/>
      <c r="L23" s="3"/>
      <c r="M23" s="10">
        <f t="shared" si="1"/>
        <v>-20000</v>
      </c>
      <c r="N23" s="9"/>
      <c r="O23">
        <f t="shared" si="2"/>
        <v>300.0000000000025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Z23">
        <f t="shared" si="7"/>
        <v>300.0000000000025</v>
      </c>
    </row>
    <row r="24" spans="1:26" x14ac:dyDescent="0.2">
      <c r="A24" s="107">
        <v>36881</v>
      </c>
      <c r="B24">
        <f t="shared" si="0"/>
        <v>5.31</v>
      </c>
      <c r="C24" s="5">
        <f>GasDaily!V24</f>
        <v>3.7549999999999999</v>
      </c>
      <c r="D24" s="3">
        <v>-20000</v>
      </c>
      <c r="E24" s="3"/>
      <c r="F24" s="3"/>
      <c r="G24" s="3"/>
      <c r="H24" s="3"/>
      <c r="I24" s="3"/>
      <c r="J24" s="3"/>
      <c r="K24" s="3"/>
      <c r="L24" s="3"/>
      <c r="M24" s="10">
        <f t="shared" si="1"/>
        <v>-20000</v>
      </c>
      <c r="N24" s="9"/>
      <c r="O24">
        <f t="shared" si="2"/>
        <v>300.0000000000025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Z24">
        <f t="shared" si="7"/>
        <v>300.0000000000025</v>
      </c>
    </row>
    <row r="25" spans="1:26" x14ac:dyDescent="0.2">
      <c r="A25" s="107">
        <v>36882</v>
      </c>
      <c r="B25">
        <f t="shared" si="0"/>
        <v>5.31</v>
      </c>
      <c r="C25" s="5">
        <f>GasDaily!V25</f>
        <v>3.7549999999999999</v>
      </c>
      <c r="D25" s="3">
        <v>-20000</v>
      </c>
      <c r="E25" s="3"/>
      <c r="F25" s="3"/>
      <c r="G25" s="3"/>
      <c r="H25" s="3"/>
      <c r="I25" s="3"/>
      <c r="J25" s="3"/>
      <c r="K25" s="3"/>
      <c r="L25" s="3"/>
      <c r="M25" s="10">
        <f t="shared" si="1"/>
        <v>-20000</v>
      </c>
      <c r="N25" s="9"/>
      <c r="O25">
        <f t="shared" si="2"/>
        <v>300.0000000000025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Z25">
        <f t="shared" si="7"/>
        <v>300.0000000000025</v>
      </c>
    </row>
    <row r="26" spans="1:26" x14ac:dyDescent="0.2">
      <c r="A26" s="107">
        <v>36883</v>
      </c>
      <c r="B26">
        <f t="shared" si="0"/>
        <v>5.31</v>
      </c>
      <c r="C26" s="5">
        <f>GasDaily!V26</f>
        <v>3.7549999999999999</v>
      </c>
      <c r="D26" s="3">
        <v>-20000</v>
      </c>
      <c r="E26" s="3"/>
      <c r="F26" s="3"/>
      <c r="G26" s="3"/>
      <c r="H26" s="3"/>
      <c r="I26" s="3"/>
      <c r="J26" s="3"/>
      <c r="K26" s="3"/>
      <c r="L26" s="3"/>
      <c r="M26" s="10">
        <f t="shared" si="1"/>
        <v>-20000</v>
      </c>
      <c r="N26" s="9"/>
      <c r="O26">
        <f t="shared" si="2"/>
        <v>300.0000000000025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Z26">
        <f t="shared" si="7"/>
        <v>300.0000000000025</v>
      </c>
    </row>
    <row r="27" spans="1:26" x14ac:dyDescent="0.2">
      <c r="A27" s="107">
        <v>36884</v>
      </c>
      <c r="B27">
        <f t="shared" si="0"/>
        <v>5.31</v>
      </c>
      <c r="C27" s="5">
        <f>GasDaily!V27</f>
        <v>3.7549999999999999</v>
      </c>
      <c r="D27" s="3">
        <v>-20000</v>
      </c>
      <c r="E27" s="3"/>
      <c r="F27" s="3"/>
      <c r="G27" s="3"/>
      <c r="H27" s="3"/>
      <c r="I27" s="3"/>
      <c r="J27" s="3"/>
      <c r="K27" s="3"/>
      <c r="L27" s="3"/>
      <c r="M27" s="10">
        <f t="shared" si="1"/>
        <v>-20000</v>
      </c>
      <c r="N27" s="9"/>
      <c r="O27">
        <f t="shared" si="2"/>
        <v>300.0000000000025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Z27">
        <f t="shared" si="7"/>
        <v>300.0000000000025</v>
      </c>
    </row>
    <row r="28" spans="1:26" x14ac:dyDescent="0.2">
      <c r="A28" s="107">
        <v>36885</v>
      </c>
      <c r="B28">
        <f t="shared" si="0"/>
        <v>5.31</v>
      </c>
      <c r="C28" s="5">
        <f>GasDaily!V28</f>
        <v>3.7549999999999999</v>
      </c>
      <c r="D28" s="3">
        <v>-20000</v>
      </c>
      <c r="E28" s="3"/>
      <c r="F28" s="3"/>
      <c r="G28" s="3"/>
      <c r="H28" s="3"/>
      <c r="I28" s="3"/>
      <c r="J28" s="3"/>
      <c r="K28" s="3"/>
      <c r="L28" s="3"/>
      <c r="M28" s="10">
        <f t="shared" si="1"/>
        <v>-20000</v>
      </c>
      <c r="N28" s="9"/>
      <c r="O28">
        <f t="shared" si="2"/>
        <v>300.0000000000025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Z28">
        <f t="shared" si="7"/>
        <v>300.0000000000025</v>
      </c>
    </row>
    <row r="29" spans="1:26" x14ac:dyDescent="0.2">
      <c r="A29" s="107">
        <v>36886</v>
      </c>
      <c r="B29">
        <f t="shared" si="0"/>
        <v>5.31</v>
      </c>
      <c r="C29" s="5">
        <f>GasDaily!V29</f>
        <v>3.7549999999999999</v>
      </c>
      <c r="D29" s="3">
        <v>-20000</v>
      </c>
      <c r="E29" s="3"/>
      <c r="F29" s="3"/>
      <c r="G29" s="3"/>
      <c r="H29" s="3"/>
      <c r="I29" s="3"/>
      <c r="J29" s="3"/>
      <c r="K29" s="3"/>
      <c r="L29" s="3"/>
      <c r="M29" s="10">
        <f t="shared" si="1"/>
        <v>-20000</v>
      </c>
      <c r="N29" s="9"/>
      <c r="O29">
        <f t="shared" si="2"/>
        <v>300.0000000000025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Z29">
        <f t="shared" si="7"/>
        <v>300.0000000000025</v>
      </c>
    </row>
    <row r="30" spans="1:26" x14ac:dyDescent="0.2">
      <c r="A30" s="107">
        <v>36887</v>
      </c>
      <c r="B30">
        <f t="shared" si="0"/>
        <v>5.31</v>
      </c>
      <c r="C30" s="5">
        <f>GasDaily!V30</f>
        <v>3.7549999999999999</v>
      </c>
      <c r="D30" s="3">
        <v>-20000</v>
      </c>
      <c r="E30" s="3"/>
      <c r="F30" s="3"/>
      <c r="G30" s="3"/>
      <c r="H30" s="3"/>
      <c r="I30" s="3"/>
      <c r="J30" s="3"/>
      <c r="K30" s="3"/>
      <c r="L30" s="3"/>
      <c r="M30" s="10">
        <f t="shared" si="1"/>
        <v>-20000</v>
      </c>
      <c r="N30" s="9"/>
      <c r="O30">
        <f t="shared" si="2"/>
        <v>300.0000000000025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Z30">
        <f t="shared" si="7"/>
        <v>300.0000000000025</v>
      </c>
    </row>
    <row r="31" spans="1:26" x14ac:dyDescent="0.2">
      <c r="A31" s="107">
        <v>36888</v>
      </c>
      <c r="B31">
        <f t="shared" si="0"/>
        <v>5.31</v>
      </c>
      <c r="C31" s="5">
        <f>GasDaily!V31</f>
        <v>3.7549999999999999</v>
      </c>
      <c r="D31" s="3">
        <v>-20000</v>
      </c>
      <c r="E31" s="3"/>
      <c r="F31" s="3"/>
      <c r="G31" s="3"/>
      <c r="H31" s="3"/>
      <c r="I31" s="3"/>
      <c r="J31" s="3"/>
      <c r="K31" s="3"/>
      <c r="L31" s="3"/>
      <c r="M31" s="10">
        <f t="shared" si="1"/>
        <v>-20000</v>
      </c>
      <c r="N31" s="9"/>
      <c r="O31">
        <f t="shared" si="2"/>
        <v>300.0000000000025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Z31">
        <f t="shared" si="7"/>
        <v>300.0000000000025</v>
      </c>
    </row>
    <row r="32" spans="1:26" x14ac:dyDescent="0.2">
      <c r="A32" s="107">
        <v>36889</v>
      </c>
      <c r="B32">
        <f t="shared" si="0"/>
        <v>5.31</v>
      </c>
      <c r="C32" s="5">
        <f>GasDaily!V32</f>
        <v>3.7549999999999999</v>
      </c>
      <c r="D32" s="3">
        <v>-20000</v>
      </c>
      <c r="E32" s="3"/>
      <c r="F32" s="3"/>
      <c r="G32" s="3"/>
      <c r="H32" s="3"/>
      <c r="I32" s="3"/>
      <c r="J32" s="3"/>
      <c r="K32" s="3"/>
      <c r="L32" s="3"/>
      <c r="M32" s="10">
        <f t="shared" si="1"/>
        <v>-20000</v>
      </c>
      <c r="N32" s="9"/>
      <c r="O32">
        <f>D32*(C32-D$3)</f>
        <v>300.0000000000025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Z32">
        <f t="shared" si="7"/>
        <v>300.0000000000025</v>
      </c>
    </row>
    <row r="33" spans="1:26" x14ac:dyDescent="0.2">
      <c r="A33" s="107">
        <v>36890</v>
      </c>
      <c r="B33">
        <f t="shared" si="0"/>
        <v>5.31</v>
      </c>
      <c r="C33" s="5">
        <f>GasDaily!V33</f>
        <v>3.7549999999999999</v>
      </c>
      <c r="D33" s="3">
        <v>-20000</v>
      </c>
      <c r="E33" s="3"/>
      <c r="F33" s="3"/>
      <c r="G33" s="3"/>
      <c r="H33" s="3"/>
      <c r="I33" s="3"/>
      <c r="J33" s="3"/>
      <c r="K33" s="3"/>
      <c r="M33" s="10">
        <f t="shared" si="1"/>
        <v>-20000</v>
      </c>
      <c r="N33" s="9"/>
      <c r="O33">
        <f>D33*(C33-D$3)</f>
        <v>300.0000000000025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Z33">
        <f t="shared" si="7"/>
        <v>300.0000000000025</v>
      </c>
    </row>
    <row r="34" spans="1:26" x14ac:dyDescent="0.2">
      <c r="A34" s="107">
        <v>36891</v>
      </c>
      <c r="B34">
        <f t="shared" si="0"/>
        <v>5.31</v>
      </c>
      <c r="C34" s="5"/>
      <c r="D34" s="3"/>
      <c r="E34" s="3"/>
      <c r="F34" s="3"/>
      <c r="G34" s="3"/>
      <c r="H34" s="3"/>
      <c r="I34" s="3"/>
      <c r="J34" s="3"/>
      <c r="K34" s="3"/>
      <c r="M34" s="10">
        <f t="shared" si="1"/>
        <v>0</v>
      </c>
      <c r="N34" s="9"/>
      <c r="O34">
        <f>D34*(C34-D$3)</f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Z34">
        <f t="shared" si="7"/>
        <v>0</v>
      </c>
    </row>
    <row r="35" spans="1:26" x14ac:dyDescent="0.2">
      <c r="A35" s="7"/>
      <c r="C35" s="5"/>
      <c r="D35" s="3"/>
      <c r="E35" s="3"/>
      <c r="F35" s="3"/>
      <c r="G35" s="3"/>
      <c r="H35" s="3">
        <f>(102.3*10000)/22</f>
        <v>46500</v>
      </c>
      <c r="I35" s="3"/>
      <c r="J35" s="3"/>
      <c r="K35" s="3"/>
    </row>
    <row r="36" spans="1:26" x14ac:dyDescent="0.2">
      <c r="M36" s="10">
        <f>SUM(M8:M34)</f>
        <v>-520000</v>
      </c>
      <c r="Z36" s="11">
        <f>SUM(Z4:Z34)</f>
        <v>11500.000000000071</v>
      </c>
    </row>
    <row r="37" spans="1:2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/>
  <dimension ref="A1:AT37"/>
  <sheetViews>
    <sheetView topLeftCell="L2" zoomScale="85" workbookViewId="0">
      <selection activeCell="W37" sqref="W37"/>
    </sheetView>
  </sheetViews>
  <sheetFormatPr defaultRowHeight="12.75" x14ac:dyDescent="0.2"/>
  <cols>
    <col min="1" max="1" width="9.28515625" bestFit="1" customWidth="1"/>
    <col min="23" max="23" width="13.140625" style="2" customWidth="1"/>
    <col min="24" max="24" width="2.85546875" style="8" customWidth="1"/>
    <col min="45" max="45" width="2.7109375" style="8" customWidth="1"/>
    <col min="46" max="46" width="10.85546875" bestFit="1" customWidth="1"/>
  </cols>
  <sheetData>
    <row r="1" spans="1:46" x14ac:dyDescent="0.2">
      <c r="B1" s="2" t="s">
        <v>0</v>
      </c>
    </row>
    <row r="2" spans="1:46" x14ac:dyDescent="0.2">
      <c r="B2" s="6">
        <v>5.25</v>
      </c>
      <c r="C2" s="4"/>
      <c r="W2" s="2" t="s">
        <v>4</v>
      </c>
    </row>
    <row r="3" spans="1:46" x14ac:dyDescent="0.2">
      <c r="B3" s="5">
        <v>0</v>
      </c>
      <c r="C3" t="s">
        <v>1</v>
      </c>
      <c r="D3">
        <v>3.645</v>
      </c>
      <c r="E3">
        <v>3.6274999999999999</v>
      </c>
      <c r="F3">
        <v>3.84</v>
      </c>
      <c r="G3">
        <v>3.78</v>
      </c>
      <c r="H3">
        <v>3.75</v>
      </c>
      <c r="I3">
        <v>3.8650000000000002</v>
      </c>
      <c r="AT3" t="s">
        <v>3</v>
      </c>
    </row>
    <row r="4" spans="1:46" x14ac:dyDescent="0.2">
      <c r="A4" s="107">
        <v>37012</v>
      </c>
      <c r="B4">
        <f t="shared" ref="B4:B34" si="0">B$2+B$3</f>
        <v>5.25</v>
      </c>
      <c r="C4" s="5">
        <f>GasDaily!R4</f>
        <v>3.83</v>
      </c>
      <c r="D4" s="3">
        <v>10000</v>
      </c>
      <c r="E4" s="3">
        <v>-10000</v>
      </c>
      <c r="F4" s="3">
        <v>-10000</v>
      </c>
      <c r="G4" s="3">
        <v>10000</v>
      </c>
      <c r="H4" s="3">
        <v>-10000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0">
        <f t="shared" ref="W4:W27" si="1">SUM(D4:Q4)</f>
        <v>-10000</v>
      </c>
      <c r="X4" s="9"/>
      <c r="Y4">
        <f t="shared" ref="Y4:Y34" si="2">D4*($C4-D$3)</f>
        <v>1850.0000000000005</v>
      </c>
      <c r="Z4">
        <f t="shared" ref="Z4:AA19" si="3">E4*($C4-E$3)</f>
        <v>-2025.0000000000011</v>
      </c>
      <c r="AA4">
        <f t="shared" si="3"/>
        <v>99.999999999997868</v>
      </c>
      <c r="AB4">
        <f t="shared" ref="AB4:AB15" si="4">G4*($C4-G$3)</f>
        <v>500.00000000000267</v>
      </c>
      <c r="AC4">
        <f t="shared" ref="AC4:AC31" si="5">H4*($C4-H$3)</f>
        <v>-800.00000000000068</v>
      </c>
      <c r="AD4">
        <f t="shared" ref="AD4:AD34" si="6">I4*($C4-I$3)</f>
        <v>0</v>
      </c>
      <c r="AE4">
        <f t="shared" ref="AE4:AE34" si="7">J4*($C4-J$3)</f>
        <v>0</v>
      </c>
      <c r="AF4">
        <f t="shared" ref="AF4:AF34" si="8">K4*($C4-K$3)</f>
        <v>0</v>
      </c>
      <c r="AG4">
        <f t="shared" ref="AG4:AG34" si="9">L4*($C4-L$3)</f>
        <v>0</v>
      </c>
      <c r="AH4" s="3">
        <f t="shared" ref="AH4:AH34" si="10">M4*($C4-M$3)</f>
        <v>0</v>
      </c>
      <c r="AI4">
        <f t="shared" ref="AI4:AI34" si="11">N4*($C4-N$3)</f>
        <v>0</v>
      </c>
      <c r="AJ4" s="3">
        <f t="shared" ref="AJ4:AJ34" si="12">O4*($C4-O$3)</f>
        <v>0</v>
      </c>
      <c r="AK4" s="3">
        <f t="shared" ref="AK4:AK34" si="13">P4*($C4-P$3)</f>
        <v>0</v>
      </c>
      <c r="AL4" s="3">
        <f t="shared" ref="AL4:AL34" si="14">Q4*($C4-Q$3)</f>
        <v>0</v>
      </c>
      <c r="AM4" s="3">
        <f t="shared" ref="AM4:AM34" si="15">R4*($C4-R$3)</f>
        <v>0</v>
      </c>
      <c r="AN4" s="3">
        <f t="shared" ref="AN4:AP34" si="16">S4*($C4-S$3)</f>
        <v>0</v>
      </c>
      <c r="AO4" s="3">
        <f t="shared" si="16"/>
        <v>0</v>
      </c>
      <c r="AP4" s="3">
        <f>V4*($C4-V$3)</f>
        <v>0</v>
      </c>
      <c r="AT4">
        <f t="shared" ref="AT4:AT34" si="17">SUM(Y4:AS4)</f>
        <v>-375.0000000000008</v>
      </c>
    </row>
    <row r="5" spans="1:46" x14ac:dyDescent="0.2">
      <c r="A5" s="107">
        <v>37013</v>
      </c>
      <c r="B5">
        <f t="shared" si="0"/>
        <v>5.25</v>
      </c>
      <c r="C5" s="5">
        <f>GasDaily!R5</f>
        <v>3.8449999999999998</v>
      </c>
      <c r="D5" s="3">
        <v>10000</v>
      </c>
      <c r="E5" s="3">
        <v>-10000</v>
      </c>
      <c r="F5" s="3">
        <v>-10000</v>
      </c>
      <c r="G5" s="3">
        <v>10000</v>
      </c>
      <c r="H5" s="3">
        <v>-10000</v>
      </c>
      <c r="I5" s="3">
        <v>-10000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0">
        <f t="shared" si="1"/>
        <v>-20000</v>
      </c>
      <c r="X5" s="9"/>
      <c r="Y5">
        <f t="shared" si="2"/>
        <v>1999.9999999999973</v>
      </c>
      <c r="Z5">
        <f t="shared" si="3"/>
        <v>-2174.9999999999982</v>
      </c>
      <c r="AA5">
        <f t="shared" si="3"/>
        <v>-49.999999999998934</v>
      </c>
      <c r="AB5">
        <f t="shared" si="4"/>
        <v>649.99999999999943</v>
      </c>
      <c r="AC5">
        <f t="shared" si="5"/>
        <v>-949.9999999999975</v>
      </c>
      <c r="AD5">
        <f t="shared" si="6"/>
        <v>200.0000000000046</v>
      </c>
      <c r="AE5">
        <f t="shared" si="7"/>
        <v>0</v>
      </c>
      <c r="AF5">
        <f t="shared" si="8"/>
        <v>0</v>
      </c>
      <c r="AG5">
        <f t="shared" si="9"/>
        <v>0</v>
      </c>
      <c r="AH5" s="3">
        <f t="shared" si="10"/>
        <v>0</v>
      </c>
      <c r="AI5">
        <f t="shared" si="11"/>
        <v>0</v>
      </c>
      <c r="AJ5" s="3">
        <f t="shared" si="12"/>
        <v>0</v>
      </c>
      <c r="AK5" s="3">
        <f t="shared" si="13"/>
        <v>0</v>
      </c>
      <c r="AL5" s="3">
        <f t="shared" si="14"/>
        <v>0</v>
      </c>
      <c r="AM5" s="3">
        <f t="shared" si="15"/>
        <v>0</v>
      </c>
      <c r="AN5" s="3">
        <f t="shared" si="16"/>
        <v>0</v>
      </c>
      <c r="AO5" s="3">
        <f t="shared" si="16"/>
        <v>0</v>
      </c>
      <c r="AP5" s="3">
        <f t="shared" si="16"/>
        <v>0</v>
      </c>
      <c r="AT5">
        <f t="shared" si="17"/>
        <v>-324.99999999999335</v>
      </c>
    </row>
    <row r="6" spans="1:46" x14ac:dyDescent="0.2">
      <c r="A6" s="107">
        <v>37014</v>
      </c>
      <c r="B6">
        <f t="shared" si="0"/>
        <v>5.25</v>
      </c>
      <c r="C6" s="5">
        <f>GasDaily!R6</f>
        <v>3.8449999999999998</v>
      </c>
      <c r="D6" s="3">
        <v>10000</v>
      </c>
      <c r="E6" s="3">
        <v>-10000</v>
      </c>
      <c r="F6" s="3">
        <v>-10000</v>
      </c>
      <c r="G6" s="3">
        <v>10000</v>
      </c>
      <c r="H6" s="3">
        <v>-10000</v>
      </c>
      <c r="I6" s="3">
        <v>-10000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0">
        <f t="shared" si="1"/>
        <v>-20000</v>
      </c>
      <c r="X6" s="9"/>
      <c r="Y6">
        <f t="shared" si="2"/>
        <v>1999.9999999999973</v>
      </c>
      <c r="Z6">
        <f t="shared" si="3"/>
        <v>-2174.9999999999982</v>
      </c>
      <c r="AA6">
        <f t="shared" si="3"/>
        <v>-49.999999999998934</v>
      </c>
      <c r="AB6">
        <f t="shared" si="4"/>
        <v>649.99999999999943</v>
      </c>
      <c r="AC6">
        <f t="shared" si="5"/>
        <v>-949.9999999999975</v>
      </c>
      <c r="AD6">
        <f t="shared" si="6"/>
        <v>200.0000000000046</v>
      </c>
      <c r="AE6">
        <f t="shared" si="7"/>
        <v>0</v>
      </c>
      <c r="AF6">
        <f t="shared" si="8"/>
        <v>0</v>
      </c>
      <c r="AG6">
        <f t="shared" si="9"/>
        <v>0</v>
      </c>
      <c r="AH6" s="3">
        <f t="shared" si="10"/>
        <v>0</v>
      </c>
      <c r="AI6">
        <f t="shared" si="11"/>
        <v>0</v>
      </c>
      <c r="AJ6" s="3">
        <f t="shared" si="12"/>
        <v>0</v>
      </c>
      <c r="AK6" s="3">
        <f t="shared" si="13"/>
        <v>0</v>
      </c>
      <c r="AL6" s="3">
        <f t="shared" si="14"/>
        <v>0</v>
      </c>
      <c r="AM6" s="3">
        <f t="shared" si="15"/>
        <v>0</v>
      </c>
      <c r="AN6" s="3">
        <f t="shared" si="16"/>
        <v>0</v>
      </c>
      <c r="AO6" s="3">
        <f t="shared" si="16"/>
        <v>0</v>
      </c>
      <c r="AP6" s="3">
        <f t="shared" si="16"/>
        <v>0</v>
      </c>
      <c r="AT6">
        <f t="shared" si="17"/>
        <v>-324.99999999999335</v>
      </c>
    </row>
    <row r="7" spans="1:46" x14ac:dyDescent="0.2">
      <c r="A7" s="107">
        <v>37015</v>
      </c>
      <c r="B7">
        <f t="shared" si="0"/>
        <v>5.25</v>
      </c>
      <c r="C7" s="5">
        <f>GasDaily!R7</f>
        <v>3.8449999999999998</v>
      </c>
      <c r="D7" s="3">
        <v>10000</v>
      </c>
      <c r="E7" s="3">
        <v>-10000</v>
      </c>
      <c r="F7" s="3">
        <v>-10000</v>
      </c>
      <c r="G7" s="3">
        <v>10000</v>
      </c>
      <c r="H7" s="3">
        <v>-10000</v>
      </c>
      <c r="I7" s="3">
        <v>-10000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>
        <f t="shared" si="1"/>
        <v>-20000</v>
      </c>
      <c r="X7" s="9"/>
      <c r="Y7">
        <f t="shared" si="2"/>
        <v>1999.9999999999973</v>
      </c>
      <c r="Z7">
        <f t="shared" si="3"/>
        <v>-2174.9999999999982</v>
      </c>
      <c r="AA7">
        <f t="shared" si="3"/>
        <v>-49.999999999998934</v>
      </c>
      <c r="AB7">
        <f t="shared" si="4"/>
        <v>649.99999999999943</v>
      </c>
      <c r="AC7">
        <f t="shared" si="5"/>
        <v>-949.9999999999975</v>
      </c>
      <c r="AD7">
        <f t="shared" si="6"/>
        <v>200.0000000000046</v>
      </c>
      <c r="AE7">
        <f t="shared" si="7"/>
        <v>0</v>
      </c>
      <c r="AF7">
        <f t="shared" si="8"/>
        <v>0</v>
      </c>
      <c r="AG7">
        <f t="shared" si="9"/>
        <v>0</v>
      </c>
      <c r="AH7" s="3">
        <f t="shared" si="10"/>
        <v>0</v>
      </c>
      <c r="AI7">
        <f t="shared" si="11"/>
        <v>0</v>
      </c>
      <c r="AJ7" s="3">
        <f t="shared" si="12"/>
        <v>0</v>
      </c>
      <c r="AK7" s="3">
        <f t="shared" si="13"/>
        <v>0</v>
      </c>
      <c r="AL7" s="3">
        <f t="shared" si="14"/>
        <v>0</v>
      </c>
      <c r="AM7" s="3">
        <f t="shared" si="15"/>
        <v>0</v>
      </c>
      <c r="AN7" s="3">
        <f t="shared" si="16"/>
        <v>0</v>
      </c>
      <c r="AO7" s="3">
        <f t="shared" si="16"/>
        <v>0</v>
      </c>
      <c r="AP7" s="3">
        <f t="shared" si="16"/>
        <v>0</v>
      </c>
      <c r="AT7">
        <f t="shared" si="17"/>
        <v>-324.99999999999335</v>
      </c>
    </row>
    <row r="8" spans="1:46" x14ac:dyDescent="0.2">
      <c r="A8" s="107">
        <v>37016</v>
      </c>
      <c r="B8">
        <f t="shared" si="0"/>
        <v>5.25</v>
      </c>
      <c r="C8" s="5">
        <f>GasDaily!R8</f>
        <v>3.8449999999999998</v>
      </c>
      <c r="D8" s="3">
        <v>10000</v>
      </c>
      <c r="E8" s="3">
        <v>-10000</v>
      </c>
      <c r="F8" s="3">
        <v>-10000</v>
      </c>
      <c r="G8" s="3">
        <v>10000</v>
      </c>
      <c r="H8" s="3">
        <v>-10000</v>
      </c>
      <c r="I8" s="3">
        <v>-10000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">
        <f t="shared" si="1"/>
        <v>-20000</v>
      </c>
      <c r="X8" s="9"/>
      <c r="Y8">
        <f t="shared" si="2"/>
        <v>1999.9999999999973</v>
      </c>
      <c r="Z8">
        <f t="shared" si="3"/>
        <v>-2174.9999999999982</v>
      </c>
      <c r="AA8">
        <f t="shared" si="3"/>
        <v>-49.999999999998934</v>
      </c>
      <c r="AB8">
        <f t="shared" si="4"/>
        <v>649.99999999999943</v>
      </c>
      <c r="AC8">
        <f t="shared" si="5"/>
        <v>-949.9999999999975</v>
      </c>
      <c r="AD8">
        <f t="shared" si="6"/>
        <v>200.0000000000046</v>
      </c>
      <c r="AE8">
        <f t="shared" si="7"/>
        <v>0</v>
      </c>
      <c r="AF8">
        <f t="shared" si="8"/>
        <v>0</v>
      </c>
      <c r="AG8">
        <f t="shared" si="9"/>
        <v>0</v>
      </c>
      <c r="AH8" s="3">
        <f t="shared" si="10"/>
        <v>0</v>
      </c>
      <c r="AI8">
        <f t="shared" si="11"/>
        <v>0</v>
      </c>
      <c r="AJ8" s="3">
        <f t="shared" si="12"/>
        <v>0</v>
      </c>
      <c r="AK8" s="3">
        <f t="shared" si="13"/>
        <v>0</v>
      </c>
      <c r="AL8" s="3">
        <f t="shared" si="14"/>
        <v>0</v>
      </c>
      <c r="AM8" s="3">
        <f t="shared" si="15"/>
        <v>0</v>
      </c>
      <c r="AN8" s="3">
        <f t="shared" si="16"/>
        <v>0</v>
      </c>
      <c r="AO8" s="3">
        <f t="shared" si="16"/>
        <v>0</v>
      </c>
      <c r="AP8" s="3">
        <f t="shared" si="16"/>
        <v>0</v>
      </c>
      <c r="AT8">
        <f t="shared" si="17"/>
        <v>-324.99999999999335</v>
      </c>
    </row>
    <row r="9" spans="1:46" x14ac:dyDescent="0.2">
      <c r="A9" s="107">
        <v>37017</v>
      </c>
      <c r="B9">
        <f t="shared" si="0"/>
        <v>5.25</v>
      </c>
      <c r="C9" s="5">
        <f>GasDaily!R9</f>
        <v>3.8449999999999998</v>
      </c>
      <c r="D9" s="3">
        <v>10000</v>
      </c>
      <c r="E9" s="3">
        <v>-10000</v>
      </c>
      <c r="F9" s="3">
        <v>-10000</v>
      </c>
      <c r="G9" s="3">
        <v>10000</v>
      </c>
      <c r="H9" s="3">
        <v>-10000</v>
      </c>
      <c r="I9" s="3">
        <v>-10000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">
        <f t="shared" si="1"/>
        <v>-20000</v>
      </c>
      <c r="X9" s="9"/>
      <c r="Y9">
        <f t="shared" si="2"/>
        <v>1999.9999999999973</v>
      </c>
      <c r="Z9">
        <f t="shared" si="3"/>
        <v>-2174.9999999999982</v>
      </c>
      <c r="AA9">
        <f t="shared" si="3"/>
        <v>-49.999999999998934</v>
      </c>
      <c r="AB9">
        <f t="shared" si="4"/>
        <v>649.99999999999943</v>
      </c>
      <c r="AC9">
        <f t="shared" si="5"/>
        <v>-949.9999999999975</v>
      </c>
      <c r="AD9">
        <f t="shared" si="6"/>
        <v>200.0000000000046</v>
      </c>
      <c r="AE9">
        <f t="shared" si="7"/>
        <v>0</v>
      </c>
      <c r="AF9">
        <f t="shared" si="8"/>
        <v>0</v>
      </c>
      <c r="AG9">
        <f t="shared" si="9"/>
        <v>0</v>
      </c>
      <c r="AH9" s="3">
        <f t="shared" si="10"/>
        <v>0</v>
      </c>
      <c r="AI9">
        <f t="shared" si="11"/>
        <v>0</v>
      </c>
      <c r="AJ9" s="3">
        <f t="shared" si="12"/>
        <v>0</v>
      </c>
      <c r="AK9" s="3">
        <f t="shared" si="13"/>
        <v>0</v>
      </c>
      <c r="AL9" s="3">
        <f t="shared" si="14"/>
        <v>0</v>
      </c>
      <c r="AM9" s="3">
        <f t="shared" si="15"/>
        <v>0</v>
      </c>
      <c r="AN9" s="3">
        <f t="shared" si="16"/>
        <v>0</v>
      </c>
      <c r="AO9" s="3">
        <f t="shared" si="16"/>
        <v>0</v>
      </c>
      <c r="AP9" s="3">
        <f t="shared" si="16"/>
        <v>0</v>
      </c>
      <c r="AT9">
        <f t="shared" si="17"/>
        <v>-324.99999999999335</v>
      </c>
    </row>
    <row r="10" spans="1:46" x14ac:dyDescent="0.2">
      <c r="A10" s="107">
        <v>37018</v>
      </c>
      <c r="B10">
        <f t="shared" si="0"/>
        <v>5.25</v>
      </c>
      <c r="C10" s="5">
        <f>GasDaily!R10</f>
        <v>3.8449999999999998</v>
      </c>
      <c r="D10" s="3">
        <v>10000</v>
      </c>
      <c r="E10" s="3">
        <v>-10000</v>
      </c>
      <c r="F10" s="3">
        <v>-10000</v>
      </c>
      <c r="G10" s="3">
        <v>10000</v>
      </c>
      <c r="H10" s="3">
        <v>-10000</v>
      </c>
      <c r="I10" s="3">
        <v>-10000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0">
        <f t="shared" si="1"/>
        <v>-20000</v>
      </c>
      <c r="X10" s="9"/>
      <c r="Y10">
        <f t="shared" si="2"/>
        <v>1999.9999999999973</v>
      </c>
      <c r="Z10">
        <f t="shared" si="3"/>
        <v>-2174.9999999999982</v>
      </c>
      <c r="AA10">
        <f t="shared" si="3"/>
        <v>-49.999999999998934</v>
      </c>
      <c r="AB10">
        <f t="shared" si="4"/>
        <v>649.99999999999943</v>
      </c>
      <c r="AC10">
        <f t="shared" si="5"/>
        <v>-949.9999999999975</v>
      </c>
      <c r="AD10">
        <f t="shared" si="6"/>
        <v>200.0000000000046</v>
      </c>
      <c r="AE10">
        <f t="shared" si="7"/>
        <v>0</v>
      </c>
      <c r="AF10">
        <f t="shared" si="8"/>
        <v>0</v>
      </c>
      <c r="AG10">
        <f t="shared" si="9"/>
        <v>0</v>
      </c>
      <c r="AH10" s="3">
        <f t="shared" si="10"/>
        <v>0</v>
      </c>
      <c r="AI10">
        <f t="shared" si="11"/>
        <v>0</v>
      </c>
      <c r="AJ10" s="3">
        <f t="shared" si="12"/>
        <v>0</v>
      </c>
      <c r="AK10" s="3">
        <f t="shared" si="13"/>
        <v>0</v>
      </c>
      <c r="AL10" s="3">
        <f t="shared" si="14"/>
        <v>0</v>
      </c>
      <c r="AM10" s="3">
        <f t="shared" si="15"/>
        <v>0</v>
      </c>
      <c r="AN10" s="3">
        <f t="shared" si="16"/>
        <v>0</v>
      </c>
      <c r="AO10" s="3">
        <f t="shared" si="16"/>
        <v>0</v>
      </c>
      <c r="AP10" s="3">
        <f t="shared" si="16"/>
        <v>0</v>
      </c>
      <c r="AT10">
        <f t="shared" si="17"/>
        <v>-324.99999999999335</v>
      </c>
    </row>
    <row r="11" spans="1:46" x14ac:dyDescent="0.2">
      <c r="A11" s="107">
        <v>37019</v>
      </c>
      <c r="B11">
        <f t="shared" si="0"/>
        <v>5.25</v>
      </c>
      <c r="C11" s="5">
        <f>GasDaily!R11</f>
        <v>3.8449999999999998</v>
      </c>
      <c r="D11" s="3">
        <v>10000</v>
      </c>
      <c r="E11" s="3">
        <v>-10000</v>
      </c>
      <c r="F11" s="3">
        <v>-10000</v>
      </c>
      <c r="G11" s="3">
        <v>10000</v>
      </c>
      <c r="H11" s="3">
        <v>-10000</v>
      </c>
      <c r="I11" s="3">
        <v>-10000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0">
        <f t="shared" si="1"/>
        <v>-20000</v>
      </c>
      <c r="X11" s="9"/>
      <c r="Y11">
        <f t="shared" si="2"/>
        <v>1999.9999999999973</v>
      </c>
      <c r="Z11">
        <f t="shared" si="3"/>
        <v>-2174.9999999999982</v>
      </c>
      <c r="AA11">
        <f t="shared" si="3"/>
        <v>-49.999999999998934</v>
      </c>
      <c r="AB11">
        <f t="shared" si="4"/>
        <v>649.99999999999943</v>
      </c>
      <c r="AC11">
        <f t="shared" si="5"/>
        <v>-949.9999999999975</v>
      </c>
      <c r="AD11">
        <f t="shared" si="6"/>
        <v>200.0000000000046</v>
      </c>
      <c r="AE11">
        <f t="shared" si="7"/>
        <v>0</v>
      </c>
      <c r="AF11">
        <f t="shared" si="8"/>
        <v>0</v>
      </c>
      <c r="AG11">
        <f t="shared" si="9"/>
        <v>0</v>
      </c>
      <c r="AH11" s="3">
        <f t="shared" si="10"/>
        <v>0</v>
      </c>
      <c r="AI11">
        <f t="shared" si="11"/>
        <v>0</v>
      </c>
      <c r="AJ11" s="3">
        <f t="shared" si="12"/>
        <v>0</v>
      </c>
      <c r="AK11" s="3">
        <f t="shared" si="13"/>
        <v>0</v>
      </c>
      <c r="AL11" s="3">
        <f t="shared" si="14"/>
        <v>0</v>
      </c>
      <c r="AM11" s="3">
        <f t="shared" si="15"/>
        <v>0</v>
      </c>
      <c r="AN11" s="3">
        <f t="shared" si="16"/>
        <v>0</v>
      </c>
      <c r="AO11" s="3">
        <f t="shared" si="16"/>
        <v>0</v>
      </c>
      <c r="AP11" s="3">
        <f t="shared" si="16"/>
        <v>0</v>
      </c>
      <c r="AT11">
        <f t="shared" si="17"/>
        <v>-324.99999999999335</v>
      </c>
    </row>
    <row r="12" spans="1:46" x14ac:dyDescent="0.2">
      <c r="A12" s="107">
        <v>37020</v>
      </c>
      <c r="B12">
        <f t="shared" si="0"/>
        <v>5.25</v>
      </c>
      <c r="C12" s="5">
        <f>GasDaily!R12</f>
        <v>3.8449999999999998</v>
      </c>
      <c r="D12" s="3">
        <v>10000</v>
      </c>
      <c r="E12" s="3">
        <v>-10000</v>
      </c>
      <c r="F12" s="3">
        <v>-10000</v>
      </c>
      <c r="G12" s="3">
        <v>10000</v>
      </c>
      <c r="H12" s="3">
        <v>-10000</v>
      </c>
      <c r="I12" s="3">
        <v>-10000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0">
        <f t="shared" si="1"/>
        <v>-20000</v>
      </c>
      <c r="X12" s="9"/>
      <c r="Y12">
        <f t="shared" si="2"/>
        <v>1999.9999999999973</v>
      </c>
      <c r="Z12">
        <f t="shared" si="3"/>
        <v>-2174.9999999999982</v>
      </c>
      <c r="AA12">
        <f t="shared" si="3"/>
        <v>-49.999999999998934</v>
      </c>
      <c r="AB12">
        <f t="shared" si="4"/>
        <v>649.99999999999943</v>
      </c>
      <c r="AC12">
        <f t="shared" si="5"/>
        <v>-949.9999999999975</v>
      </c>
      <c r="AD12">
        <f t="shared" si="6"/>
        <v>200.0000000000046</v>
      </c>
      <c r="AE12">
        <f t="shared" si="7"/>
        <v>0</v>
      </c>
      <c r="AF12">
        <f t="shared" si="8"/>
        <v>0</v>
      </c>
      <c r="AG12">
        <f t="shared" si="9"/>
        <v>0</v>
      </c>
      <c r="AH12" s="3">
        <f t="shared" si="10"/>
        <v>0</v>
      </c>
      <c r="AI12">
        <f t="shared" si="11"/>
        <v>0</v>
      </c>
      <c r="AJ12" s="3">
        <f t="shared" si="12"/>
        <v>0</v>
      </c>
      <c r="AK12" s="3">
        <f t="shared" si="13"/>
        <v>0</v>
      </c>
      <c r="AL12" s="3">
        <f t="shared" si="14"/>
        <v>0</v>
      </c>
      <c r="AM12" s="3">
        <f t="shared" si="15"/>
        <v>0</v>
      </c>
      <c r="AN12" s="3">
        <f t="shared" si="16"/>
        <v>0</v>
      </c>
      <c r="AO12" s="3">
        <f t="shared" si="16"/>
        <v>0</v>
      </c>
      <c r="AP12" s="3">
        <f t="shared" si="16"/>
        <v>0</v>
      </c>
      <c r="AT12">
        <f t="shared" si="17"/>
        <v>-324.99999999999335</v>
      </c>
    </row>
    <row r="13" spans="1:46" x14ac:dyDescent="0.2">
      <c r="A13" s="107">
        <v>37021</v>
      </c>
      <c r="B13">
        <f t="shared" si="0"/>
        <v>5.25</v>
      </c>
      <c r="C13" s="5">
        <f>GasDaily!R13</f>
        <v>3.8449999999999998</v>
      </c>
      <c r="D13" s="3">
        <v>10000</v>
      </c>
      <c r="E13" s="3">
        <v>-10000</v>
      </c>
      <c r="F13" s="3">
        <v>-10000</v>
      </c>
      <c r="G13" s="3">
        <v>10000</v>
      </c>
      <c r="H13" s="3">
        <v>-10000</v>
      </c>
      <c r="I13" s="3">
        <v>-10000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0">
        <f t="shared" si="1"/>
        <v>-20000</v>
      </c>
      <c r="X13" s="9"/>
      <c r="Y13">
        <f t="shared" si="2"/>
        <v>1999.9999999999973</v>
      </c>
      <c r="Z13">
        <f t="shared" si="3"/>
        <v>-2174.9999999999982</v>
      </c>
      <c r="AA13">
        <f t="shared" si="3"/>
        <v>-49.999999999998934</v>
      </c>
      <c r="AB13">
        <f t="shared" si="4"/>
        <v>649.99999999999943</v>
      </c>
      <c r="AC13">
        <f t="shared" si="5"/>
        <v>-949.9999999999975</v>
      </c>
      <c r="AD13">
        <f t="shared" si="6"/>
        <v>200.0000000000046</v>
      </c>
      <c r="AE13">
        <f t="shared" si="7"/>
        <v>0</v>
      </c>
      <c r="AF13">
        <f t="shared" si="8"/>
        <v>0</v>
      </c>
      <c r="AG13">
        <f t="shared" si="9"/>
        <v>0</v>
      </c>
      <c r="AH13" s="3">
        <f t="shared" si="10"/>
        <v>0</v>
      </c>
      <c r="AI13">
        <f t="shared" si="11"/>
        <v>0</v>
      </c>
      <c r="AJ13" s="3">
        <f t="shared" si="12"/>
        <v>0</v>
      </c>
      <c r="AK13" s="3">
        <f t="shared" si="13"/>
        <v>0</v>
      </c>
      <c r="AL13" s="3">
        <f t="shared" si="14"/>
        <v>0</v>
      </c>
      <c r="AM13" s="3">
        <f t="shared" si="15"/>
        <v>0</v>
      </c>
      <c r="AN13" s="3">
        <f t="shared" si="16"/>
        <v>0</v>
      </c>
      <c r="AO13" s="3">
        <f t="shared" si="16"/>
        <v>0</v>
      </c>
      <c r="AP13" s="3">
        <f t="shared" si="16"/>
        <v>0</v>
      </c>
      <c r="AT13">
        <f t="shared" si="17"/>
        <v>-324.99999999999335</v>
      </c>
    </row>
    <row r="14" spans="1:46" x14ac:dyDescent="0.2">
      <c r="A14" s="107">
        <v>37022</v>
      </c>
      <c r="B14">
        <f t="shared" si="0"/>
        <v>5.25</v>
      </c>
      <c r="C14" s="5">
        <f>GasDaily!R14</f>
        <v>3.8449999999999998</v>
      </c>
      <c r="D14" s="3">
        <v>10000</v>
      </c>
      <c r="E14" s="3">
        <v>-10000</v>
      </c>
      <c r="F14" s="3">
        <v>-10000</v>
      </c>
      <c r="G14" s="3">
        <v>10000</v>
      </c>
      <c r="H14" s="3">
        <v>-10000</v>
      </c>
      <c r="I14" s="3">
        <v>-10000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0">
        <f t="shared" si="1"/>
        <v>-20000</v>
      </c>
      <c r="X14" s="9"/>
      <c r="Y14">
        <f t="shared" si="2"/>
        <v>1999.9999999999973</v>
      </c>
      <c r="Z14">
        <f t="shared" si="3"/>
        <v>-2174.9999999999982</v>
      </c>
      <c r="AA14">
        <f t="shared" si="3"/>
        <v>-49.999999999998934</v>
      </c>
      <c r="AB14">
        <f t="shared" si="4"/>
        <v>649.99999999999943</v>
      </c>
      <c r="AC14">
        <f t="shared" si="5"/>
        <v>-949.9999999999975</v>
      </c>
      <c r="AD14">
        <f t="shared" si="6"/>
        <v>200.0000000000046</v>
      </c>
      <c r="AE14">
        <f t="shared" si="7"/>
        <v>0</v>
      </c>
      <c r="AF14">
        <f t="shared" si="8"/>
        <v>0</v>
      </c>
      <c r="AG14">
        <f t="shared" si="9"/>
        <v>0</v>
      </c>
      <c r="AH14" s="3">
        <f t="shared" si="10"/>
        <v>0</v>
      </c>
      <c r="AI14">
        <f t="shared" si="11"/>
        <v>0</v>
      </c>
      <c r="AJ14" s="3">
        <f t="shared" si="12"/>
        <v>0</v>
      </c>
      <c r="AK14" s="3">
        <f t="shared" si="13"/>
        <v>0</v>
      </c>
      <c r="AL14" s="3">
        <f t="shared" si="14"/>
        <v>0</v>
      </c>
      <c r="AM14" s="3">
        <f t="shared" si="15"/>
        <v>0</v>
      </c>
      <c r="AN14" s="3">
        <f t="shared" si="16"/>
        <v>0</v>
      </c>
      <c r="AO14" s="3">
        <f t="shared" si="16"/>
        <v>0</v>
      </c>
      <c r="AP14" s="3">
        <f t="shared" si="16"/>
        <v>0</v>
      </c>
      <c r="AT14">
        <f t="shared" si="17"/>
        <v>-324.99999999999335</v>
      </c>
    </row>
    <row r="15" spans="1:46" x14ac:dyDescent="0.2">
      <c r="A15" s="107">
        <v>37023</v>
      </c>
      <c r="B15">
        <f t="shared" si="0"/>
        <v>5.25</v>
      </c>
      <c r="C15" s="5">
        <f>GasDaily!R15</f>
        <v>3.8449999999999998</v>
      </c>
      <c r="D15" s="3">
        <v>10000</v>
      </c>
      <c r="E15" s="3">
        <v>-10000</v>
      </c>
      <c r="F15" s="3">
        <v>-10000</v>
      </c>
      <c r="G15" s="3">
        <v>10000</v>
      </c>
      <c r="H15" s="3">
        <v>-10000</v>
      </c>
      <c r="I15" s="3">
        <v>-10000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0">
        <f t="shared" si="1"/>
        <v>-20000</v>
      </c>
      <c r="X15" s="9"/>
      <c r="Y15">
        <f t="shared" si="2"/>
        <v>1999.9999999999973</v>
      </c>
      <c r="Z15">
        <f t="shared" si="3"/>
        <v>-2174.9999999999982</v>
      </c>
      <c r="AA15">
        <f t="shared" si="3"/>
        <v>-49.999999999998934</v>
      </c>
      <c r="AB15">
        <f t="shared" si="4"/>
        <v>649.99999999999943</v>
      </c>
      <c r="AC15">
        <f t="shared" si="5"/>
        <v>-949.9999999999975</v>
      </c>
      <c r="AD15">
        <f t="shared" si="6"/>
        <v>200.0000000000046</v>
      </c>
      <c r="AE15">
        <f t="shared" si="7"/>
        <v>0</v>
      </c>
      <c r="AF15">
        <f t="shared" si="8"/>
        <v>0</v>
      </c>
      <c r="AG15">
        <f t="shared" si="9"/>
        <v>0</v>
      </c>
      <c r="AH15" s="3">
        <f t="shared" si="10"/>
        <v>0</v>
      </c>
      <c r="AI15">
        <f t="shared" si="11"/>
        <v>0</v>
      </c>
      <c r="AJ15" s="3">
        <f t="shared" si="12"/>
        <v>0</v>
      </c>
      <c r="AK15" s="3">
        <f t="shared" si="13"/>
        <v>0</v>
      </c>
      <c r="AL15" s="3">
        <f t="shared" si="14"/>
        <v>0</v>
      </c>
      <c r="AM15" s="3">
        <f t="shared" si="15"/>
        <v>0</v>
      </c>
      <c r="AN15" s="3">
        <f t="shared" si="16"/>
        <v>0</v>
      </c>
      <c r="AO15" s="3">
        <f t="shared" si="16"/>
        <v>0</v>
      </c>
      <c r="AP15" s="3">
        <f t="shared" si="16"/>
        <v>0</v>
      </c>
      <c r="AT15">
        <f t="shared" si="17"/>
        <v>-324.99999999999335</v>
      </c>
    </row>
    <row r="16" spans="1:46" x14ac:dyDescent="0.2">
      <c r="A16" s="107">
        <v>37024</v>
      </c>
      <c r="B16">
        <f t="shared" si="0"/>
        <v>5.25</v>
      </c>
      <c r="C16" s="5">
        <f>GasDaily!R16</f>
        <v>3.8449999999999998</v>
      </c>
      <c r="D16" s="3">
        <v>10000</v>
      </c>
      <c r="E16" s="3">
        <v>-10000</v>
      </c>
      <c r="F16" s="3">
        <v>-10000</v>
      </c>
      <c r="G16" s="3">
        <v>10000</v>
      </c>
      <c r="H16" s="3">
        <v>-10000</v>
      </c>
      <c r="I16" s="3">
        <v>-10000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0">
        <f t="shared" si="1"/>
        <v>-20000</v>
      </c>
      <c r="X16" s="9"/>
      <c r="Y16">
        <f t="shared" si="2"/>
        <v>1999.9999999999973</v>
      </c>
      <c r="Z16">
        <f t="shared" si="3"/>
        <v>-2174.9999999999982</v>
      </c>
      <c r="AA16">
        <f t="shared" si="3"/>
        <v>-49.999999999998934</v>
      </c>
      <c r="AB16">
        <f t="shared" ref="AB16:AB31" si="18">G16*($C16-G$3)</f>
        <v>649.99999999999943</v>
      </c>
      <c r="AC16">
        <f t="shared" si="5"/>
        <v>-949.9999999999975</v>
      </c>
      <c r="AD16">
        <f t="shared" si="6"/>
        <v>200.0000000000046</v>
      </c>
      <c r="AE16">
        <f t="shared" si="7"/>
        <v>0</v>
      </c>
      <c r="AF16">
        <f t="shared" si="8"/>
        <v>0</v>
      </c>
      <c r="AG16">
        <f t="shared" si="9"/>
        <v>0</v>
      </c>
      <c r="AH16" s="3">
        <f t="shared" si="10"/>
        <v>0</v>
      </c>
      <c r="AI16">
        <f t="shared" si="11"/>
        <v>0</v>
      </c>
      <c r="AJ16" s="3">
        <f t="shared" si="12"/>
        <v>0</v>
      </c>
      <c r="AK16" s="3">
        <f t="shared" si="13"/>
        <v>0</v>
      </c>
      <c r="AL16" s="3">
        <f t="shared" si="14"/>
        <v>0</v>
      </c>
      <c r="AM16" s="3">
        <f t="shared" si="15"/>
        <v>0</v>
      </c>
      <c r="AN16" s="3">
        <f t="shared" si="16"/>
        <v>0</v>
      </c>
      <c r="AO16" s="3">
        <f t="shared" si="16"/>
        <v>0</v>
      </c>
      <c r="AP16" s="3">
        <f t="shared" si="16"/>
        <v>0</v>
      </c>
      <c r="AT16">
        <f t="shared" si="17"/>
        <v>-324.99999999999335</v>
      </c>
    </row>
    <row r="17" spans="1:46" x14ac:dyDescent="0.2">
      <c r="A17" s="107">
        <v>37025</v>
      </c>
      <c r="B17">
        <f t="shared" si="0"/>
        <v>5.25</v>
      </c>
      <c r="C17" s="5">
        <f>GasDaily!R17</f>
        <v>3.8449999999999998</v>
      </c>
      <c r="D17" s="3">
        <v>10000</v>
      </c>
      <c r="E17" s="3">
        <v>-10000</v>
      </c>
      <c r="F17" s="3">
        <v>-10000</v>
      </c>
      <c r="G17" s="3">
        <v>10000</v>
      </c>
      <c r="H17" s="3">
        <v>-10000</v>
      </c>
      <c r="I17" s="3">
        <v>-10000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0">
        <f t="shared" si="1"/>
        <v>-20000</v>
      </c>
      <c r="X17" s="9"/>
      <c r="Y17">
        <f t="shared" si="2"/>
        <v>1999.9999999999973</v>
      </c>
      <c r="Z17">
        <f t="shared" si="3"/>
        <v>-2174.9999999999982</v>
      </c>
      <c r="AA17">
        <f t="shared" si="3"/>
        <v>-49.999999999998934</v>
      </c>
      <c r="AB17">
        <f t="shared" si="18"/>
        <v>649.99999999999943</v>
      </c>
      <c r="AC17">
        <f t="shared" si="5"/>
        <v>-949.9999999999975</v>
      </c>
      <c r="AD17">
        <f t="shared" si="6"/>
        <v>200.0000000000046</v>
      </c>
      <c r="AE17">
        <f t="shared" si="7"/>
        <v>0</v>
      </c>
      <c r="AF17">
        <f t="shared" si="8"/>
        <v>0</v>
      </c>
      <c r="AG17">
        <f t="shared" si="9"/>
        <v>0</v>
      </c>
      <c r="AH17" s="3">
        <f t="shared" si="10"/>
        <v>0</v>
      </c>
      <c r="AI17">
        <f t="shared" si="11"/>
        <v>0</v>
      </c>
      <c r="AJ17" s="3">
        <f t="shared" si="12"/>
        <v>0</v>
      </c>
      <c r="AK17" s="3">
        <f t="shared" si="13"/>
        <v>0</v>
      </c>
      <c r="AL17" s="3">
        <f t="shared" si="14"/>
        <v>0</v>
      </c>
      <c r="AM17" s="3">
        <f t="shared" si="15"/>
        <v>0</v>
      </c>
      <c r="AN17" s="3">
        <f t="shared" si="16"/>
        <v>0</v>
      </c>
      <c r="AO17" s="3">
        <f t="shared" si="16"/>
        <v>0</v>
      </c>
      <c r="AP17" s="3">
        <f t="shared" si="16"/>
        <v>0</v>
      </c>
      <c r="AT17">
        <f t="shared" si="17"/>
        <v>-324.99999999999335</v>
      </c>
    </row>
    <row r="18" spans="1:46" x14ac:dyDescent="0.2">
      <c r="A18" s="107">
        <v>37026</v>
      </c>
      <c r="B18">
        <f t="shared" si="0"/>
        <v>5.25</v>
      </c>
      <c r="C18" s="5">
        <f>GasDaily!R18</f>
        <v>3.8449999999999998</v>
      </c>
      <c r="D18" s="3">
        <v>10000</v>
      </c>
      <c r="E18" s="3">
        <v>-10000</v>
      </c>
      <c r="F18" s="3">
        <v>-10000</v>
      </c>
      <c r="G18" s="3">
        <v>10000</v>
      </c>
      <c r="H18" s="3">
        <v>-10000</v>
      </c>
      <c r="I18" s="3">
        <v>-10000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0">
        <f t="shared" si="1"/>
        <v>-20000</v>
      </c>
      <c r="X18" s="9"/>
      <c r="Y18">
        <f t="shared" si="2"/>
        <v>1999.9999999999973</v>
      </c>
      <c r="Z18">
        <f t="shared" si="3"/>
        <v>-2174.9999999999982</v>
      </c>
      <c r="AA18">
        <f t="shared" si="3"/>
        <v>-49.999999999998934</v>
      </c>
      <c r="AB18">
        <f t="shared" si="18"/>
        <v>649.99999999999943</v>
      </c>
      <c r="AC18">
        <f t="shared" si="5"/>
        <v>-949.9999999999975</v>
      </c>
      <c r="AD18">
        <f t="shared" si="6"/>
        <v>200.0000000000046</v>
      </c>
      <c r="AE18">
        <f t="shared" si="7"/>
        <v>0</v>
      </c>
      <c r="AF18">
        <f t="shared" si="8"/>
        <v>0</v>
      </c>
      <c r="AG18">
        <f t="shared" si="9"/>
        <v>0</v>
      </c>
      <c r="AH18" s="3">
        <f t="shared" si="10"/>
        <v>0</v>
      </c>
      <c r="AI18">
        <f t="shared" si="11"/>
        <v>0</v>
      </c>
      <c r="AJ18" s="3">
        <f t="shared" si="12"/>
        <v>0</v>
      </c>
      <c r="AK18" s="3">
        <f t="shared" si="13"/>
        <v>0</v>
      </c>
      <c r="AL18" s="3">
        <f t="shared" si="14"/>
        <v>0</v>
      </c>
      <c r="AM18" s="3">
        <f t="shared" si="15"/>
        <v>0</v>
      </c>
      <c r="AN18" s="3">
        <f t="shared" si="16"/>
        <v>0</v>
      </c>
      <c r="AO18" s="3">
        <f t="shared" si="16"/>
        <v>0</v>
      </c>
      <c r="AP18" s="3">
        <f t="shared" si="16"/>
        <v>0</v>
      </c>
      <c r="AT18">
        <f t="shared" si="17"/>
        <v>-324.99999999999335</v>
      </c>
    </row>
    <row r="19" spans="1:46" x14ac:dyDescent="0.2">
      <c r="A19" s="107">
        <v>37027</v>
      </c>
      <c r="B19">
        <f t="shared" si="0"/>
        <v>5.25</v>
      </c>
      <c r="C19" s="5">
        <f>GasDaily!R19</f>
        <v>3.8449999999999998</v>
      </c>
      <c r="D19" s="3">
        <v>10000</v>
      </c>
      <c r="E19" s="3">
        <v>-10000</v>
      </c>
      <c r="F19" s="3">
        <v>-10000</v>
      </c>
      <c r="G19" s="3">
        <v>10000</v>
      </c>
      <c r="H19" s="3">
        <v>-10000</v>
      </c>
      <c r="I19" s="3">
        <v>-10000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0">
        <f t="shared" si="1"/>
        <v>-20000</v>
      </c>
      <c r="X19" s="9"/>
      <c r="Y19">
        <f t="shared" si="2"/>
        <v>1999.9999999999973</v>
      </c>
      <c r="Z19">
        <f t="shared" si="3"/>
        <v>-2174.9999999999982</v>
      </c>
      <c r="AA19">
        <f t="shared" si="3"/>
        <v>-49.999999999998934</v>
      </c>
      <c r="AB19">
        <f t="shared" si="18"/>
        <v>649.99999999999943</v>
      </c>
      <c r="AC19">
        <f t="shared" si="5"/>
        <v>-949.9999999999975</v>
      </c>
      <c r="AD19">
        <f t="shared" si="6"/>
        <v>200.0000000000046</v>
      </c>
      <c r="AE19">
        <f t="shared" si="7"/>
        <v>0</v>
      </c>
      <c r="AF19">
        <f t="shared" si="8"/>
        <v>0</v>
      </c>
      <c r="AG19">
        <f t="shared" si="9"/>
        <v>0</v>
      </c>
      <c r="AH19" s="3">
        <f t="shared" si="10"/>
        <v>0</v>
      </c>
      <c r="AI19">
        <f t="shared" si="11"/>
        <v>0</v>
      </c>
      <c r="AJ19" s="3">
        <f t="shared" si="12"/>
        <v>0</v>
      </c>
      <c r="AK19" s="3">
        <f t="shared" si="13"/>
        <v>0</v>
      </c>
      <c r="AL19" s="3">
        <f t="shared" si="14"/>
        <v>0</v>
      </c>
      <c r="AM19" s="3">
        <f t="shared" si="15"/>
        <v>0</v>
      </c>
      <c r="AN19" s="3">
        <f t="shared" si="16"/>
        <v>0</v>
      </c>
      <c r="AO19" s="3">
        <f t="shared" si="16"/>
        <v>0</v>
      </c>
      <c r="AP19" s="3">
        <f t="shared" si="16"/>
        <v>0</v>
      </c>
      <c r="AT19">
        <f t="shared" si="17"/>
        <v>-324.99999999999335</v>
      </c>
    </row>
    <row r="20" spans="1:46" x14ac:dyDescent="0.2">
      <c r="A20" s="107">
        <v>37028</v>
      </c>
      <c r="B20">
        <f t="shared" si="0"/>
        <v>5.25</v>
      </c>
      <c r="C20" s="5">
        <f>GasDaily!R20</f>
        <v>3.8449999999999998</v>
      </c>
      <c r="D20" s="3">
        <v>10000</v>
      </c>
      <c r="E20" s="3">
        <v>-10000</v>
      </c>
      <c r="F20" s="3">
        <v>-10000</v>
      </c>
      <c r="G20" s="3">
        <v>10000</v>
      </c>
      <c r="H20" s="3">
        <v>-10000</v>
      </c>
      <c r="I20" s="3">
        <v>-10000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0">
        <f t="shared" si="1"/>
        <v>-20000</v>
      </c>
      <c r="X20" s="9"/>
      <c r="Y20">
        <f t="shared" si="2"/>
        <v>1999.9999999999973</v>
      </c>
      <c r="Z20">
        <f t="shared" ref="Z20:AA34" si="19">E20*($C20-E$3)</f>
        <v>-2174.9999999999982</v>
      </c>
      <c r="AA20">
        <f t="shared" si="19"/>
        <v>-49.999999999998934</v>
      </c>
      <c r="AB20">
        <f t="shared" si="18"/>
        <v>649.99999999999943</v>
      </c>
      <c r="AC20">
        <f t="shared" si="5"/>
        <v>-949.9999999999975</v>
      </c>
      <c r="AD20">
        <f t="shared" si="6"/>
        <v>200.0000000000046</v>
      </c>
      <c r="AE20">
        <f t="shared" si="7"/>
        <v>0</v>
      </c>
      <c r="AF20">
        <f t="shared" si="8"/>
        <v>0</v>
      </c>
      <c r="AG20">
        <f t="shared" si="9"/>
        <v>0</v>
      </c>
      <c r="AH20" s="3">
        <f t="shared" si="10"/>
        <v>0</v>
      </c>
      <c r="AI20">
        <f t="shared" si="11"/>
        <v>0</v>
      </c>
      <c r="AJ20" s="3">
        <f t="shared" si="12"/>
        <v>0</v>
      </c>
      <c r="AK20" s="3">
        <f t="shared" si="13"/>
        <v>0</v>
      </c>
      <c r="AL20" s="3">
        <f t="shared" si="14"/>
        <v>0</v>
      </c>
      <c r="AM20" s="3">
        <f t="shared" si="15"/>
        <v>0</v>
      </c>
      <c r="AN20" s="3">
        <f t="shared" si="16"/>
        <v>0</v>
      </c>
      <c r="AO20" s="3">
        <f t="shared" si="16"/>
        <v>0</v>
      </c>
      <c r="AP20" s="3">
        <f t="shared" si="16"/>
        <v>0</v>
      </c>
      <c r="AT20">
        <f t="shared" si="17"/>
        <v>-324.99999999999335</v>
      </c>
    </row>
    <row r="21" spans="1:46" x14ac:dyDescent="0.2">
      <c r="A21" s="107">
        <v>37029</v>
      </c>
      <c r="B21">
        <f t="shared" si="0"/>
        <v>5.25</v>
      </c>
      <c r="C21" s="5">
        <f>GasDaily!R21</f>
        <v>3.8449999999999998</v>
      </c>
      <c r="D21" s="3">
        <v>10000</v>
      </c>
      <c r="E21" s="3">
        <v>-10000</v>
      </c>
      <c r="F21" s="3">
        <v>-10000</v>
      </c>
      <c r="G21" s="3">
        <v>10000</v>
      </c>
      <c r="H21" s="3">
        <v>-10000</v>
      </c>
      <c r="I21" s="3">
        <v>-10000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0">
        <f t="shared" si="1"/>
        <v>-20000</v>
      </c>
      <c r="X21" s="9"/>
      <c r="Y21">
        <f t="shared" si="2"/>
        <v>1999.9999999999973</v>
      </c>
      <c r="Z21">
        <f t="shared" si="19"/>
        <v>-2174.9999999999982</v>
      </c>
      <c r="AA21">
        <f t="shared" si="19"/>
        <v>-49.999999999998934</v>
      </c>
      <c r="AB21">
        <f t="shared" si="18"/>
        <v>649.99999999999943</v>
      </c>
      <c r="AC21">
        <f t="shared" si="5"/>
        <v>-949.9999999999975</v>
      </c>
      <c r="AD21">
        <f t="shared" si="6"/>
        <v>200.0000000000046</v>
      </c>
      <c r="AE21">
        <f t="shared" si="7"/>
        <v>0</v>
      </c>
      <c r="AF21">
        <f t="shared" si="8"/>
        <v>0</v>
      </c>
      <c r="AG21">
        <f t="shared" si="9"/>
        <v>0</v>
      </c>
      <c r="AH21" s="3">
        <f t="shared" si="10"/>
        <v>0</v>
      </c>
      <c r="AI21">
        <f t="shared" si="11"/>
        <v>0</v>
      </c>
      <c r="AJ21" s="3">
        <f t="shared" si="12"/>
        <v>0</v>
      </c>
      <c r="AK21" s="3">
        <f t="shared" si="13"/>
        <v>0</v>
      </c>
      <c r="AL21" s="3">
        <f t="shared" si="14"/>
        <v>0</v>
      </c>
      <c r="AM21" s="3">
        <f t="shared" si="15"/>
        <v>0</v>
      </c>
      <c r="AN21" s="3">
        <f t="shared" si="16"/>
        <v>0</v>
      </c>
      <c r="AO21" s="3">
        <f t="shared" si="16"/>
        <v>0</v>
      </c>
      <c r="AP21" s="3">
        <f t="shared" si="16"/>
        <v>0</v>
      </c>
      <c r="AT21">
        <f t="shared" si="17"/>
        <v>-324.99999999999335</v>
      </c>
    </row>
    <row r="22" spans="1:46" x14ac:dyDescent="0.2">
      <c r="A22" s="107">
        <v>37030</v>
      </c>
      <c r="B22">
        <f t="shared" si="0"/>
        <v>5.25</v>
      </c>
      <c r="C22" s="5">
        <f>GasDaily!R22</f>
        <v>3.8449999999999998</v>
      </c>
      <c r="D22" s="3">
        <v>10000</v>
      </c>
      <c r="E22" s="3">
        <v>-10000</v>
      </c>
      <c r="F22" s="3">
        <v>-10000</v>
      </c>
      <c r="G22" s="3">
        <v>10000</v>
      </c>
      <c r="H22" s="3">
        <v>-10000</v>
      </c>
      <c r="I22" s="3">
        <v>-10000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0">
        <f t="shared" si="1"/>
        <v>-20000</v>
      </c>
      <c r="X22" s="9"/>
      <c r="Y22">
        <f t="shared" si="2"/>
        <v>1999.9999999999973</v>
      </c>
      <c r="Z22">
        <f t="shared" si="19"/>
        <v>-2174.9999999999982</v>
      </c>
      <c r="AA22">
        <f t="shared" si="19"/>
        <v>-49.999999999998934</v>
      </c>
      <c r="AB22">
        <f t="shared" si="18"/>
        <v>649.99999999999943</v>
      </c>
      <c r="AC22">
        <f t="shared" si="5"/>
        <v>-949.9999999999975</v>
      </c>
      <c r="AD22">
        <f t="shared" si="6"/>
        <v>200.0000000000046</v>
      </c>
      <c r="AE22">
        <f t="shared" si="7"/>
        <v>0</v>
      </c>
      <c r="AF22">
        <f t="shared" si="8"/>
        <v>0</v>
      </c>
      <c r="AG22">
        <f t="shared" si="9"/>
        <v>0</v>
      </c>
      <c r="AH22" s="3">
        <f t="shared" si="10"/>
        <v>0</v>
      </c>
      <c r="AI22">
        <f t="shared" si="11"/>
        <v>0</v>
      </c>
      <c r="AJ22" s="3">
        <f t="shared" si="12"/>
        <v>0</v>
      </c>
      <c r="AK22" s="3">
        <f t="shared" si="13"/>
        <v>0</v>
      </c>
      <c r="AL22" s="3">
        <f t="shared" si="14"/>
        <v>0</v>
      </c>
      <c r="AM22" s="3">
        <f t="shared" si="15"/>
        <v>0</v>
      </c>
      <c r="AN22" s="3">
        <f t="shared" si="16"/>
        <v>0</v>
      </c>
      <c r="AO22" s="3">
        <f t="shared" si="16"/>
        <v>0</v>
      </c>
      <c r="AP22" s="3">
        <f t="shared" si="16"/>
        <v>0</v>
      </c>
      <c r="AT22">
        <f t="shared" si="17"/>
        <v>-324.99999999999335</v>
      </c>
    </row>
    <row r="23" spans="1:46" x14ac:dyDescent="0.2">
      <c r="A23" s="107">
        <v>37031</v>
      </c>
      <c r="B23">
        <f t="shared" si="0"/>
        <v>5.25</v>
      </c>
      <c r="C23" s="5">
        <f>GasDaily!R23</f>
        <v>3.8449999999999998</v>
      </c>
      <c r="D23" s="3">
        <v>10000</v>
      </c>
      <c r="E23" s="3">
        <v>-10000</v>
      </c>
      <c r="F23" s="3">
        <v>-10000</v>
      </c>
      <c r="G23" s="3">
        <v>10000</v>
      </c>
      <c r="H23" s="3">
        <v>-10000</v>
      </c>
      <c r="I23" s="3">
        <v>-10000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0">
        <f t="shared" si="1"/>
        <v>-20000</v>
      </c>
      <c r="X23" s="9"/>
      <c r="Y23">
        <f t="shared" si="2"/>
        <v>1999.9999999999973</v>
      </c>
      <c r="Z23">
        <f t="shared" si="19"/>
        <v>-2174.9999999999982</v>
      </c>
      <c r="AA23">
        <f t="shared" si="19"/>
        <v>-49.999999999998934</v>
      </c>
      <c r="AB23">
        <f t="shared" si="18"/>
        <v>649.99999999999943</v>
      </c>
      <c r="AC23">
        <f t="shared" si="5"/>
        <v>-949.9999999999975</v>
      </c>
      <c r="AD23">
        <f t="shared" si="6"/>
        <v>200.0000000000046</v>
      </c>
      <c r="AE23">
        <f t="shared" si="7"/>
        <v>0</v>
      </c>
      <c r="AF23">
        <f t="shared" si="8"/>
        <v>0</v>
      </c>
      <c r="AG23">
        <f t="shared" si="9"/>
        <v>0</v>
      </c>
      <c r="AH23" s="3">
        <f t="shared" si="10"/>
        <v>0</v>
      </c>
      <c r="AI23">
        <f t="shared" si="11"/>
        <v>0</v>
      </c>
      <c r="AJ23" s="3">
        <f t="shared" si="12"/>
        <v>0</v>
      </c>
      <c r="AK23" s="3">
        <f t="shared" si="13"/>
        <v>0</v>
      </c>
      <c r="AL23" s="3">
        <f t="shared" si="14"/>
        <v>0</v>
      </c>
      <c r="AM23" s="3">
        <f t="shared" si="15"/>
        <v>0</v>
      </c>
      <c r="AN23" s="3">
        <f t="shared" si="16"/>
        <v>0</v>
      </c>
      <c r="AO23" s="3">
        <f t="shared" si="16"/>
        <v>0</v>
      </c>
      <c r="AP23" s="3">
        <f t="shared" si="16"/>
        <v>0</v>
      </c>
      <c r="AT23">
        <f t="shared" si="17"/>
        <v>-324.99999999999335</v>
      </c>
    </row>
    <row r="24" spans="1:46" x14ac:dyDescent="0.2">
      <c r="A24" s="107">
        <v>37032</v>
      </c>
      <c r="B24">
        <f t="shared" si="0"/>
        <v>5.25</v>
      </c>
      <c r="C24" s="5">
        <f>GasDaily!R24</f>
        <v>3.8449999999999998</v>
      </c>
      <c r="D24" s="3">
        <v>10000</v>
      </c>
      <c r="E24" s="3">
        <v>-10000</v>
      </c>
      <c r="F24" s="3">
        <v>-10000</v>
      </c>
      <c r="G24" s="3">
        <v>10000</v>
      </c>
      <c r="H24" s="3">
        <v>-10000</v>
      </c>
      <c r="I24" s="3">
        <v>-10000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0">
        <f t="shared" si="1"/>
        <v>-20000</v>
      </c>
      <c r="X24" s="9"/>
      <c r="Y24">
        <f t="shared" si="2"/>
        <v>1999.9999999999973</v>
      </c>
      <c r="Z24">
        <f t="shared" si="19"/>
        <v>-2174.9999999999982</v>
      </c>
      <c r="AA24">
        <f t="shared" si="19"/>
        <v>-49.999999999998934</v>
      </c>
      <c r="AB24">
        <f t="shared" si="18"/>
        <v>649.99999999999943</v>
      </c>
      <c r="AC24">
        <f t="shared" si="5"/>
        <v>-949.9999999999975</v>
      </c>
      <c r="AD24">
        <f t="shared" si="6"/>
        <v>200.0000000000046</v>
      </c>
      <c r="AE24">
        <f t="shared" si="7"/>
        <v>0</v>
      </c>
      <c r="AF24">
        <f t="shared" si="8"/>
        <v>0</v>
      </c>
      <c r="AG24">
        <f t="shared" si="9"/>
        <v>0</v>
      </c>
      <c r="AH24" s="3">
        <f t="shared" si="10"/>
        <v>0</v>
      </c>
      <c r="AI24">
        <f t="shared" si="11"/>
        <v>0</v>
      </c>
      <c r="AJ24" s="3">
        <f t="shared" si="12"/>
        <v>0</v>
      </c>
      <c r="AK24" s="3">
        <f t="shared" si="13"/>
        <v>0</v>
      </c>
      <c r="AL24" s="3">
        <f t="shared" si="14"/>
        <v>0</v>
      </c>
      <c r="AM24" s="3">
        <f t="shared" si="15"/>
        <v>0</v>
      </c>
      <c r="AN24" s="3">
        <f t="shared" si="16"/>
        <v>0</v>
      </c>
      <c r="AO24" s="3">
        <f t="shared" si="16"/>
        <v>0</v>
      </c>
      <c r="AP24" s="3">
        <f t="shared" si="16"/>
        <v>0</v>
      </c>
      <c r="AT24">
        <f t="shared" si="17"/>
        <v>-324.99999999999335</v>
      </c>
    </row>
    <row r="25" spans="1:46" x14ac:dyDescent="0.2">
      <c r="A25" s="107">
        <v>37033</v>
      </c>
      <c r="B25">
        <f t="shared" si="0"/>
        <v>5.25</v>
      </c>
      <c r="C25" s="5">
        <f>GasDaily!R25</f>
        <v>3.8449999999999998</v>
      </c>
      <c r="D25" s="3">
        <v>10000</v>
      </c>
      <c r="E25" s="3">
        <v>-10000</v>
      </c>
      <c r="F25" s="3">
        <v>-10000</v>
      </c>
      <c r="G25" s="3">
        <v>10000</v>
      </c>
      <c r="H25" s="3">
        <v>-10000</v>
      </c>
      <c r="I25" s="3">
        <v>-10000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0">
        <f t="shared" si="1"/>
        <v>-20000</v>
      </c>
      <c r="X25" s="9"/>
      <c r="Y25">
        <f t="shared" si="2"/>
        <v>1999.9999999999973</v>
      </c>
      <c r="Z25">
        <f t="shared" si="19"/>
        <v>-2174.9999999999982</v>
      </c>
      <c r="AA25">
        <f t="shared" si="19"/>
        <v>-49.999999999998934</v>
      </c>
      <c r="AB25">
        <f t="shared" si="18"/>
        <v>649.99999999999943</v>
      </c>
      <c r="AC25">
        <f t="shared" si="5"/>
        <v>-949.9999999999975</v>
      </c>
      <c r="AD25">
        <f t="shared" si="6"/>
        <v>200.0000000000046</v>
      </c>
      <c r="AE25">
        <f t="shared" si="7"/>
        <v>0</v>
      </c>
      <c r="AF25">
        <f t="shared" si="8"/>
        <v>0</v>
      </c>
      <c r="AG25">
        <f t="shared" si="9"/>
        <v>0</v>
      </c>
      <c r="AH25" s="3">
        <f t="shared" si="10"/>
        <v>0</v>
      </c>
      <c r="AI25">
        <f t="shared" si="11"/>
        <v>0</v>
      </c>
      <c r="AJ25" s="3">
        <f t="shared" si="12"/>
        <v>0</v>
      </c>
      <c r="AK25" s="3">
        <f t="shared" si="13"/>
        <v>0</v>
      </c>
      <c r="AL25" s="3">
        <f t="shared" si="14"/>
        <v>0</v>
      </c>
      <c r="AM25" s="3">
        <f t="shared" si="15"/>
        <v>0</v>
      </c>
      <c r="AN25" s="3">
        <f t="shared" si="16"/>
        <v>0</v>
      </c>
      <c r="AO25" s="3">
        <f t="shared" si="16"/>
        <v>0</v>
      </c>
      <c r="AP25" s="3">
        <f t="shared" si="16"/>
        <v>0</v>
      </c>
      <c r="AT25">
        <f t="shared" si="17"/>
        <v>-324.99999999999335</v>
      </c>
    </row>
    <row r="26" spans="1:46" x14ac:dyDescent="0.2">
      <c r="A26" s="107">
        <v>37034</v>
      </c>
      <c r="B26">
        <f t="shared" si="0"/>
        <v>5.25</v>
      </c>
      <c r="C26" s="5">
        <f>GasDaily!R26</f>
        <v>3.8449999999999998</v>
      </c>
      <c r="D26" s="3">
        <v>10000</v>
      </c>
      <c r="E26" s="3">
        <v>-10000</v>
      </c>
      <c r="F26" s="3">
        <v>-10000</v>
      </c>
      <c r="G26" s="3">
        <v>10000</v>
      </c>
      <c r="H26" s="3">
        <v>-10000</v>
      </c>
      <c r="I26" s="3">
        <v>-10000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0">
        <f t="shared" si="1"/>
        <v>-20000</v>
      </c>
      <c r="X26" s="9"/>
      <c r="Y26">
        <f t="shared" si="2"/>
        <v>1999.9999999999973</v>
      </c>
      <c r="Z26">
        <f t="shared" si="19"/>
        <v>-2174.9999999999982</v>
      </c>
      <c r="AA26">
        <f t="shared" si="19"/>
        <v>-49.999999999998934</v>
      </c>
      <c r="AB26">
        <f t="shared" si="18"/>
        <v>649.99999999999943</v>
      </c>
      <c r="AC26">
        <f t="shared" si="5"/>
        <v>-949.9999999999975</v>
      </c>
      <c r="AD26">
        <f t="shared" si="6"/>
        <v>200.0000000000046</v>
      </c>
      <c r="AE26">
        <f t="shared" si="7"/>
        <v>0</v>
      </c>
      <c r="AF26">
        <f t="shared" si="8"/>
        <v>0</v>
      </c>
      <c r="AG26">
        <f t="shared" si="9"/>
        <v>0</v>
      </c>
      <c r="AH26" s="3">
        <f t="shared" si="10"/>
        <v>0</v>
      </c>
      <c r="AI26">
        <f t="shared" si="11"/>
        <v>0</v>
      </c>
      <c r="AJ26" s="3">
        <f t="shared" si="12"/>
        <v>0</v>
      </c>
      <c r="AK26" s="3">
        <f t="shared" si="13"/>
        <v>0</v>
      </c>
      <c r="AL26" s="3">
        <f t="shared" si="14"/>
        <v>0</v>
      </c>
      <c r="AM26" s="3">
        <f t="shared" si="15"/>
        <v>0</v>
      </c>
      <c r="AN26" s="3">
        <f t="shared" si="16"/>
        <v>0</v>
      </c>
      <c r="AO26" s="3">
        <f t="shared" si="16"/>
        <v>0</v>
      </c>
      <c r="AP26" s="3">
        <f t="shared" si="16"/>
        <v>0</v>
      </c>
      <c r="AT26">
        <f t="shared" si="17"/>
        <v>-324.99999999999335</v>
      </c>
    </row>
    <row r="27" spans="1:46" x14ac:dyDescent="0.2">
      <c r="A27" s="107">
        <v>37035</v>
      </c>
      <c r="B27">
        <f t="shared" si="0"/>
        <v>5.25</v>
      </c>
      <c r="C27" s="5">
        <f>GasDaily!R27</f>
        <v>3.8449999999999998</v>
      </c>
      <c r="D27" s="3">
        <v>10000</v>
      </c>
      <c r="E27" s="3">
        <v>-10000</v>
      </c>
      <c r="F27" s="3">
        <v>-10000</v>
      </c>
      <c r="G27" s="3">
        <v>10000</v>
      </c>
      <c r="H27" s="3">
        <v>-10000</v>
      </c>
      <c r="I27" s="3">
        <v>-10000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10">
        <f t="shared" si="1"/>
        <v>-20000</v>
      </c>
      <c r="X27" s="9"/>
      <c r="Y27">
        <f t="shared" si="2"/>
        <v>1999.9999999999973</v>
      </c>
      <c r="Z27">
        <f t="shared" si="19"/>
        <v>-2174.9999999999982</v>
      </c>
      <c r="AA27">
        <f t="shared" si="19"/>
        <v>-49.999999999998934</v>
      </c>
      <c r="AB27">
        <f t="shared" si="18"/>
        <v>649.99999999999943</v>
      </c>
      <c r="AC27">
        <f t="shared" si="5"/>
        <v>-949.9999999999975</v>
      </c>
      <c r="AD27">
        <f t="shared" si="6"/>
        <v>200.0000000000046</v>
      </c>
      <c r="AE27">
        <f t="shared" si="7"/>
        <v>0</v>
      </c>
      <c r="AF27">
        <f t="shared" si="8"/>
        <v>0</v>
      </c>
      <c r="AG27">
        <f t="shared" si="9"/>
        <v>0</v>
      </c>
      <c r="AH27" s="3">
        <f t="shared" si="10"/>
        <v>0</v>
      </c>
      <c r="AI27">
        <f t="shared" si="11"/>
        <v>0</v>
      </c>
      <c r="AJ27" s="3">
        <f t="shared" si="12"/>
        <v>0</v>
      </c>
      <c r="AK27" s="3">
        <f t="shared" si="13"/>
        <v>0</v>
      </c>
      <c r="AL27" s="3">
        <f t="shared" si="14"/>
        <v>0</v>
      </c>
      <c r="AM27" s="3">
        <f t="shared" si="15"/>
        <v>0</v>
      </c>
      <c r="AN27" s="3">
        <f t="shared" si="16"/>
        <v>0</v>
      </c>
      <c r="AO27" s="3">
        <f t="shared" si="16"/>
        <v>0</v>
      </c>
      <c r="AP27" s="3">
        <f t="shared" si="16"/>
        <v>0</v>
      </c>
      <c r="AT27">
        <f t="shared" si="17"/>
        <v>-324.99999999999335</v>
      </c>
    </row>
    <row r="28" spans="1:46" x14ac:dyDescent="0.2">
      <c r="A28" s="107">
        <v>37036</v>
      </c>
      <c r="B28">
        <f t="shared" si="0"/>
        <v>5.25</v>
      </c>
      <c r="C28" s="5">
        <f>GasDaily!R28</f>
        <v>3.8449999999999998</v>
      </c>
      <c r="D28" s="3">
        <v>10000</v>
      </c>
      <c r="E28" s="3">
        <v>-10000</v>
      </c>
      <c r="F28" s="3">
        <v>-10000</v>
      </c>
      <c r="G28" s="3">
        <v>10000</v>
      </c>
      <c r="H28" s="3">
        <v>-10000</v>
      </c>
      <c r="I28" s="3">
        <v>-10000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0">
        <f>SUM(D28:V28)</f>
        <v>-20000</v>
      </c>
      <c r="X28" s="9"/>
      <c r="Y28">
        <f t="shared" si="2"/>
        <v>1999.9999999999973</v>
      </c>
      <c r="Z28">
        <f t="shared" si="19"/>
        <v>-2174.9999999999982</v>
      </c>
      <c r="AA28">
        <f t="shared" si="19"/>
        <v>-49.999999999998934</v>
      </c>
      <c r="AB28">
        <f t="shared" si="18"/>
        <v>649.99999999999943</v>
      </c>
      <c r="AC28">
        <f t="shared" si="5"/>
        <v>-949.9999999999975</v>
      </c>
      <c r="AD28">
        <f t="shared" si="6"/>
        <v>200.0000000000046</v>
      </c>
      <c r="AE28">
        <f t="shared" si="7"/>
        <v>0</v>
      </c>
      <c r="AF28">
        <f t="shared" si="8"/>
        <v>0</v>
      </c>
      <c r="AG28">
        <f t="shared" si="9"/>
        <v>0</v>
      </c>
      <c r="AH28" s="3">
        <f t="shared" si="10"/>
        <v>0</v>
      </c>
      <c r="AI28">
        <f t="shared" si="11"/>
        <v>0</v>
      </c>
      <c r="AJ28" s="3">
        <f t="shared" si="12"/>
        <v>0</v>
      </c>
      <c r="AK28" s="3">
        <f t="shared" si="13"/>
        <v>0</v>
      </c>
      <c r="AL28" s="3">
        <f t="shared" si="14"/>
        <v>0</v>
      </c>
      <c r="AM28" s="3">
        <f t="shared" si="15"/>
        <v>0</v>
      </c>
      <c r="AN28" s="3">
        <f t="shared" si="16"/>
        <v>0</v>
      </c>
      <c r="AO28" s="3">
        <f t="shared" si="16"/>
        <v>0</v>
      </c>
      <c r="AP28" s="3">
        <f t="shared" si="16"/>
        <v>0</v>
      </c>
      <c r="AT28">
        <f t="shared" si="17"/>
        <v>-324.99999999999335</v>
      </c>
    </row>
    <row r="29" spans="1:46" x14ac:dyDescent="0.2">
      <c r="A29" s="107">
        <v>37037</v>
      </c>
      <c r="B29">
        <f t="shared" si="0"/>
        <v>5.25</v>
      </c>
      <c r="C29" s="5">
        <f>GasDaily!R29</f>
        <v>3.8449999999999998</v>
      </c>
      <c r="D29" s="3">
        <v>10000</v>
      </c>
      <c r="E29" s="3">
        <v>-10000</v>
      </c>
      <c r="F29" s="3">
        <v>-10000</v>
      </c>
      <c r="G29" s="3">
        <v>10000</v>
      </c>
      <c r="H29" s="3">
        <v>-10000</v>
      </c>
      <c r="I29" s="3">
        <v>-10000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0">
        <f t="shared" ref="W29:W34" si="20">SUM(D29:V29)</f>
        <v>-20000</v>
      </c>
      <c r="X29" s="9"/>
      <c r="Y29">
        <f t="shared" si="2"/>
        <v>1999.9999999999973</v>
      </c>
      <c r="Z29">
        <f t="shared" si="19"/>
        <v>-2174.9999999999982</v>
      </c>
      <c r="AA29">
        <f t="shared" si="19"/>
        <v>-49.999999999998934</v>
      </c>
      <c r="AB29">
        <f t="shared" si="18"/>
        <v>649.99999999999943</v>
      </c>
      <c r="AC29">
        <f t="shared" si="5"/>
        <v>-949.9999999999975</v>
      </c>
      <c r="AD29">
        <f t="shared" si="6"/>
        <v>200.0000000000046</v>
      </c>
      <c r="AE29">
        <f t="shared" si="7"/>
        <v>0</v>
      </c>
      <c r="AF29">
        <f t="shared" si="8"/>
        <v>0</v>
      </c>
      <c r="AG29">
        <f t="shared" si="9"/>
        <v>0</v>
      </c>
      <c r="AH29" s="3">
        <f t="shared" si="10"/>
        <v>0</v>
      </c>
      <c r="AI29">
        <f t="shared" si="11"/>
        <v>0</v>
      </c>
      <c r="AJ29" s="3">
        <f t="shared" si="12"/>
        <v>0</v>
      </c>
      <c r="AK29" s="3">
        <f t="shared" si="13"/>
        <v>0</v>
      </c>
      <c r="AL29" s="3">
        <f t="shared" si="14"/>
        <v>0</v>
      </c>
      <c r="AM29" s="3">
        <f t="shared" si="15"/>
        <v>0</v>
      </c>
      <c r="AN29" s="3">
        <f t="shared" si="16"/>
        <v>0</v>
      </c>
      <c r="AO29" s="3">
        <f t="shared" si="16"/>
        <v>0</v>
      </c>
      <c r="AP29" s="3">
        <f t="shared" si="16"/>
        <v>0</v>
      </c>
      <c r="AT29">
        <f t="shared" si="17"/>
        <v>-324.99999999999335</v>
      </c>
    </row>
    <row r="30" spans="1:46" x14ac:dyDescent="0.2">
      <c r="A30" s="107">
        <v>37038</v>
      </c>
      <c r="B30">
        <f t="shared" si="0"/>
        <v>5.25</v>
      </c>
      <c r="C30" s="5">
        <f>GasDaily!R30</f>
        <v>3.8449999999999998</v>
      </c>
      <c r="D30" s="3">
        <v>10000</v>
      </c>
      <c r="E30" s="3">
        <v>-10000</v>
      </c>
      <c r="F30" s="3">
        <v>-10000</v>
      </c>
      <c r="G30" s="3">
        <v>10000</v>
      </c>
      <c r="H30" s="3">
        <v>-10000</v>
      </c>
      <c r="I30" s="3">
        <v>-10000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0">
        <f t="shared" si="20"/>
        <v>-20000</v>
      </c>
      <c r="X30" s="9"/>
      <c r="Y30">
        <f t="shared" si="2"/>
        <v>1999.9999999999973</v>
      </c>
      <c r="Z30">
        <f t="shared" si="19"/>
        <v>-2174.9999999999982</v>
      </c>
      <c r="AA30">
        <f t="shared" si="19"/>
        <v>-49.999999999998934</v>
      </c>
      <c r="AB30">
        <f t="shared" si="18"/>
        <v>649.99999999999943</v>
      </c>
      <c r="AC30">
        <f t="shared" si="5"/>
        <v>-949.9999999999975</v>
      </c>
      <c r="AD30">
        <f t="shared" si="6"/>
        <v>200.0000000000046</v>
      </c>
      <c r="AE30">
        <f t="shared" si="7"/>
        <v>0</v>
      </c>
      <c r="AF30">
        <f t="shared" si="8"/>
        <v>0</v>
      </c>
      <c r="AG30">
        <f t="shared" si="9"/>
        <v>0</v>
      </c>
      <c r="AH30" s="3">
        <f t="shared" si="10"/>
        <v>0</v>
      </c>
      <c r="AI30">
        <f t="shared" si="11"/>
        <v>0</v>
      </c>
      <c r="AJ30" s="3">
        <f t="shared" si="12"/>
        <v>0</v>
      </c>
      <c r="AK30" s="3">
        <f t="shared" si="13"/>
        <v>0</v>
      </c>
      <c r="AL30" s="3">
        <f t="shared" si="14"/>
        <v>0</v>
      </c>
      <c r="AM30" s="3">
        <f t="shared" si="15"/>
        <v>0</v>
      </c>
      <c r="AN30" s="3">
        <f t="shared" si="16"/>
        <v>0</v>
      </c>
      <c r="AO30" s="3">
        <f t="shared" si="16"/>
        <v>0</v>
      </c>
      <c r="AP30" s="3">
        <f t="shared" si="16"/>
        <v>0</v>
      </c>
      <c r="AT30">
        <f t="shared" si="17"/>
        <v>-324.99999999999335</v>
      </c>
    </row>
    <row r="31" spans="1:46" x14ac:dyDescent="0.2">
      <c r="A31" s="107">
        <v>37039</v>
      </c>
      <c r="B31">
        <f t="shared" si="0"/>
        <v>5.25</v>
      </c>
      <c r="C31" s="5">
        <f>GasDaily!R31</f>
        <v>3.8449999999999998</v>
      </c>
      <c r="D31" s="3">
        <v>10000</v>
      </c>
      <c r="E31" s="3">
        <v>-10000</v>
      </c>
      <c r="F31" s="3">
        <v>-10000</v>
      </c>
      <c r="G31" s="3">
        <v>10000</v>
      </c>
      <c r="H31" s="3">
        <v>-10000</v>
      </c>
      <c r="I31" s="3">
        <v>-10000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0">
        <f t="shared" si="20"/>
        <v>-20000</v>
      </c>
      <c r="X31" s="9"/>
      <c r="Y31">
        <f t="shared" si="2"/>
        <v>1999.9999999999973</v>
      </c>
      <c r="Z31">
        <f t="shared" si="19"/>
        <v>-2174.9999999999982</v>
      </c>
      <c r="AA31">
        <f t="shared" si="19"/>
        <v>-49.999999999998934</v>
      </c>
      <c r="AB31">
        <f t="shared" si="18"/>
        <v>649.99999999999943</v>
      </c>
      <c r="AC31">
        <f t="shared" si="5"/>
        <v>-949.9999999999975</v>
      </c>
      <c r="AD31">
        <f t="shared" si="6"/>
        <v>200.0000000000046</v>
      </c>
      <c r="AE31">
        <f t="shared" si="7"/>
        <v>0</v>
      </c>
      <c r="AF31">
        <f t="shared" si="8"/>
        <v>0</v>
      </c>
      <c r="AG31">
        <f t="shared" si="9"/>
        <v>0</v>
      </c>
      <c r="AH31" s="3">
        <f t="shared" si="10"/>
        <v>0</v>
      </c>
      <c r="AI31">
        <f t="shared" si="11"/>
        <v>0</v>
      </c>
      <c r="AJ31" s="3">
        <f t="shared" si="12"/>
        <v>0</v>
      </c>
      <c r="AK31" s="3">
        <f t="shared" si="13"/>
        <v>0</v>
      </c>
      <c r="AL31" s="3">
        <f t="shared" si="14"/>
        <v>0</v>
      </c>
      <c r="AM31" s="3">
        <f t="shared" si="15"/>
        <v>0</v>
      </c>
      <c r="AN31" s="3">
        <f t="shared" si="16"/>
        <v>0</v>
      </c>
      <c r="AO31" s="3">
        <f t="shared" si="16"/>
        <v>0</v>
      </c>
      <c r="AP31" s="3">
        <f t="shared" si="16"/>
        <v>0</v>
      </c>
      <c r="AT31">
        <f t="shared" si="17"/>
        <v>-324.99999999999335</v>
      </c>
    </row>
    <row r="32" spans="1:46" x14ac:dyDescent="0.2">
      <c r="A32" s="107">
        <v>37040</v>
      </c>
      <c r="B32">
        <f t="shared" si="0"/>
        <v>5.25</v>
      </c>
      <c r="C32" s="5">
        <f>GasDaily!R32</f>
        <v>3.8449999999999998</v>
      </c>
      <c r="D32" s="3">
        <v>10000</v>
      </c>
      <c r="E32" s="3">
        <v>-10000</v>
      </c>
      <c r="F32" s="3">
        <v>-10000</v>
      </c>
      <c r="G32" s="3">
        <v>10000</v>
      </c>
      <c r="H32" s="3">
        <v>-10000</v>
      </c>
      <c r="I32" s="3">
        <v>-10000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0">
        <f t="shared" si="20"/>
        <v>-20000</v>
      </c>
      <c r="X32" s="9"/>
      <c r="Y32">
        <f t="shared" si="2"/>
        <v>1999.9999999999973</v>
      </c>
      <c r="Z32">
        <f t="shared" si="19"/>
        <v>-2174.9999999999982</v>
      </c>
      <c r="AA32">
        <f t="shared" si="19"/>
        <v>-49.999999999998934</v>
      </c>
      <c r="AB32">
        <f t="shared" ref="AB32:AC34" si="21">G32*($C32-G$3)</f>
        <v>649.99999999999943</v>
      </c>
      <c r="AC32">
        <f t="shared" si="21"/>
        <v>-949.9999999999975</v>
      </c>
      <c r="AD32">
        <f t="shared" si="6"/>
        <v>200.0000000000046</v>
      </c>
      <c r="AE32">
        <f t="shared" si="7"/>
        <v>0</v>
      </c>
      <c r="AF32">
        <f t="shared" si="8"/>
        <v>0</v>
      </c>
      <c r="AG32">
        <f t="shared" si="9"/>
        <v>0</v>
      </c>
      <c r="AH32" s="3">
        <f t="shared" si="10"/>
        <v>0</v>
      </c>
      <c r="AI32">
        <f t="shared" si="11"/>
        <v>0</v>
      </c>
      <c r="AJ32" s="3">
        <f t="shared" si="12"/>
        <v>0</v>
      </c>
      <c r="AK32" s="3">
        <f t="shared" si="13"/>
        <v>0</v>
      </c>
      <c r="AL32" s="3">
        <f t="shared" si="14"/>
        <v>0</v>
      </c>
      <c r="AM32" s="3">
        <f t="shared" si="15"/>
        <v>0</v>
      </c>
      <c r="AN32" s="3">
        <f t="shared" si="16"/>
        <v>0</v>
      </c>
      <c r="AO32" s="3">
        <f t="shared" si="16"/>
        <v>0</v>
      </c>
      <c r="AP32" s="3">
        <f t="shared" si="16"/>
        <v>0</v>
      </c>
      <c r="AT32">
        <f t="shared" si="17"/>
        <v>-324.99999999999335</v>
      </c>
    </row>
    <row r="33" spans="1:46" x14ac:dyDescent="0.2">
      <c r="A33" s="107">
        <v>37041</v>
      </c>
      <c r="B33">
        <f t="shared" si="0"/>
        <v>5.25</v>
      </c>
      <c r="C33" s="5">
        <f>GasDaily!R33</f>
        <v>3.8449999999999998</v>
      </c>
      <c r="D33" s="3">
        <v>10000</v>
      </c>
      <c r="E33" s="3">
        <v>-10000</v>
      </c>
      <c r="F33" s="3">
        <v>-10000</v>
      </c>
      <c r="G33" s="3">
        <v>10000</v>
      </c>
      <c r="H33" s="3">
        <v>-10000</v>
      </c>
      <c r="I33" s="3">
        <v>-10000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0">
        <f t="shared" si="20"/>
        <v>-20000</v>
      </c>
      <c r="Y33">
        <f t="shared" si="2"/>
        <v>1999.9999999999973</v>
      </c>
      <c r="Z33">
        <f t="shared" si="19"/>
        <v>-2174.9999999999982</v>
      </c>
      <c r="AA33">
        <f t="shared" si="19"/>
        <v>-49.999999999998934</v>
      </c>
      <c r="AB33">
        <f t="shared" si="21"/>
        <v>649.99999999999943</v>
      </c>
      <c r="AC33">
        <f t="shared" si="21"/>
        <v>-949.9999999999975</v>
      </c>
      <c r="AD33">
        <f t="shared" si="6"/>
        <v>200.0000000000046</v>
      </c>
      <c r="AE33">
        <f t="shared" si="7"/>
        <v>0</v>
      </c>
      <c r="AF33">
        <f t="shared" si="8"/>
        <v>0</v>
      </c>
      <c r="AG33">
        <f t="shared" si="9"/>
        <v>0</v>
      </c>
      <c r="AH33" s="3">
        <f t="shared" si="10"/>
        <v>0</v>
      </c>
      <c r="AI33">
        <f t="shared" si="11"/>
        <v>0</v>
      </c>
      <c r="AJ33" s="3">
        <f t="shared" si="12"/>
        <v>0</v>
      </c>
      <c r="AK33" s="3">
        <f t="shared" si="13"/>
        <v>0</v>
      </c>
      <c r="AL33" s="3">
        <f t="shared" si="14"/>
        <v>0</v>
      </c>
      <c r="AM33" s="3">
        <f t="shared" si="15"/>
        <v>0</v>
      </c>
      <c r="AN33" s="3">
        <f t="shared" si="16"/>
        <v>0</v>
      </c>
      <c r="AO33" s="3">
        <f t="shared" si="16"/>
        <v>0</v>
      </c>
      <c r="AP33" s="3">
        <f t="shared" si="16"/>
        <v>0</v>
      </c>
      <c r="AT33">
        <f t="shared" si="17"/>
        <v>-324.99999999999335</v>
      </c>
    </row>
    <row r="34" spans="1:46" x14ac:dyDescent="0.2">
      <c r="A34" s="107">
        <v>37042</v>
      </c>
      <c r="B34">
        <f t="shared" si="0"/>
        <v>5.25</v>
      </c>
      <c r="C34" s="5">
        <f>GasDaily!R34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0">
        <f t="shared" si="20"/>
        <v>0</v>
      </c>
      <c r="Y34">
        <f t="shared" si="2"/>
        <v>0</v>
      </c>
      <c r="Z34">
        <f t="shared" si="19"/>
        <v>0</v>
      </c>
      <c r="AA34">
        <f t="shared" si="19"/>
        <v>0</v>
      </c>
      <c r="AB34">
        <f t="shared" si="21"/>
        <v>0</v>
      </c>
      <c r="AC34">
        <f t="shared" si="21"/>
        <v>0</v>
      </c>
      <c r="AD34">
        <f t="shared" si="6"/>
        <v>0</v>
      </c>
      <c r="AE34">
        <f t="shared" si="7"/>
        <v>0</v>
      </c>
      <c r="AF34">
        <f t="shared" si="8"/>
        <v>0</v>
      </c>
      <c r="AG34">
        <f t="shared" si="9"/>
        <v>0</v>
      </c>
      <c r="AH34" s="3">
        <f t="shared" si="10"/>
        <v>0</v>
      </c>
      <c r="AI34">
        <f t="shared" si="11"/>
        <v>0</v>
      </c>
      <c r="AJ34" s="3">
        <f t="shared" si="12"/>
        <v>0</v>
      </c>
      <c r="AK34" s="3">
        <f t="shared" si="13"/>
        <v>0</v>
      </c>
      <c r="AL34" s="3">
        <f t="shared" si="14"/>
        <v>0</v>
      </c>
      <c r="AM34" s="3">
        <f t="shared" si="15"/>
        <v>0</v>
      </c>
      <c r="AN34" s="3">
        <f t="shared" si="16"/>
        <v>0</v>
      </c>
      <c r="AO34" s="3">
        <f t="shared" si="16"/>
        <v>0</v>
      </c>
      <c r="AP34" s="3">
        <f t="shared" si="16"/>
        <v>0</v>
      </c>
      <c r="AT34">
        <f t="shared" si="17"/>
        <v>0</v>
      </c>
    </row>
    <row r="35" spans="1:46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46" x14ac:dyDescent="0.2">
      <c r="W36" s="10">
        <f>SUM(W8:W35)</f>
        <v>-520000</v>
      </c>
      <c r="AT36" s="11">
        <f>SUM(AT4:AT34)</f>
        <v>-9799.9999999998072</v>
      </c>
    </row>
    <row r="37" spans="1:4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M37"/>
  <sheetViews>
    <sheetView topLeftCell="A2" zoomScale="85" workbookViewId="0">
      <pane xSplit="1" topLeftCell="B1" activePane="topRight" state="frozenSplit"/>
      <selection pane="topRight" activeCell="S25" sqref="S25"/>
    </sheetView>
  </sheetViews>
  <sheetFormatPr defaultRowHeight="12.75" x14ac:dyDescent="0.2"/>
  <cols>
    <col min="1" max="1" width="9.28515625" bestFit="1" customWidth="1"/>
    <col min="4" max="4" width="11" customWidth="1"/>
    <col min="5" max="5" width="10.140625" customWidth="1"/>
    <col min="6" max="6" width="9.85546875" bestFit="1" customWidth="1"/>
    <col min="31" max="31" width="13.140625" style="2" customWidth="1"/>
    <col min="32" max="32" width="2.85546875" style="8" customWidth="1"/>
    <col min="61" max="61" width="2.7109375" style="8" customWidth="1"/>
    <col min="62" max="62" width="12.28515625" bestFit="1" customWidth="1"/>
    <col min="65" max="65" width="13" bestFit="1" customWidth="1"/>
  </cols>
  <sheetData>
    <row r="1" spans="1:62" x14ac:dyDescent="0.2">
      <c r="B1" s="2" t="s">
        <v>0</v>
      </c>
      <c r="G1" t="s">
        <v>106</v>
      </c>
    </row>
    <row r="2" spans="1:62" x14ac:dyDescent="0.2">
      <c r="B2" s="6">
        <v>5.35</v>
      </c>
      <c r="C2" s="4"/>
      <c r="D2" s="126">
        <v>3.74</v>
      </c>
      <c r="E2" s="126">
        <v>3.67</v>
      </c>
      <c r="F2" s="127">
        <v>3.665</v>
      </c>
      <c r="G2" s="127">
        <v>3.645</v>
      </c>
      <c r="H2" s="127">
        <v>3.625</v>
      </c>
      <c r="I2" s="127">
        <v>3.625</v>
      </c>
      <c r="J2" s="127">
        <v>3.6349999999999998</v>
      </c>
      <c r="K2" s="127">
        <v>3.82</v>
      </c>
      <c r="L2" s="127">
        <v>3.81</v>
      </c>
      <c r="M2" s="127">
        <v>3.77</v>
      </c>
      <c r="N2" s="127">
        <v>3.79</v>
      </c>
      <c r="O2" s="127">
        <v>3.7850000000000001</v>
      </c>
      <c r="P2" s="127">
        <v>3.8149999999999999</v>
      </c>
      <c r="Q2" s="127">
        <v>3.855</v>
      </c>
      <c r="R2" s="127">
        <v>3.8650000000000002</v>
      </c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2" t="s">
        <v>4</v>
      </c>
    </row>
    <row r="3" spans="1:62" x14ac:dyDescent="0.2">
      <c r="B3" s="5">
        <v>0</v>
      </c>
      <c r="C3" t="s">
        <v>1</v>
      </c>
      <c r="BJ3" t="s">
        <v>3</v>
      </c>
    </row>
    <row r="4" spans="1:62" x14ac:dyDescent="0.2">
      <c r="A4" s="107">
        <v>36951</v>
      </c>
      <c r="C4" s="5">
        <f>GasDaily!C4</f>
        <v>3.73</v>
      </c>
      <c r="D4" s="3">
        <v>-20000</v>
      </c>
      <c r="E4" s="3">
        <v>5000</v>
      </c>
      <c r="F4" s="3">
        <v>5000</v>
      </c>
      <c r="G4" s="3">
        <v>8500</v>
      </c>
      <c r="H4" s="3">
        <v>10000</v>
      </c>
      <c r="I4" s="3">
        <v>5000</v>
      </c>
      <c r="J4" s="3">
        <v>10000</v>
      </c>
      <c r="K4" s="3">
        <v>10000</v>
      </c>
      <c r="L4" s="3">
        <v>-10000</v>
      </c>
      <c r="M4" s="3">
        <v>-10000</v>
      </c>
      <c r="N4" s="3">
        <v>-10000</v>
      </c>
      <c r="O4" s="3">
        <v>10000</v>
      </c>
      <c r="P4" s="3">
        <v>10000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0">
        <f t="shared" ref="AE4:AE27" si="0">SUM(D4:AB4)</f>
        <v>23500</v>
      </c>
      <c r="AF4" s="9"/>
      <c r="AG4">
        <f t="shared" ref="AG4:AG32" si="1">D4*($C4-D$2)</f>
        <v>200.0000000000046</v>
      </c>
      <c r="AH4">
        <f t="shared" ref="AH4:AH32" si="2">E4*($C4-E$2)</f>
        <v>300.00000000000028</v>
      </c>
      <c r="AI4">
        <f t="shared" ref="AI4:AI32" si="3">F4*($C4-F$2)</f>
        <v>324.99999999999972</v>
      </c>
      <c r="AJ4">
        <f t="shared" ref="AJ4:AJ32" si="4">G4*($C4-G$2)</f>
        <v>722.49999999999966</v>
      </c>
      <c r="AK4">
        <f t="shared" ref="AK4:AK32" si="5">H4*($C4-H$2)</f>
        <v>1049.9999999999998</v>
      </c>
      <c r="AL4">
        <f t="shared" ref="AL4:AL32" si="6">I4*($C4-I$2)</f>
        <v>524.99999999999989</v>
      </c>
      <c r="AM4">
        <f t="shared" ref="AM4:AM34" si="7">J4*($C4-J$2)</f>
        <v>950.00000000000193</v>
      </c>
      <c r="AN4">
        <f t="shared" ref="AN4:AN34" si="8">K4*($C4-K$2)</f>
        <v>-899.99999999999864</v>
      </c>
      <c r="AO4">
        <f t="shared" ref="AO4:AP34" si="9">L4*($C4-L$2)</f>
        <v>800.00000000000068</v>
      </c>
      <c r="AP4">
        <f t="shared" si="9"/>
        <v>400.00000000000034</v>
      </c>
      <c r="AQ4">
        <f t="shared" ref="AQ4:AQ34" si="10">N4*($C4-N$2)</f>
        <v>600.00000000000057</v>
      </c>
      <c r="AR4">
        <f t="shared" ref="AR4:AR34" si="11">O4*($C4-O$2)</f>
        <v>-550.00000000000159</v>
      </c>
      <c r="AS4">
        <f t="shared" ref="AS4:AS34" si="12">P4*($C4-P$2)</f>
        <v>-849.99999999999966</v>
      </c>
      <c r="AT4">
        <f t="shared" ref="AT4:AT34" si="13">Q4*($C4-Q$2)</f>
        <v>0</v>
      </c>
      <c r="AU4">
        <f t="shared" ref="AU4:AU34" si="14">R4*($C4-R$2)</f>
        <v>0</v>
      </c>
      <c r="AV4">
        <f t="shared" ref="AV4:AV34" si="15">S4*($C4-S$2)</f>
        <v>0</v>
      </c>
      <c r="AW4">
        <f t="shared" ref="AW4:AW34" si="16">T4*($C4-T$2)</f>
        <v>0</v>
      </c>
      <c r="BJ4">
        <f>SUM(AG4:BI4)</f>
        <v>3572.5000000000068</v>
      </c>
    </row>
    <row r="5" spans="1:62" x14ac:dyDescent="0.2">
      <c r="A5" s="107">
        <v>36952</v>
      </c>
      <c r="B5">
        <f t="shared" ref="B5:B34" si="17">B$2+B$3</f>
        <v>5.35</v>
      </c>
      <c r="C5" s="5">
        <f>GasDaily!C5</f>
        <v>3.835</v>
      </c>
      <c r="D5" s="3">
        <v>-20000</v>
      </c>
      <c r="E5" s="3">
        <v>5000</v>
      </c>
      <c r="F5" s="3">
        <v>5000</v>
      </c>
      <c r="G5" s="3">
        <v>8500</v>
      </c>
      <c r="H5" s="3">
        <v>10000</v>
      </c>
      <c r="I5" s="3">
        <v>5000</v>
      </c>
      <c r="J5" s="3">
        <v>10000</v>
      </c>
      <c r="K5" s="3">
        <v>10000</v>
      </c>
      <c r="L5" s="3">
        <v>-10000</v>
      </c>
      <c r="M5" s="3">
        <v>-10000</v>
      </c>
      <c r="N5" s="3">
        <v>-10000</v>
      </c>
      <c r="O5" s="3">
        <v>10000</v>
      </c>
      <c r="P5" s="3">
        <v>10000</v>
      </c>
      <c r="Q5" s="3">
        <v>-10000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10">
        <f t="shared" si="0"/>
        <v>13500</v>
      </c>
      <c r="AF5" s="9"/>
      <c r="AG5">
        <f t="shared" si="1"/>
        <v>-1899.999999999995</v>
      </c>
      <c r="AH5">
        <f t="shared" si="2"/>
        <v>825.00000000000023</v>
      </c>
      <c r="AI5">
        <f t="shared" si="3"/>
        <v>849.99999999999966</v>
      </c>
      <c r="AJ5">
        <f t="shared" si="4"/>
        <v>1614.9999999999995</v>
      </c>
      <c r="AK5">
        <f t="shared" si="5"/>
        <v>2099.9999999999995</v>
      </c>
      <c r="AL5">
        <f t="shared" si="6"/>
        <v>1049.9999999999998</v>
      </c>
      <c r="AM5">
        <f t="shared" si="7"/>
        <v>2000.0000000000018</v>
      </c>
      <c r="AN5">
        <f t="shared" si="8"/>
        <v>150.00000000000125</v>
      </c>
      <c r="AO5">
        <f t="shared" si="9"/>
        <v>-249.99999999999912</v>
      </c>
      <c r="AP5">
        <f t="shared" si="9"/>
        <v>-649.99999999999943</v>
      </c>
      <c r="AQ5">
        <f t="shared" si="10"/>
        <v>-449.99999999999932</v>
      </c>
      <c r="AR5">
        <f t="shared" si="11"/>
        <v>499.99999999999824</v>
      </c>
      <c r="AS5">
        <f t="shared" si="12"/>
        <v>200.00000000000017</v>
      </c>
      <c r="AT5">
        <f t="shared" si="13"/>
        <v>200.00000000000017</v>
      </c>
      <c r="AU5">
        <f t="shared" si="14"/>
        <v>0</v>
      </c>
      <c r="AV5">
        <f t="shared" si="15"/>
        <v>0</v>
      </c>
      <c r="AW5">
        <f t="shared" si="16"/>
        <v>0</v>
      </c>
      <c r="BJ5">
        <f t="shared" ref="BJ5:BJ34" si="18">SUM(AG5:BI5)</f>
        <v>6240.0000000000073</v>
      </c>
    </row>
    <row r="6" spans="1:62" x14ac:dyDescent="0.2">
      <c r="A6" s="107">
        <v>36953</v>
      </c>
      <c r="B6">
        <f t="shared" si="17"/>
        <v>5.35</v>
      </c>
      <c r="C6" s="5">
        <f>GasDaily!C6</f>
        <v>3.835</v>
      </c>
      <c r="D6" s="3">
        <v>-20000</v>
      </c>
      <c r="E6" s="3">
        <v>5000</v>
      </c>
      <c r="F6" s="3">
        <v>5000</v>
      </c>
      <c r="G6" s="3">
        <v>8500</v>
      </c>
      <c r="H6" s="3">
        <v>10000</v>
      </c>
      <c r="I6" s="3">
        <v>5000</v>
      </c>
      <c r="J6" s="3">
        <v>10000</v>
      </c>
      <c r="K6" s="3">
        <v>10000</v>
      </c>
      <c r="L6" s="3">
        <v>-10000</v>
      </c>
      <c r="M6" s="3">
        <v>-10000</v>
      </c>
      <c r="N6" s="3">
        <v>-10000</v>
      </c>
      <c r="O6" s="3">
        <v>10000</v>
      </c>
      <c r="P6" s="3">
        <v>10000</v>
      </c>
      <c r="Q6" s="3">
        <v>-10000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0">
        <f t="shared" si="0"/>
        <v>13500</v>
      </c>
      <c r="AF6" s="9"/>
      <c r="AG6">
        <f t="shared" si="1"/>
        <v>-1899.999999999995</v>
      </c>
      <c r="AH6">
        <f t="shared" si="2"/>
        <v>825.00000000000023</v>
      </c>
      <c r="AI6">
        <f t="shared" si="3"/>
        <v>849.99999999999966</v>
      </c>
      <c r="AJ6">
        <f t="shared" si="4"/>
        <v>1614.9999999999995</v>
      </c>
      <c r="AK6">
        <f t="shared" si="5"/>
        <v>2099.9999999999995</v>
      </c>
      <c r="AL6">
        <f t="shared" si="6"/>
        <v>1049.9999999999998</v>
      </c>
      <c r="AM6">
        <f t="shared" si="7"/>
        <v>2000.0000000000018</v>
      </c>
      <c r="AN6">
        <f t="shared" si="8"/>
        <v>150.00000000000125</v>
      </c>
      <c r="AO6">
        <f t="shared" si="9"/>
        <v>-249.99999999999912</v>
      </c>
      <c r="AP6">
        <f t="shared" si="9"/>
        <v>-649.99999999999943</v>
      </c>
      <c r="AQ6">
        <f t="shared" si="10"/>
        <v>-449.99999999999932</v>
      </c>
      <c r="AR6">
        <f t="shared" si="11"/>
        <v>499.99999999999824</v>
      </c>
      <c r="AS6">
        <f t="shared" si="12"/>
        <v>200.00000000000017</v>
      </c>
      <c r="AT6">
        <f t="shared" si="13"/>
        <v>200.00000000000017</v>
      </c>
      <c r="AU6">
        <f t="shared" si="14"/>
        <v>0</v>
      </c>
      <c r="AV6">
        <f t="shared" si="15"/>
        <v>0</v>
      </c>
      <c r="AW6">
        <f t="shared" si="16"/>
        <v>0</v>
      </c>
      <c r="BJ6">
        <f t="shared" si="18"/>
        <v>6240.0000000000073</v>
      </c>
    </row>
    <row r="7" spans="1:62" x14ac:dyDescent="0.2">
      <c r="A7" s="107">
        <v>36954</v>
      </c>
      <c r="B7">
        <f t="shared" si="17"/>
        <v>5.35</v>
      </c>
      <c r="C7" s="5">
        <f>GasDaily!C7</f>
        <v>3.835</v>
      </c>
      <c r="D7" s="3">
        <v>-20000</v>
      </c>
      <c r="E7" s="3">
        <v>5000</v>
      </c>
      <c r="F7" s="3">
        <v>5000</v>
      </c>
      <c r="G7" s="3">
        <v>8500</v>
      </c>
      <c r="H7" s="3">
        <v>10000</v>
      </c>
      <c r="I7" s="3">
        <v>5000</v>
      </c>
      <c r="J7" s="3">
        <v>10000</v>
      </c>
      <c r="K7" s="3">
        <v>10000</v>
      </c>
      <c r="L7" s="3">
        <v>-10000</v>
      </c>
      <c r="M7" s="3">
        <v>-10000</v>
      </c>
      <c r="N7" s="3">
        <v>-10000</v>
      </c>
      <c r="O7" s="3">
        <v>10000</v>
      </c>
      <c r="P7" s="3">
        <v>10000</v>
      </c>
      <c r="Q7" s="3">
        <v>-10000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0">
        <f t="shared" si="0"/>
        <v>13500</v>
      </c>
      <c r="AF7" s="9"/>
      <c r="AG7">
        <f t="shared" si="1"/>
        <v>-1899.999999999995</v>
      </c>
      <c r="AH7">
        <f t="shared" si="2"/>
        <v>825.00000000000023</v>
      </c>
      <c r="AI7">
        <f t="shared" si="3"/>
        <v>849.99999999999966</v>
      </c>
      <c r="AJ7">
        <f t="shared" si="4"/>
        <v>1614.9999999999995</v>
      </c>
      <c r="AK7">
        <f t="shared" si="5"/>
        <v>2099.9999999999995</v>
      </c>
      <c r="AL7">
        <f t="shared" si="6"/>
        <v>1049.9999999999998</v>
      </c>
      <c r="AM7">
        <f t="shared" si="7"/>
        <v>2000.0000000000018</v>
      </c>
      <c r="AN7">
        <f t="shared" si="8"/>
        <v>150.00000000000125</v>
      </c>
      <c r="AO7">
        <f t="shared" si="9"/>
        <v>-249.99999999999912</v>
      </c>
      <c r="AP7">
        <f t="shared" si="9"/>
        <v>-649.99999999999943</v>
      </c>
      <c r="AQ7">
        <f t="shared" si="10"/>
        <v>-449.99999999999932</v>
      </c>
      <c r="AR7">
        <f t="shared" si="11"/>
        <v>499.99999999999824</v>
      </c>
      <c r="AS7">
        <f t="shared" si="12"/>
        <v>200.00000000000017</v>
      </c>
      <c r="AT7">
        <f t="shared" si="13"/>
        <v>200.00000000000017</v>
      </c>
      <c r="AU7">
        <f t="shared" si="14"/>
        <v>0</v>
      </c>
      <c r="AV7">
        <f t="shared" si="15"/>
        <v>0</v>
      </c>
      <c r="AW7">
        <f t="shared" si="16"/>
        <v>0</v>
      </c>
      <c r="BJ7">
        <f t="shared" si="18"/>
        <v>6240.0000000000073</v>
      </c>
    </row>
    <row r="8" spans="1:62" x14ac:dyDescent="0.2">
      <c r="A8" s="107">
        <v>36955</v>
      </c>
      <c r="B8">
        <f t="shared" si="17"/>
        <v>5.35</v>
      </c>
      <c r="C8" s="5">
        <f>GasDaily!C8</f>
        <v>3.835</v>
      </c>
      <c r="D8" s="3">
        <v>-20000</v>
      </c>
      <c r="E8" s="3">
        <v>5000</v>
      </c>
      <c r="F8" s="3">
        <v>5000</v>
      </c>
      <c r="G8" s="3">
        <v>8500</v>
      </c>
      <c r="H8" s="3">
        <v>10000</v>
      </c>
      <c r="I8" s="3">
        <v>5000</v>
      </c>
      <c r="J8" s="3">
        <v>10000</v>
      </c>
      <c r="K8" s="3">
        <v>10000</v>
      </c>
      <c r="L8" s="3">
        <v>-10000</v>
      </c>
      <c r="M8" s="3">
        <v>-10000</v>
      </c>
      <c r="N8" s="3">
        <v>-10000</v>
      </c>
      <c r="O8" s="3">
        <v>10000</v>
      </c>
      <c r="P8" s="3">
        <v>10000</v>
      </c>
      <c r="Q8" s="3">
        <v>-10000</v>
      </c>
      <c r="R8" s="3">
        <v>10000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10">
        <f t="shared" si="0"/>
        <v>23500</v>
      </c>
      <c r="AF8" s="9"/>
      <c r="AG8">
        <f t="shared" si="1"/>
        <v>-1899.999999999995</v>
      </c>
      <c r="AH8">
        <f t="shared" si="2"/>
        <v>825.00000000000023</v>
      </c>
      <c r="AI8">
        <f t="shared" si="3"/>
        <v>849.99999999999966</v>
      </c>
      <c r="AJ8">
        <f t="shared" si="4"/>
        <v>1614.9999999999995</v>
      </c>
      <c r="AK8">
        <f t="shared" si="5"/>
        <v>2099.9999999999995</v>
      </c>
      <c r="AL8">
        <f t="shared" si="6"/>
        <v>1049.9999999999998</v>
      </c>
      <c r="AM8">
        <f t="shared" si="7"/>
        <v>2000.0000000000018</v>
      </c>
      <c r="AN8">
        <f t="shared" si="8"/>
        <v>150.00000000000125</v>
      </c>
      <c r="AO8">
        <f t="shared" si="9"/>
        <v>-249.99999999999912</v>
      </c>
      <c r="AP8">
        <f t="shared" si="9"/>
        <v>-649.99999999999943</v>
      </c>
      <c r="AQ8">
        <f t="shared" si="10"/>
        <v>-449.99999999999932</v>
      </c>
      <c r="AR8">
        <f t="shared" si="11"/>
        <v>499.99999999999824</v>
      </c>
      <c r="AS8">
        <f t="shared" si="12"/>
        <v>200.00000000000017</v>
      </c>
      <c r="AT8">
        <f t="shared" si="13"/>
        <v>200.00000000000017</v>
      </c>
      <c r="AU8">
        <f t="shared" si="14"/>
        <v>-300.0000000000025</v>
      </c>
      <c r="AV8">
        <f t="shared" si="15"/>
        <v>0</v>
      </c>
      <c r="AW8">
        <f t="shared" si="16"/>
        <v>0</v>
      </c>
      <c r="AX8">
        <f t="shared" ref="AX8:AX34" si="19">U8*($C8-U$2)</f>
        <v>0</v>
      </c>
      <c r="AY8">
        <f t="shared" ref="AY8:AY34" si="20">V8*($C8-V$2)</f>
        <v>0</v>
      </c>
      <c r="AZ8">
        <f t="shared" ref="AZ8:BG34" si="21">W8*($C8-W$2)</f>
        <v>0</v>
      </c>
      <c r="BA8">
        <f t="shared" si="21"/>
        <v>0</v>
      </c>
      <c r="BB8">
        <f t="shared" si="21"/>
        <v>0</v>
      </c>
      <c r="BC8">
        <f t="shared" si="21"/>
        <v>0</v>
      </c>
      <c r="BD8">
        <f t="shared" si="21"/>
        <v>0</v>
      </c>
      <c r="BE8">
        <f t="shared" si="21"/>
        <v>0</v>
      </c>
      <c r="BF8">
        <f t="shared" si="21"/>
        <v>0</v>
      </c>
      <c r="BG8">
        <f t="shared" si="21"/>
        <v>0</v>
      </c>
      <c r="BJ8">
        <f t="shared" si="18"/>
        <v>5940.0000000000045</v>
      </c>
    </row>
    <row r="9" spans="1:62" x14ac:dyDescent="0.2">
      <c r="A9" s="107">
        <v>36956</v>
      </c>
      <c r="B9">
        <f t="shared" si="17"/>
        <v>5.35</v>
      </c>
      <c r="C9" s="5">
        <f>GasDaily!C9</f>
        <v>3.835</v>
      </c>
      <c r="D9" s="3">
        <v>-20000</v>
      </c>
      <c r="E9" s="3">
        <v>5000</v>
      </c>
      <c r="F9" s="3">
        <v>5000</v>
      </c>
      <c r="G9" s="3">
        <v>8500</v>
      </c>
      <c r="H9" s="3">
        <v>10000</v>
      </c>
      <c r="I9" s="3">
        <v>5000</v>
      </c>
      <c r="J9" s="3">
        <v>10000</v>
      </c>
      <c r="K9" s="3">
        <v>10000</v>
      </c>
      <c r="L9" s="3">
        <v>-10000</v>
      </c>
      <c r="M9" s="3">
        <v>-10000</v>
      </c>
      <c r="N9" s="3">
        <v>-10000</v>
      </c>
      <c r="O9" s="3">
        <v>10000</v>
      </c>
      <c r="P9" s="3">
        <v>10000</v>
      </c>
      <c r="Q9" s="3">
        <v>-10000</v>
      </c>
      <c r="R9" s="3">
        <v>10000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10">
        <f t="shared" si="0"/>
        <v>23500</v>
      </c>
      <c r="AF9" s="9"/>
      <c r="AG9">
        <f t="shared" si="1"/>
        <v>-1899.999999999995</v>
      </c>
      <c r="AH9">
        <f t="shared" si="2"/>
        <v>825.00000000000023</v>
      </c>
      <c r="AI9">
        <f t="shared" si="3"/>
        <v>849.99999999999966</v>
      </c>
      <c r="AJ9">
        <f t="shared" si="4"/>
        <v>1614.9999999999995</v>
      </c>
      <c r="AK9">
        <f t="shared" si="5"/>
        <v>2099.9999999999995</v>
      </c>
      <c r="AL9">
        <f t="shared" si="6"/>
        <v>1049.9999999999998</v>
      </c>
      <c r="AM9">
        <f t="shared" si="7"/>
        <v>2000.0000000000018</v>
      </c>
      <c r="AN9">
        <f t="shared" si="8"/>
        <v>150.00000000000125</v>
      </c>
      <c r="AO9">
        <f t="shared" si="9"/>
        <v>-249.99999999999912</v>
      </c>
      <c r="AP9">
        <f t="shared" si="9"/>
        <v>-649.99999999999943</v>
      </c>
      <c r="AQ9">
        <f t="shared" si="10"/>
        <v>-449.99999999999932</v>
      </c>
      <c r="AR9">
        <f t="shared" si="11"/>
        <v>499.99999999999824</v>
      </c>
      <c r="AS9">
        <f t="shared" si="12"/>
        <v>200.00000000000017</v>
      </c>
      <c r="AT9">
        <f t="shared" si="13"/>
        <v>200.00000000000017</v>
      </c>
      <c r="AU9">
        <f t="shared" si="14"/>
        <v>-300.0000000000025</v>
      </c>
      <c r="AV9">
        <f t="shared" si="15"/>
        <v>0</v>
      </c>
      <c r="AW9">
        <f t="shared" si="16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1"/>
        <v>0</v>
      </c>
      <c r="BB9">
        <f t="shared" si="21"/>
        <v>0</v>
      </c>
      <c r="BC9">
        <f t="shared" si="21"/>
        <v>0</v>
      </c>
      <c r="BD9">
        <f t="shared" si="21"/>
        <v>0</v>
      </c>
      <c r="BE9">
        <f t="shared" si="21"/>
        <v>0</v>
      </c>
      <c r="BF9">
        <f t="shared" si="21"/>
        <v>0</v>
      </c>
      <c r="BG9">
        <f t="shared" si="21"/>
        <v>0</v>
      </c>
      <c r="BJ9">
        <f t="shared" si="18"/>
        <v>5940.0000000000045</v>
      </c>
    </row>
    <row r="10" spans="1:62" x14ac:dyDescent="0.2">
      <c r="A10" s="107">
        <v>36957</v>
      </c>
      <c r="B10">
        <f t="shared" si="17"/>
        <v>5.35</v>
      </c>
      <c r="C10" s="5">
        <f>GasDaily!C10</f>
        <v>3.835</v>
      </c>
      <c r="D10" s="3">
        <v>-20000</v>
      </c>
      <c r="E10" s="3">
        <v>5000</v>
      </c>
      <c r="F10" s="3">
        <v>5000</v>
      </c>
      <c r="G10" s="3">
        <v>8500</v>
      </c>
      <c r="H10" s="3">
        <v>10000</v>
      </c>
      <c r="I10" s="3">
        <v>5000</v>
      </c>
      <c r="J10" s="3">
        <v>10000</v>
      </c>
      <c r="K10" s="3">
        <v>10000</v>
      </c>
      <c r="L10" s="3">
        <v>-10000</v>
      </c>
      <c r="M10" s="3">
        <v>-10000</v>
      </c>
      <c r="N10" s="3">
        <v>-10000</v>
      </c>
      <c r="O10" s="3">
        <v>10000</v>
      </c>
      <c r="P10" s="3">
        <v>10000</v>
      </c>
      <c r="Q10" s="3">
        <v>-10000</v>
      </c>
      <c r="R10" s="3">
        <v>10000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10">
        <f t="shared" si="0"/>
        <v>23500</v>
      </c>
      <c r="AF10" s="9"/>
      <c r="AG10">
        <f t="shared" si="1"/>
        <v>-1899.999999999995</v>
      </c>
      <c r="AH10">
        <f t="shared" si="2"/>
        <v>825.00000000000023</v>
      </c>
      <c r="AI10">
        <f t="shared" si="3"/>
        <v>849.99999999999966</v>
      </c>
      <c r="AJ10">
        <f t="shared" si="4"/>
        <v>1614.9999999999995</v>
      </c>
      <c r="AK10">
        <f t="shared" si="5"/>
        <v>2099.9999999999995</v>
      </c>
      <c r="AL10">
        <f t="shared" si="6"/>
        <v>1049.9999999999998</v>
      </c>
      <c r="AM10">
        <f t="shared" si="7"/>
        <v>2000.0000000000018</v>
      </c>
      <c r="AN10">
        <f t="shared" si="8"/>
        <v>150.00000000000125</v>
      </c>
      <c r="AO10">
        <f t="shared" si="9"/>
        <v>-249.99999999999912</v>
      </c>
      <c r="AP10">
        <f t="shared" si="9"/>
        <v>-649.99999999999943</v>
      </c>
      <c r="AQ10">
        <f t="shared" si="10"/>
        <v>-449.99999999999932</v>
      </c>
      <c r="AR10">
        <f t="shared" si="11"/>
        <v>499.99999999999824</v>
      </c>
      <c r="AS10">
        <f t="shared" si="12"/>
        <v>200.00000000000017</v>
      </c>
      <c r="AT10">
        <f t="shared" si="13"/>
        <v>200.00000000000017</v>
      </c>
      <c r="AU10">
        <f t="shared" si="14"/>
        <v>-300.0000000000025</v>
      </c>
      <c r="AV10">
        <f t="shared" si="15"/>
        <v>0</v>
      </c>
      <c r="AW10">
        <f t="shared" si="16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1"/>
        <v>0</v>
      </c>
      <c r="BB10">
        <f t="shared" si="21"/>
        <v>0</v>
      </c>
      <c r="BC10">
        <f t="shared" si="21"/>
        <v>0</v>
      </c>
      <c r="BD10">
        <f t="shared" si="21"/>
        <v>0</v>
      </c>
      <c r="BE10">
        <f t="shared" si="21"/>
        <v>0</v>
      </c>
      <c r="BF10">
        <f t="shared" si="21"/>
        <v>0</v>
      </c>
      <c r="BG10">
        <f t="shared" si="21"/>
        <v>0</v>
      </c>
      <c r="BJ10">
        <f t="shared" si="18"/>
        <v>5940.0000000000045</v>
      </c>
    </row>
    <row r="11" spans="1:62" x14ac:dyDescent="0.2">
      <c r="A11" s="107">
        <v>36958</v>
      </c>
      <c r="B11">
        <f t="shared" si="17"/>
        <v>5.35</v>
      </c>
      <c r="C11" s="5">
        <f>GasDaily!C11</f>
        <v>3.835</v>
      </c>
      <c r="D11" s="3">
        <v>-20000</v>
      </c>
      <c r="E11" s="3">
        <v>5000</v>
      </c>
      <c r="F11" s="3">
        <v>5000</v>
      </c>
      <c r="G11" s="3">
        <v>8500</v>
      </c>
      <c r="H11" s="3">
        <v>10000</v>
      </c>
      <c r="I11" s="3">
        <v>5000</v>
      </c>
      <c r="J11" s="3">
        <v>10000</v>
      </c>
      <c r="K11" s="3">
        <v>10000</v>
      </c>
      <c r="L11" s="3">
        <v>-10000</v>
      </c>
      <c r="M11" s="3">
        <v>-10000</v>
      </c>
      <c r="N11" s="3">
        <v>-10000</v>
      </c>
      <c r="O11" s="3">
        <v>10000</v>
      </c>
      <c r="P11" s="3">
        <v>10000</v>
      </c>
      <c r="Q11" s="3">
        <v>-10000</v>
      </c>
      <c r="R11" s="3">
        <v>10000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>
        <f t="shared" si="0"/>
        <v>23500</v>
      </c>
      <c r="AF11" s="9"/>
      <c r="AG11">
        <f t="shared" si="1"/>
        <v>-1899.999999999995</v>
      </c>
      <c r="AH11">
        <f t="shared" si="2"/>
        <v>825.00000000000023</v>
      </c>
      <c r="AI11">
        <f t="shared" si="3"/>
        <v>849.99999999999966</v>
      </c>
      <c r="AJ11">
        <f t="shared" si="4"/>
        <v>1614.9999999999995</v>
      </c>
      <c r="AK11">
        <f t="shared" si="5"/>
        <v>2099.9999999999995</v>
      </c>
      <c r="AL11">
        <f t="shared" si="6"/>
        <v>1049.9999999999998</v>
      </c>
      <c r="AM11">
        <f t="shared" si="7"/>
        <v>2000.0000000000018</v>
      </c>
      <c r="AN11">
        <f t="shared" si="8"/>
        <v>150.00000000000125</v>
      </c>
      <c r="AO11">
        <f t="shared" si="9"/>
        <v>-249.99999999999912</v>
      </c>
      <c r="AP11">
        <f t="shared" si="9"/>
        <v>-649.99999999999943</v>
      </c>
      <c r="AQ11">
        <f t="shared" si="10"/>
        <v>-449.99999999999932</v>
      </c>
      <c r="AR11">
        <f t="shared" si="11"/>
        <v>499.99999999999824</v>
      </c>
      <c r="AS11">
        <f t="shared" si="12"/>
        <v>200.00000000000017</v>
      </c>
      <c r="AT11">
        <f t="shared" si="13"/>
        <v>200.00000000000017</v>
      </c>
      <c r="AU11">
        <f t="shared" si="14"/>
        <v>-300.0000000000025</v>
      </c>
      <c r="AV11">
        <f t="shared" si="15"/>
        <v>0</v>
      </c>
      <c r="AW11">
        <f t="shared" si="16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1"/>
        <v>0</v>
      </c>
      <c r="BB11">
        <f t="shared" si="21"/>
        <v>0</v>
      </c>
      <c r="BC11">
        <f t="shared" si="21"/>
        <v>0</v>
      </c>
      <c r="BD11">
        <f t="shared" si="21"/>
        <v>0</v>
      </c>
      <c r="BE11">
        <f t="shared" si="21"/>
        <v>0</v>
      </c>
      <c r="BF11">
        <f t="shared" si="21"/>
        <v>0</v>
      </c>
      <c r="BG11">
        <f t="shared" si="21"/>
        <v>0</v>
      </c>
      <c r="BJ11">
        <f t="shared" si="18"/>
        <v>5940.0000000000045</v>
      </c>
    </row>
    <row r="12" spans="1:62" x14ac:dyDescent="0.2">
      <c r="A12" s="107">
        <v>36959</v>
      </c>
      <c r="B12">
        <f t="shared" si="17"/>
        <v>5.35</v>
      </c>
      <c r="C12" s="5">
        <f>GasDaily!C12</f>
        <v>3.835</v>
      </c>
      <c r="D12" s="3">
        <v>-20000</v>
      </c>
      <c r="E12" s="3">
        <v>5000</v>
      </c>
      <c r="F12" s="3">
        <v>5000</v>
      </c>
      <c r="G12" s="3">
        <v>8500</v>
      </c>
      <c r="H12" s="3">
        <v>10000</v>
      </c>
      <c r="I12" s="3">
        <v>5000</v>
      </c>
      <c r="J12" s="3">
        <v>10000</v>
      </c>
      <c r="K12" s="3">
        <v>10000</v>
      </c>
      <c r="L12" s="3">
        <v>-10000</v>
      </c>
      <c r="M12" s="3">
        <v>-10000</v>
      </c>
      <c r="N12" s="3">
        <v>-10000</v>
      </c>
      <c r="O12" s="3">
        <v>10000</v>
      </c>
      <c r="P12" s="3">
        <v>10000</v>
      </c>
      <c r="Q12" s="3">
        <v>-10000</v>
      </c>
      <c r="R12" s="3">
        <v>10000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>
        <f t="shared" si="0"/>
        <v>23500</v>
      </c>
      <c r="AF12" s="9"/>
      <c r="AG12">
        <f t="shared" si="1"/>
        <v>-1899.999999999995</v>
      </c>
      <c r="AH12">
        <f t="shared" si="2"/>
        <v>825.00000000000023</v>
      </c>
      <c r="AI12">
        <f t="shared" si="3"/>
        <v>849.99999999999966</v>
      </c>
      <c r="AJ12">
        <f t="shared" si="4"/>
        <v>1614.9999999999995</v>
      </c>
      <c r="AK12">
        <f t="shared" si="5"/>
        <v>2099.9999999999995</v>
      </c>
      <c r="AL12">
        <f t="shared" si="6"/>
        <v>1049.9999999999998</v>
      </c>
      <c r="AM12">
        <f t="shared" si="7"/>
        <v>2000.0000000000018</v>
      </c>
      <c r="AN12">
        <f t="shared" si="8"/>
        <v>150.00000000000125</v>
      </c>
      <c r="AO12">
        <f t="shared" si="9"/>
        <v>-249.99999999999912</v>
      </c>
      <c r="AP12">
        <f t="shared" si="9"/>
        <v>-649.99999999999943</v>
      </c>
      <c r="AQ12">
        <f t="shared" si="10"/>
        <v>-449.99999999999932</v>
      </c>
      <c r="AR12">
        <f t="shared" si="11"/>
        <v>499.99999999999824</v>
      </c>
      <c r="AS12">
        <f t="shared" si="12"/>
        <v>200.00000000000017</v>
      </c>
      <c r="AT12">
        <f t="shared" si="13"/>
        <v>200.00000000000017</v>
      </c>
      <c r="AU12">
        <f t="shared" si="14"/>
        <v>-300.0000000000025</v>
      </c>
      <c r="AV12">
        <f t="shared" si="15"/>
        <v>0</v>
      </c>
      <c r="AW12">
        <f t="shared" si="16"/>
        <v>0</v>
      </c>
      <c r="AX12">
        <f t="shared" si="19"/>
        <v>0</v>
      </c>
      <c r="AY12">
        <f t="shared" si="20"/>
        <v>0</v>
      </c>
      <c r="AZ12">
        <f t="shared" si="21"/>
        <v>0</v>
      </c>
      <c r="BA12">
        <f t="shared" si="21"/>
        <v>0</v>
      </c>
      <c r="BB12">
        <f t="shared" si="21"/>
        <v>0</v>
      </c>
      <c r="BC12">
        <f t="shared" si="21"/>
        <v>0</v>
      </c>
      <c r="BD12">
        <f t="shared" si="21"/>
        <v>0</v>
      </c>
      <c r="BE12">
        <f t="shared" si="21"/>
        <v>0</v>
      </c>
      <c r="BF12">
        <f t="shared" si="21"/>
        <v>0</v>
      </c>
      <c r="BG12">
        <f t="shared" si="21"/>
        <v>0</v>
      </c>
      <c r="BJ12">
        <f t="shared" si="18"/>
        <v>5940.0000000000045</v>
      </c>
    </row>
    <row r="13" spans="1:62" x14ac:dyDescent="0.2">
      <c r="A13" s="107">
        <v>36960</v>
      </c>
      <c r="B13">
        <f t="shared" si="17"/>
        <v>5.35</v>
      </c>
      <c r="C13" s="5">
        <f>GasDaily!C13</f>
        <v>3.835</v>
      </c>
      <c r="D13" s="3">
        <v>-20000</v>
      </c>
      <c r="E13" s="3">
        <v>5000</v>
      </c>
      <c r="F13" s="3">
        <v>5000</v>
      </c>
      <c r="G13" s="3">
        <v>8500</v>
      </c>
      <c r="H13" s="3">
        <v>10000</v>
      </c>
      <c r="I13" s="3">
        <v>5000</v>
      </c>
      <c r="J13" s="3">
        <v>10000</v>
      </c>
      <c r="K13" s="3">
        <v>10000</v>
      </c>
      <c r="L13" s="3">
        <v>-10000</v>
      </c>
      <c r="M13" s="3">
        <v>-10000</v>
      </c>
      <c r="N13" s="3">
        <v>-10000</v>
      </c>
      <c r="O13" s="3">
        <v>10000</v>
      </c>
      <c r="P13" s="3">
        <v>10000</v>
      </c>
      <c r="Q13" s="3">
        <v>-10000</v>
      </c>
      <c r="R13" s="3">
        <v>10000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>
        <f t="shared" si="0"/>
        <v>23500</v>
      </c>
      <c r="AF13" s="9"/>
      <c r="AG13">
        <f t="shared" si="1"/>
        <v>-1899.999999999995</v>
      </c>
      <c r="AH13">
        <f t="shared" si="2"/>
        <v>825.00000000000023</v>
      </c>
      <c r="AI13">
        <f t="shared" si="3"/>
        <v>849.99999999999966</v>
      </c>
      <c r="AJ13">
        <f t="shared" si="4"/>
        <v>1614.9999999999995</v>
      </c>
      <c r="AK13">
        <f t="shared" si="5"/>
        <v>2099.9999999999995</v>
      </c>
      <c r="AL13">
        <f t="shared" si="6"/>
        <v>1049.9999999999998</v>
      </c>
      <c r="AM13">
        <f t="shared" si="7"/>
        <v>2000.0000000000018</v>
      </c>
      <c r="AN13">
        <f t="shared" si="8"/>
        <v>150.00000000000125</v>
      </c>
      <c r="AO13">
        <f t="shared" si="9"/>
        <v>-249.99999999999912</v>
      </c>
      <c r="AP13">
        <f t="shared" si="9"/>
        <v>-649.99999999999943</v>
      </c>
      <c r="AQ13">
        <f t="shared" si="10"/>
        <v>-449.99999999999932</v>
      </c>
      <c r="AR13">
        <f t="shared" si="11"/>
        <v>499.99999999999824</v>
      </c>
      <c r="AS13">
        <f t="shared" si="12"/>
        <v>200.00000000000017</v>
      </c>
      <c r="AT13">
        <f t="shared" si="13"/>
        <v>200.00000000000017</v>
      </c>
      <c r="AU13">
        <f t="shared" si="14"/>
        <v>-300.0000000000025</v>
      </c>
      <c r="AV13">
        <f t="shared" si="15"/>
        <v>0</v>
      </c>
      <c r="AW13">
        <f t="shared" si="16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A13">
        <f t="shared" si="21"/>
        <v>0</v>
      </c>
      <c r="BB13">
        <f t="shared" si="21"/>
        <v>0</v>
      </c>
      <c r="BC13">
        <f t="shared" si="21"/>
        <v>0</v>
      </c>
      <c r="BD13">
        <f t="shared" si="21"/>
        <v>0</v>
      </c>
      <c r="BE13">
        <f t="shared" si="21"/>
        <v>0</v>
      </c>
      <c r="BF13">
        <f t="shared" si="21"/>
        <v>0</v>
      </c>
      <c r="BG13">
        <f t="shared" si="21"/>
        <v>0</v>
      </c>
      <c r="BJ13">
        <f t="shared" si="18"/>
        <v>5940.0000000000045</v>
      </c>
    </row>
    <row r="14" spans="1:62" x14ac:dyDescent="0.2">
      <c r="A14" s="107">
        <v>36961</v>
      </c>
      <c r="B14">
        <f t="shared" si="17"/>
        <v>5.35</v>
      </c>
      <c r="C14" s="5">
        <f>GasDaily!C14</f>
        <v>3.835</v>
      </c>
      <c r="D14" s="3">
        <v>-20000</v>
      </c>
      <c r="E14" s="3">
        <v>5000</v>
      </c>
      <c r="F14" s="3">
        <v>5000</v>
      </c>
      <c r="G14" s="3">
        <v>8500</v>
      </c>
      <c r="H14" s="3">
        <v>10000</v>
      </c>
      <c r="I14" s="3">
        <v>5000</v>
      </c>
      <c r="J14" s="3">
        <v>10000</v>
      </c>
      <c r="K14" s="3">
        <v>10000</v>
      </c>
      <c r="L14" s="3">
        <v>-10000</v>
      </c>
      <c r="M14" s="3">
        <v>-10000</v>
      </c>
      <c r="N14" s="3">
        <v>-10000</v>
      </c>
      <c r="O14" s="3">
        <v>10000</v>
      </c>
      <c r="P14" s="3">
        <v>10000</v>
      </c>
      <c r="Q14" s="3">
        <v>-10000</v>
      </c>
      <c r="R14" s="3">
        <v>10000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>
        <f t="shared" si="0"/>
        <v>23500</v>
      </c>
      <c r="AF14" s="9"/>
      <c r="AG14">
        <f t="shared" si="1"/>
        <v>-1899.999999999995</v>
      </c>
      <c r="AH14">
        <f t="shared" si="2"/>
        <v>825.00000000000023</v>
      </c>
      <c r="AI14">
        <f t="shared" si="3"/>
        <v>849.99999999999966</v>
      </c>
      <c r="AJ14">
        <f t="shared" si="4"/>
        <v>1614.9999999999995</v>
      </c>
      <c r="AK14">
        <f t="shared" si="5"/>
        <v>2099.9999999999995</v>
      </c>
      <c r="AL14">
        <f t="shared" si="6"/>
        <v>1049.9999999999998</v>
      </c>
      <c r="AM14">
        <f t="shared" si="7"/>
        <v>2000.0000000000018</v>
      </c>
      <c r="AN14">
        <f t="shared" si="8"/>
        <v>150.00000000000125</v>
      </c>
      <c r="AO14">
        <f t="shared" si="9"/>
        <v>-249.99999999999912</v>
      </c>
      <c r="AP14">
        <f t="shared" si="9"/>
        <v>-649.99999999999943</v>
      </c>
      <c r="AQ14">
        <f t="shared" si="10"/>
        <v>-449.99999999999932</v>
      </c>
      <c r="AR14">
        <f t="shared" si="11"/>
        <v>499.99999999999824</v>
      </c>
      <c r="AS14">
        <f t="shared" si="12"/>
        <v>200.00000000000017</v>
      </c>
      <c r="AT14">
        <f t="shared" si="13"/>
        <v>200.00000000000017</v>
      </c>
      <c r="AU14">
        <f t="shared" si="14"/>
        <v>-300.0000000000025</v>
      </c>
      <c r="AV14">
        <f t="shared" si="15"/>
        <v>0</v>
      </c>
      <c r="AW14">
        <f t="shared" si="16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A14">
        <f t="shared" si="21"/>
        <v>0</v>
      </c>
      <c r="BB14">
        <f t="shared" si="21"/>
        <v>0</v>
      </c>
      <c r="BC14">
        <f t="shared" si="21"/>
        <v>0</v>
      </c>
      <c r="BD14">
        <f t="shared" si="21"/>
        <v>0</v>
      </c>
      <c r="BE14">
        <f t="shared" si="21"/>
        <v>0</v>
      </c>
      <c r="BF14">
        <f t="shared" si="21"/>
        <v>0</v>
      </c>
      <c r="BG14">
        <f t="shared" si="21"/>
        <v>0</v>
      </c>
      <c r="BJ14">
        <f t="shared" si="18"/>
        <v>5940.0000000000045</v>
      </c>
    </row>
    <row r="15" spans="1:62" x14ac:dyDescent="0.2">
      <c r="A15" s="107">
        <v>36962</v>
      </c>
      <c r="B15">
        <f t="shared" si="17"/>
        <v>5.35</v>
      </c>
      <c r="C15" s="5">
        <f>GasDaily!C15</f>
        <v>3.835</v>
      </c>
      <c r="D15" s="3">
        <v>-20000</v>
      </c>
      <c r="E15" s="3">
        <v>5000</v>
      </c>
      <c r="F15" s="3">
        <v>5000</v>
      </c>
      <c r="G15" s="3">
        <v>8500</v>
      </c>
      <c r="H15" s="3">
        <v>10000</v>
      </c>
      <c r="I15" s="3">
        <v>5000</v>
      </c>
      <c r="J15" s="3">
        <v>10000</v>
      </c>
      <c r="K15" s="3">
        <v>10000</v>
      </c>
      <c r="L15" s="3">
        <v>-10000</v>
      </c>
      <c r="M15" s="3">
        <v>-10000</v>
      </c>
      <c r="N15" s="3">
        <v>-10000</v>
      </c>
      <c r="O15" s="3">
        <v>10000</v>
      </c>
      <c r="P15" s="3">
        <v>10000</v>
      </c>
      <c r="Q15" s="3">
        <v>-10000</v>
      </c>
      <c r="R15" s="3">
        <v>10000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10">
        <f t="shared" si="0"/>
        <v>23500</v>
      </c>
      <c r="AF15" s="9"/>
      <c r="AG15">
        <f t="shared" si="1"/>
        <v>-1899.999999999995</v>
      </c>
      <c r="AH15">
        <f t="shared" si="2"/>
        <v>825.00000000000023</v>
      </c>
      <c r="AI15">
        <f t="shared" si="3"/>
        <v>849.99999999999966</v>
      </c>
      <c r="AJ15">
        <f t="shared" si="4"/>
        <v>1614.9999999999995</v>
      </c>
      <c r="AK15">
        <f t="shared" si="5"/>
        <v>2099.9999999999995</v>
      </c>
      <c r="AL15">
        <f t="shared" si="6"/>
        <v>1049.9999999999998</v>
      </c>
      <c r="AM15">
        <f t="shared" si="7"/>
        <v>2000.0000000000018</v>
      </c>
      <c r="AN15">
        <f t="shared" si="8"/>
        <v>150.00000000000125</v>
      </c>
      <c r="AO15">
        <f t="shared" si="9"/>
        <v>-249.99999999999912</v>
      </c>
      <c r="AP15">
        <f t="shared" si="9"/>
        <v>-649.99999999999943</v>
      </c>
      <c r="AQ15">
        <f t="shared" si="10"/>
        <v>-449.99999999999932</v>
      </c>
      <c r="AR15">
        <f t="shared" si="11"/>
        <v>499.99999999999824</v>
      </c>
      <c r="AS15">
        <f t="shared" si="12"/>
        <v>200.00000000000017</v>
      </c>
      <c r="AT15">
        <f t="shared" si="13"/>
        <v>200.00000000000017</v>
      </c>
      <c r="AU15">
        <f t="shared" si="14"/>
        <v>-300.0000000000025</v>
      </c>
      <c r="AV15">
        <f t="shared" si="15"/>
        <v>0</v>
      </c>
      <c r="AW15">
        <f t="shared" si="16"/>
        <v>0</v>
      </c>
      <c r="AX15">
        <f t="shared" si="19"/>
        <v>0</v>
      </c>
      <c r="AY15">
        <f t="shared" si="20"/>
        <v>0</v>
      </c>
      <c r="AZ15">
        <f t="shared" si="21"/>
        <v>0</v>
      </c>
      <c r="BA15">
        <f t="shared" si="21"/>
        <v>0</v>
      </c>
      <c r="BB15">
        <f t="shared" si="21"/>
        <v>0</v>
      </c>
      <c r="BC15">
        <f t="shared" si="21"/>
        <v>0</v>
      </c>
      <c r="BD15">
        <f t="shared" si="21"/>
        <v>0</v>
      </c>
      <c r="BE15">
        <f t="shared" si="21"/>
        <v>0</v>
      </c>
      <c r="BF15">
        <f t="shared" si="21"/>
        <v>0</v>
      </c>
      <c r="BG15">
        <f t="shared" si="21"/>
        <v>0</v>
      </c>
      <c r="BJ15">
        <f t="shared" si="18"/>
        <v>5940.0000000000045</v>
      </c>
    </row>
    <row r="16" spans="1:62" x14ac:dyDescent="0.2">
      <c r="A16" s="107">
        <v>36963</v>
      </c>
      <c r="B16">
        <f t="shared" si="17"/>
        <v>5.35</v>
      </c>
      <c r="C16" s="5">
        <f>GasDaily!C16</f>
        <v>3.835</v>
      </c>
      <c r="D16" s="3">
        <v>-20000</v>
      </c>
      <c r="E16" s="3">
        <v>5000</v>
      </c>
      <c r="F16" s="3">
        <v>5000</v>
      </c>
      <c r="G16" s="3">
        <v>8500</v>
      </c>
      <c r="H16" s="3">
        <v>10000</v>
      </c>
      <c r="I16" s="3">
        <v>5000</v>
      </c>
      <c r="J16" s="3">
        <v>10000</v>
      </c>
      <c r="K16" s="3">
        <v>10000</v>
      </c>
      <c r="L16" s="3">
        <v>-10000</v>
      </c>
      <c r="M16" s="3">
        <v>-10000</v>
      </c>
      <c r="N16" s="3">
        <v>-10000</v>
      </c>
      <c r="O16" s="3">
        <v>10000</v>
      </c>
      <c r="P16" s="3">
        <v>10000</v>
      </c>
      <c r="Q16" s="3">
        <v>-10000</v>
      </c>
      <c r="R16" s="3">
        <v>10000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10">
        <f t="shared" si="0"/>
        <v>23500</v>
      </c>
      <c r="AF16" s="9"/>
      <c r="AG16">
        <f t="shared" si="1"/>
        <v>-1899.999999999995</v>
      </c>
      <c r="AH16">
        <f t="shared" si="2"/>
        <v>825.00000000000023</v>
      </c>
      <c r="AI16">
        <f t="shared" si="3"/>
        <v>849.99999999999966</v>
      </c>
      <c r="AJ16">
        <f t="shared" si="4"/>
        <v>1614.9999999999995</v>
      </c>
      <c r="AK16">
        <f t="shared" si="5"/>
        <v>2099.9999999999995</v>
      </c>
      <c r="AL16">
        <f t="shared" si="6"/>
        <v>1049.9999999999998</v>
      </c>
      <c r="AM16">
        <f t="shared" si="7"/>
        <v>2000.0000000000018</v>
      </c>
      <c r="AN16">
        <f t="shared" si="8"/>
        <v>150.00000000000125</v>
      </c>
      <c r="AO16">
        <f t="shared" si="9"/>
        <v>-249.99999999999912</v>
      </c>
      <c r="AP16">
        <f t="shared" si="9"/>
        <v>-649.99999999999943</v>
      </c>
      <c r="AQ16">
        <f t="shared" si="10"/>
        <v>-449.99999999999932</v>
      </c>
      <c r="AR16">
        <f t="shared" si="11"/>
        <v>499.99999999999824</v>
      </c>
      <c r="AS16">
        <f t="shared" si="12"/>
        <v>200.00000000000017</v>
      </c>
      <c r="AT16">
        <f t="shared" si="13"/>
        <v>200.00000000000017</v>
      </c>
      <c r="AU16">
        <f t="shared" si="14"/>
        <v>-300.0000000000025</v>
      </c>
      <c r="AV16">
        <f t="shared" si="15"/>
        <v>0</v>
      </c>
      <c r="AW16">
        <f t="shared" si="16"/>
        <v>0</v>
      </c>
      <c r="AX16">
        <f t="shared" si="19"/>
        <v>0</v>
      </c>
      <c r="AY16">
        <f t="shared" si="20"/>
        <v>0</v>
      </c>
      <c r="AZ16">
        <f t="shared" si="21"/>
        <v>0</v>
      </c>
      <c r="BA16">
        <f t="shared" si="21"/>
        <v>0</v>
      </c>
      <c r="BB16">
        <f t="shared" si="21"/>
        <v>0</v>
      </c>
      <c r="BC16">
        <f t="shared" si="21"/>
        <v>0</v>
      </c>
      <c r="BD16">
        <f t="shared" si="21"/>
        <v>0</v>
      </c>
      <c r="BE16">
        <f t="shared" si="21"/>
        <v>0</v>
      </c>
      <c r="BF16">
        <f t="shared" si="21"/>
        <v>0</v>
      </c>
      <c r="BG16">
        <f t="shared" si="21"/>
        <v>0</v>
      </c>
      <c r="BJ16">
        <f t="shared" si="18"/>
        <v>5940.0000000000045</v>
      </c>
    </row>
    <row r="17" spans="1:62" x14ac:dyDescent="0.2">
      <c r="A17" s="107">
        <v>36964</v>
      </c>
      <c r="B17">
        <f t="shared" si="17"/>
        <v>5.35</v>
      </c>
      <c r="C17" s="5">
        <f>GasDaily!C17</f>
        <v>3.835</v>
      </c>
      <c r="D17" s="3">
        <v>-20000</v>
      </c>
      <c r="E17" s="3">
        <v>5000</v>
      </c>
      <c r="F17" s="3">
        <v>5000</v>
      </c>
      <c r="G17" s="3">
        <v>8500</v>
      </c>
      <c r="H17" s="3">
        <v>10000</v>
      </c>
      <c r="I17" s="3">
        <v>5000</v>
      </c>
      <c r="J17" s="3">
        <v>10000</v>
      </c>
      <c r="K17" s="3">
        <v>10000</v>
      </c>
      <c r="L17" s="3">
        <v>-10000</v>
      </c>
      <c r="M17" s="3">
        <v>-10000</v>
      </c>
      <c r="N17" s="3">
        <v>-10000</v>
      </c>
      <c r="O17" s="3">
        <v>10000</v>
      </c>
      <c r="P17" s="3">
        <v>10000</v>
      </c>
      <c r="Q17" s="3">
        <v>-10000</v>
      </c>
      <c r="R17" s="3">
        <v>10000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10">
        <f t="shared" si="0"/>
        <v>23500</v>
      </c>
      <c r="AF17" s="9"/>
      <c r="AG17">
        <f t="shared" si="1"/>
        <v>-1899.999999999995</v>
      </c>
      <c r="AH17">
        <f t="shared" si="2"/>
        <v>825.00000000000023</v>
      </c>
      <c r="AI17">
        <f t="shared" si="3"/>
        <v>849.99999999999966</v>
      </c>
      <c r="AJ17">
        <f t="shared" si="4"/>
        <v>1614.9999999999995</v>
      </c>
      <c r="AK17">
        <f t="shared" si="5"/>
        <v>2099.9999999999995</v>
      </c>
      <c r="AL17">
        <f t="shared" si="6"/>
        <v>1049.9999999999998</v>
      </c>
      <c r="AM17">
        <f t="shared" si="7"/>
        <v>2000.0000000000018</v>
      </c>
      <c r="AN17">
        <f t="shared" si="8"/>
        <v>150.00000000000125</v>
      </c>
      <c r="AO17">
        <f t="shared" si="9"/>
        <v>-249.99999999999912</v>
      </c>
      <c r="AP17">
        <f t="shared" si="9"/>
        <v>-649.99999999999943</v>
      </c>
      <c r="AQ17">
        <f t="shared" si="10"/>
        <v>-449.99999999999932</v>
      </c>
      <c r="AR17">
        <f t="shared" si="11"/>
        <v>499.99999999999824</v>
      </c>
      <c r="AS17">
        <f t="shared" si="12"/>
        <v>200.00000000000017</v>
      </c>
      <c r="AT17">
        <f t="shared" si="13"/>
        <v>200.00000000000017</v>
      </c>
      <c r="AU17">
        <f t="shared" si="14"/>
        <v>-300.0000000000025</v>
      </c>
      <c r="AV17">
        <f t="shared" si="15"/>
        <v>0</v>
      </c>
      <c r="AW17">
        <f t="shared" si="16"/>
        <v>0</v>
      </c>
      <c r="AX17">
        <f t="shared" si="19"/>
        <v>0</v>
      </c>
      <c r="AY17">
        <f t="shared" si="20"/>
        <v>0</v>
      </c>
      <c r="AZ17">
        <f t="shared" si="21"/>
        <v>0</v>
      </c>
      <c r="BA17">
        <f t="shared" si="21"/>
        <v>0</v>
      </c>
      <c r="BB17">
        <f t="shared" si="21"/>
        <v>0</v>
      </c>
      <c r="BC17">
        <f t="shared" si="21"/>
        <v>0</v>
      </c>
      <c r="BD17">
        <f t="shared" si="21"/>
        <v>0</v>
      </c>
      <c r="BE17">
        <f t="shared" si="21"/>
        <v>0</v>
      </c>
      <c r="BF17">
        <f t="shared" si="21"/>
        <v>0</v>
      </c>
      <c r="BG17">
        <f t="shared" si="21"/>
        <v>0</v>
      </c>
      <c r="BJ17">
        <f t="shared" si="18"/>
        <v>5940.0000000000045</v>
      </c>
    </row>
    <row r="18" spans="1:62" x14ac:dyDescent="0.2">
      <c r="A18" s="107">
        <v>36965</v>
      </c>
      <c r="B18">
        <f t="shared" si="17"/>
        <v>5.35</v>
      </c>
      <c r="C18" s="5">
        <f>GasDaily!C18</f>
        <v>3.835</v>
      </c>
      <c r="D18" s="3">
        <v>-20000</v>
      </c>
      <c r="E18" s="3">
        <v>5000</v>
      </c>
      <c r="F18" s="3">
        <v>5000</v>
      </c>
      <c r="G18" s="3">
        <v>8500</v>
      </c>
      <c r="H18" s="3">
        <v>10000</v>
      </c>
      <c r="I18" s="3">
        <v>5000</v>
      </c>
      <c r="J18" s="3">
        <v>10000</v>
      </c>
      <c r="K18" s="3">
        <v>10000</v>
      </c>
      <c r="L18" s="3">
        <v>-10000</v>
      </c>
      <c r="M18" s="3">
        <v>-10000</v>
      </c>
      <c r="N18" s="3">
        <v>-10000</v>
      </c>
      <c r="O18" s="3">
        <v>10000</v>
      </c>
      <c r="P18" s="3">
        <v>10000</v>
      </c>
      <c r="Q18" s="3">
        <v>-10000</v>
      </c>
      <c r="R18" s="3">
        <v>10000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10">
        <f t="shared" si="0"/>
        <v>23500</v>
      </c>
      <c r="AF18" s="9"/>
      <c r="AG18">
        <f t="shared" si="1"/>
        <v>-1899.999999999995</v>
      </c>
      <c r="AH18">
        <f t="shared" si="2"/>
        <v>825.00000000000023</v>
      </c>
      <c r="AI18">
        <f t="shared" si="3"/>
        <v>849.99999999999966</v>
      </c>
      <c r="AJ18">
        <f t="shared" si="4"/>
        <v>1614.9999999999995</v>
      </c>
      <c r="AK18">
        <f t="shared" si="5"/>
        <v>2099.9999999999995</v>
      </c>
      <c r="AL18">
        <f t="shared" si="6"/>
        <v>1049.9999999999998</v>
      </c>
      <c r="AM18">
        <f t="shared" si="7"/>
        <v>2000.0000000000018</v>
      </c>
      <c r="AN18">
        <f t="shared" si="8"/>
        <v>150.00000000000125</v>
      </c>
      <c r="AO18">
        <f t="shared" si="9"/>
        <v>-249.99999999999912</v>
      </c>
      <c r="AP18">
        <f t="shared" si="9"/>
        <v>-649.99999999999943</v>
      </c>
      <c r="AQ18">
        <f t="shared" si="10"/>
        <v>-449.99999999999932</v>
      </c>
      <c r="AR18">
        <f t="shared" si="11"/>
        <v>499.99999999999824</v>
      </c>
      <c r="AS18">
        <f t="shared" si="12"/>
        <v>200.00000000000017</v>
      </c>
      <c r="AT18">
        <f t="shared" si="13"/>
        <v>200.00000000000017</v>
      </c>
      <c r="AU18">
        <f t="shared" si="14"/>
        <v>-300.0000000000025</v>
      </c>
      <c r="AV18">
        <f t="shared" si="15"/>
        <v>0</v>
      </c>
      <c r="AW18">
        <f t="shared" si="16"/>
        <v>0</v>
      </c>
      <c r="AX18">
        <f t="shared" si="19"/>
        <v>0</v>
      </c>
      <c r="AY18">
        <f t="shared" si="20"/>
        <v>0</v>
      </c>
      <c r="AZ18">
        <f t="shared" si="21"/>
        <v>0</v>
      </c>
      <c r="BA18">
        <f t="shared" si="21"/>
        <v>0</v>
      </c>
      <c r="BB18">
        <f t="shared" si="21"/>
        <v>0</v>
      </c>
      <c r="BC18">
        <f t="shared" si="21"/>
        <v>0</v>
      </c>
      <c r="BD18">
        <f t="shared" si="21"/>
        <v>0</v>
      </c>
      <c r="BE18">
        <f t="shared" si="21"/>
        <v>0</v>
      </c>
      <c r="BF18">
        <f t="shared" si="21"/>
        <v>0</v>
      </c>
      <c r="BG18">
        <f t="shared" si="21"/>
        <v>0</v>
      </c>
      <c r="BJ18">
        <f t="shared" si="18"/>
        <v>5940.0000000000045</v>
      </c>
    </row>
    <row r="19" spans="1:62" x14ac:dyDescent="0.2">
      <c r="A19" s="107">
        <v>36966</v>
      </c>
      <c r="B19">
        <f t="shared" si="17"/>
        <v>5.35</v>
      </c>
      <c r="C19" s="5">
        <f>GasDaily!C19</f>
        <v>3.835</v>
      </c>
      <c r="D19" s="3">
        <v>-20000</v>
      </c>
      <c r="E19" s="3">
        <v>5000</v>
      </c>
      <c r="F19" s="3">
        <v>5000</v>
      </c>
      <c r="G19" s="3">
        <v>8500</v>
      </c>
      <c r="H19" s="3">
        <v>10000</v>
      </c>
      <c r="I19" s="3">
        <v>5000</v>
      </c>
      <c r="J19" s="3">
        <v>10000</v>
      </c>
      <c r="K19" s="3">
        <v>10000</v>
      </c>
      <c r="L19" s="3">
        <v>-10000</v>
      </c>
      <c r="M19" s="3">
        <v>-10000</v>
      </c>
      <c r="N19" s="3">
        <v>-10000</v>
      </c>
      <c r="O19" s="3">
        <v>10000</v>
      </c>
      <c r="P19" s="3">
        <v>10000</v>
      </c>
      <c r="Q19" s="3">
        <v>-10000</v>
      </c>
      <c r="R19" s="3">
        <v>10000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10">
        <f t="shared" si="0"/>
        <v>23500</v>
      </c>
      <c r="AF19" s="9"/>
      <c r="AG19">
        <f t="shared" si="1"/>
        <v>-1899.999999999995</v>
      </c>
      <c r="AH19">
        <f t="shared" si="2"/>
        <v>825.00000000000023</v>
      </c>
      <c r="AI19">
        <f t="shared" si="3"/>
        <v>849.99999999999966</v>
      </c>
      <c r="AJ19">
        <f t="shared" si="4"/>
        <v>1614.9999999999995</v>
      </c>
      <c r="AK19">
        <f t="shared" si="5"/>
        <v>2099.9999999999995</v>
      </c>
      <c r="AL19">
        <f t="shared" si="6"/>
        <v>1049.9999999999998</v>
      </c>
      <c r="AM19">
        <f t="shared" si="7"/>
        <v>2000.0000000000018</v>
      </c>
      <c r="AN19">
        <f t="shared" si="8"/>
        <v>150.00000000000125</v>
      </c>
      <c r="AO19">
        <f t="shared" si="9"/>
        <v>-249.99999999999912</v>
      </c>
      <c r="AP19">
        <f t="shared" si="9"/>
        <v>-649.99999999999943</v>
      </c>
      <c r="AQ19">
        <f t="shared" si="10"/>
        <v>-449.99999999999932</v>
      </c>
      <c r="AR19">
        <f t="shared" si="11"/>
        <v>499.99999999999824</v>
      </c>
      <c r="AS19">
        <f t="shared" si="12"/>
        <v>200.00000000000017</v>
      </c>
      <c r="AT19">
        <f t="shared" si="13"/>
        <v>200.00000000000017</v>
      </c>
      <c r="AU19">
        <f t="shared" si="14"/>
        <v>-300.0000000000025</v>
      </c>
      <c r="AV19">
        <f t="shared" si="15"/>
        <v>0</v>
      </c>
      <c r="AW19">
        <f t="shared" si="16"/>
        <v>0</v>
      </c>
      <c r="AX19">
        <f t="shared" si="19"/>
        <v>0</v>
      </c>
      <c r="AY19">
        <f t="shared" si="20"/>
        <v>0</v>
      </c>
      <c r="AZ19">
        <f t="shared" si="21"/>
        <v>0</v>
      </c>
      <c r="BA19">
        <f t="shared" si="21"/>
        <v>0</v>
      </c>
      <c r="BB19">
        <f t="shared" si="21"/>
        <v>0</v>
      </c>
      <c r="BC19">
        <f t="shared" si="21"/>
        <v>0</v>
      </c>
      <c r="BD19">
        <f t="shared" si="21"/>
        <v>0</v>
      </c>
      <c r="BE19">
        <f t="shared" si="21"/>
        <v>0</v>
      </c>
      <c r="BF19">
        <f t="shared" si="21"/>
        <v>0</v>
      </c>
      <c r="BG19">
        <f t="shared" si="21"/>
        <v>0</v>
      </c>
      <c r="BJ19">
        <f t="shared" si="18"/>
        <v>5940.0000000000045</v>
      </c>
    </row>
    <row r="20" spans="1:62" x14ac:dyDescent="0.2">
      <c r="A20" s="107">
        <v>36967</v>
      </c>
      <c r="B20">
        <f t="shared" si="17"/>
        <v>5.35</v>
      </c>
      <c r="C20" s="5">
        <f>GasDaily!C20</f>
        <v>3.835</v>
      </c>
      <c r="D20" s="3">
        <v>-20000</v>
      </c>
      <c r="E20" s="3">
        <v>5000</v>
      </c>
      <c r="F20" s="3">
        <v>5000</v>
      </c>
      <c r="G20" s="3">
        <v>8500</v>
      </c>
      <c r="H20" s="3">
        <v>10000</v>
      </c>
      <c r="I20" s="3">
        <v>5000</v>
      </c>
      <c r="J20" s="3">
        <v>10000</v>
      </c>
      <c r="K20" s="3">
        <v>10000</v>
      </c>
      <c r="L20" s="3">
        <v>-10000</v>
      </c>
      <c r="M20" s="3">
        <v>-10000</v>
      </c>
      <c r="N20" s="3">
        <v>-10000</v>
      </c>
      <c r="O20" s="3">
        <v>10000</v>
      </c>
      <c r="P20" s="3">
        <v>10000</v>
      </c>
      <c r="Q20" s="3">
        <v>-10000</v>
      </c>
      <c r="R20" s="3">
        <v>10000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10">
        <f t="shared" si="0"/>
        <v>23500</v>
      </c>
      <c r="AF20" s="9"/>
      <c r="AG20">
        <f t="shared" si="1"/>
        <v>-1899.999999999995</v>
      </c>
      <c r="AH20">
        <f t="shared" si="2"/>
        <v>825.00000000000023</v>
      </c>
      <c r="AI20">
        <f t="shared" si="3"/>
        <v>849.99999999999966</v>
      </c>
      <c r="AJ20">
        <f t="shared" si="4"/>
        <v>1614.9999999999995</v>
      </c>
      <c r="AK20">
        <f t="shared" si="5"/>
        <v>2099.9999999999995</v>
      </c>
      <c r="AL20">
        <f t="shared" si="6"/>
        <v>1049.9999999999998</v>
      </c>
      <c r="AM20">
        <f t="shared" si="7"/>
        <v>2000.0000000000018</v>
      </c>
      <c r="AN20">
        <f t="shared" si="8"/>
        <v>150.00000000000125</v>
      </c>
      <c r="AO20">
        <f t="shared" si="9"/>
        <v>-249.99999999999912</v>
      </c>
      <c r="AP20">
        <f t="shared" si="9"/>
        <v>-649.99999999999943</v>
      </c>
      <c r="AQ20">
        <f t="shared" si="10"/>
        <v>-449.99999999999932</v>
      </c>
      <c r="AR20">
        <f t="shared" si="11"/>
        <v>499.99999999999824</v>
      </c>
      <c r="AS20">
        <f t="shared" si="12"/>
        <v>200.00000000000017</v>
      </c>
      <c r="AT20">
        <f t="shared" si="13"/>
        <v>200.00000000000017</v>
      </c>
      <c r="AU20">
        <f t="shared" si="14"/>
        <v>-300.0000000000025</v>
      </c>
      <c r="AV20">
        <f t="shared" si="15"/>
        <v>0</v>
      </c>
      <c r="AW20">
        <f t="shared" si="16"/>
        <v>0</v>
      </c>
      <c r="AX20">
        <f t="shared" si="19"/>
        <v>0</v>
      </c>
      <c r="AY20">
        <f t="shared" si="20"/>
        <v>0</v>
      </c>
      <c r="AZ20">
        <f t="shared" si="21"/>
        <v>0</v>
      </c>
      <c r="BA20">
        <f t="shared" si="21"/>
        <v>0</v>
      </c>
      <c r="BB20">
        <f t="shared" si="21"/>
        <v>0</v>
      </c>
      <c r="BC20">
        <f t="shared" si="21"/>
        <v>0</v>
      </c>
      <c r="BD20">
        <f t="shared" si="21"/>
        <v>0</v>
      </c>
      <c r="BE20">
        <f t="shared" si="21"/>
        <v>0</v>
      </c>
      <c r="BF20">
        <f t="shared" si="21"/>
        <v>0</v>
      </c>
      <c r="BG20">
        <f t="shared" si="21"/>
        <v>0</v>
      </c>
      <c r="BJ20">
        <f t="shared" si="18"/>
        <v>5940.0000000000045</v>
      </c>
    </row>
    <row r="21" spans="1:62" x14ac:dyDescent="0.2">
      <c r="A21" s="107">
        <v>36968</v>
      </c>
      <c r="B21">
        <f t="shared" si="17"/>
        <v>5.35</v>
      </c>
      <c r="C21" s="5">
        <f>GasDaily!C21</f>
        <v>3.835</v>
      </c>
      <c r="D21" s="3">
        <v>-20000</v>
      </c>
      <c r="E21" s="3">
        <v>5000</v>
      </c>
      <c r="F21" s="3">
        <v>5000</v>
      </c>
      <c r="G21" s="3">
        <v>8500</v>
      </c>
      <c r="H21" s="3">
        <v>10000</v>
      </c>
      <c r="I21" s="3">
        <v>5000</v>
      </c>
      <c r="J21" s="3">
        <v>10000</v>
      </c>
      <c r="K21" s="3">
        <v>10000</v>
      </c>
      <c r="L21" s="3">
        <v>-10000</v>
      </c>
      <c r="M21" s="3">
        <v>-10000</v>
      </c>
      <c r="N21" s="3">
        <v>-10000</v>
      </c>
      <c r="O21" s="3">
        <v>10000</v>
      </c>
      <c r="P21" s="3">
        <v>10000</v>
      </c>
      <c r="Q21" s="3">
        <v>-10000</v>
      </c>
      <c r="R21" s="3">
        <v>10000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10">
        <f t="shared" si="0"/>
        <v>23500</v>
      </c>
      <c r="AF21" s="9"/>
      <c r="AG21">
        <f t="shared" si="1"/>
        <v>-1899.999999999995</v>
      </c>
      <c r="AH21">
        <f t="shared" si="2"/>
        <v>825.00000000000023</v>
      </c>
      <c r="AI21">
        <f t="shared" si="3"/>
        <v>849.99999999999966</v>
      </c>
      <c r="AJ21">
        <f t="shared" si="4"/>
        <v>1614.9999999999995</v>
      </c>
      <c r="AK21">
        <f t="shared" si="5"/>
        <v>2099.9999999999995</v>
      </c>
      <c r="AL21">
        <f t="shared" si="6"/>
        <v>1049.9999999999998</v>
      </c>
      <c r="AM21">
        <f t="shared" si="7"/>
        <v>2000.0000000000018</v>
      </c>
      <c r="AN21">
        <f t="shared" si="8"/>
        <v>150.00000000000125</v>
      </c>
      <c r="AO21">
        <f t="shared" si="9"/>
        <v>-249.99999999999912</v>
      </c>
      <c r="AP21">
        <f t="shared" si="9"/>
        <v>-649.99999999999943</v>
      </c>
      <c r="AQ21">
        <f t="shared" si="10"/>
        <v>-449.99999999999932</v>
      </c>
      <c r="AR21">
        <f t="shared" si="11"/>
        <v>499.99999999999824</v>
      </c>
      <c r="AS21">
        <f t="shared" si="12"/>
        <v>200.00000000000017</v>
      </c>
      <c r="AT21">
        <f t="shared" si="13"/>
        <v>200.00000000000017</v>
      </c>
      <c r="AU21">
        <f t="shared" si="14"/>
        <v>-300.0000000000025</v>
      </c>
      <c r="AV21">
        <f t="shared" si="15"/>
        <v>0</v>
      </c>
      <c r="AW21">
        <f t="shared" si="16"/>
        <v>0</v>
      </c>
      <c r="AX21">
        <f t="shared" si="19"/>
        <v>0</v>
      </c>
      <c r="AY21">
        <f t="shared" si="20"/>
        <v>0</v>
      </c>
      <c r="AZ21">
        <f t="shared" si="21"/>
        <v>0</v>
      </c>
      <c r="BA21">
        <f t="shared" si="21"/>
        <v>0</v>
      </c>
      <c r="BB21">
        <f t="shared" si="21"/>
        <v>0</v>
      </c>
      <c r="BC21">
        <f t="shared" si="21"/>
        <v>0</v>
      </c>
      <c r="BD21">
        <f t="shared" si="21"/>
        <v>0</v>
      </c>
      <c r="BE21">
        <f t="shared" si="21"/>
        <v>0</v>
      </c>
      <c r="BF21">
        <f t="shared" si="21"/>
        <v>0</v>
      </c>
      <c r="BG21">
        <f t="shared" si="21"/>
        <v>0</v>
      </c>
      <c r="BJ21">
        <f t="shared" si="18"/>
        <v>5940.0000000000045</v>
      </c>
    </row>
    <row r="22" spans="1:62" x14ac:dyDescent="0.2">
      <c r="A22" s="107">
        <v>36969</v>
      </c>
      <c r="B22">
        <f t="shared" si="17"/>
        <v>5.35</v>
      </c>
      <c r="C22" s="5">
        <f>GasDaily!C22</f>
        <v>3.835</v>
      </c>
      <c r="D22" s="3">
        <v>-20000</v>
      </c>
      <c r="E22" s="3">
        <v>5000</v>
      </c>
      <c r="F22" s="3">
        <v>5000</v>
      </c>
      <c r="G22" s="3">
        <v>8500</v>
      </c>
      <c r="H22" s="3">
        <v>10000</v>
      </c>
      <c r="I22" s="3">
        <v>5000</v>
      </c>
      <c r="J22" s="3">
        <v>10000</v>
      </c>
      <c r="K22" s="3">
        <v>10000</v>
      </c>
      <c r="L22" s="3">
        <v>-10000</v>
      </c>
      <c r="M22" s="3">
        <v>-10000</v>
      </c>
      <c r="N22" s="3">
        <v>-10000</v>
      </c>
      <c r="O22" s="3">
        <v>10000</v>
      </c>
      <c r="P22" s="3">
        <v>10000</v>
      </c>
      <c r="Q22" s="3">
        <v>-10000</v>
      </c>
      <c r="R22" s="3">
        <v>10000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10">
        <f t="shared" si="0"/>
        <v>23500</v>
      </c>
      <c r="AF22" s="9"/>
      <c r="AG22">
        <f t="shared" si="1"/>
        <v>-1899.999999999995</v>
      </c>
      <c r="AH22">
        <f t="shared" si="2"/>
        <v>825.00000000000023</v>
      </c>
      <c r="AI22">
        <f t="shared" si="3"/>
        <v>849.99999999999966</v>
      </c>
      <c r="AJ22">
        <f t="shared" si="4"/>
        <v>1614.9999999999995</v>
      </c>
      <c r="AK22">
        <f t="shared" si="5"/>
        <v>2099.9999999999995</v>
      </c>
      <c r="AL22">
        <f t="shared" si="6"/>
        <v>1049.9999999999998</v>
      </c>
      <c r="AM22">
        <f t="shared" si="7"/>
        <v>2000.0000000000018</v>
      </c>
      <c r="AN22">
        <f t="shared" si="8"/>
        <v>150.00000000000125</v>
      </c>
      <c r="AO22">
        <f t="shared" si="9"/>
        <v>-249.99999999999912</v>
      </c>
      <c r="AP22">
        <f t="shared" si="9"/>
        <v>-649.99999999999943</v>
      </c>
      <c r="AQ22">
        <f t="shared" si="10"/>
        <v>-449.99999999999932</v>
      </c>
      <c r="AR22">
        <f t="shared" si="11"/>
        <v>499.99999999999824</v>
      </c>
      <c r="AS22">
        <f t="shared" si="12"/>
        <v>200.00000000000017</v>
      </c>
      <c r="AT22">
        <f t="shared" si="13"/>
        <v>200.00000000000017</v>
      </c>
      <c r="AU22">
        <f t="shared" si="14"/>
        <v>-300.0000000000025</v>
      </c>
      <c r="AV22">
        <f t="shared" si="15"/>
        <v>0</v>
      </c>
      <c r="AW22">
        <f t="shared" si="16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A22">
        <f t="shared" si="21"/>
        <v>0</v>
      </c>
      <c r="BB22">
        <f t="shared" si="21"/>
        <v>0</v>
      </c>
      <c r="BC22">
        <f t="shared" si="21"/>
        <v>0</v>
      </c>
      <c r="BD22">
        <f t="shared" si="21"/>
        <v>0</v>
      </c>
      <c r="BE22">
        <f t="shared" si="21"/>
        <v>0</v>
      </c>
      <c r="BF22">
        <f t="shared" si="21"/>
        <v>0</v>
      </c>
      <c r="BG22">
        <f t="shared" si="21"/>
        <v>0</v>
      </c>
      <c r="BJ22">
        <f t="shared" si="18"/>
        <v>5940.0000000000045</v>
      </c>
    </row>
    <row r="23" spans="1:62" x14ac:dyDescent="0.2">
      <c r="A23" s="107">
        <v>36970</v>
      </c>
      <c r="B23">
        <f t="shared" si="17"/>
        <v>5.35</v>
      </c>
      <c r="C23" s="5">
        <f>GasDaily!C23</f>
        <v>3.835</v>
      </c>
      <c r="D23" s="3">
        <v>-20000</v>
      </c>
      <c r="E23" s="3">
        <v>5000</v>
      </c>
      <c r="F23" s="3">
        <v>5000</v>
      </c>
      <c r="G23" s="3">
        <v>8500</v>
      </c>
      <c r="H23" s="3">
        <v>10000</v>
      </c>
      <c r="I23" s="3">
        <v>5000</v>
      </c>
      <c r="J23" s="3">
        <v>10000</v>
      </c>
      <c r="K23" s="3">
        <v>10000</v>
      </c>
      <c r="L23" s="3">
        <v>-10000</v>
      </c>
      <c r="M23" s="3">
        <v>-10000</v>
      </c>
      <c r="N23" s="3">
        <v>-10000</v>
      </c>
      <c r="O23" s="3">
        <v>10000</v>
      </c>
      <c r="P23" s="3">
        <v>10000</v>
      </c>
      <c r="Q23" s="3">
        <v>-10000</v>
      </c>
      <c r="R23" s="3">
        <v>10000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10">
        <f t="shared" si="0"/>
        <v>23500</v>
      </c>
      <c r="AF23" s="9"/>
      <c r="AG23">
        <f t="shared" si="1"/>
        <v>-1899.999999999995</v>
      </c>
      <c r="AH23">
        <f t="shared" si="2"/>
        <v>825.00000000000023</v>
      </c>
      <c r="AI23">
        <f t="shared" si="3"/>
        <v>849.99999999999966</v>
      </c>
      <c r="AJ23">
        <f t="shared" si="4"/>
        <v>1614.9999999999995</v>
      </c>
      <c r="AK23">
        <f t="shared" si="5"/>
        <v>2099.9999999999995</v>
      </c>
      <c r="AL23">
        <f t="shared" si="6"/>
        <v>1049.9999999999998</v>
      </c>
      <c r="AM23">
        <f t="shared" si="7"/>
        <v>2000.0000000000018</v>
      </c>
      <c r="AN23">
        <f t="shared" si="8"/>
        <v>150.00000000000125</v>
      </c>
      <c r="AO23">
        <f t="shared" si="9"/>
        <v>-249.99999999999912</v>
      </c>
      <c r="AP23">
        <f t="shared" si="9"/>
        <v>-649.99999999999943</v>
      </c>
      <c r="AQ23">
        <f t="shared" si="10"/>
        <v>-449.99999999999932</v>
      </c>
      <c r="AR23">
        <f t="shared" si="11"/>
        <v>499.99999999999824</v>
      </c>
      <c r="AS23">
        <f t="shared" si="12"/>
        <v>200.00000000000017</v>
      </c>
      <c r="AT23">
        <f t="shared" si="13"/>
        <v>200.00000000000017</v>
      </c>
      <c r="AU23">
        <f t="shared" si="14"/>
        <v>-300.0000000000025</v>
      </c>
      <c r="AV23">
        <f t="shared" si="15"/>
        <v>0</v>
      </c>
      <c r="AW23">
        <f t="shared" si="16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A23">
        <f t="shared" si="21"/>
        <v>0</v>
      </c>
      <c r="BB23">
        <f t="shared" si="21"/>
        <v>0</v>
      </c>
      <c r="BC23">
        <f t="shared" si="21"/>
        <v>0</v>
      </c>
      <c r="BD23">
        <f t="shared" si="21"/>
        <v>0</v>
      </c>
      <c r="BE23">
        <f t="shared" si="21"/>
        <v>0</v>
      </c>
      <c r="BF23">
        <f t="shared" si="21"/>
        <v>0</v>
      </c>
      <c r="BG23">
        <f t="shared" si="21"/>
        <v>0</v>
      </c>
      <c r="BJ23">
        <f t="shared" si="18"/>
        <v>5940.0000000000045</v>
      </c>
    </row>
    <row r="24" spans="1:62" x14ac:dyDescent="0.2">
      <c r="A24" s="107">
        <v>36971</v>
      </c>
      <c r="B24">
        <f t="shared" si="17"/>
        <v>5.35</v>
      </c>
      <c r="C24" s="5">
        <f>GasDaily!C24</f>
        <v>3.835</v>
      </c>
      <c r="D24" s="3">
        <v>-20000</v>
      </c>
      <c r="E24" s="3">
        <v>5000</v>
      </c>
      <c r="F24" s="3">
        <v>5000</v>
      </c>
      <c r="G24" s="3">
        <v>8500</v>
      </c>
      <c r="H24" s="3">
        <v>10000</v>
      </c>
      <c r="I24" s="3">
        <v>5000</v>
      </c>
      <c r="J24" s="3">
        <v>10000</v>
      </c>
      <c r="K24" s="3">
        <v>10000</v>
      </c>
      <c r="L24" s="3">
        <v>-10000</v>
      </c>
      <c r="M24" s="3">
        <v>-10000</v>
      </c>
      <c r="N24" s="3">
        <v>-10000</v>
      </c>
      <c r="O24" s="3">
        <v>10000</v>
      </c>
      <c r="P24" s="3">
        <v>10000</v>
      </c>
      <c r="Q24" s="3">
        <v>-10000</v>
      </c>
      <c r="R24" s="3">
        <v>10000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10">
        <f t="shared" si="0"/>
        <v>23500</v>
      </c>
      <c r="AF24" s="9"/>
      <c r="AG24">
        <f t="shared" si="1"/>
        <v>-1899.999999999995</v>
      </c>
      <c r="AH24">
        <f t="shared" si="2"/>
        <v>825.00000000000023</v>
      </c>
      <c r="AI24">
        <f t="shared" si="3"/>
        <v>849.99999999999966</v>
      </c>
      <c r="AJ24">
        <f t="shared" si="4"/>
        <v>1614.9999999999995</v>
      </c>
      <c r="AK24">
        <f t="shared" si="5"/>
        <v>2099.9999999999995</v>
      </c>
      <c r="AL24">
        <f t="shared" si="6"/>
        <v>1049.9999999999998</v>
      </c>
      <c r="AM24">
        <f t="shared" si="7"/>
        <v>2000.0000000000018</v>
      </c>
      <c r="AN24">
        <f t="shared" si="8"/>
        <v>150.00000000000125</v>
      </c>
      <c r="AO24">
        <f t="shared" si="9"/>
        <v>-249.99999999999912</v>
      </c>
      <c r="AP24">
        <f t="shared" si="9"/>
        <v>-649.99999999999943</v>
      </c>
      <c r="AQ24">
        <f t="shared" si="10"/>
        <v>-449.99999999999932</v>
      </c>
      <c r="AR24">
        <f t="shared" si="11"/>
        <v>499.99999999999824</v>
      </c>
      <c r="AS24">
        <f t="shared" si="12"/>
        <v>200.00000000000017</v>
      </c>
      <c r="AT24">
        <f t="shared" si="13"/>
        <v>200.00000000000017</v>
      </c>
      <c r="AU24">
        <f t="shared" si="14"/>
        <v>-300.0000000000025</v>
      </c>
      <c r="AV24">
        <f t="shared" si="15"/>
        <v>0</v>
      </c>
      <c r="AW24">
        <f t="shared" si="16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A24">
        <f t="shared" si="21"/>
        <v>0</v>
      </c>
      <c r="BB24">
        <f t="shared" si="21"/>
        <v>0</v>
      </c>
      <c r="BC24">
        <f t="shared" si="21"/>
        <v>0</v>
      </c>
      <c r="BD24">
        <f t="shared" si="21"/>
        <v>0</v>
      </c>
      <c r="BE24">
        <f t="shared" si="21"/>
        <v>0</v>
      </c>
      <c r="BF24">
        <f t="shared" si="21"/>
        <v>0</v>
      </c>
      <c r="BG24">
        <f t="shared" si="21"/>
        <v>0</v>
      </c>
      <c r="BJ24">
        <f t="shared" si="18"/>
        <v>5940.0000000000045</v>
      </c>
    </row>
    <row r="25" spans="1:62" x14ac:dyDescent="0.2">
      <c r="A25" s="107">
        <v>36972</v>
      </c>
      <c r="B25">
        <f t="shared" si="17"/>
        <v>5.35</v>
      </c>
      <c r="C25" s="5">
        <f>GasDaily!C25</f>
        <v>3.835</v>
      </c>
      <c r="D25" s="3">
        <v>-20000</v>
      </c>
      <c r="E25" s="3">
        <v>5000</v>
      </c>
      <c r="F25" s="3">
        <v>5000</v>
      </c>
      <c r="G25" s="3">
        <v>8500</v>
      </c>
      <c r="H25" s="3">
        <v>10000</v>
      </c>
      <c r="I25" s="3">
        <v>5000</v>
      </c>
      <c r="J25" s="3">
        <v>10000</v>
      </c>
      <c r="K25" s="3">
        <v>10000</v>
      </c>
      <c r="L25" s="3">
        <v>-10000</v>
      </c>
      <c r="M25" s="3">
        <v>-10000</v>
      </c>
      <c r="N25" s="3">
        <v>-10000</v>
      </c>
      <c r="O25" s="3">
        <v>10000</v>
      </c>
      <c r="P25" s="3">
        <v>10000</v>
      </c>
      <c r="Q25" s="3">
        <v>-10000</v>
      </c>
      <c r="R25" s="3">
        <v>10000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10">
        <f t="shared" si="0"/>
        <v>23500</v>
      </c>
      <c r="AF25" s="9"/>
      <c r="AG25">
        <f t="shared" si="1"/>
        <v>-1899.999999999995</v>
      </c>
      <c r="AH25">
        <f t="shared" si="2"/>
        <v>825.00000000000023</v>
      </c>
      <c r="AI25">
        <f t="shared" si="3"/>
        <v>849.99999999999966</v>
      </c>
      <c r="AJ25">
        <f t="shared" si="4"/>
        <v>1614.9999999999995</v>
      </c>
      <c r="AK25">
        <f t="shared" si="5"/>
        <v>2099.9999999999995</v>
      </c>
      <c r="AL25">
        <f t="shared" si="6"/>
        <v>1049.9999999999998</v>
      </c>
      <c r="AM25">
        <f t="shared" si="7"/>
        <v>2000.0000000000018</v>
      </c>
      <c r="AN25">
        <f t="shared" si="8"/>
        <v>150.00000000000125</v>
      </c>
      <c r="AO25">
        <f t="shared" si="9"/>
        <v>-249.99999999999912</v>
      </c>
      <c r="AP25">
        <f t="shared" si="9"/>
        <v>-649.99999999999943</v>
      </c>
      <c r="AQ25">
        <f t="shared" si="10"/>
        <v>-449.99999999999932</v>
      </c>
      <c r="AR25">
        <f t="shared" si="11"/>
        <v>499.99999999999824</v>
      </c>
      <c r="AS25">
        <f t="shared" si="12"/>
        <v>200.00000000000017</v>
      </c>
      <c r="AT25">
        <f t="shared" si="13"/>
        <v>200.00000000000017</v>
      </c>
      <c r="AU25">
        <f t="shared" si="14"/>
        <v>-300.0000000000025</v>
      </c>
      <c r="AV25">
        <f t="shared" si="15"/>
        <v>0</v>
      </c>
      <c r="AW25">
        <f t="shared" si="16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J25">
        <f t="shared" si="18"/>
        <v>5940.0000000000045</v>
      </c>
    </row>
    <row r="26" spans="1:62" x14ac:dyDescent="0.2">
      <c r="A26" s="107">
        <v>36973</v>
      </c>
      <c r="B26">
        <f t="shared" si="17"/>
        <v>5.35</v>
      </c>
      <c r="C26" s="5">
        <f>GasDaily!C26</f>
        <v>3.835</v>
      </c>
      <c r="D26" s="3">
        <v>-20000</v>
      </c>
      <c r="E26" s="3">
        <v>5000</v>
      </c>
      <c r="F26" s="3">
        <v>5000</v>
      </c>
      <c r="G26" s="3">
        <v>8500</v>
      </c>
      <c r="H26" s="3">
        <v>10000</v>
      </c>
      <c r="I26" s="3">
        <v>5000</v>
      </c>
      <c r="J26" s="3">
        <v>10000</v>
      </c>
      <c r="K26" s="3">
        <v>10000</v>
      </c>
      <c r="L26" s="3">
        <v>-10000</v>
      </c>
      <c r="M26" s="3">
        <v>-10000</v>
      </c>
      <c r="N26" s="3">
        <v>-10000</v>
      </c>
      <c r="O26" s="3">
        <v>10000</v>
      </c>
      <c r="P26" s="3">
        <v>10000</v>
      </c>
      <c r="Q26" s="3">
        <v>-10000</v>
      </c>
      <c r="R26" s="3">
        <v>10000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10">
        <f t="shared" si="0"/>
        <v>23500</v>
      </c>
      <c r="AF26" s="9"/>
      <c r="AG26">
        <f t="shared" si="1"/>
        <v>-1899.999999999995</v>
      </c>
      <c r="AH26">
        <f t="shared" si="2"/>
        <v>825.00000000000023</v>
      </c>
      <c r="AI26">
        <f t="shared" si="3"/>
        <v>849.99999999999966</v>
      </c>
      <c r="AJ26">
        <f t="shared" si="4"/>
        <v>1614.9999999999995</v>
      </c>
      <c r="AK26">
        <f t="shared" si="5"/>
        <v>2099.9999999999995</v>
      </c>
      <c r="AL26">
        <f t="shared" si="6"/>
        <v>1049.9999999999998</v>
      </c>
      <c r="AM26">
        <f t="shared" si="7"/>
        <v>2000.0000000000018</v>
      </c>
      <c r="AN26">
        <f t="shared" si="8"/>
        <v>150.00000000000125</v>
      </c>
      <c r="AO26">
        <f t="shared" si="9"/>
        <v>-249.99999999999912</v>
      </c>
      <c r="AP26">
        <f t="shared" si="9"/>
        <v>-649.99999999999943</v>
      </c>
      <c r="AQ26">
        <f t="shared" si="10"/>
        <v>-449.99999999999932</v>
      </c>
      <c r="AR26">
        <f t="shared" si="11"/>
        <v>499.99999999999824</v>
      </c>
      <c r="AS26">
        <f t="shared" si="12"/>
        <v>200.00000000000017</v>
      </c>
      <c r="AT26">
        <f t="shared" si="13"/>
        <v>200.00000000000017</v>
      </c>
      <c r="AU26">
        <f t="shared" si="14"/>
        <v>-300.0000000000025</v>
      </c>
      <c r="AV26">
        <f t="shared" si="15"/>
        <v>0</v>
      </c>
      <c r="AW26">
        <f t="shared" si="16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A26">
        <f t="shared" si="21"/>
        <v>0</v>
      </c>
      <c r="BB26">
        <f t="shared" si="21"/>
        <v>0</v>
      </c>
      <c r="BC26">
        <f t="shared" si="21"/>
        <v>0</v>
      </c>
      <c r="BD26">
        <f t="shared" si="21"/>
        <v>0</v>
      </c>
      <c r="BE26">
        <f t="shared" si="21"/>
        <v>0</v>
      </c>
      <c r="BF26">
        <f t="shared" si="21"/>
        <v>0</v>
      </c>
      <c r="BG26">
        <f t="shared" si="21"/>
        <v>0</v>
      </c>
      <c r="BJ26">
        <f t="shared" si="18"/>
        <v>5940.0000000000045</v>
      </c>
    </row>
    <row r="27" spans="1:62" x14ac:dyDescent="0.2">
      <c r="A27" s="107">
        <v>36974</v>
      </c>
      <c r="B27">
        <f t="shared" si="17"/>
        <v>5.35</v>
      </c>
      <c r="C27" s="5">
        <f>GasDaily!C27</f>
        <v>3.835</v>
      </c>
      <c r="D27" s="3">
        <v>-20000</v>
      </c>
      <c r="E27" s="3">
        <v>5000</v>
      </c>
      <c r="F27" s="3">
        <v>5000</v>
      </c>
      <c r="G27" s="3">
        <v>8500</v>
      </c>
      <c r="H27" s="3">
        <v>10000</v>
      </c>
      <c r="I27" s="3">
        <v>5000</v>
      </c>
      <c r="J27" s="3">
        <v>10000</v>
      </c>
      <c r="K27" s="3">
        <v>10000</v>
      </c>
      <c r="L27" s="3">
        <v>-10000</v>
      </c>
      <c r="M27" s="3">
        <v>-10000</v>
      </c>
      <c r="N27" s="3">
        <v>-10000</v>
      </c>
      <c r="O27" s="3">
        <v>10000</v>
      </c>
      <c r="P27" s="3">
        <v>10000</v>
      </c>
      <c r="Q27" s="3">
        <v>-10000</v>
      </c>
      <c r="R27" s="3">
        <v>10000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>
        <f t="shared" si="0"/>
        <v>23500</v>
      </c>
      <c r="AF27" s="9"/>
      <c r="AG27">
        <f t="shared" si="1"/>
        <v>-1899.999999999995</v>
      </c>
      <c r="AH27">
        <f t="shared" si="2"/>
        <v>825.00000000000023</v>
      </c>
      <c r="AI27">
        <f t="shared" si="3"/>
        <v>849.99999999999966</v>
      </c>
      <c r="AJ27">
        <f t="shared" si="4"/>
        <v>1614.9999999999995</v>
      </c>
      <c r="AK27">
        <f t="shared" si="5"/>
        <v>2099.9999999999995</v>
      </c>
      <c r="AL27">
        <f t="shared" si="6"/>
        <v>1049.9999999999998</v>
      </c>
      <c r="AM27">
        <f t="shared" si="7"/>
        <v>2000.0000000000018</v>
      </c>
      <c r="AN27">
        <f t="shared" si="8"/>
        <v>150.00000000000125</v>
      </c>
      <c r="AO27">
        <f t="shared" si="9"/>
        <v>-249.99999999999912</v>
      </c>
      <c r="AP27">
        <f t="shared" si="9"/>
        <v>-649.99999999999943</v>
      </c>
      <c r="AQ27">
        <f t="shared" si="10"/>
        <v>-449.99999999999932</v>
      </c>
      <c r="AR27">
        <f t="shared" si="11"/>
        <v>499.99999999999824</v>
      </c>
      <c r="AS27">
        <f t="shared" si="12"/>
        <v>200.00000000000017</v>
      </c>
      <c r="AT27">
        <f t="shared" si="13"/>
        <v>200.00000000000017</v>
      </c>
      <c r="AU27">
        <f t="shared" si="14"/>
        <v>-300.0000000000025</v>
      </c>
      <c r="AV27">
        <f t="shared" si="15"/>
        <v>0</v>
      </c>
      <c r="AW27">
        <f t="shared" si="16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A27">
        <f t="shared" si="21"/>
        <v>0</v>
      </c>
      <c r="BB27">
        <f t="shared" si="21"/>
        <v>0</v>
      </c>
      <c r="BC27">
        <f t="shared" si="21"/>
        <v>0</v>
      </c>
      <c r="BD27">
        <f t="shared" si="21"/>
        <v>0</v>
      </c>
      <c r="BE27">
        <f t="shared" si="21"/>
        <v>0</v>
      </c>
      <c r="BF27">
        <f t="shared" si="21"/>
        <v>0</v>
      </c>
      <c r="BG27">
        <f t="shared" si="21"/>
        <v>0</v>
      </c>
      <c r="BJ27">
        <f t="shared" si="18"/>
        <v>5940.0000000000045</v>
      </c>
    </row>
    <row r="28" spans="1:62" x14ac:dyDescent="0.2">
      <c r="A28" s="107">
        <v>36975</v>
      </c>
      <c r="B28">
        <f t="shared" si="17"/>
        <v>5.35</v>
      </c>
      <c r="C28" s="5">
        <f>GasDaily!C28</f>
        <v>3.835</v>
      </c>
      <c r="D28" s="3">
        <v>-20000</v>
      </c>
      <c r="E28" s="3">
        <v>5000</v>
      </c>
      <c r="F28" s="3">
        <v>5000</v>
      </c>
      <c r="G28" s="3">
        <v>8500</v>
      </c>
      <c r="H28" s="3">
        <v>10000</v>
      </c>
      <c r="I28" s="3">
        <v>5000</v>
      </c>
      <c r="J28" s="3">
        <v>10000</v>
      </c>
      <c r="K28" s="3">
        <v>10000</v>
      </c>
      <c r="L28" s="3">
        <v>-10000</v>
      </c>
      <c r="M28" s="3">
        <v>-10000</v>
      </c>
      <c r="N28" s="3">
        <v>-10000</v>
      </c>
      <c r="O28" s="3">
        <v>10000</v>
      </c>
      <c r="P28" s="3">
        <v>10000</v>
      </c>
      <c r="Q28" s="3">
        <v>-10000</v>
      </c>
      <c r="R28" s="3">
        <v>10000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10">
        <f>SUM(D28:AD28)</f>
        <v>23500</v>
      </c>
      <c r="AF28" s="9"/>
      <c r="AG28">
        <f t="shared" si="1"/>
        <v>-1899.999999999995</v>
      </c>
      <c r="AH28">
        <f t="shared" si="2"/>
        <v>825.00000000000023</v>
      </c>
      <c r="AI28">
        <f t="shared" si="3"/>
        <v>849.99999999999966</v>
      </c>
      <c r="AJ28">
        <f t="shared" si="4"/>
        <v>1614.9999999999995</v>
      </c>
      <c r="AK28">
        <f t="shared" si="5"/>
        <v>2099.9999999999995</v>
      </c>
      <c r="AL28">
        <f t="shared" si="6"/>
        <v>1049.9999999999998</v>
      </c>
      <c r="AM28">
        <f t="shared" si="7"/>
        <v>2000.0000000000018</v>
      </c>
      <c r="AN28">
        <f t="shared" si="8"/>
        <v>150.00000000000125</v>
      </c>
      <c r="AO28">
        <f t="shared" si="9"/>
        <v>-249.99999999999912</v>
      </c>
      <c r="AP28">
        <f t="shared" si="9"/>
        <v>-649.99999999999943</v>
      </c>
      <c r="AQ28">
        <f t="shared" si="10"/>
        <v>-449.99999999999932</v>
      </c>
      <c r="AR28">
        <f t="shared" si="11"/>
        <v>499.99999999999824</v>
      </c>
      <c r="AS28">
        <f t="shared" si="12"/>
        <v>200.00000000000017</v>
      </c>
      <c r="AT28">
        <f t="shared" si="13"/>
        <v>200.00000000000017</v>
      </c>
      <c r="AU28">
        <f t="shared" si="14"/>
        <v>-300.0000000000025</v>
      </c>
      <c r="AV28">
        <f t="shared" si="15"/>
        <v>0</v>
      </c>
      <c r="AW28">
        <f t="shared" si="16"/>
        <v>0</v>
      </c>
      <c r="AX28">
        <f t="shared" si="19"/>
        <v>0</v>
      </c>
      <c r="AY28">
        <f t="shared" si="20"/>
        <v>0</v>
      </c>
      <c r="AZ28">
        <f t="shared" si="21"/>
        <v>0</v>
      </c>
      <c r="BA28">
        <f t="shared" si="21"/>
        <v>0</v>
      </c>
      <c r="BB28">
        <f t="shared" si="21"/>
        <v>0</v>
      </c>
      <c r="BC28">
        <f t="shared" si="21"/>
        <v>0</v>
      </c>
      <c r="BD28">
        <f t="shared" si="21"/>
        <v>0</v>
      </c>
      <c r="BE28">
        <f t="shared" si="21"/>
        <v>0</v>
      </c>
      <c r="BF28">
        <f t="shared" si="21"/>
        <v>0</v>
      </c>
      <c r="BG28">
        <f t="shared" si="21"/>
        <v>0</v>
      </c>
      <c r="BJ28">
        <f t="shared" si="18"/>
        <v>5940.0000000000045</v>
      </c>
    </row>
    <row r="29" spans="1:62" x14ac:dyDescent="0.2">
      <c r="A29" s="107">
        <v>36976</v>
      </c>
      <c r="B29">
        <f t="shared" si="17"/>
        <v>5.35</v>
      </c>
      <c r="C29" s="5">
        <f>GasDaily!C29</f>
        <v>3.835</v>
      </c>
      <c r="D29" s="3">
        <v>-20000</v>
      </c>
      <c r="E29" s="3">
        <v>5000</v>
      </c>
      <c r="F29" s="3">
        <v>5000</v>
      </c>
      <c r="G29" s="3">
        <v>8500</v>
      </c>
      <c r="H29" s="3">
        <v>10000</v>
      </c>
      <c r="I29" s="3">
        <v>5000</v>
      </c>
      <c r="J29" s="3">
        <v>10000</v>
      </c>
      <c r="K29" s="3">
        <v>10000</v>
      </c>
      <c r="L29" s="3">
        <v>-10000</v>
      </c>
      <c r="M29" s="3">
        <v>-10000</v>
      </c>
      <c r="N29" s="3">
        <v>-10000</v>
      </c>
      <c r="O29" s="3">
        <v>10000</v>
      </c>
      <c r="P29" s="3">
        <v>10000</v>
      </c>
      <c r="Q29" s="3">
        <v>-10000</v>
      </c>
      <c r="R29" s="3">
        <v>10000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10">
        <f t="shared" ref="AE29:AE34" si="22">SUM(D29:AD29)</f>
        <v>23500</v>
      </c>
      <c r="AF29" s="9"/>
      <c r="AG29">
        <f t="shared" si="1"/>
        <v>-1899.999999999995</v>
      </c>
      <c r="AH29">
        <f t="shared" si="2"/>
        <v>825.00000000000023</v>
      </c>
      <c r="AI29">
        <f t="shared" si="3"/>
        <v>849.99999999999966</v>
      </c>
      <c r="AJ29">
        <f t="shared" si="4"/>
        <v>1614.9999999999995</v>
      </c>
      <c r="AK29">
        <f t="shared" si="5"/>
        <v>2099.9999999999995</v>
      </c>
      <c r="AL29">
        <f t="shared" si="6"/>
        <v>1049.9999999999998</v>
      </c>
      <c r="AM29">
        <f t="shared" si="7"/>
        <v>2000.0000000000018</v>
      </c>
      <c r="AN29">
        <f t="shared" si="8"/>
        <v>150.00000000000125</v>
      </c>
      <c r="AO29">
        <f t="shared" si="9"/>
        <v>-249.99999999999912</v>
      </c>
      <c r="AP29">
        <f t="shared" si="9"/>
        <v>-649.99999999999943</v>
      </c>
      <c r="AQ29">
        <f t="shared" si="10"/>
        <v>-449.99999999999932</v>
      </c>
      <c r="AR29">
        <f t="shared" si="11"/>
        <v>499.99999999999824</v>
      </c>
      <c r="AS29">
        <f t="shared" si="12"/>
        <v>200.00000000000017</v>
      </c>
      <c r="AT29">
        <f t="shared" si="13"/>
        <v>200.00000000000017</v>
      </c>
      <c r="AU29">
        <f t="shared" si="14"/>
        <v>-300.0000000000025</v>
      </c>
      <c r="AV29">
        <f t="shared" si="15"/>
        <v>0</v>
      </c>
      <c r="AW29">
        <f t="shared" si="16"/>
        <v>0</v>
      </c>
      <c r="AX29">
        <f t="shared" si="19"/>
        <v>0</v>
      </c>
      <c r="AY29">
        <f t="shared" si="20"/>
        <v>0</v>
      </c>
      <c r="AZ29">
        <f t="shared" si="21"/>
        <v>0</v>
      </c>
      <c r="BA29">
        <f t="shared" si="21"/>
        <v>0</v>
      </c>
      <c r="BB29">
        <f t="shared" si="21"/>
        <v>0</v>
      </c>
      <c r="BC29">
        <f t="shared" si="21"/>
        <v>0</v>
      </c>
      <c r="BD29">
        <f t="shared" si="21"/>
        <v>0</v>
      </c>
      <c r="BE29">
        <f t="shared" si="21"/>
        <v>0</v>
      </c>
      <c r="BF29">
        <f t="shared" si="21"/>
        <v>0</v>
      </c>
      <c r="BG29">
        <f t="shared" si="21"/>
        <v>0</v>
      </c>
      <c r="BJ29">
        <f t="shared" si="18"/>
        <v>5940.0000000000045</v>
      </c>
    </row>
    <row r="30" spans="1:62" x14ac:dyDescent="0.2">
      <c r="A30" s="107">
        <v>36977</v>
      </c>
      <c r="B30">
        <f t="shared" si="17"/>
        <v>5.35</v>
      </c>
      <c r="C30" s="5">
        <f>GasDaily!C30</f>
        <v>3.835</v>
      </c>
      <c r="D30" s="3">
        <v>-20000</v>
      </c>
      <c r="E30" s="3">
        <v>5000</v>
      </c>
      <c r="F30" s="3">
        <v>5000</v>
      </c>
      <c r="G30" s="3">
        <v>8500</v>
      </c>
      <c r="H30" s="3">
        <v>10000</v>
      </c>
      <c r="I30" s="3">
        <v>5000</v>
      </c>
      <c r="J30" s="3">
        <v>10000</v>
      </c>
      <c r="K30" s="3">
        <v>10000</v>
      </c>
      <c r="L30" s="3">
        <v>-10000</v>
      </c>
      <c r="M30" s="3">
        <v>-10000</v>
      </c>
      <c r="N30" s="3">
        <v>-10000</v>
      </c>
      <c r="O30" s="3">
        <v>10000</v>
      </c>
      <c r="P30" s="3">
        <v>10000</v>
      </c>
      <c r="Q30" s="3">
        <v>-10000</v>
      </c>
      <c r="R30" s="3">
        <v>10000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10">
        <f t="shared" si="22"/>
        <v>23500</v>
      </c>
      <c r="AF30" s="9"/>
      <c r="AG30">
        <f t="shared" si="1"/>
        <v>-1899.999999999995</v>
      </c>
      <c r="AH30">
        <f t="shared" si="2"/>
        <v>825.00000000000023</v>
      </c>
      <c r="AI30">
        <f t="shared" si="3"/>
        <v>849.99999999999966</v>
      </c>
      <c r="AJ30">
        <f t="shared" si="4"/>
        <v>1614.9999999999995</v>
      </c>
      <c r="AK30">
        <f t="shared" si="5"/>
        <v>2099.9999999999995</v>
      </c>
      <c r="AL30">
        <f t="shared" si="6"/>
        <v>1049.9999999999998</v>
      </c>
      <c r="AM30">
        <f t="shared" si="7"/>
        <v>2000.0000000000018</v>
      </c>
      <c r="AN30">
        <f t="shared" si="8"/>
        <v>150.00000000000125</v>
      </c>
      <c r="AO30">
        <f t="shared" si="9"/>
        <v>-249.99999999999912</v>
      </c>
      <c r="AP30">
        <f t="shared" si="9"/>
        <v>-649.99999999999943</v>
      </c>
      <c r="AQ30">
        <f t="shared" si="10"/>
        <v>-449.99999999999932</v>
      </c>
      <c r="AR30">
        <f t="shared" si="11"/>
        <v>499.99999999999824</v>
      </c>
      <c r="AS30">
        <f t="shared" si="12"/>
        <v>200.00000000000017</v>
      </c>
      <c r="AT30">
        <f t="shared" si="13"/>
        <v>200.00000000000017</v>
      </c>
      <c r="AU30">
        <f t="shared" si="14"/>
        <v>-300.0000000000025</v>
      </c>
      <c r="AV30">
        <f t="shared" si="15"/>
        <v>0</v>
      </c>
      <c r="AW30">
        <f t="shared" si="16"/>
        <v>0</v>
      </c>
      <c r="AX30">
        <f t="shared" si="19"/>
        <v>0</v>
      </c>
      <c r="AY30">
        <f t="shared" si="20"/>
        <v>0</v>
      </c>
      <c r="AZ30">
        <f t="shared" si="21"/>
        <v>0</v>
      </c>
      <c r="BA30">
        <f t="shared" si="21"/>
        <v>0</v>
      </c>
      <c r="BB30">
        <f t="shared" si="21"/>
        <v>0</v>
      </c>
      <c r="BC30">
        <f t="shared" si="21"/>
        <v>0</v>
      </c>
      <c r="BD30">
        <f t="shared" si="21"/>
        <v>0</v>
      </c>
      <c r="BE30">
        <f t="shared" si="21"/>
        <v>0</v>
      </c>
      <c r="BF30">
        <f t="shared" si="21"/>
        <v>0</v>
      </c>
      <c r="BG30">
        <f t="shared" si="21"/>
        <v>0</v>
      </c>
      <c r="BJ30">
        <f t="shared" si="18"/>
        <v>5940.0000000000045</v>
      </c>
    </row>
    <row r="31" spans="1:62" x14ac:dyDescent="0.2">
      <c r="A31" s="107">
        <v>36978</v>
      </c>
      <c r="B31">
        <f t="shared" si="17"/>
        <v>5.35</v>
      </c>
      <c r="C31" s="5">
        <f>GasDaily!C31</f>
        <v>3.835</v>
      </c>
      <c r="D31" s="3">
        <v>-20000</v>
      </c>
      <c r="E31" s="3">
        <v>5000</v>
      </c>
      <c r="F31" s="3">
        <v>5000</v>
      </c>
      <c r="G31" s="3">
        <v>8500</v>
      </c>
      <c r="H31" s="3">
        <v>10000</v>
      </c>
      <c r="I31" s="3">
        <v>5000</v>
      </c>
      <c r="J31" s="3">
        <v>10000</v>
      </c>
      <c r="K31" s="3">
        <v>10000</v>
      </c>
      <c r="L31" s="3">
        <v>-10000</v>
      </c>
      <c r="M31" s="3">
        <v>-10000</v>
      </c>
      <c r="N31" s="3">
        <v>-10000</v>
      </c>
      <c r="O31" s="3">
        <v>10000</v>
      </c>
      <c r="P31" s="3">
        <v>10000</v>
      </c>
      <c r="Q31" s="3">
        <v>-10000</v>
      </c>
      <c r="R31" s="3">
        <v>10000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10">
        <f t="shared" si="22"/>
        <v>23500</v>
      </c>
      <c r="AF31" s="9"/>
      <c r="AG31">
        <f t="shared" si="1"/>
        <v>-1899.999999999995</v>
      </c>
      <c r="AH31">
        <f t="shared" si="2"/>
        <v>825.00000000000023</v>
      </c>
      <c r="AI31">
        <f t="shared" si="3"/>
        <v>849.99999999999966</v>
      </c>
      <c r="AJ31">
        <f t="shared" si="4"/>
        <v>1614.9999999999995</v>
      </c>
      <c r="AK31">
        <f t="shared" si="5"/>
        <v>2099.9999999999995</v>
      </c>
      <c r="AL31">
        <f t="shared" si="6"/>
        <v>1049.9999999999998</v>
      </c>
      <c r="AM31">
        <f t="shared" si="7"/>
        <v>2000.0000000000018</v>
      </c>
      <c r="AN31">
        <f t="shared" si="8"/>
        <v>150.00000000000125</v>
      </c>
      <c r="AO31">
        <f t="shared" si="9"/>
        <v>-249.99999999999912</v>
      </c>
      <c r="AP31">
        <f t="shared" si="9"/>
        <v>-649.99999999999943</v>
      </c>
      <c r="AQ31">
        <f t="shared" si="10"/>
        <v>-449.99999999999932</v>
      </c>
      <c r="AR31">
        <f t="shared" si="11"/>
        <v>499.99999999999824</v>
      </c>
      <c r="AS31">
        <f t="shared" si="12"/>
        <v>200.00000000000017</v>
      </c>
      <c r="AT31">
        <f t="shared" si="13"/>
        <v>200.00000000000017</v>
      </c>
      <c r="AU31">
        <f t="shared" si="14"/>
        <v>-300.0000000000025</v>
      </c>
      <c r="AV31">
        <f t="shared" si="15"/>
        <v>0</v>
      </c>
      <c r="AW31">
        <f t="shared" si="16"/>
        <v>0</v>
      </c>
      <c r="AX31">
        <f t="shared" si="19"/>
        <v>0</v>
      </c>
      <c r="AY31">
        <f t="shared" si="20"/>
        <v>0</v>
      </c>
      <c r="AZ31">
        <f t="shared" si="21"/>
        <v>0</v>
      </c>
      <c r="BA31">
        <f t="shared" si="21"/>
        <v>0</v>
      </c>
      <c r="BB31">
        <f t="shared" si="21"/>
        <v>0</v>
      </c>
      <c r="BC31">
        <f t="shared" si="21"/>
        <v>0</v>
      </c>
      <c r="BD31">
        <f t="shared" si="21"/>
        <v>0</v>
      </c>
      <c r="BE31">
        <f t="shared" si="21"/>
        <v>0</v>
      </c>
      <c r="BF31">
        <f t="shared" si="21"/>
        <v>0</v>
      </c>
      <c r="BG31">
        <f t="shared" si="21"/>
        <v>0</v>
      </c>
      <c r="BJ31">
        <f t="shared" si="18"/>
        <v>5940.0000000000045</v>
      </c>
    </row>
    <row r="32" spans="1:62" x14ac:dyDescent="0.2">
      <c r="A32" s="107">
        <v>36979</v>
      </c>
      <c r="B32">
        <f t="shared" si="17"/>
        <v>5.35</v>
      </c>
      <c r="C32" s="5">
        <f>GasDaily!C32</f>
        <v>3.835</v>
      </c>
      <c r="D32" s="3">
        <v>-20000</v>
      </c>
      <c r="E32" s="3">
        <v>5000</v>
      </c>
      <c r="F32" s="3">
        <v>5000</v>
      </c>
      <c r="G32" s="3">
        <v>8500</v>
      </c>
      <c r="H32" s="3">
        <v>10000</v>
      </c>
      <c r="I32" s="3">
        <v>5000</v>
      </c>
      <c r="J32" s="3">
        <v>10000</v>
      </c>
      <c r="K32" s="3">
        <v>10000</v>
      </c>
      <c r="L32" s="3">
        <v>-10000</v>
      </c>
      <c r="M32" s="3">
        <v>-10000</v>
      </c>
      <c r="N32" s="3">
        <v>-10000</v>
      </c>
      <c r="O32" s="3">
        <v>10000</v>
      </c>
      <c r="P32" s="3">
        <v>10000</v>
      </c>
      <c r="Q32" s="3">
        <v>-10000</v>
      </c>
      <c r="R32" s="3">
        <v>10000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10">
        <f t="shared" si="22"/>
        <v>23500</v>
      </c>
      <c r="AF32" s="9"/>
      <c r="AG32">
        <f t="shared" si="1"/>
        <v>-1899.999999999995</v>
      </c>
      <c r="AH32">
        <f t="shared" si="2"/>
        <v>825.00000000000023</v>
      </c>
      <c r="AI32">
        <f t="shared" si="3"/>
        <v>849.99999999999966</v>
      </c>
      <c r="AJ32">
        <f t="shared" si="4"/>
        <v>1614.9999999999995</v>
      </c>
      <c r="AK32">
        <f t="shared" si="5"/>
        <v>2099.9999999999995</v>
      </c>
      <c r="AL32">
        <f t="shared" si="6"/>
        <v>1049.9999999999998</v>
      </c>
      <c r="AM32">
        <f t="shared" si="7"/>
        <v>2000.0000000000018</v>
      </c>
      <c r="AN32">
        <f t="shared" si="8"/>
        <v>150.00000000000125</v>
      </c>
      <c r="AO32">
        <f t="shared" si="9"/>
        <v>-249.99999999999912</v>
      </c>
      <c r="AP32">
        <f t="shared" si="9"/>
        <v>-649.99999999999943</v>
      </c>
      <c r="AQ32">
        <f t="shared" si="10"/>
        <v>-449.99999999999932</v>
      </c>
      <c r="AR32">
        <f t="shared" si="11"/>
        <v>499.99999999999824</v>
      </c>
      <c r="AS32">
        <f t="shared" si="12"/>
        <v>200.00000000000017</v>
      </c>
      <c r="AT32">
        <f t="shared" si="13"/>
        <v>200.00000000000017</v>
      </c>
      <c r="AU32">
        <f t="shared" si="14"/>
        <v>-300.0000000000025</v>
      </c>
      <c r="AV32">
        <f t="shared" si="15"/>
        <v>0</v>
      </c>
      <c r="AW32">
        <f t="shared" si="16"/>
        <v>0</v>
      </c>
      <c r="AX32">
        <f t="shared" si="19"/>
        <v>0</v>
      </c>
      <c r="AY32">
        <f t="shared" si="20"/>
        <v>0</v>
      </c>
      <c r="AZ32">
        <f t="shared" si="21"/>
        <v>0</v>
      </c>
      <c r="BA32">
        <f t="shared" si="21"/>
        <v>0</v>
      </c>
      <c r="BB32">
        <f t="shared" si="21"/>
        <v>0</v>
      </c>
      <c r="BC32">
        <f t="shared" si="21"/>
        <v>0</v>
      </c>
      <c r="BD32">
        <f t="shared" si="21"/>
        <v>0</v>
      </c>
      <c r="BE32">
        <f t="shared" si="21"/>
        <v>0</v>
      </c>
      <c r="BF32">
        <f t="shared" si="21"/>
        <v>0</v>
      </c>
      <c r="BG32">
        <f t="shared" si="21"/>
        <v>0</v>
      </c>
      <c r="BJ32">
        <f t="shared" si="18"/>
        <v>5940.0000000000045</v>
      </c>
    </row>
    <row r="33" spans="1:65" x14ac:dyDescent="0.2">
      <c r="A33" s="107">
        <v>36980</v>
      </c>
      <c r="B33">
        <f t="shared" si="17"/>
        <v>5.35</v>
      </c>
      <c r="C33" s="5">
        <f>GasDaily!C33</f>
        <v>3.835</v>
      </c>
      <c r="D33" s="3">
        <v>-20000</v>
      </c>
      <c r="E33" s="3">
        <v>5000</v>
      </c>
      <c r="F33" s="3">
        <v>5000</v>
      </c>
      <c r="G33" s="3">
        <v>8500</v>
      </c>
      <c r="H33" s="3">
        <v>10000</v>
      </c>
      <c r="I33" s="3">
        <v>5000</v>
      </c>
      <c r="J33" s="3">
        <v>10000</v>
      </c>
      <c r="K33" s="3">
        <v>10000</v>
      </c>
      <c r="L33" s="3">
        <v>-10000</v>
      </c>
      <c r="M33" s="3">
        <v>-10000</v>
      </c>
      <c r="N33" s="3">
        <v>-10000</v>
      </c>
      <c r="O33" s="3">
        <v>10000</v>
      </c>
      <c r="P33" s="3">
        <v>10000</v>
      </c>
      <c r="Q33" s="3">
        <v>-10000</v>
      </c>
      <c r="R33" s="3">
        <v>10000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10">
        <f t="shared" si="22"/>
        <v>23500</v>
      </c>
      <c r="AG33">
        <f t="shared" ref="AG33:AL34" si="23">D33*($C33-D$2)</f>
        <v>-1899.999999999995</v>
      </c>
      <c r="AH33">
        <f t="shared" si="23"/>
        <v>825.00000000000023</v>
      </c>
      <c r="AI33">
        <f t="shared" si="23"/>
        <v>849.99999999999966</v>
      </c>
      <c r="AJ33">
        <f t="shared" si="23"/>
        <v>1614.9999999999995</v>
      </c>
      <c r="AK33">
        <f t="shared" si="23"/>
        <v>2099.9999999999995</v>
      </c>
      <c r="AL33">
        <f t="shared" si="23"/>
        <v>1049.9999999999998</v>
      </c>
      <c r="AM33">
        <f t="shared" si="7"/>
        <v>2000.0000000000018</v>
      </c>
      <c r="AN33">
        <f t="shared" si="8"/>
        <v>150.00000000000125</v>
      </c>
      <c r="AO33">
        <f t="shared" si="9"/>
        <v>-249.99999999999912</v>
      </c>
      <c r="AP33">
        <f t="shared" si="9"/>
        <v>-649.99999999999943</v>
      </c>
      <c r="AQ33">
        <f t="shared" si="10"/>
        <v>-449.99999999999932</v>
      </c>
      <c r="AR33">
        <f t="shared" si="11"/>
        <v>499.99999999999824</v>
      </c>
      <c r="AS33">
        <f t="shared" si="12"/>
        <v>200.00000000000017</v>
      </c>
      <c r="AT33">
        <f t="shared" si="13"/>
        <v>200.00000000000017</v>
      </c>
      <c r="AU33">
        <f t="shared" si="14"/>
        <v>-300.0000000000025</v>
      </c>
      <c r="AV33">
        <f t="shared" si="15"/>
        <v>0</v>
      </c>
      <c r="AW33">
        <f t="shared" si="16"/>
        <v>0</v>
      </c>
      <c r="AX33">
        <f t="shared" si="19"/>
        <v>0</v>
      </c>
      <c r="AY33">
        <f t="shared" si="20"/>
        <v>0</v>
      </c>
      <c r="AZ33">
        <f t="shared" si="21"/>
        <v>0</v>
      </c>
      <c r="BA33">
        <f t="shared" si="21"/>
        <v>0</v>
      </c>
      <c r="BB33">
        <f t="shared" si="21"/>
        <v>0</v>
      </c>
      <c r="BC33">
        <f t="shared" si="21"/>
        <v>0</v>
      </c>
      <c r="BD33">
        <f t="shared" si="21"/>
        <v>0</v>
      </c>
      <c r="BE33">
        <f t="shared" si="21"/>
        <v>0</v>
      </c>
      <c r="BF33">
        <f t="shared" si="21"/>
        <v>0</v>
      </c>
      <c r="BG33">
        <f t="shared" si="21"/>
        <v>0</v>
      </c>
      <c r="BJ33">
        <f t="shared" si="18"/>
        <v>5940.0000000000045</v>
      </c>
    </row>
    <row r="34" spans="1:65" x14ac:dyDescent="0.2">
      <c r="A34" s="107">
        <v>36981</v>
      </c>
      <c r="B34">
        <f t="shared" si="17"/>
        <v>5.35</v>
      </c>
      <c r="C34" s="5">
        <f>GasDaily!C34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10">
        <f t="shared" si="22"/>
        <v>0</v>
      </c>
      <c r="AG34">
        <f t="shared" si="23"/>
        <v>0</v>
      </c>
      <c r="AH34">
        <f t="shared" si="23"/>
        <v>0</v>
      </c>
      <c r="AI34">
        <f t="shared" si="23"/>
        <v>0</v>
      </c>
      <c r="AJ34">
        <f t="shared" si="23"/>
        <v>0</v>
      </c>
      <c r="AK34">
        <f t="shared" si="23"/>
        <v>0</v>
      </c>
      <c r="AL34">
        <f t="shared" si="23"/>
        <v>0</v>
      </c>
      <c r="AM34">
        <f t="shared" si="7"/>
        <v>0</v>
      </c>
      <c r="AN34">
        <f t="shared" si="8"/>
        <v>0</v>
      </c>
      <c r="AO34">
        <f t="shared" si="9"/>
        <v>0</v>
      </c>
      <c r="AP34">
        <f t="shared" si="9"/>
        <v>0</v>
      </c>
      <c r="AQ34">
        <f t="shared" si="10"/>
        <v>0</v>
      </c>
      <c r="AR34">
        <f t="shared" si="11"/>
        <v>0</v>
      </c>
      <c r="AS34">
        <f t="shared" si="12"/>
        <v>0</v>
      </c>
      <c r="AT34">
        <f t="shared" si="13"/>
        <v>0</v>
      </c>
      <c r="AU34">
        <f t="shared" si="14"/>
        <v>0</v>
      </c>
      <c r="AV34">
        <f t="shared" si="15"/>
        <v>0</v>
      </c>
      <c r="AW34">
        <f t="shared" si="16"/>
        <v>0</v>
      </c>
      <c r="AX34">
        <f t="shared" si="19"/>
        <v>0</v>
      </c>
      <c r="AY34">
        <f t="shared" si="20"/>
        <v>0</v>
      </c>
      <c r="AZ34">
        <f t="shared" si="21"/>
        <v>0</v>
      </c>
      <c r="BA34">
        <f t="shared" si="21"/>
        <v>0</v>
      </c>
      <c r="BB34">
        <f t="shared" si="21"/>
        <v>0</v>
      </c>
      <c r="BC34">
        <f t="shared" si="21"/>
        <v>0</v>
      </c>
      <c r="BD34">
        <f t="shared" si="21"/>
        <v>0</v>
      </c>
      <c r="BE34">
        <f t="shared" si="21"/>
        <v>0</v>
      </c>
      <c r="BF34">
        <f t="shared" si="21"/>
        <v>0</v>
      </c>
      <c r="BG34">
        <f t="shared" si="21"/>
        <v>0</v>
      </c>
      <c r="BJ34">
        <f t="shared" si="18"/>
        <v>0</v>
      </c>
    </row>
    <row r="35" spans="1:65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BM35" t="s">
        <v>5</v>
      </c>
    </row>
    <row r="36" spans="1:65" x14ac:dyDescent="0.2">
      <c r="D36" s="3">
        <f t="shared" ref="D36:K36" si="24">SUM(D4:D34)</f>
        <v>-600000</v>
      </c>
      <c r="E36" s="3">
        <f t="shared" si="24"/>
        <v>150000</v>
      </c>
      <c r="F36" s="3">
        <f t="shared" si="24"/>
        <v>150000</v>
      </c>
      <c r="G36" s="3">
        <f t="shared" si="24"/>
        <v>255000</v>
      </c>
      <c r="H36" s="3">
        <f t="shared" si="24"/>
        <v>300000</v>
      </c>
      <c r="I36" s="3">
        <f t="shared" si="24"/>
        <v>150000</v>
      </c>
      <c r="J36" s="3">
        <f t="shared" si="24"/>
        <v>300000</v>
      </c>
      <c r="K36" s="3">
        <f t="shared" si="24"/>
        <v>300000</v>
      </c>
      <c r="L36" s="3">
        <f>SUM(L4:L34)</f>
        <v>-300000</v>
      </c>
      <c r="M36" s="3">
        <f t="shared" ref="M36:AB36" si="25">SUM(M4:M34)</f>
        <v>-300000</v>
      </c>
      <c r="N36" s="3">
        <f t="shared" si="25"/>
        <v>-300000</v>
      </c>
      <c r="O36" s="3">
        <f t="shared" si="25"/>
        <v>300000</v>
      </c>
      <c r="P36" s="3">
        <f t="shared" si="25"/>
        <v>300000</v>
      </c>
      <c r="Q36" s="3">
        <f t="shared" si="25"/>
        <v>-290000</v>
      </c>
      <c r="R36" s="3">
        <f t="shared" si="25"/>
        <v>260000</v>
      </c>
      <c r="S36" s="3">
        <f t="shared" si="25"/>
        <v>0</v>
      </c>
      <c r="T36" s="3">
        <f t="shared" si="25"/>
        <v>0</v>
      </c>
      <c r="U36" s="3">
        <f t="shared" si="25"/>
        <v>0</v>
      </c>
      <c r="V36" s="3">
        <f t="shared" si="25"/>
        <v>0</v>
      </c>
      <c r="W36" s="3">
        <f t="shared" si="25"/>
        <v>0</v>
      </c>
      <c r="X36" s="3">
        <f t="shared" si="25"/>
        <v>0</v>
      </c>
      <c r="Y36" s="3">
        <f t="shared" si="25"/>
        <v>0</v>
      </c>
      <c r="Z36" s="3">
        <f t="shared" si="25"/>
        <v>0</v>
      </c>
      <c r="AA36" s="3">
        <f t="shared" si="25"/>
        <v>0</v>
      </c>
      <c r="AB36" s="3">
        <f t="shared" si="25"/>
        <v>0</v>
      </c>
      <c r="AC36" s="3"/>
      <c r="AD36" s="3"/>
      <c r="AE36" s="10">
        <f>SUM(AE8:AE34)</f>
        <v>611000</v>
      </c>
      <c r="BJ36" s="11">
        <f>SUM(BJ4:BJ34)</f>
        <v>176732.50000000009</v>
      </c>
      <c r="BM36" s="12" t="e">
        <f>BJ36+#REF!+#REF!+#REF!</f>
        <v>#REF!</v>
      </c>
    </row>
    <row r="37" spans="1:65" x14ac:dyDescent="0.2">
      <c r="A37">
        <f>COUNT(A18:A33)</f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2"/>
  <dimension ref="A1:Y37"/>
  <sheetViews>
    <sheetView topLeftCell="A2" zoomScale="85" workbookViewId="0">
      <selection activeCell="I8" sqref="I8:I33"/>
    </sheetView>
  </sheetViews>
  <sheetFormatPr defaultRowHeight="12.75" x14ac:dyDescent="0.2"/>
  <cols>
    <col min="14" max="14" width="13.140625" style="2" customWidth="1"/>
    <col min="15" max="15" width="2.85546875" style="8" customWidth="1"/>
    <col min="24" max="24" width="2.7109375" style="8" customWidth="1"/>
    <col min="25" max="25" width="10.85546875" bestFit="1" customWidth="1"/>
  </cols>
  <sheetData>
    <row r="1" spans="1:25" x14ac:dyDescent="0.2">
      <c r="B1" s="2" t="s">
        <v>0</v>
      </c>
    </row>
    <row r="2" spans="1:25" x14ac:dyDescent="0.2">
      <c r="B2" s="6">
        <v>3.86</v>
      </c>
      <c r="C2" s="4"/>
      <c r="N2" s="2" t="s">
        <v>4</v>
      </c>
    </row>
    <row r="3" spans="1:25" x14ac:dyDescent="0.2">
      <c r="B3" s="5">
        <v>0</v>
      </c>
      <c r="C3" t="s">
        <v>1</v>
      </c>
      <c r="D3">
        <v>3.665</v>
      </c>
      <c r="E3">
        <v>3.7850000000000001</v>
      </c>
      <c r="F3">
        <v>3.82</v>
      </c>
      <c r="G3">
        <v>3.8450000000000002</v>
      </c>
      <c r="H3">
        <v>3.85</v>
      </c>
      <c r="I3">
        <v>3.8849999999999998</v>
      </c>
      <c r="Y3" t="s">
        <v>3</v>
      </c>
    </row>
    <row r="4" spans="1:25" x14ac:dyDescent="0.2">
      <c r="A4" s="7">
        <v>36586</v>
      </c>
      <c r="B4">
        <f t="shared" ref="B4:B34" si="0">B$2+B$3</f>
        <v>3.86</v>
      </c>
      <c r="C4" s="5">
        <f>GasDaily!AF4</f>
        <v>3.83</v>
      </c>
      <c r="D4" s="3">
        <v>5000</v>
      </c>
      <c r="E4" s="3">
        <v>15000</v>
      </c>
      <c r="F4" s="3">
        <v>10000</v>
      </c>
      <c r="G4" s="3"/>
      <c r="H4" s="3"/>
      <c r="I4" s="3"/>
      <c r="J4" s="3"/>
      <c r="K4" s="3"/>
      <c r="L4" s="3"/>
      <c r="M4" s="3"/>
      <c r="N4" s="10">
        <f t="shared" ref="N4:N34" si="1">SUM(D4:M4)</f>
        <v>30000</v>
      </c>
      <c r="O4" s="9"/>
      <c r="P4">
        <f t="shared" ref="P4:P31" si="2">D4*($C4-D$3)</f>
        <v>825.00000000000023</v>
      </c>
      <c r="Q4">
        <f t="shared" ref="Q4:Q31" si="3">E4*($C4-E$3)</f>
        <v>674.99999999999898</v>
      </c>
      <c r="R4">
        <f t="shared" ref="R4:R34" si="4">F4*($C4-F$3)</f>
        <v>100.0000000000023</v>
      </c>
      <c r="S4">
        <f t="shared" ref="S4:S34" si="5">G4*($C4-G$3)</f>
        <v>0</v>
      </c>
      <c r="T4">
        <f t="shared" ref="T4:T34" si="6">H4*($C4-H$3)</f>
        <v>0</v>
      </c>
      <c r="Y4">
        <f t="shared" ref="Y4:Y34" si="7">SUM(P4:X4)</f>
        <v>1600.0000000000014</v>
      </c>
    </row>
    <row r="5" spans="1:25" x14ac:dyDescent="0.2">
      <c r="A5" s="7">
        <v>36587</v>
      </c>
      <c r="B5">
        <f t="shared" si="0"/>
        <v>3.86</v>
      </c>
      <c r="C5" s="5">
        <f>GasDaily!AF5</f>
        <v>3.875</v>
      </c>
      <c r="D5" s="3">
        <v>5000</v>
      </c>
      <c r="E5" s="3">
        <v>15000</v>
      </c>
      <c r="F5" s="3">
        <v>10000</v>
      </c>
      <c r="G5" s="3">
        <v>-15000</v>
      </c>
      <c r="H5" s="3"/>
      <c r="I5" s="3"/>
      <c r="J5" s="3"/>
      <c r="K5" s="3"/>
      <c r="L5" s="3"/>
      <c r="M5" s="3"/>
      <c r="N5" s="10">
        <f t="shared" si="1"/>
        <v>15000</v>
      </c>
      <c r="O5" s="9"/>
      <c r="P5">
        <f t="shared" si="2"/>
        <v>1049.9999999999998</v>
      </c>
      <c r="Q5">
        <f t="shared" si="3"/>
        <v>1349.999999999998</v>
      </c>
      <c r="R5">
        <f t="shared" si="4"/>
        <v>550.00000000000159</v>
      </c>
      <c r="S5">
        <f t="shared" si="5"/>
        <v>-449.99999999999704</v>
      </c>
      <c r="T5">
        <f t="shared" si="6"/>
        <v>0</v>
      </c>
      <c r="U5">
        <f t="shared" ref="U5:U34" si="8">I5*($C5-I$3)</f>
        <v>0</v>
      </c>
      <c r="V5">
        <f t="shared" ref="V5:V34" si="9">J5*($C5-J$3)</f>
        <v>0</v>
      </c>
      <c r="Y5">
        <f t="shared" si="7"/>
        <v>2500.0000000000018</v>
      </c>
    </row>
    <row r="6" spans="1:25" x14ac:dyDescent="0.2">
      <c r="A6" s="7">
        <v>36588</v>
      </c>
      <c r="B6">
        <f t="shared" si="0"/>
        <v>3.86</v>
      </c>
      <c r="C6" s="5">
        <f>GasDaily!AF6</f>
        <v>3.875</v>
      </c>
      <c r="D6" s="3">
        <v>5000</v>
      </c>
      <c r="E6" s="3">
        <v>15000</v>
      </c>
      <c r="F6" s="3">
        <v>10000</v>
      </c>
      <c r="G6" s="3">
        <v>-15000</v>
      </c>
      <c r="H6" s="3"/>
      <c r="I6" s="3"/>
      <c r="J6" s="3"/>
      <c r="K6" s="3"/>
      <c r="L6" s="3"/>
      <c r="M6" s="3"/>
      <c r="N6" s="10">
        <f t="shared" si="1"/>
        <v>15000</v>
      </c>
      <c r="O6" s="9"/>
      <c r="P6">
        <f t="shared" si="2"/>
        <v>1049.9999999999998</v>
      </c>
      <c r="Q6">
        <f t="shared" si="3"/>
        <v>1349.999999999998</v>
      </c>
      <c r="R6">
        <f t="shared" si="4"/>
        <v>550.00000000000159</v>
      </c>
      <c r="S6">
        <f t="shared" si="5"/>
        <v>-449.99999999999704</v>
      </c>
      <c r="T6">
        <f t="shared" si="6"/>
        <v>0</v>
      </c>
      <c r="U6">
        <f t="shared" si="8"/>
        <v>0</v>
      </c>
      <c r="V6">
        <f t="shared" si="9"/>
        <v>0</v>
      </c>
      <c r="Y6">
        <f t="shared" si="7"/>
        <v>2500.0000000000018</v>
      </c>
    </row>
    <row r="7" spans="1:25" x14ac:dyDescent="0.2">
      <c r="A7" s="7">
        <v>36589</v>
      </c>
      <c r="B7">
        <f t="shared" si="0"/>
        <v>3.86</v>
      </c>
      <c r="C7" s="5">
        <f>GasDaily!AF7</f>
        <v>3.875</v>
      </c>
      <c r="D7" s="3">
        <v>5000</v>
      </c>
      <c r="E7" s="3">
        <v>15000</v>
      </c>
      <c r="F7" s="3">
        <v>10000</v>
      </c>
      <c r="G7" s="3">
        <v>-15000</v>
      </c>
      <c r="H7" s="3"/>
      <c r="I7" s="3"/>
      <c r="J7" s="3"/>
      <c r="K7" s="3"/>
      <c r="L7" s="3"/>
      <c r="M7" s="3"/>
      <c r="N7" s="10">
        <f t="shared" si="1"/>
        <v>15000</v>
      </c>
      <c r="O7" s="9"/>
      <c r="P7">
        <f t="shared" si="2"/>
        <v>1049.9999999999998</v>
      </c>
      <c r="Q7">
        <f t="shared" si="3"/>
        <v>1349.999999999998</v>
      </c>
      <c r="R7">
        <f t="shared" si="4"/>
        <v>550.00000000000159</v>
      </c>
      <c r="S7">
        <f t="shared" si="5"/>
        <v>-449.99999999999704</v>
      </c>
      <c r="T7">
        <f t="shared" si="6"/>
        <v>0</v>
      </c>
      <c r="U7">
        <f t="shared" si="8"/>
        <v>0</v>
      </c>
      <c r="V7">
        <f t="shared" si="9"/>
        <v>0</v>
      </c>
      <c r="Y7">
        <f t="shared" si="7"/>
        <v>2500.0000000000018</v>
      </c>
    </row>
    <row r="8" spans="1:25" x14ac:dyDescent="0.2">
      <c r="A8" s="7">
        <v>36590</v>
      </c>
      <c r="B8">
        <f t="shared" si="0"/>
        <v>3.86</v>
      </c>
      <c r="C8" s="5">
        <f>GasDaily!AF8</f>
        <v>3.875</v>
      </c>
      <c r="D8" s="3">
        <v>5000</v>
      </c>
      <c r="E8" s="3">
        <v>15000</v>
      </c>
      <c r="F8" s="3">
        <v>10000</v>
      </c>
      <c r="G8" s="3">
        <v>-15000</v>
      </c>
      <c r="H8" s="3">
        <v>10000</v>
      </c>
      <c r="I8" s="3">
        <v>-15000</v>
      </c>
      <c r="J8" s="3"/>
      <c r="K8" s="3"/>
      <c r="L8" s="3"/>
      <c r="M8" s="3"/>
      <c r="N8" s="10">
        <f t="shared" si="1"/>
        <v>10000</v>
      </c>
      <c r="O8" s="9"/>
      <c r="P8">
        <f t="shared" si="2"/>
        <v>1049.9999999999998</v>
      </c>
      <c r="Q8">
        <f t="shared" si="3"/>
        <v>1349.999999999998</v>
      </c>
      <c r="R8">
        <f t="shared" si="4"/>
        <v>550.00000000000159</v>
      </c>
      <c r="S8">
        <f t="shared" si="5"/>
        <v>-449.99999999999704</v>
      </c>
      <c r="T8">
        <f t="shared" si="6"/>
        <v>249.99999999999912</v>
      </c>
      <c r="U8">
        <f t="shared" si="8"/>
        <v>149.99999999999682</v>
      </c>
      <c r="V8">
        <f t="shared" si="9"/>
        <v>0</v>
      </c>
      <c r="Y8">
        <f t="shared" si="7"/>
        <v>2899.9999999999977</v>
      </c>
    </row>
    <row r="9" spans="1:25" x14ac:dyDescent="0.2">
      <c r="A9" s="7">
        <v>36591</v>
      </c>
      <c r="B9">
        <f t="shared" si="0"/>
        <v>3.86</v>
      </c>
      <c r="C9" s="5">
        <f>GasDaily!AF9</f>
        <v>3.875</v>
      </c>
      <c r="D9" s="3">
        <v>5000</v>
      </c>
      <c r="E9" s="3">
        <v>15000</v>
      </c>
      <c r="F9" s="3">
        <v>10000</v>
      </c>
      <c r="G9" s="3">
        <v>-15000</v>
      </c>
      <c r="H9" s="3">
        <v>10000</v>
      </c>
      <c r="I9" s="3">
        <v>-15000</v>
      </c>
      <c r="J9" s="3"/>
      <c r="K9" s="3"/>
      <c r="L9" s="3"/>
      <c r="M9" s="3"/>
      <c r="N9" s="10">
        <f t="shared" si="1"/>
        <v>10000</v>
      </c>
      <c r="O9" s="9"/>
      <c r="P9">
        <f t="shared" si="2"/>
        <v>1049.9999999999998</v>
      </c>
      <c r="Q9">
        <f t="shared" si="3"/>
        <v>1349.999999999998</v>
      </c>
      <c r="R9">
        <f t="shared" si="4"/>
        <v>550.00000000000159</v>
      </c>
      <c r="S9">
        <f t="shared" si="5"/>
        <v>-449.99999999999704</v>
      </c>
      <c r="T9">
        <f t="shared" si="6"/>
        <v>249.99999999999912</v>
      </c>
      <c r="U9">
        <f t="shared" si="8"/>
        <v>149.99999999999682</v>
      </c>
      <c r="V9">
        <f t="shared" si="9"/>
        <v>0</v>
      </c>
      <c r="Y9">
        <f t="shared" si="7"/>
        <v>2899.9999999999977</v>
      </c>
    </row>
    <row r="10" spans="1:25" x14ac:dyDescent="0.2">
      <c r="A10" s="7">
        <v>36592</v>
      </c>
      <c r="B10">
        <f t="shared" si="0"/>
        <v>3.86</v>
      </c>
      <c r="C10" s="5">
        <f>GasDaily!AF10</f>
        <v>3.875</v>
      </c>
      <c r="D10" s="3">
        <v>5000</v>
      </c>
      <c r="E10" s="3">
        <v>15000</v>
      </c>
      <c r="F10" s="3">
        <v>10000</v>
      </c>
      <c r="G10" s="3">
        <v>-15000</v>
      </c>
      <c r="H10" s="3">
        <v>10000</v>
      </c>
      <c r="I10" s="3">
        <v>-15000</v>
      </c>
      <c r="J10" s="3"/>
      <c r="K10" s="3"/>
      <c r="L10" s="3"/>
      <c r="M10" s="3"/>
      <c r="N10" s="10">
        <f t="shared" si="1"/>
        <v>10000</v>
      </c>
      <c r="O10" s="9"/>
      <c r="P10">
        <f t="shared" si="2"/>
        <v>1049.9999999999998</v>
      </c>
      <c r="Q10">
        <f t="shared" si="3"/>
        <v>1349.999999999998</v>
      </c>
      <c r="R10">
        <f t="shared" si="4"/>
        <v>550.00000000000159</v>
      </c>
      <c r="S10">
        <f t="shared" si="5"/>
        <v>-449.99999999999704</v>
      </c>
      <c r="T10">
        <f t="shared" si="6"/>
        <v>249.99999999999912</v>
      </c>
      <c r="U10">
        <f t="shared" si="8"/>
        <v>149.99999999999682</v>
      </c>
      <c r="V10">
        <f t="shared" si="9"/>
        <v>0</v>
      </c>
      <c r="Y10">
        <f t="shared" si="7"/>
        <v>2899.9999999999977</v>
      </c>
    </row>
    <row r="11" spans="1:25" x14ac:dyDescent="0.2">
      <c r="A11" s="7">
        <v>36593</v>
      </c>
      <c r="B11">
        <f t="shared" si="0"/>
        <v>3.86</v>
      </c>
      <c r="C11" s="5">
        <f>GasDaily!AF11</f>
        <v>3.875</v>
      </c>
      <c r="D11" s="3">
        <v>5000</v>
      </c>
      <c r="E11" s="3">
        <v>15000</v>
      </c>
      <c r="F11" s="3">
        <v>10000</v>
      </c>
      <c r="G11" s="3">
        <v>-15000</v>
      </c>
      <c r="H11" s="3">
        <v>10000</v>
      </c>
      <c r="I11" s="3">
        <v>-15000</v>
      </c>
      <c r="J11" s="3"/>
      <c r="K11" s="3"/>
      <c r="L11" s="3"/>
      <c r="M11" s="3"/>
      <c r="N11" s="10">
        <f t="shared" si="1"/>
        <v>10000</v>
      </c>
      <c r="O11" s="9"/>
      <c r="P11">
        <f t="shared" si="2"/>
        <v>1049.9999999999998</v>
      </c>
      <c r="Q11">
        <f t="shared" si="3"/>
        <v>1349.999999999998</v>
      </c>
      <c r="R11">
        <f t="shared" si="4"/>
        <v>550.00000000000159</v>
      </c>
      <c r="S11">
        <f t="shared" si="5"/>
        <v>-449.99999999999704</v>
      </c>
      <c r="T11">
        <f t="shared" si="6"/>
        <v>249.99999999999912</v>
      </c>
      <c r="U11">
        <f t="shared" si="8"/>
        <v>149.99999999999682</v>
      </c>
      <c r="V11">
        <f t="shared" si="9"/>
        <v>0</v>
      </c>
      <c r="Y11">
        <f t="shared" si="7"/>
        <v>2899.9999999999977</v>
      </c>
    </row>
    <row r="12" spans="1:25" x14ac:dyDescent="0.2">
      <c r="A12" s="7">
        <v>36594</v>
      </c>
      <c r="B12">
        <f t="shared" si="0"/>
        <v>3.86</v>
      </c>
      <c r="C12" s="5">
        <f>GasDaily!AF12</f>
        <v>3.875</v>
      </c>
      <c r="D12" s="3">
        <v>5000</v>
      </c>
      <c r="E12" s="3">
        <v>15000</v>
      </c>
      <c r="F12" s="3">
        <v>10000</v>
      </c>
      <c r="G12" s="3">
        <v>-15000</v>
      </c>
      <c r="H12" s="3">
        <v>10000</v>
      </c>
      <c r="I12" s="3">
        <v>-15000</v>
      </c>
      <c r="J12" s="3"/>
      <c r="K12" s="3"/>
      <c r="L12" s="3"/>
      <c r="M12" s="3"/>
      <c r="N12" s="10">
        <f t="shared" si="1"/>
        <v>10000</v>
      </c>
      <c r="O12" s="9"/>
      <c r="P12">
        <f t="shared" si="2"/>
        <v>1049.9999999999998</v>
      </c>
      <c r="Q12">
        <f t="shared" si="3"/>
        <v>1349.999999999998</v>
      </c>
      <c r="R12">
        <f t="shared" si="4"/>
        <v>550.00000000000159</v>
      </c>
      <c r="S12">
        <f t="shared" si="5"/>
        <v>-449.99999999999704</v>
      </c>
      <c r="T12">
        <f t="shared" si="6"/>
        <v>249.99999999999912</v>
      </c>
      <c r="U12">
        <f t="shared" si="8"/>
        <v>149.99999999999682</v>
      </c>
      <c r="V12">
        <f t="shared" si="9"/>
        <v>0</v>
      </c>
      <c r="Y12">
        <f t="shared" si="7"/>
        <v>2899.9999999999977</v>
      </c>
    </row>
    <row r="13" spans="1:25" x14ac:dyDescent="0.2">
      <c r="A13" s="7">
        <v>36595</v>
      </c>
      <c r="B13">
        <f t="shared" si="0"/>
        <v>3.86</v>
      </c>
      <c r="C13" s="5">
        <f>GasDaily!AF13</f>
        <v>3.875</v>
      </c>
      <c r="D13" s="3">
        <v>5000</v>
      </c>
      <c r="E13" s="3">
        <v>15000</v>
      </c>
      <c r="F13" s="3">
        <v>10000</v>
      </c>
      <c r="G13" s="3">
        <v>-15000</v>
      </c>
      <c r="H13" s="3">
        <v>10000</v>
      </c>
      <c r="I13" s="3">
        <v>-15000</v>
      </c>
      <c r="J13" s="3"/>
      <c r="K13" s="3"/>
      <c r="L13" s="3"/>
      <c r="M13" s="3"/>
      <c r="N13" s="10">
        <f t="shared" si="1"/>
        <v>10000</v>
      </c>
      <c r="O13" s="9"/>
      <c r="P13">
        <f t="shared" si="2"/>
        <v>1049.9999999999998</v>
      </c>
      <c r="Q13">
        <f t="shared" si="3"/>
        <v>1349.999999999998</v>
      </c>
      <c r="R13">
        <f t="shared" si="4"/>
        <v>550.00000000000159</v>
      </c>
      <c r="S13">
        <f t="shared" si="5"/>
        <v>-449.99999999999704</v>
      </c>
      <c r="T13">
        <f t="shared" si="6"/>
        <v>249.99999999999912</v>
      </c>
      <c r="U13">
        <f t="shared" si="8"/>
        <v>149.99999999999682</v>
      </c>
      <c r="V13">
        <f t="shared" si="9"/>
        <v>0</v>
      </c>
      <c r="Y13">
        <f t="shared" si="7"/>
        <v>2899.9999999999977</v>
      </c>
    </row>
    <row r="14" spans="1:25" x14ac:dyDescent="0.2">
      <c r="A14" s="7">
        <v>36596</v>
      </c>
      <c r="B14">
        <f t="shared" si="0"/>
        <v>3.86</v>
      </c>
      <c r="C14" s="5">
        <f>GasDaily!AF14</f>
        <v>3.875</v>
      </c>
      <c r="D14" s="3">
        <v>5000</v>
      </c>
      <c r="E14" s="3">
        <v>15000</v>
      </c>
      <c r="F14" s="3">
        <v>10000</v>
      </c>
      <c r="G14" s="3">
        <v>-15000</v>
      </c>
      <c r="H14" s="3">
        <v>10000</v>
      </c>
      <c r="I14" s="3">
        <v>-15000</v>
      </c>
      <c r="J14" s="3"/>
      <c r="K14" s="3"/>
      <c r="L14" s="3"/>
      <c r="M14" s="3"/>
      <c r="N14" s="10">
        <f t="shared" si="1"/>
        <v>10000</v>
      </c>
      <c r="O14" s="9"/>
      <c r="P14">
        <f t="shared" si="2"/>
        <v>1049.9999999999998</v>
      </c>
      <c r="Q14">
        <f t="shared" si="3"/>
        <v>1349.999999999998</v>
      </c>
      <c r="R14">
        <f t="shared" si="4"/>
        <v>550.00000000000159</v>
      </c>
      <c r="S14">
        <f t="shared" si="5"/>
        <v>-449.99999999999704</v>
      </c>
      <c r="T14">
        <f t="shared" si="6"/>
        <v>249.99999999999912</v>
      </c>
      <c r="U14">
        <f t="shared" si="8"/>
        <v>149.99999999999682</v>
      </c>
      <c r="V14">
        <f t="shared" si="9"/>
        <v>0</v>
      </c>
      <c r="Y14">
        <f t="shared" si="7"/>
        <v>2899.9999999999977</v>
      </c>
    </row>
    <row r="15" spans="1:25" x14ac:dyDescent="0.2">
      <c r="A15" s="7">
        <v>36597</v>
      </c>
      <c r="B15">
        <f t="shared" si="0"/>
        <v>3.86</v>
      </c>
      <c r="C15" s="5">
        <f>GasDaily!AF15</f>
        <v>3.875</v>
      </c>
      <c r="D15" s="3">
        <v>5000</v>
      </c>
      <c r="E15" s="3">
        <v>15000</v>
      </c>
      <c r="F15" s="3">
        <v>10000</v>
      </c>
      <c r="G15" s="3">
        <v>-15000</v>
      </c>
      <c r="H15" s="3">
        <v>10000</v>
      </c>
      <c r="I15" s="3">
        <v>-15000</v>
      </c>
      <c r="J15" s="3"/>
      <c r="K15" s="3"/>
      <c r="L15" s="3"/>
      <c r="M15" s="3"/>
      <c r="N15" s="10">
        <f t="shared" si="1"/>
        <v>10000</v>
      </c>
      <c r="O15" s="9"/>
      <c r="P15">
        <f t="shared" si="2"/>
        <v>1049.9999999999998</v>
      </c>
      <c r="Q15">
        <f t="shared" si="3"/>
        <v>1349.999999999998</v>
      </c>
      <c r="R15">
        <f t="shared" si="4"/>
        <v>550.00000000000159</v>
      </c>
      <c r="S15">
        <f t="shared" si="5"/>
        <v>-449.99999999999704</v>
      </c>
      <c r="T15">
        <f t="shared" si="6"/>
        <v>249.99999999999912</v>
      </c>
      <c r="U15">
        <f t="shared" si="8"/>
        <v>149.99999999999682</v>
      </c>
      <c r="V15">
        <f t="shared" si="9"/>
        <v>0</v>
      </c>
      <c r="Y15">
        <f t="shared" si="7"/>
        <v>2899.9999999999977</v>
      </c>
    </row>
    <row r="16" spans="1:25" x14ac:dyDescent="0.2">
      <c r="A16" s="7">
        <v>36598</v>
      </c>
      <c r="B16">
        <f t="shared" si="0"/>
        <v>3.86</v>
      </c>
      <c r="C16" s="5">
        <f>GasDaily!AF16</f>
        <v>3.875</v>
      </c>
      <c r="D16" s="3">
        <v>5000</v>
      </c>
      <c r="E16" s="3">
        <v>15000</v>
      </c>
      <c r="F16" s="3">
        <v>10000</v>
      </c>
      <c r="G16" s="3">
        <v>-15000</v>
      </c>
      <c r="H16" s="3">
        <v>10000</v>
      </c>
      <c r="I16" s="3">
        <v>-15000</v>
      </c>
      <c r="J16" s="3"/>
      <c r="K16" s="3"/>
      <c r="L16" s="3"/>
      <c r="M16" s="3"/>
      <c r="N16" s="10">
        <f t="shared" si="1"/>
        <v>10000</v>
      </c>
      <c r="O16" s="9"/>
      <c r="P16">
        <f t="shared" si="2"/>
        <v>1049.9999999999998</v>
      </c>
      <c r="Q16">
        <f t="shared" si="3"/>
        <v>1349.999999999998</v>
      </c>
      <c r="R16">
        <f t="shared" si="4"/>
        <v>550.00000000000159</v>
      </c>
      <c r="S16">
        <f t="shared" si="5"/>
        <v>-449.99999999999704</v>
      </c>
      <c r="T16">
        <f t="shared" si="6"/>
        <v>249.99999999999912</v>
      </c>
      <c r="U16">
        <f t="shared" si="8"/>
        <v>149.99999999999682</v>
      </c>
      <c r="V16">
        <f t="shared" si="9"/>
        <v>0</v>
      </c>
      <c r="Y16">
        <f t="shared" si="7"/>
        <v>2899.9999999999977</v>
      </c>
    </row>
    <row r="17" spans="1:25" x14ac:dyDescent="0.2">
      <c r="A17" s="7">
        <v>36599</v>
      </c>
      <c r="B17">
        <f t="shared" si="0"/>
        <v>3.86</v>
      </c>
      <c r="C17" s="5">
        <f>GasDaily!AF17</f>
        <v>3.875</v>
      </c>
      <c r="D17" s="3">
        <v>5000</v>
      </c>
      <c r="E17" s="3">
        <v>15000</v>
      </c>
      <c r="F17" s="3">
        <v>10000</v>
      </c>
      <c r="G17" s="3">
        <v>-15000</v>
      </c>
      <c r="H17" s="3">
        <v>10000</v>
      </c>
      <c r="I17" s="3">
        <v>-15000</v>
      </c>
      <c r="J17" s="3"/>
      <c r="K17" s="3"/>
      <c r="L17" s="3"/>
      <c r="M17" s="3"/>
      <c r="N17" s="10">
        <f t="shared" si="1"/>
        <v>10000</v>
      </c>
      <c r="O17" s="9"/>
      <c r="P17">
        <f t="shared" si="2"/>
        <v>1049.9999999999998</v>
      </c>
      <c r="Q17">
        <f t="shared" si="3"/>
        <v>1349.999999999998</v>
      </c>
      <c r="R17">
        <f t="shared" si="4"/>
        <v>550.00000000000159</v>
      </c>
      <c r="S17">
        <f t="shared" si="5"/>
        <v>-449.99999999999704</v>
      </c>
      <c r="T17">
        <f t="shared" si="6"/>
        <v>249.99999999999912</v>
      </c>
      <c r="U17">
        <f t="shared" si="8"/>
        <v>149.99999999999682</v>
      </c>
      <c r="V17">
        <f t="shared" si="9"/>
        <v>0</v>
      </c>
      <c r="Y17">
        <f t="shared" si="7"/>
        <v>2899.9999999999977</v>
      </c>
    </row>
    <row r="18" spans="1:25" x14ac:dyDescent="0.2">
      <c r="A18" s="7">
        <v>36600</v>
      </c>
      <c r="B18">
        <f t="shared" si="0"/>
        <v>3.86</v>
      </c>
      <c r="C18" s="5">
        <f>GasDaily!AF18</f>
        <v>3.875</v>
      </c>
      <c r="D18" s="3">
        <v>5000</v>
      </c>
      <c r="E18" s="3">
        <v>15000</v>
      </c>
      <c r="F18" s="3">
        <v>10000</v>
      </c>
      <c r="G18" s="3">
        <v>-15000</v>
      </c>
      <c r="H18" s="3">
        <v>10000</v>
      </c>
      <c r="I18" s="3">
        <v>-15000</v>
      </c>
      <c r="J18" s="3"/>
      <c r="K18" s="3"/>
      <c r="L18" s="3"/>
      <c r="M18" s="3"/>
      <c r="N18" s="10">
        <f t="shared" si="1"/>
        <v>10000</v>
      </c>
      <c r="O18" s="9"/>
      <c r="P18">
        <f t="shared" si="2"/>
        <v>1049.9999999999998</v>
      </c>
      <c r="Q18">
        <f t="shared" si="3"/>
        <v>1349.999999999998</v>
      </c>
      <c r="R18">
        <f t="shared" si="4"/>
        <v>550.00000000000159</v>
      </c>
      <c r="S18">
        <f t="shared" si="5"/>
        <v>-449.99999999999704</v>
      </c>
      <c r="T18">
        <f t="shared" si="6"/>
        <v>249.99999999999912</v>
      </c>
      <c r="U18">
        <f t="shared" si="8"/>
        <v>149.99999999999682</v>
      </c>
      <c r="V18">
        <f t="shared" si="9"/>
        <v>0</v>
      </c>
      <c r="Y18">
        <f t="shared" si="7"/>
        <v>2899.9999999999977</v>
      </c>
    </row>
    <row r="19" spans="1:25" x14ac:dyDescent="0.2">
      <c r="A19" s="7">
        <v>36601</v>
      </c>
      <c r="B19">
        <f t="shared" si="0"/>
        <v>3.86</v>
      </c>
      <c r="C19" s="5">
        <f>GasDaily!AF19</f>
        <v>3.875</v>
      </c>
      <c r="D19" s="3">
        <v>5000</v>
      </c>
      <c r="E19" s="3">
        <v>15000</v>
      </c>
      <c r="F19" s="3">
        <v>10000</v>
      </c>
      <c r="G19" s="3">
        <v>-15000</v>
      </c>
      <c r="H19" s="3">
        <v>10000</v>
      </c>
      <c r="I19" s="3">
        <v>-15000</v>
      </c>
      <c r="J19" s="3"/>
      <c r="K19" s="3"/>
      <c r="L19" s="3"/>
      <c r="M19" s="3"/>
      <c r="N19" s="10">
        <f t="shared" si="1"/>
        <v>10000</v>
      </c>
      <c r="O19" s="9"/>
      <c r="P19">
        <f t="shared" si="2"/>
        <v>1049.9999999999998</v>
      </c>
      <c r="Q19">
        <f t="shared" si="3"/>
        <v>1349.999999999998</v>
      </c>
      <c r="R19">
        <f t="shared" si="4"/>
        <v>550.00000000000159</v>
      </c>
      <c r="S19">
        <f t="shared" si="5"/>
        <v>-449.99999999999704</v>
      </c>
      <c r="T19">
        <f t="shared" si="6"/>
        <v>249.99999999999912</v>
      </c>
      <c r="U19">
        <f t="shared" si="8"/>
        <v>149.99999999999682</v>
      </c>
      <c r="V19">
        <f t="shared" si="9"/>
        <v>0</v>
      </c>
      <c r="Y19">
        <f t="shared" si="7"/>
        <v>2899.9999999999977</v>
      </c>
    </row>
    <row r="20" spans="1:25" x14ac:dyDescent="0.2">
      <c r="A20" s="7">
        <v>36602</v>
      </c>
      <c r="B20">
        <f t="shared" si="0"/>
        <v>3.86</v>
      </c>
      <c r="C20" s="5">
        <f>GasDaily!AF20</f>
        <v>3.875</v>
      </c>
      <c r="D20" s="3">
        <v>5000</v>
      </c>
      <c r="E20" s="3">
        <v>15000</v>
      </c>
      <c r="F20" s="3">
        <v>10000</v>
      </c>
      <c r="G20" s="3">
        <v>-15000</v>
      </c>
      <c r="H20" s="3">
        <v>10000</v>
      </c>
      <c r="I20" s="3">
        <v>-15000</v>
      </c>
      <c r="J20" s="3"/>
      <c r="K20" s="3"/>
      <c r="L20" s="3"/>
      <c r="M20" s="3"/>
      <c r="N20" s="10">
        <f t="shared" si="1"/>
        <v>10000</v>
      </c>
      <c r="O20" s="9"/>
      <c r="P20">
        <f t="shared" si="2"/>
        <v>1049.9999999999998</v>
      </c>
      <c r="Q20">
        <f t="shared" si="3"/>
        <v>1349.999999999998</v>
      </c>
      <c r="R20">
        <f t="shared" si="4"/>
        <v>550.00000000000159</v>
      </c>
      <c r="S20">
        <f t="shared" si="5"/>
        <v>-449.99999999999704</v>
      </c>
      <c r="T20">
        <f t="shared" si="6"/>
        <v>249.99999999999912</v>
      </c>
      <c r="U20">
        <f t="shared" si="8"/>
        <v>149.99999999999682</v>
      </c>
      <c r="V20">
        <f t="shared" si="9"/>
        <v>0</v>
      </c>
      <c r="Y20">
        <f t="shared" si="7"/>
        <v>2899.9999999999977</v>
      </c>
    </row>
    <row r="21" spans="1:25" x14ac:dyDescent="0.2">
      <c r="A21" s="7">
        <v>36603</v>
      </c>
      <c r="B21">
        <f t="shared" si="0"/>
        <v>3.86</v>
      </c>
      <c r="C21" s="5">
        <f>GasDaily!AF21</f>
        <v>3.875</v>
      </c>
      <c r="D21" s="3">
        <v>5000</v>
      </c>
      <c r="E21" s="3">
        <v>15000</v>
      </c>
      <c r="F21" s="3">
        <v>10000</v>
      </c>
      <c r="G21" s="3">
        <v>-15000</v>
      </c>
      <c r="H21" s="3">
        <v>10000</v>
      </c>
      <c r="I21" s="3">
        <v>-15000</v>
      </c>
      <c r="J21" s="3"/>
      <c r="K21" s="3"/>
      <c r="L21" s="3"/>
      <c r="M21" s="3"/>
      <c r="N21" s="10">
        <f t="shared" si="1"/>
        <v>10000</v>
      </c>
      <c r="O21" s="9"/>
      <c r="P21">
        <f t="shared" si="2"/>
        <v>1049.9999999999998</v>
      </c>
      <c r="Q21">
        <f t="shared" si="3"/>
        <v>1349.999999999998</v>
      </c>
      <c r="R21">
        <f t="shared" si="4"/>
        <v>550.00000000000159</v>
      </c>
      <c r="S21">
        <f t="shared" si="5"/>
        <v>-449.99999999999704</v>
      </c>
      <c r="T21">
        <f t="shared" si="6"/>
        <v>249.99999999999912</v>
      </c>
      <c r="U21">
        <f t="shared" si="8"/>
        <v>149.99999999999682</v>
      </c>
      <c r="V21">
        <f t="shared" si="9"/>
        <v>0</v>
      </c>
      <c r="Y21">
        <f t="shared" si="7"/>
        <v>2899.9999999999977</v>
      </c>
    </row>
    <row r="22" spans="1:25" x14ac:dyDescent="0.2">
      <c r="A22" s="7">
        <v>36604</v>
      </c>
      <c r="B22">
        <f t="shared" si="0"/>
        <v>3.86</v>
      </c>
      <c r="C22" s="5">
        <f>GasDaily!AF22</f>
        <v>3.875</v>
      </c>
      <c r="D22" s="3">
        <v>5000</v>
      </c>
      <c r="E22" s="3">
        <v>15000</v>
      </c>
      <c r="F22" s="3">
        <v>10000</v>
      </c>
      <c r="G22" s="3">
        <v>-15000</v>
      </c>
      <c r="H22" s="3">
        <v>10000</v>
      </c>
      <c r="I22" s="3">
        <v>-15000</v>
      </c>
      <c r="J22" s="3"/>
      <c r="K22" s="3"/>
      <c r="L22" s="3"/>
      <c r="M22" s="3"/>
      <c r="N22" s="10">
        <f t="shared" si="1"/>
        <v>10000</v>
      </c>
      <c r="O22" s="9"/>
      <c r="P22">
        <f t="shared" si="2"/>
        <v>1049.9999999999998</v>
      </c>
      <c r="Q22">
        <f t="shared" si="3"/>
        <v>1349.999999999998</v>
      </c>
      <c r="R22">
        <f t="shared" si="4"/>
        <v>550.00000000000159</v>
      </c>
      <c r="S22">
        <f t="shared" si="5"/>
        <v>-449.99999999999704</v>
      </c>
      <c r="T22">
        <f t="shared" si="6"/>
        <v>249.99999999999912</v>
      </c>
      <c r="U22">
        <f t="shared" si="8"/>
        <v>149.99999999999682</v>
      </c>
      <c r="V22">
        <f t="shared" si="9"/>
        <v>0</v>
      </c>
      <c r="Y22">
        <f t="shared" si="7"/>
        <v>2899.9999999999977</v>
      </c>
    </row>
    <row r="23" spans="1:25" x14ac:dyDescent="0.2">
      <c r="A23" s="7">
        <v>36605</v>
      </c>
      <c r="B23">
        <f t="shared" si="0"/>
        <v>3.86</v>
      </c>
      <c r="C23" s="5">
        <f>GasDaily!AF23</f>
        <v>3.875</v>
      </c>
      <c r="D23" s="3">
        <v>5000</v>
      </c>
      <c r="E23" s="3">
        <v>15000</v>
      </c>
      <c r="F23" s="3">
        <v>10000</v>
      </c>
      <c r="G23" s="3">
        <v>-15000</v>
      </c>
      <c r="H23" s="3">
        <v>10000</v>
      </c>
      <c r="I23" s="3">
        <v>-15000</v>
      </c>
      <c r="J23" s="3"/>
      <c r="K23" s="3"/>
      <c r="L23" s="3"/>
      <c r="M23" s="3"/>
      <c r="N23" s="10">
        <f t="shared" si="1"/>
        <v>10000</v>
      </c>
      <c r="O23" s="9"/>
      <c r="P23">
        <f t="shared" si="2"/>
        <v>1049.9999999999998</v>
      </c>
      <c r="Q23">
        <f t="shared" si="3"/>
        <v>1349.999999999998</v>
      </c>
      <c r="R23">
        <f t="shared" si="4"/>
        <v>550.00000000000159</v>
      </c>
      <c r="S23">
        <f t="shared" si="5"/>
        <v>-449.99999999999704</v>
      </c>
      <c r="T23">
        <f t="shared" si="6"/>
        <v>249.99999999999912</v>
      </c>
      <c r="U23">
        <f t="shared" si="8"/>
        <v>149.99999999999682</v>
      </c>
      <c r="V23">
        <f t="shared" si="9"/>
        <v>0</v>
      </c>
      <c r="Y23">
        <f t="shared" si="7"/>
        <v>2899.9999999999977</v>
      </c>
    </row>
    <row r="24" spans="1:25" x14ac:dyDescent="0.2">
      <c r="A24" s="7">
        <v>36606</v>
      </c>
      <c r="B24">
        <f t="shared" si="0"/>
        <v>3.86</v>
      </c>
      <c r="C24" s="5">
        <f>GasDaily!AF24</f>
        <v>3.875</v>
      </c>
      <c r="D24" s="3">
        <v>5000</v>
      </c>
      <c r="E24" s="3">
        <v>15000</v>
      </c>
      <c r="F24" s="3">
        <v>10000</v>
      </c>
      <c r="G24" s="3">
        <v>-15000</v>
      </c>
      <c r="H24" s="3">
        <v>10000</v>
      </c>
      <c r="I24" s="3">
        <v>-15000</v>
      </c>
      <c r="J24" s="3"/>
      <c r="K24" s="3"/>
      <c r="L24" s="3"/>
      <c r="M24" s="3"/>
      <c r="N24" s="10">
        <f t="shared" si="1"/>
        <v>10000</v>
      </c>
      <c r="O24" s="9"/>
      <c r="P24">
        <f t="shared" si="2"/>
        <v>1049.9999999999998</v>
      </c>
      <c r="Q24">
        <f t="shared" si="3"/>
        <v>1349.999999999998</v>
      </c>
      <c r="R24">
        <f t="shared" si="4"/>
        <v>550.00000000000159</v>
      </c>
      <c r="S24">
        <f t="shared" si="5"/>
        <v>-449.99999999999704</v>
      </c>
      <c r="T24">
        <f t="shared" si="6"/>
        <v>249.99999999999912</v>
      </c>
      <c r="U24">
        <f t="shared" si="8"/>
        <v>149.99999999999682</v>
      </c>
      <c r="V24">
        <f t="shared" si="9"/>
        <v>0</v>
      </c>
      <c r="Y24">
        <f t="shared" si="7"/>
        <v>2899.9999999999977</v>
      </c>
    </row>
    <row r="25" spans="1:25" x14ac:dyDescent="0.2">
      <c r="A25" s="7">
        <v>36607</v>
      </c>
      <c r="B25">
        <f t="shared" si="0"/>
        <v>3.86</v>
      </c>
      <c r="C25" s="5">
        <f>GasDaily!AF25</f>
        <v>3.875</v>
      </c>
      <c r="D25" s="3">
        <v>5000</v>
      </c>
      <c r="E25" s="3">
        <v>15000</v>
      </c>
      <c r="F25" s="3">
        <v>10000</v>
      </c>
      <c r="G25" s="3">
        <v>-15000</v>
      </c>
      <c r="H25" s="3">
        <v>10000</v>
      </c>
      <c r="I25" s="3">
        <v>-15000</v>
      </c>
      <c r="J25" s="3"/>
      <c r="K25" s="3"/>
      <c r="L25" s="3"/>
      <c r="M25" s="3"/>
      <c r="N25" s="10">
        <f t="shared" si="1"/>
        <v>10000</v>
      </c>
      <c r="O25" s="9"/>
      <c r="P25">
        <f t="shared" si="2"/>
        <v>1049.9999999999998</v>
      </c>
      <c r="Q25">
        <f t="shared" si="3"/>
        <v>1349.999999999998</v>
      </c>
      <c r="R25">
        <f t="shared" si="4"/>
        <v>550.00000000000159</v>
      </c>
      <c r="S25">
        <f t="shared" si="5"/>
        <v>-449.99999999999704</v>
      </c>
      <c r="T25">
        <f t="shared" si="6"/>
        <v>249.99999999999912</v>
      </c>
      <c r="U25">
        <f t="shared" si="8"/>
        <v>149.99999999999682</v>
      </c>
      <c r="V25">
        <f t="shared" si="9"/>
        <v>0</v>
      </c>
      <c r="Y25">
        <f t="shared" si="7"/>
        <v>2899.9999999999977</v>
      </c>
    </row>
    <row r="26" spans="1:25" x14ac:dyDescent="0.2">
      <c r="A26" s="7">
        <v>36608</v>
      </c>
      <c r="B26">
        <f t="shared" si="0"/>
        <v>3.86</v>
      </c>
      <c r="C26" s="5">
        <f>GasDaily!AF26</f>
        <v>3.875</v>
      </c>
      <c r="D26" s="3">
        <v>5000</v>
      </c>
      <c r="E26" s="3">
        <v>15000</v>
      </c>
      <c r="F26" s="3">
        <v>10000</v>
      </c>
      <c r="G26" s="3">
        <v>-15000</v>
      </c>
      <c r="H26" s="3">
        <v>10000</v>
      </c>
      <c r="I26" s="3">
        <v>-15000</v>
      </c>
      <c r="J26" s="3"/>
      <c r="K26" s="3"/>
      <c r="L26" s="3"/>
      <c r="M26" s="3"/>
      <c r="N26" s="10">
        <f t="shared" si="1"/>
        <v>10000</v>
      </c>
      <c r="O26" s="9"/>
      <c r="P26">
        <f t="shared" si="2"/>
        <v>1049.9999999999998</v>
      </c>
      <c r="Q26">
        <f t="shared" si="3"/>
        <v>1349.999999999998</v>
      </c>
      <c r="R26">
        <f t="shared" si="4"/>
        <v>550.00000000000159</v>
      </c>
      <c r="S26">
        <f t="shared" si="5"/>
        <v>-449.99999999999704</v>
      </c>
      <c r="T26">
        <f t="shared" si="6"/>
        <v>249.99999999999912</v>
      </c>
      <c r="U26">
        <f t="shared" si="8"/>
        <v>149.99999999999682</v>
      </c>
      <c r="V26">
        <f t="shared" si="9"/>
        <v>0</v>
      </c>
      <c r="Y26">
        <f t="shared" si="7"/>
        <v>2899.9999999999977</v>
      </c>
    </row>
    <row r="27" spans="1:25" x14ac:dyDescent="0.2">
      <c r="A27" s="7">
        <v>36609</v>
      </c>
      <c r="B27">
        <f t="shared" si="0"/>
        <v>3.86</v>
      </c>
      <c r="C27" s="5">
        <f>GasDaily!AF27</f>
        <v>3.875</v>
      </c>
      <c r="D27" s="3">
        <v>5000</v>
      </c>
      <c r="E27" s="3">
        <v>15000</v>
      </c>
      <c r="F27" s="3">
        <v>10000</v>
      </c>
      <c r="G27" s="3">
        <v>-15000</v>
      </c>
      <c r="H27" s="3">
        <v>10000</v>
      </c>
      <c r="I27" s="3">
        <v>-15000</v>
      </c>
      <c r="J27" s="3"/>
      <c r="K27" s="3"/>
      <c r="L27" s="3"/>
      <c r="M27" s="3"/>
      <c r="N27" s="10">
        <f t="shared" si="1"/>
        <v>10000</v>
      </c>
      <c r="O27" s="9"/>
      <c r="P27">
        <f t="shared" si="2"/>
        <v>1049.9999999999998</v>
      </c>
      <c r="Q27">
        <f t="shared" si="3"/>
        <v>1349.999999999998</v>
      </c>
      <c r="R27">
        <f t="shared" si="4"/>
        <v>550.00000000000159</v>
      </c>
      <c r="S27">
        <f t="shared" si="5"/>
        <v>-449.99999999999704</v>
      </c>
      <c r="T27">
        <f t="shared" si="6"/>
        <v>249.99999999999912</v>
      </c>
      <c r="U27">
        <f t="shared" si="8"/>
        <v>149.99999999999682</v>
      </c>
      <c r="V27">
        <f t="shared" si="9"/>
        <v>0</v>
      </c>
      <c r="Y27">
        <f t="shared" si="7"/>
        <v>2899.9999999999977</v>
      </c>
    </row>
    <row r="28" spans="1:25" x14ac:dyDescent="0.2">
      <c r="A28" s="7">
        <v>36610</v>
      </c>
      <c r="B28">
        <f t="shared" si="0"/>
        <v>3.86</v>
      </c>
      <c r="C28" s="5">
        <f>GasDaily!AF28</f>
        <v>3.875</v>
      </c>
      <c r="D28" s="3">
        <v>5000</v>
      </c>
      <c r="E28" s="3">
        <v>15000</v>
      </c>
      <c r="F28" s="3">
        <v>10000</v>
      </c>
      <c r="G28" s="3">
        <v>-15000</v>
      </c>
      <c r="H28" s="3">
        <v>10000</v>
      </c>
      <c r="I28" s="3">
        <v>-15000</v>
      </c>
      <c r="J28" s="3"/>
      <c r="K28" s="3"/>
      <c r="L28" s="3"/>
      <c r="M28" s="3"/>
      <c r="N28" s="10">
        <f t="shared" si="1"/>
        <v>10000</v>
      </c>
      <c r="O28" s="9"/>
      <c r="P28">
        <f t="shared" si="2"/>
        <v>1049.9999999999998</v>
      </c>
      <c r="Q28">
        <f t="shared" si="3"/>
        <v>1349.999999999998</v>
      </c>
      <c r="R28">
        <f t="shared" si="4"/>
        <v>550.00000000000159</v>
      </c>
      <c r="S28">
        <f t="shared" si="5"/>
        <v>-449.99999999999704</v>
      </c>
      <c r="T28">
        <f t="shared" si="6"/>
        <v>249.99999999999912</v>
      </c>
      <c r="U28">
        <f t="shared" si="8"/>
        <v>149.99999999999682</v>
      </c>
      <c r="V28">
        <f t="shared" si="9"/>
        <v>0</v>
      </c>
      <c r="Y28">
        <f t="shared" si="7"/>
        <v>2899.9999999999977</v>
      </c>
    </row>
    <row r="29" spans="1:25" x14ac:dyDescent="0.2">
      <c r="A29" s="7">
        <v>36611</v>
      </c>
      <c r="B29">
        <f t="shared" si="0"/>
        <v>3.86</v>
      </c>
      <c r="C29" s="5">
        <f>GasDaily!AF29</f>
        <v>3.875</v>
      </c>
      <c r="D29" s="3">
        <v>5000</v>
      </c>
      <c r="E29" s="3">
        <v>15000</v>
      </c>
      <c r="F29" s="3">
        <v>10000</v>
      </c>
      <c r="G29" s="3">
        <v>-15000</v>
      </c>
      <c r="H29" s="3">
        <v>10000</v>
      </c>
      <c r="I29" s="3">
        <v>-15000</v>
      </c>
      <c r="J29" s="3"/>
      <c r="K29" s="3"/>
      <c r="L29" s="3"/>
      <c r="M29" s="3"/>
      <c r="N29" s="10">
        <f t="shared" si="1"/>
        <v>10000</v>
      </c>
      <c r="O29" s="9"/>
      <c r="P29">
        <f t="shared" si="2"/>
        <v>1049.9999999999998</v>
      </c>
      <c r="Q29">
        <f t="shared" si="3"/>
        <v>1349.999999999998</v>
      </c>
      <c r="R29">
        <f t="shared" si="4"/>
        <v>550.00000000000159</v>
      </c>
      <c r="S29">
        <f t="shared" si="5"/>
        <v>-449.99999999999704</v>
      </c>
      <c r="T29">
        <f t="shared" si="6"/>
        <v>249.99999999999912</v>
      </c>
      <c r="U29">
        <f t="shared" si="8"/>
        <v>149.99999999999682</v>
      </c>
      <c r="V29">
        <f t="shared" si="9"/>
        <v>0</v>
      </c>
      <c r="Y29">
        <f t="shared" si="7"/>
        <v>2899.9999999999977</v>
      </c>
    </row>
    <row r="30" spans="1:25" x14ac:dyDescent="0.2">
      <c r="A30" s="7">
        <v>36612</v>
      </c>
      <c r="B30">
        <f t="shared" si="0"/>
        <v>3.86</v>
      </c>
      <c r="C30" s="5">
        <f>GasDaily!AF30</f>
        <v>3.875</v>
      </c>
      <c r="D30" s="3">
        <v>5000</v>
      </c>
      <c r="E30" s="3">
        <v>15000</v>
      </c>
      <c r="F30" s="3">
        <v>10000</v>
      </c>
      <c r="G30" s="3">
        <v>-15000</v>
      </c>
      <c r="H30" s="3">
        <v>10000</v>
      </c>
      <c r="I30" s="3">
        <v>-15000</v>
      </c>
      <c r="J30" s="3"/>
      <c r="K30" s="3"/>
      <c r="L30" s="3"/>
      <c r="M30" s="3"/>
      <c r="N30" s="10">
        <f t="shared" si="1"/>
        <v>10000</v>
      </c>
      <c r="O30" s="9"/>
      <c r="P30">
        <f t="shared" si="2"/>
        <v>1049.9999999999998</v>
      </c>
      <c r="Q30">
        <f t="shared" si="3"/>
        <v>1349.999999999998</v>
      </c>
      <c r="R30">
        <f t="shared" si="4"/>
        <v>550.00000000000159</v>
      </c>
      <c r="S30">
        <f t="shared" si="5"/>
        <v>-449.99999999999704</v>
      </c>
      <c r="T30">
        <f t="shared" si="6"/>
        <v>249.99999999999912</v>
      </c>
      <c r="U30">
        <f t="shared" si="8"/>
        <v>149.99999999999682</v>
      </c>
      <c r="V30">
        <f t="shared" si="9"/>
        <v>0</v>
      </c>
      <c r="Y30">
        <f t="shared" si="7"/>
        <v>2899.9999999999977</v>
      </c>
    </row>
    <row r="31" spans="1:25" x14ac:dyDescent="0.2">
      <c r="A31" s="7">
        <v>36613</v>
      </c>
      <c r="B31">
        <f t="shared" si="0"/>
        <v>3.86</v>
      </c>
      <c r="C31" s="5">
        <f>GasDaily!AF31</f>
        <v>3.875</v>
      </c>
      <c r="D31" s="3">
        <v>5000</v>
      </c>
      <c r="E31" s="3">
        <v>15000</v>
      </c>
      <c r="F31" s="3">
        <v>10000</v>
      </c>
      <c r="G31" s="3">
        <v>-15000</v>
      </c>
      <c r="H31" s="3">
        <v>10000</v>
      </c>
      <c r="I31" s="3">
        <v>-15000</v>
      </c>
      <c r="J31" s="3"/>
      <c r="K31" s="3"/>
      <c r="L31" s="3"/>
      <c r="M31" s="3"/>
      <c r="N31" s="10">
        <f t="shared" si="1"/>
        <v>10000</v>
      </c>
      <c r="O31" s="9"/>
      <c r="P31">
        <f t="shared" si="2"/>
        <v>1049.9999999999998</v>
      </c>
      <c r="Q31">
        <f t="shared" si="3"/>
        <v>1349.999999999998</v>
      </c>
      <c r="R31">
        <f t="shared" si="4"/>
        <v>550.00000000000159</v>
      </c>
      <c r="S31">
        <f t="shared" si="5"/>
        <v>-449.99999999999704</v>
      </c>
      <c r="T31">
        <f t="shared" si="6"/>
        <v>249.99999999999912</v>
      </c>
      <c r="U31">
        <f t="shared" si="8"/>
        <v>149.99999999999682</v>
      </c>
      <c r="V31">
        <f t="shared" si="9"/>
        <v>0</v>
      </c>
      <c r="Y31">
        <f t="shared" si="7"/>
        <v>2899.9999999999977</v>
      </c>
    </row>
    <row r="32" spans="1:25" x14ac:dyDescent="0.2">
      <c r="A32" s="7">
        <v>36614</v>
      </c>
      <c r="B32">
        <f t="shared" si="0"/>
        <v>3.86</v>
      </c>
      <c r="C32" s="5">
        <f>GasDaily!AF32</f>
        <v>3.875</v>
      </c>
      <c r="D32" s="3">
        <v>5000</v>
      </c>
      <c r="E32" s="3">
        <v>15000</v>
      </c>
      <c r="F32" s="3">
        <v>10000</v>
      </c>
      <c r="G32" s="3">
        <v>-15000</v>
      </c>
      <c r="H32" s="3">
        <v>10000</v>
      </c>
      <c r="I32" s="3">
        <v>-15000</v>
      </c>
      <c r="J32" s="3"/>
      <c r="K32" s="3"/>
      <c r="L32" s="3"/>
      <c r="M32" s="3"/>
      <c r="N32" s="10">
        <f t="shared" si="1"/>
        <v>10000</v>
      </c>
      <c r="O32" s="9"/>
      <c r="P32">
        <f>D32*(C32-D$3)</f>
        <v>1049.9999999999998</v>
      </c>
      <c r="Q32">
        <f>E32*($C32-E$3)</f>
        <v>1349.999999999998</v>
      </c>
      <c r="R32">
        <f t="shared" si="4"/>
        <v>550.00000000000159</v>
      </c>
      <c r="S32">
        <f t="shared" si="5"/>
        <v>-449.99999999999704</v>
      </c>
      <c r="T32">
        <f t="shared" si="6"/>
        <v>249.99999999999912</v>
      </c>
      <c r="U32">
        <f t="shared" si="8"/>
        <v>149.99999999999682</v>
      </c>
      <c r="V32">
        <f t="shared" si="9"/>
        <v>0</v>
      </c>
      <c r="Y32">
        <f t="shared" si="7"/>
        <v>2899.9999999999977</v>
      </c>
    </row>
    <row r="33" spans="1:25" x14ac:dyDescent="0.2">
      <c r="A33" s="7">
        <v>36615</v>
      </c>
      <c r="B33">
        <f t="shared" si="0"/>
        <v>3.86</v>
      </c>
      <c r="C33" s="5">
        <f>GasDaily!AF33</f>
        <v>3.875</v>
      </c>
      <c r="D33" s="3">
        <v>5000</v>
      </c>
      <c r="E33" s="3">
        <v>15000</v>
      </c>
      <c r="F33" s="3">
        <v>10000</v>
      </c>
      <c r="G33" s="3">
        <v>-15000</v>
      </c>
      <c r="H33" s="3">
        <v>10000</v>
      </c>
      <c r="I33" s="3">
        <v>-15000</v>
      </c>
      <c r="J33" s="3"/>
      <c r="K33" s="3"/>
      <c r="L33" s="3"/>
      <c r="N33" s="10">
        <f t="shared" si="1"/>
        <v>10000</v>
      </c>
      <c r="P33">
        <f>D33*(C33-D$3)</f>
        <v>1049.9999999999998</v>
      </c>
      <c r="Q33">
        <f>E33*($C33-E$3)</f>
        <v>1349.999999999998</v>
      </c>
      <c r="R33">
        <f t="shared" si="4"/>
        <v>550.00000000000159</v>
      </c>
      <c r="S33">
        <f t="shared" si="5"/>
        <v>-449.99999999999704</v>
      </c>
      <c r="T33">
        <f t="shared" si="6"/>
        <v>249.99999999999912</v>
      </c>
      <c r="U33">
        <f t="shared" si="8"/>
        <v>149.99999999999682</v>
      </c>
      <c r="V33">
        <f t="shared" si="9"/>
        <v>0</v>
      </c>
      <c r="Y33">
        <f t="shared" si="7"/>
        <v>2899.9999999999977</v>
      </c>
    </row>
    <row r="34" spans="1:25" x14ac:dyDescent="0.2">
      <c r="A34" s="7">
        <v>36616</v>
      </c>
      <c r="B34">
        <f t="shared" si="0"/>
        <v>3.86</v>
      </c>
      <c r="C34" s="5">
        <f>GasDaily!AF34</f>
        <v>0.04</v>
      </c>
      <c r="D34" s="3"/>
      <c r="E34" s="3"/>
      <c r="F34" s="3"/>
      <c r="G34" s="3"/>
      <c r="H34" s="3"/>
      <c r="I34" s="3"/>
      <c r="J34" s="3"/>
      <c r="K34" s="3"/>
      <c r="L34" s="3"/>
      <c r="N34" s="10">
        <f t="shared" si="1"/>
        <v>0</v>
      </c>
      <c r="P34">
        <f>D34*(C34-D$3)</f>
        <v>0</v>
      </c>
      <c r="Q34">
        <f>E34*($C34-E$3)</f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8"/>
        <v>0</v>
      </c>
      <c r="V34">
        <f t="shared" si="9"/>
        <v>0</v>
      </c>
      <c r="Y34">
        <f t="shared" si="7"/>
        <v>0</v>
      </c>
    </row>
    <row r="35" spans="1:25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25" x14ac:dyDescent="0.2">
      <c r="N36" s="10">
        <f>SUM(N8:N34)</f>
        <v>260000</v>
      </c>
      <c r="Y36" s="11">
        <f>SUM(Y4:Y34)</f>
        <v>84499.999999999971</v>
      </c>
    </row>
    <row r="37" spans="1:25" x14ac:dyDescent="0.2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M53"/>
  <sheetViews>
    <sheetView zoomScale="80" workbookViewId="0">
      <selection activeCell="B11" sqref="B11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3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3" x14ac:dyDescent="0.2">
      <c r="A2" s="20">
        <v>106</v>
      </c>
      <c r="B2" s="15">
        <v>3.81</v>
      </c>
      <c r="C2" s="16">
        <f t="shared" ref="C2:C35" si="0">A2*B2*10000</f>
        <v>4038600</v>
      </c>
      <c r="D2" s="17"/>
      <c r="E2" s="21">
        <v>31</v>
      </c>
      <c r="F2" s="22">
        <v>3.76</v>
      </c>
      <c r="G2" s="23">
        <f t="shared" ref="G2:G35" si="1">E2*F2*10000</f>
        <v>1165599.9999999998</v>
      </c>
      <c r="I2" s="24"/>
    </row>
    <row r="3" spans="1:13" x14ac:dyDescent="0.2">
      <c r="A3" s="20">
        <v>46.5</v>
      </c>
      <c r="B3" s="15">
        <v>3.79</v>
      </c>
      <c r="C3" s="16">
        <f t="shared" si="0"/>
        <v>1762350.0000000002</v>
      </c>
      <c r="D3" s="17"/>
      <c r="E3" s="25">
        <v>31</v>
      </c>
      <c r="F3" s="15">
        <v>3.76</v>
      </c>
      <c r="G3" s="23">
        <f t="shared" si="1"/>
        <v>1165599.9999999998</v>
      </c>
      <c r="I3" s="13"/>
      <c r="K3" s="26"/>
    </row>
    <row r="4" spans="1:13" x14ac:dyDescent="0.2">
      <c r="A4" s="27">
        <v>23.25</v>
      </c>
      <c r="B4" s="22">
        <v>3.9249999999999998</v>
      </c>
      <c r="C4" s="16">
        <f t="shared" si="0"/>
        <v>912562.5</v>
      </c>
      <c r="D4" s="17"/>
      <c r="E4" s="25">
        <v>38.75</v>
      </c>
      <c r="F4" s="15">
        <v>3.7050000000000001</v>
      </c>
      <c r="G4" s="23">
        <f t="shared" si="1"/>
        <v>1435687.5</v>
      </c>
      <c r="J4" s="24"/>
      <c r="K4" s="17">
        <f>4.69+0.032</f>
        <v>4.7220000000000004</v>
      </c>
    </row>
    <row r="5" spans="1:13" x14ac:dyDescent="0.2">
      <c r="A5" s="27">
        <v>31</v>
      </c>
      <c r="B5" s="22">
        <v>4.0650000000000004</v>
      </c>
      <c r="C5" s="16">
        <f t="shared" si="0"/>
        <v>1260150.0000000002</v>
      </c>
      <c r="D5" s="17"/>
      <c r="E5" s="21">
        <v>15.5</v>
      </c>
      <c r="F5" s="22">
        <v>3.6949999999999998</v>
      </c>
      <c r="G5" s="23">
        <f t="shared" si="1"/>
        <v>572725</v>
      </c>
      <c r="I5" s="24"/>
      <c r="J5" s="28"/>
      <c r="K5" s="17"/>
    </row>
    <row r="6" spans="1:13" x14ac:dyDescent="0.2">
      <c r="A6" s="29">
        <v>15.5</v>
      </c>
      <c r="B6" s="30">
        <v>4.05</v>
      </c>
      <c r="C6" s="16">
        <f t="shared" si="0"/>
        <v>627750</v>
      </c>
      <c r="D6" s="17"/>
      <c r="E6" s="25">
        <v>38.75</v>
      </c>
      <c r="F6" s="15">
        <v>3.9049999999999998</v>
      </c>
      <c r="G6" s="23">
        <f t="shared" si="1"/>
        <v>1513187.5</v>
      </c>
      <c r="I6" s="24"/>
      <c r="J6" s="28"/>
      <c r="K6" s="17"/>
    </row>
    <row r="7" spans="1:13" x14ac:dyDescent="0.2">
      <c r="A7" s="25">
        <v>31</v>
      </c>
      <c r="B7" s="15">
        <v>3.98</v>
      </c>
      <c r="C7" s="16">
        <f t="shared" si="0"/>
        <v>1233800</v>
      </c>
      <c r="D7" s="17"/>
      <c r="E7" s="25">
        <v>31</v>
      </c>
      <c r="F7" s="15">
        <v>3.81</v>
      </c>
      <c r="G7" s="23">
        <f t="shared" si="1"/>
        <v>1181100</v>
      </c>
      <c r="I7" s="31"/>
    </row>
    <row r="8" spans="1:13" x14ac:dyDescent="0.2">
      <c r="A8" s="25">
        <v>31</v>
      </c>
      <c r="B8" s="15">
        <v>3.9849999999999999</v>
      </c>
      <c r="C8" s="16">
        <f t="shared" si="0"/>
        <v>1235350</v>
      </c>
      <c r="D8" s="17"/>
      <c r="E8" s="25">
        <v>31</v>
      </c>
      <c r="F8" s="15">
        <v>3.895</v>
      </c>
      <c r="G8" s="23">
        <f t="shared" si="1"/>
        <v>1207450</v>
      </c>
      <c r="I8" s="31"/>
      <c r="K8" s="17"/>
    </row>
    <row r="9" spans="1:13" x14ac:dyDescent="0.2">
      <c r="A9" s="25">
        <v>31</v>
      </c>
      <c r="B9" s="15">
        <v>3.86</v>
      </c>
      <c r="C9" s="16">
        <f t="shared" si="0"/>
        <v>1196600</v>
      </c>
      <c r="D9" s="17"/>
      <c r="E9" s="25">
        <v>23.25</v>
      </c>
      <c r="F9" s="15">
        <v>3.9249999999999998</v>
      </c>
      <c r="G9" s="23">
        <f t="shared" si="1"/>
        <v>912562.5</v>
      </c>
      <c r="I9" s="31"/>
    </row>
    <row r="10" spans="1:13" x14ac:dyDescent="0.2">
      <c r="A10" s="25">
        <v>31</v>
      </c>
      <c r="B10" s="15">
        <v>3.95</v>
      </c>
      <c r="C10" s="16">
        <f t="shared" si="0"/>
        <v>1224500</v>
      </c>
      <c r="D10" s="17"/>
      <c r="E10" s="25">
        <v>23.25</v>
      </c>
      <c r="F10" s="15">
        <v>3.82</v>
      </c>
      <c r="G10" s="23">
        <f t="shared" si="1"/>
        <v>888150</v>
      </c>
      <c r="I10" s="31"/>
    </row>
    <row r="11" spans="1:13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3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3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2500*31</f>
        <v>77500</v>
      </c>
      <c r="M13">
        <f>L13/10000</f>
        <v>7.75</v>
      </c>
    </row>
    <row r="14" spans="1:13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5000*31</f>
        <v>155000</v>
      </c>
      <c r="M14">
        <f>L14/10000</f>
        <v>15.5</v>
      </c>
    </row>
    <row r="15" spans="1:13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7500*31</f>
        <v>232500</v>
      </c>
      <c r="M15">
        <f>L15/10000</f>
        <v>23.25</v>
      </c>
    </row>
    <row r="16" spans="1:13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12500*31</f>
        <v>387500</v>
      </c>
      <c r="M16">
        <f>L16/10000</f>
        <v>38.75</v>
      </c>
    </row>
    <row r="17" spans="1:13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17500*31</f>
        <v>542500</v>
      </c>
      <c r="M17">
        <f>L17/10000</f>
        <v>54.25</v>
      </c>
    </row>
    <row r="18" spans="1:13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3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3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3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3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3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3" ht="12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3" ht="12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3" ht="12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7500*31</f>
        <v>232500</v>
      </c>
    </row>
    <row r="27" spans="1:13" ht="12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3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3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3" ht="10.5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3" ht="10.5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3" ht="10.5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2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24"/>
    </row>
    <row r="36" spans="1:13" x14ac:dyDescent="0.2">
      <c r="E36" s="32"/>
      <c r="G36" s="34"/>
    </row>
    <row r="37" spans="1:13" x14ac:dyDescent="0.2">
      <c r="A37" s="25">
        <f>SUM(A1:A36)</f>
        <v>346.25</v>
      </c>
      <c r="B37" s="15">
        <f>IF(A37=0, 0, C37/A37/10000)</f>
        <v>3.8965090252707579</v>
      </c>
      <c r="C37" s="16">
        <f>SUM(C1:C36)</f>
        <v>13491662.5</v>
      </c>
      <c r="E37" s="25">
        <f>SUM(E1:E36)</f>
        <v>263.5</v>
      </c>
      <c r="F37" s="15">
        <f>IF(E37=0, 0, G37/E37/10000)</f>
        <v>3.8110294117647054</v>
      </c>
      <c r="G37" s="23">
        <f>SUM(G1:G36)</f>
        <v>10042062.5</v>
      </c>
      <c r="I37" s="36">
        <f>MIN(A37,E37)*(B37-F37)*10000</f>
        <v>225238.7815884483</v>
      </c>
      <c r="J37" s="37"/>
      <c r="K37" s="37" t="s">
        <v>8</v>
      </c>
      <c r="L37" s="17"/>
      <c r="M37" s="17"/>
    </row>
    <row r="38" spans="1:13" x14ac:dyDescent="0.2">
      <c r="I38" s="36"/>
      <c r="J38" s="37"/>
      <c r="K38" s="37"/>
      <c r="L38" s="17"/>
      <c r="M38" s="17"/>
    </row>
    <row r="39" spans="1:13" x14ac:dyDescent="0.2">
      <c r="E39" s="38">
        <f>-A37+E37</f>
        <v>-82.75</v>
      </c>
      <c r="F39">
        <f>IF(E39&lt;0,B37,F37)</f>
        <v>3.8965090252707579</v>
      </c>
      <c r="G39" s="39">
        <f>IF(E39&lt;0, (F39-B42)*ABS(E39)*10000, -1*(F39-B42)*ABS(E39)*10000)</f>
        <v>-44263.781588447957</v>
      </c>
      <c r="I39" s="36">
        <f>G39</f>
        <v>-44263.781588447957</v>
      </c>
      <c r="J39" s="37"/>
      <c r="K39" s="37" t="s">
        <v>9</v>
      </c>
      <c r="L39" s="17"/>
      <c r="M39" s="17" t="s">
        <v>10</v>
      </c>
    </row>
    <row r="40" spans="1:13" x14ac:dyDescent="0.2">
      <c r="L40" s="17"/>
      <c r="M40" s="17"/>
    </row>
    <row r="41" spans="1:13" x14ac:dyDescent="0.2">
      <c r="E41" s="38">
        <f>-A37+E37</f>
        <v>-82.75</v>
      </c>
      <c r="F41">
        <f>IF(E41&lt;0, (B37+(I37/(ABS(E41)*10000))), IF(E41 = 0, 0, (F37-(I37/(ABS(E41)*10000)))))</f>
        <v>4.1687009063444114</v>
      </c>
      <c r="G41" s="39">
        <f>IF(E41&lt;0, (F41-B42)*ABS(E41)*10000, IF(E41 = 0, 0, -1*(F41-B42)*ABS(E41)*10000))</f>
        <v>180975.00000000026</v>
      </c>
      <c r="I41" s="40">
        <f>G41</f>
        <v>180975.00000000026</v>
      </c>
      <c r="J41" s="41"/>
      <c r="K41" s="41" t="s">
        <v>11</v>
      </c>
      <c r="L41" s="17"/>
      <c r="M41" s="17" t="s">
        <v>12</v>
      </c>
    </row>
    <row r="42" spans="1:13" x14ac:dyDescent="0.2">
      <c r="B42">
        <f>IF(ISBLANK(B43),'[1]Nymex Prices'!B10,B43)</f>
        <v>3.95</v>
      </c>
      <c r="C42" s="42" t="s">
        <v>13</v>
      </c>
      <c r="L42" s="17"/>
      <c r="M42" s="17"/>
    </row>
    <row r="43" spans="1:13" x14ac:dyDescent="0.2">
      <c r="B43">
        <f>Summary!B5</f>
        <v>3.95</v>
      </c>
      <c r="C43" s="42" t="s">
        <v>14</v>
      </c>
      <c r="I43" s="43">
        <f>I37+I39</f>
        <v>180975.00000000035</v>
      </c>
      <c r="J43" s="44"/>
      <c r="K43" s="44" t="s">
        <v>15</v>
      </c>
      <c r="L43" s="17"/>
      <c r="M43" s="17"/>
    </row>
    <row r="46" spans="1:13" x14ac:dyDescent="0.2">
      <c r="A46" s="45"/>
    </row>
    <row r="47" spans="1:13" x14ac:dyDescent="0.2">
      <c r="A47" s="45"/>
      <c r="C47" s="42"/>
    </row>
    <row r="48" spans="1:13" x14ac:dyDescent="0.2">
      <c r="A48" s="45"/>
    </row>
    <row r="49" spans="1:1" x14ac:dyDescent="0.2">
      <c r="A49" s="45"/>
    </row>
    <row r="50" spans="1:1" x14ac:dyDescent="0.2">
      <c r="A50" s="38"/>
    </row>
    <row r="51" spans="1:1" x14ac:dyDescent="0.2">
      <c r="A51" s="46"/>
    </row>
    <row r="52" spans="1:1" x14ac:dyDescent="0.2">
      <c r="A52" s="46"/>
    </row>
    <row r="53" spans="1:1" x14ac:dyDescent="0.2">
      <c r="A53" s="38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6"/>
  <sheetViews>
    <sheetView topLeftCell="A13" zoomScale="85" workbookViewId="0">
      <selection activeCell="I11" sqref="I11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5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5" x14ac:dyDescent="0.2">
      <c r="A2" s="20"/>
      <c r="B2" s="15"/>
      <c r="C2" s="16">
        <f t="shared" ref="C2:C38" si="0">A2*B2*10000</f>
        <v>0</v>
      </c>
      <c r="D2" s="17"/>
      <c r="E2" s="21"/>
      <c r="F2" s="22"/>
      <c r="G2" s="23">
        <f t="shared" ref="G2:G38" si="1">E2*F2*10000</f>
        <v>0</v>
      </c>
      <c r="I2" s="24"/>
    </row>
    <row r="3" spans="1:15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5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5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5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 t="s">
        <v>100</v>
      </c>
      <c r="J6" s="28"/>
      <c r="K6" s="17"/>
    </row>
    <row r="7" spans="1:15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M7">
        <v>15</v>
      </c>
      <c r="N7">
        <v>3.9950000000000001</v>
      </c>
      <c r="O7">
        <f>M7*N7</f>
        <v>59.925000000000004</v>
      </c>
    </row>
    <row r="8" spans="1:15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M8">
        <v>30</v>
      </c>
      <c r="N8">
        <v>4.0199999999999996</v>
      </c>
      <c r="O8">
        <f>M8*N8</f>
        <v>120.6</v>
      </c>
    </row>
    <row r="9" spans="1:15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f>1250*30</f>
        <v>37500</v>
      </c>
      <c r="M9">
        <f>SUM(M7:M8)</f>
        <v>45</v>
      </c>
      <c r="O9">
        <f>SUM(O7:O8)</f>
        <v>180.52500000000001</v>
      </c>
    </row>
    <row r="10" spans="1:15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O10">
        <f>O9/M9</f>
        <v>4.0116666666666667</v>
      </c>
    </row>
    <row r="11" spans="1:15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5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5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5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5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5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12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12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12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7500*30</f>
        <v>225000</v>
      </c>
    </row>
    <row r="27" spans="1:11" ht="12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1" ht="6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1" ht="6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1" ht="6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0.5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31"/>
    </row>
    <row r="36" spans="1:13" ht="10.5" customHeight="1" x14ac:dyDescent="0.2">
      <c r="A36" s="25"/>
      <c r="B36" s="15"/>
      <c r="C36" s="16">
        <f t="shared" si="0"/>
        <v>0</v>
      </c>
      <c r="D36" s="17"/>
      <c r="E36" s="21"/>
      <c r="F36" s="22"/>
      <c r="G36" s="23">
        <f t="shared" si="1"/>
        <v>0</v>
      </c>
      <c r="I36" s="31"/>
    </row>
    <row r="37" spans="1:13" ht="10.5" customHeight="1" x14ac:dyDescent="0.2">
      <c r="A37" s="25"/>
      <c r="B37" s="15"/>
      <c r="C37" s="16">
        <f t="shared" si="0"/>
        <v>0</v>
      </c>
      <c r="D37" s="17"/>
      <c r="E37" s="21"/>
      <c r="F37" s="22"/>
      <c r="G37" s="23">
        <f t="shared" si="1"/>
        <v>0</v>
      </c>
      <c r="I37" s="31"/>
    </row>
    <row r="38" spans="1:13" ht="12" customHeight="1" x14ac:dyDescent="0.2">
      <c r="A38" s="25"/>
      <c r="B38" s="15"/>
      <c r="C38" s="16">
        <f t="shared" si="0"/>
        <v>0</v>
      </c>
      <c r="D38" s="17"/>
      <c r="E38" s="21"/>
      <c r="F38" s="22"/>
      <c r="G38" s="23">
        <f t="shared" si="1"/>
        <v>0</v>
      </c>
      <c r="I38" s="31"/>
    </row>
    <row r="39" spans="1:13" x14ac:dyDescent="0.2">
      <c r="E39" s="32"/>
      <c r="G39" s="34"/>
    </row>
    <row r="40" spans="1:13" x14ac:dyDescent="0.2">
      <c r="A40" s="25">
        <f>SUM(A1:A39)</f>
        <v>0</v>
      </c>
      <c r="B40" s="15">
        <f>IF(A40=0, 0, C40/A40/10000)</f>
        <v>0</v>
      </c>
      <c r="C40" s="16">
        <f>SUM(C1:C39)</f>
        <v>0</v>
      </c>
      <c r="E40" s="25">
        <f>SUM(E1:E39)</f>
        <v>0</v>
      </c>
      <c r="F40" s="15">
        <f>IF(E40=0, 0, G40/E40/10000)</f>
        <v>0</v>
      </c>
      <c r="G40" s="23">
        <f>SUM(G1:G39)</f>
        <v>0</v>
      </c>
      <c r="I40" s="36">
        <f>MIN(A40,E40)*(B40-F40)*10000</f>
        <v>0</v>
      </c>
      <c r="J40" s="37"/>
      <c r="K40" s="37" t="s">
        <v>8</v>
      </c>
      <c r="L40" s="17"/>
      <c r="M40" s="17"/>
    </row>
    <row r="41" spans="1:13" x14ac:dyDescent="0.2">
      <c r="I41" s="36"/>
      <c r="J41" s="37"/>
      <c r="K41" s="37"/>
      <c r="L41" s="17"/>
      <c r="M41" s="17"/>
    </row>
    <row r="42" spans="1:13" x14ac:dyDescent="0.2">
      <c r="E42" s="38">
        <f>-A40+E40</f>
        <v>0</v>
      </c>
      <c r="F42">
        <f>IF(E42&lt;0,B40,F40)</f>
        <v>0</v>
      </c>
      <c r="G42" s="39">
        <f>IF(E42&lt;0, (F42-B45)*ABS(E42)*10000, -1*(F42-B45)*ABS(E42)*10000)</f>
        <v>0</v>
      </c>
      <c r="I42" s="36">
        <f>G42</f>
        <v>0</v>
      </c>
      <c r="J42" s="37"/>
      <c r="K42" s="37" t="s">
        <v>9</v>
      </c>
      <c r="L42" s="17"/>
      <c r="M42" s="17" t="s">
        <v>10</v>
      </c>
    </row>
    <row r="43" spans="1:13" x14ac:dyDescent="0.2">
      <c r="L43" s="17"/>
      <c r="M43" s="17"/>
    </row>
    <row r="44" spans="1:13" x14ac:dyDescent="0.2">
      <c r="E44" s="38">
        <f>-A40+E40</f>
        <v>0</v>
      </c>
      <c r="F44">
        <f>IF(E44&lt;0, (B40+(I40/(ABS(E44)*10000))), IF(E44 = 0, 0, (F40-(I40/(ABS(E44)*10000)))))</f>
        <v>0</v>
      </c>
      <c r="G44" s="39">
        <f>IF(E44&lt;0, (F44-B45)*ABS(E44)*10000, IF(E44 = 0, 0, -1*(F44-B45)*ABS(E44)*10000))</f>
        <v>0</v>
      </c>
      <c r="I44" s="40">
        <f>G44</f>
        <v>0</v>
      </c>
      <c r="J44" s="41"/>
      <c r="K44" s="41" t="s">
        <v>11</v>
      </c>
      <c r="L44" s="17"/>
      <c r="M44" s="17" t="s">
        <v>12</v>
      </c>
    </row>
    <row r="45" spans="1:13" x14ac:dyDescent="0.2">
      <c r="B45">
        <f>IF(ISBLANK(B46),'[1]Nymex Prices'!B10,B46)</f>
        <v>3.95</v>
      </c>
      <c r="C45" s="42" t="s">
        <v>13</v>
      </c>
      <c r="L45" s="17"/>
      <c r="M45" s="17"/>
    </row>
    <row r="46" spans="1:13" x14ac:dyDescent="0.2">
      <c r="B46">
        <f>Summary!B5</f>
        <v>3.95</v>
      </c>
      <c r="C46" s="42" t="s">
        <v>14</v>
      </c>
      <c r="I46" s="43">
        <f>I40+I42</f>
        <v>0</v>
      </c>
      <c r="J46" s="44"/>
      <c r="K46" s="44" t="s">
        <v>15</v>
      </c>
      <c r="L46" s="17"/>
      <c r="M46" s="17"/>
    </row>
    <row r="49" spans="1:3" x14ac:dyDescent="0.2">
      <c r="A49" s="45"/>
    </row>
    <row r="50" spans="1:3" x14ac:dyDescent="0.2">
      <c r="A50" s="45"/>
      <c r="C50" s="42"/>
    </row>
    <row r="51" spans="1:3" x14ac:dyDescent="0.2">
      <c r="A51" s="45"/>
    </row>
    <row r="52" spans="1:3" x14ac:dyDescent="0.2">
      <c r="A52" s="45"/>
    </row>
    <row r="53" spans="1:3" x14ac:dyDescent="0.2">
      <c r="A53" s="38"/>
    </row>
    <row r="54" spans="1:3" x14ac:dyDescent="0.2">
      <c r="A54" s="46"/>
    </row>
    <row r="55" spans="1:3" x14ac:dyDescent="0.2">
      <c r="A55" s="46"/>
    </row>
    <row r="56" spans="1:3" x14ac:dyDescent="0.2">
      <c r="A56" s="38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49"/>
  <sheetViews>
    <sheetView zoomScale="80" workbookViewId="0">
      <selection activeCell="A2" sqref="A2: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1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1" x14ac:dyDescent="0.2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 t="s">
        <v>16</v>
      </c>
    </row>
    <row r="3" spans="1:11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 t="s">
        <v>34</v>
      </c>
      <c r="K3" s="26"/>
    </row>
    <row r="4" spans="1:11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7500*31</f>
        <v>232500</v>
      </c>
    </row>
    <row r="5" spans="1:11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>
        <f>15000*31</f>
        <v>465000</v>
      </c>
    </row>
    <row r="6" spans="1:11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1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</row>
    <row r="8" spans="1:11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1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1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1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1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1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1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1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1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3.95</v>
      </c>
      <c r="C38" s="42" t="s">
        <v>13</v>
      </c>
      <c r="L38" s="17"/>
      <c r="M38" s="17"/>
    </row>
    <row r="39" spans="1:13" x14ac:dyDescent="0.2">
      <c r="B39">
        <f>Summary!B5</f>
        <v>3.95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Summary</vt:lpstr>
      <vt:lpstr>KATHY_PHYS</vt:lpstr>
      <vt:lpstr>WAHA_swap</vt:lpstr>
      <vt:lpstr>KATY_SWAP</vt:lpstr>
      <vt:lpstr>HH_SWAP</vt:lpstr>
      <vt:lpstr>HSC_SWAP</vt:lpstr>
      <vt:lpstr>NYMEX_juL1</vt:lpstr>
      <vt:lpstr>NYMEX_juL2</vt:lpstr>
      <vt:lpstr>JUL Swap</vt:lpstr>
      <vt:lpstr>NYMEX_AUG</vt:lpstr>
      <vt:lpstr>GasDaily</vt:lpstr>
      <vt:lpstr>NYMEX_SEP</vt:lpstr>
      <vt:lpstr>basis</vt:lpstr>
      <vt:lpstr>X_H</vt:lpstr>
      <vt:lpstr>N_V</vt:lpstr>
      <vt:lpstr>SCALE</vt:lpstr>
      <vt:lpstr>JUN_PHY</vt:lpstr>
      <vt:lpstr>GasDaily!Print_Area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Felienne</cp:lastModifiedBy>
  <cp:lastPrinted>2001-06-01T12:38:11Z</cp:lastPrinted>
  <dcterms:created xsi:type="dcterms:W3CDTF">2000-01-26T17:26:34Z</dcterms:created>
  <dcterms:modified xsi:type="dcterms:W3CDTF">2014-09-04T18:10:12Z</dcterms:modified>
</cp:coreProperties>
</file>