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6365" yWindow="0" windowWidth="13260" windowHeight="7860" tabRatio="820"/>
  </bookViews>
  <sheets>
    <sheet name="POSTION" sheetId="2" r:id="rId1"/>
    <sheet name="KATY_PHYS" sheetId="13" r:id="rId2"/>
    <sheet name="HH_SWAP" sheetId="1" r:id="rId3"/>
    <sheet name="HSC_SWAP" sheetId="5" r:id="rId4"/>
    <sheet name="KATY_SWAP" sheetId="4" r:id="rId5"/>
    <sheet name="WAHA_SWAP" sheetId="6" r:id="rId6"/>
    <sheet name="PERM_SWAP" sheetId="7" r:id="rId7"/>
    <sheet name="DEC_SWAP" sheetId="8" r:id="rId8"/>
    <sheet name="JAN_SWAP" sheetId="9" r:id="rId9"/>
    <sheet name="FEB_SWAP" sheetId="10" r:id="rId10"/>
    <sheet name="MAR_SWAP" sheetId="11" r:id="rId11"/>
    <sheet name="Z-H_SWAP" sheetId="12" r:id="rId12"/>
    <sheet name="J-V_SWAP" sheetId="15" r:id="rId13"/>
    <sheet name="KATY_aug" sheetId="14" r:id="rId14"/>
    <sheet name="hsc_aug" sheetId="16" r:id="rId15"/>
    <sheet name="FOM" sheetId="3" r:id="rId16"/>
    <sheet name="priorday" sheetId="17" r:id="rId17"/>
    <sheet name="scale" sheetId="18" r:id="rId18"/>
  </sheets>
  <calcPr calcId="152511"/>
</workbook>
</file>

<file path=xl/calcChain.xml><?xml version="1.0" encoding="utf-8"?>
<calcChain xmlns="http://schemas.openxmlformats.org/spreadsheetml/2006/main">
  <c r="A3" i="8" l="1"/>
  <c r="D3" i="8"/>
  <c r="H3" i="8"/>
  <c r="D4" i="8"/>
  <c r="H4" i="8"/>
  <c r="D5" i="8"/>
  <c r="H5" i="8"/>
  <c r="D6" i="8"/>
  <c r="H6" i="8"/>
  <c r="D7" i="8"/>
  <c r="H7" i="8"/>
  <c r="D8" i="8"/>
  <c r="H8" i="8"/>
  <c r="D9" i="8"/>
  <c r="H9" i="8"/>
  <c r="D10" i="8"/>
  <c r="H10" i="8"/>
  <c r="D11" i="8"/>
  <c r="H11" i="8"/>
  <c r="D12" i="8"/>
  <c r="H12" i="8"/>
  <c r="D13" i="8"/>
  <c r="H13" i="8"/>
  <c r="D14" i="8"/>
  <c r="H14" i="8"/>
  <c r="D15" i="8"/>
  <c r="H15" i="8"/>
  <c r="L15" i="8"/>
  <c r="D16" i="8"/>
  <c r="H16" i="8"/>
  <c r="D17" i="8"/>
  <c r="H17" i="8"/>
  <c r="D18" i="8"/>
  <c r="H18" i="8"/>
  <c r="D19" i="8"/>
  <c r="H19" i="8"/>
  <c r="D20" i="8"/>
  <c r="H20" i="8"/>
  <c r="D21" i="8"/>
  <c r="H21" i="8"/>
  <c r="L21" i="8"/>
  <c r="N21" i="8"/>
  <c r="D22" i="8"/>
  <c r="H22" i="8"/>
  <c r="N22" i="8"/>
  <c r="D23" i="8"/>
  <c r="H23" i="8"/>
  <c r="N23" i="8"/>
  <c r="D24" i="8"/>
  <c r="H24" i="8"/>
  <c r="N24" i="8"/>
  <c r="D25" i="8"/>
  <c r="H25" i="8"/>
  <c r="N25" i="8"/>
  <c r="N26" i="8"/>
  <c r="B27" i="8"/>
  <c r="F30" i="8" s="1"/>
  <c r="F27" i="8"/>
  <c r="N27" i="8"/>
  <c r="N28" i="8"/>
  <c r="N32" i="8" s="1"/>
  <c r="M33" i="8" s="1"/>
  <c r="N29" i="8"/>
  <c r="C31" i="8"/>
  <c r="J2" i="8" s="1"/>
  <c r="L32" i="8"/>
  <c r="A3" i="10"/>
  <c r="D3" i="10"/>
  <c r="H3" i="10"/>
  <c r="D4" i="10"/>
  <c r="H4" i="10"/>
  <c r="D5" i="10"/>
  <c r="H5" i="10"/>
  <c r="D6" i="10"/>
  <c r="H6" i="10"/>
  <c r="D7" i="10"/>
  <c r="H7" i="10"/>
  <c r="D8" i="10"/>
  <c r="H8" i="10"/>
  <c r="D9" i="10"/>
  <c r="H9" i="10"/>
  <c r="D10" i="10"/>
  <c r="H10" i="10"/>
  <c r="D11" i="10"/>
  <c r="H11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N17" i="10"/>
  <c r="D18" i="10"/>
  <c r="H18" i="10"/>
  <c r="N18" i="10"/>
  <c r="D19" i="10"/>
  <c r="H19" i="10"/>
  <c r="N19" i="10"/>
  <c r="D20" i="10"/>
  <c r="H20" i="10"/>
  <c r="N20" i="10"/>
  <c r="D21" i="10"/>
  <c r="H21" i="10"/>
  <c r="N21" i="10"/>
  <c r="D22" i="10"/>
  <c r="H22" i="10"/>
  <c r="N22" i="10"/>
  <c r="D23" i="10"/>
  <c r="H23" i="10"/>
  <c r="D24" i="10"/>
  <c r="H24" i="10"/>
  <c r="D25" i="10"/>
  <c r="H25" i="10"/>
  <c r="B27" i="10"/>
  <c r="F27" i="10"/>
  <c r="G27" i="10" s="1"/>
  <c r="F29" i="10"/>
  <c r="F30" i="10"/>
  <c r="A7" i="3"/>
  <c r="C7" i="3"/>
  <c r="A8" i="3"/>
  <c r="C8" i="3"/>
  <c r="C15" i="3"/>
  <c r="F18" i="3"/>
  <c r="A3" i="1"/>
  <c r="D3" i="1"/>
  <c r="H3" i="1"/>
  <c r="O3" i="1"/>
  <c r="P3" i="1"/>
  <c r="Q3" i="1"/>
  <c r="R3" i="1"/>
  <c r="D4" i="1"/>
  <c r="H4" i="1"/>
  <c r="O4" i="1"/>
  <c r="P4" i="1"/>
  <c r="Q4" i="1"/>
  <c r="R4" i="1"/>
  <c r="D5" i="1"/>
  <c r="H5" i="1"/>
  <c r="O5" i="1"/>
  <c r="P5" i="1"/>
  <c r="Q5" i="1"/>
  <c r="R5" i="1"/>
  <c r="D6" i="1"/>
  <c r="H6" i="1"/>
  <c r="O6" i="1"/>
  <c r="P6" i="1"/>
  <c r="Q6" i="1"/>
  <c r="R6" i="1"/>
  <c r="D7" i="1"/>
  <c r="H7" i="1"/>
  <c r="O7" i="1"/>
  <c r="P7" i="1"/>
  <c r="Q7" i="1"/>
  <c r="R7" i="1"/>
  <c r="D8" i="1"/>
  <c r="H8" i="1"/>
  <c r="O8" i="1"/>
  <c r="P8" i="1"/>
  <c r="Q8" i="1"/>
  <c r="R8" i="1"/>
  <c r="D9" i="1"/>
  <c r="H9" i="1"/>
  <c r="O9" i="1"/>
  <c r="P9" i="1"/>
  <c r="Q9" i="1"/>
  <c r="R9" i="1"/>
  <c r="D10" i="1"/>
  <c r="H10" i="1"/>
  <c r="O10" i="1"/>
  <c r="P10" i="1"/>
  <c r="Q10" i="1"/>
  <c r="R10" i="1"/>
  <c r="D11" i="1"/>
  <c r="H11" i="1"/>
  <c r="O11" i="1"/>
  <c r="P11" i="1"/>
  <c r="Q11" i="1"/>
  <c r="R11" i="1"/>
  <c r="D12" i="1"/>
  <c r="H12" i="1"/>
  <c r="O12" i="1"/>
  <c r="P12" i="1"/>
  <c r="Q12" i="1"/>
  <c r="R12" i="1"/>
  <c r="D13" i="1"/>
  <c r="H13" i="1"/>
  <c r="O13" i="1"/>
  <c r="P13" i="1"/>
  <c r="Q13" i="1"/>
  <c r="R13" i="1"/>
  <c r="D14" i="1"/>
  <c r="H14" i="1"/>
  <c r="O14" i="1"/>
  <c r="P14" i="1"/>
  <c r="Q14" i="1"/>
  <c r="R14" i="1"/>
  <c r="D15" i="1"/>
  <c r="H15" i="1"/>
  <c r="O15" i="1"/>
  <c r="P15" i="1"/>
  <c r="Q15" i="1"/>
  <c r="R15" i="1"/>
  <c r="D16" i="1"/>
  <c r="H16" i="1"/>
  <c r="J16" i="1"/>
  <c r="O16" i="1"/>
  <c r="P16" i="1"/>
  <c r="Q16" i="1"/>
  <c r="R16" i="1"/>
  <c r="D17" i="1"/>
  <c r="H17" i="1"/>
  <c r="O17" i="1"/>
  <c r="P17" i="1"/>
  <c r="Q17" i="1"/>
  <c r="R17" i="1"/>
  <c r="D18" i="1"/>
  <c r="H18" i="1"/>
  <c r="L18" i="1"/>
  <c r="O18" i="1"/>
  <c r="P18" i="1"/>
  <c r="Q18" i="1"/>
  <c r="R18" i="1"/>
  <c r="D19" i="1"/>
  <c r="H19" i="1"/>
  <c r="O19" i="1"/>
  <c r="P19" i="1"/>
  <c r="Q19" i="1"/>
  <c r="R19" i="1"/>
  <c r="D20" i="1"/>
  <c r="H20" i="1"/>
  <c r="L20" i="1"/>
  <c r="O20" i="1"/>
  <c r="P20" i="1"/>
  <c r="Q20" i="1"/>
  <c r="R20" i="1"/>
  <c r="D21" i="1"/>
  <c r="H21" i="1"/>
  <c r="O21" i="1"/>
  <c r="P21" i="1"/>
  <c r="Q21" i="1"/>
  <c r="R21" i="1"/>
  <c r="D22" i="1"/>
  <c r="H22" i="1"/>
  <c r="O22" i="1"/>
  <c r="P22" i="1"/>
  <c r="Q22" i="1"/>
  <c r="R22" i="1"/>
  <c r="D23" i="1"/>
  <c r="H23" i="1"/>
  <c r="O23" i="1"/>
  <c r="P23" i="1"/>
  <c r="Q23" i="1"/>
  <c r="R23" i="1"/>
  <c r="D24" i="1"/>
  <c r="H24" i="1"/>
  <c r="L24" i="1"/>
  <c r="O24" i="1"/>
  <c r="P24" i="1"/>
  <c r="Q24" i="1"/>
  <c r="R24" i="1"/>
  <c r="D25" i="1"/>
  <c r="H25" i="1"/>
  <c r="O25" i="1"/>
  <c r="P25" i="1"/>
  <c r="Q25" i="1"/>
  <c r="R25" i="1"/>
  <c r="L26" i="1"/>
  <c r="O26" i="1"/>
  <c r="P26" i="1"/>
  <c r="Q26" i="1"/>
  <c r="R26" i="1"/>
  <c r="B27" i="1"/>
  <c r="F27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C31" i="1"/>
  <c r="J2" i="1" s="1"/>
  <c r="O31" i="1"/>
  <c r="P31" i="1"/>
  <c r="Q31" i="1"/>
  <c r="R31" i="1"/>
  <c r="O32" i="1"/>
  <c r="P32" i="1"/>
  <c r="Q32" i="1"/>
  <c r="R32" i="1"/>
  <c r="L37" i="1"/>
  <c r="A3" i="16"/>
  <c r="D3" i="16"/>
  <c r="H3" i="16"/>
  <c r="D4" i="16"/>
  <c r="H4" i="16"/>
  <c r="D5" i="16"/>
  <c r="H5" i="16"/>
  <c r="D6" i="16"/>
  <c r="H6" i="16"/>
  <c r="D7" i="16"/>
  <c r="H7" i="16"/>
  <c r="D8" i="16"/>
  <c r="H8" i="16"/>
  <c r="D9" i="16"/>
  <c r="H9" i="16"/>
  <c r="J9" i="16"/>
  <c r="D10" i="16"/>
  <c r="H10" i="16"/>
  <c r="D11" i="16"/>
  <c r="H11" i="16"/>
  <c r="D12" i="16"/>
  <c r="H12" i="16"/>
  <c r="D13" i="16"/>
  <c r="H13" i="16"/>
  <c r="D14" i="16"/>
  <c r="H14" i="16"/>
  <c r="D15" i="16"/>
  <c r="H15" i="16"/>
  <c r="D16" i="16"/>
  <c r="H16" i="16"/>
  <c r="D17" i="16"/>
  <c r="H17" i="16"/>
  <c r="D18" i="16"/>
  <c r="H18" i="16"/>
  <c r="D19" i="16"/>
  <c r="H19" i="16"/>
  <c r="D20" i="16"/>
  <c r="H20" i="16"/>
  <c r="N20" i="16"/>
  <c r="D21" i="16"/>
  <c r="H21" i="16"/>
  <c r="N21" i="16"/>
  <c r="D22" i="16"/>
  <c r="H22" i="16"/>
  <c r="N22" i="16"/>
  <c r="N23" i="16" s="1"/>
  <c r="M24" i="16" s="1"/>
  <c r="D23" i="16"/>
  <c r="H23" i="16"/>
  <c r="L23" i="16"/>
  <c r="D24" i="16"/>
  <c r="H24" i="16"/>
  <c r="D25" i="16"/>
  <c r="H25" i="16"/>
  <c r="B27" i="16"/>
  <c r="C27" i="16"/>
  <c r="F27" i="16"/>
  <c r="G27" i="16" s="1"/>
  <c r="F29" i="16"/>
  <c r="G29" i="16" s="1"/>
  <c r="F30" i="16"/>
  <c r="G30" i="16" s="1"/>
  <c r="C31" i="16"/>
  <c r="J2" i="16" s="1"/>
  <c r="F32" i="16"/>
  <c r="A3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J9" i="5"/>
  <c r="D12" i="2" s="1"/>
  <c r="D10" i="5"/>
  <c r="H10" i="5"/>
  <c r="D11" i="5"/>
  <c r="H11" i="5"/>
  <c r="M11" i="5"/>
  <c r="D12" i="5"/>
  <c r="H12" i="5"/>
  <c r="M12" i="5"/>
  <c r="M13" i="5" s="1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M19" i="5"/>
  <c r="N19" i="5" s="1"/>
  <c r="N21" i="5" s="1"/>
  <c r="D20" i="5"/>
  <c r="H20" i="5"/>
  <c r="M20" i="5"/>
  <c r="N20" i="5"/>
  <c r="D21" i="5"/>
  <c r="H21" i="5"/>
  <c r="D22" i="5"/>
  <c r="H22" i="5"/>
  <c r="D23" i="5"/>
  <c r="H23" i="5"/>
  <c r="D24" i="5"/>
  <c r="H24" i="5"/>
  <c r="D25" i="5"/>
  <c r="H25" i="5"/>
  <c r="D26" i="5"/>
  <c r="H26" i="5"/>
  <c r="D27" i="5"/>
  <c r="H27" i="5"/>
  <c r="D28" i="5"/>
  <c r="H28" i="5"/>
  <c r="M28" i="5"/>
  <c r="D29" i="5"/>
  <c r="H29" i="5"/>
  <c r="M29" i="5"/>
  <c r="N29" i="5"/>
  <c r="D30" i="5"/>
  <c r="H30" i="5"/>
  <c r="M30" i="5"/>
  <c r="D31" i="5"/>
  <c r="H31" i="5"/>
  <c r="M31" i="5"/>
  <c r="N31" i="5"/>
  <c r="L32" i="5"/>
  <c r="B33" i="5"/>
  <c r="F33" i="5"/>
  <c r="F35" i="5"/>
  <c r="F36" i="5"/>
  <c r="A3" i="9"/>
  <c r="D3" i="9"/>
  <c r="H3" i="9"/>
  <c r="D4" i="9"/>
  <c r="H4" i="9"/>
  <c r="D5" i="9"/>
  <c r="H5" i="9"/>
  <c r="D6" i="9"/>
  <c r="H6" i="9"/>
  <c r="D7" i="9"/>
  <c r="H7" i="9"/>
  <c r="D8" i="9"/>
  <c r="H8" i="9"/>
  <c r="D9" i="9"/>
  <c r="H9" i="9"/>
  <c r="D10" i="9"/>
  <c r="H10" i="9"/>
  <c r="D11" i="9"/>
  <c r="H11" i="9"/>
  <c r="D12" i="9"/>
  <c r="H12" i="9"/>
  <c r="D13" i="9"/>
  <c r="H13" i="9"/>
  <c r="D14" i="9"/>
  <c r="H14" i="9"/>
  <c r="D15" i="9"/>
  <c r="H15" i="9"/>
  <c r="N15" i="9"/>
  <c r="D16" i="9"/>
  <c r="H16" i="9"/>
  <c r="N16" i="9"/>
  <c r="D17" i="9"/>
  <c r="H17" i="9"/>
  <c r="N17" i="9"/>
  <c r="D18" i="9"/>
  <c r="H18" i="9"/>
  <c r="N18" i="9"/>
  <c r="D19" i="9"/>
  <c r="H19" i="9"/>
  <c r="D20" i="9"/>
  <c r="H20" i="9"/>
  <c r="D21" i="9"/>
  <c r="H21" i="9"/>
  <c r="D22" i="9"/>
  <c r="H22" i="9"/>
  <c r="D23" i="9"/>
  <c r="H23" i="9"/>
  <c r="D24" i="9"/>
  <c r="H24" i="9"/>
  <c r="D25" i="9"/>
  <c r="H25" i="9"/>
  <c r="L25" i="9"/>
  <c r="B27" i="9"/>
  <c r="C27" i="9" s="1"/>
  <c r="D27" i="9"/>
  <c r="F27" i="9"/>
  <c r="F29" i="9" s="1"/>
  <c r="C31" i="9"/>
  <c r="J2" i="9" s="1"/>
  <c r="A3" i="15"/>
  <c r="D3" i="15"/>
  <c r="D27" i="15" s="1"/>
  <c r="H3" i="15"/>
  <c r="H27" i="15" s="1"/>
  <c r="G27" i="15" s="1"/>
  <c r="D4" i="15"/>
  <c r="H4" i="15"/>
  <c r="D5" i="15"/>
  <c r="H5" i="15"/>
  <c r="D6" i="15"/>
  <c r="H6" i="15"/>
  <c r="D7" i="15"/>
  <c r="H7" i="15"/>
  <c r="D8" i="15"/>
  <c r="H8" i="15"/>
  <c r="D9" i="15"/>
  <c r="H9" i="15"/>
  <c r="D10" i="15"/>
  <c r="H10" i="15"/>
  <c r="D11" i="15"/>
  <c r="H11" i="15"/>
  <c r="D12" i="15"/>
  <c r="H12" i="15"/>
  <c r="D13" i="15"/>
  <c r="H13" i="15"/>
  <c r="D14" i="15"/>
  <c r="H14" i="15"/>
  <c r="L14" i="15"/>
  <c r="D15" i="15"/>
  <c r="H15" i="15"/>
  <c r="M15" i="15"/>
  <c r="M17" i="15" s="1"/>
  <c r="N15" i="15"/>
  <c r="D16" i="15"/>
  <c r="H16" i="15"/>
  <c r="D17" i="15"/>
  <c r="H17" i="15"/>
  <c r="D18" i="15"/>
  <c r="H18" i="15"/>
  <c r="M18" i="15"/>
  <c r="D19" i="15"/>
  <c r="H19" i="15"/>
  <c r="D20" i="15"/>
  <c r="H20" i="15"/>
  <c r="D21" i="15"/>
  <c r="H21" i="15"/>
  <c r="D22" i="15"/>
  <c r="H22" i="15"/>
  <c r="D23" i="15"/>
  <c r="H23" i="15"/>
  <c r="D24" i="15"/>
  <c r="H24" i="15"/>
  <c r="D25" i="15"/>
  <c r="H25" i="15"/>
  <c r="B27" i="15"/>
  <c r="F29" i="15" s="1"/>
  <c r="F27" i="15"/>
  <c r="F30" i="15"/>
  <c r="J9" i="15" s="1"/>
  <c r="J11" i="15" s="1"/>
  <c r="J2" i="14"/>
  <c r="A3" i="14"/>
  <c r="D3" i="14"/>
  <c r="H3" i="14"/>
  <c r="D4" i="14"/>
  <c r="H4" i="14"/>
  <c r="D5" i="14"/>
  <c r="H5" i="14"/>
  <c r="D6" i="14"/>
  <c r="H6" i="14"/>
  <c r="D7" i="14"/>
  <c r="H7" i="14"/>
  <c r="D8" i="14"/>
  <c r="H8" i="14"/>
  <c r="D9" i="14"/>
  <c r="H9" i="14"/>
  <c r="D10" i="14"/>
  <c r="H10" i="14"/>
  <c r="D11" i="14"/>
  <c r="H11" i="14"/>
  <c r="D12" i="14"/>
  <c r="H12" i="14"/>
  <c r="D13" i="14"/>
  <c r="H13" i="14"/>
  <c r="D14" i="14"/>
  <c r="H14" i="14"/>
  <c r="D15" i="14"/>
  <c r="H15" i="14"/>
  <c r="D16" i="14"/>
  <c r="H16" i="14"/>
  <c r="L16" i="14"/>
  <c r="D17" i="14"/>
  <c r="H17" i="14"/>
  <c r="D18" i="14"/>
  <c r="H18" i="14"/>
  <c r="D19" i="14"/>
  <c r="H19" i="14"/>
  <c r="D20" i="14"/>
  <c r="H20" i="14"/>
  <c r="D21" i="14"/>
  <c r="H21" i="14"/>
  <c r="D22" i="14"/>
  <c r="H22" i="14"/>
  <c r="D23" i="14"/>
  <c r="H23" i="14"/>
  <c r="D24" i="14"/>
  <c r="H24" i="14"/>
  <c r="D25" i="14"/>
  <c r="H25" i="14"/>
  <c r="B27" i="14"/>
  <c r="C27" i="14"/>
  <c r="F27" i="14"/>
  <c r="G27" i="14" s="1"/>
  <c r="C31" i="14"/>
  <c r="A3" i="13"/>
  <c r="D3" i="13"/>
  <c r="H3" i="13"/>
  <c r="D4" i="13"/>
  <c r="H4" i="13"/>
  <c r="D5" i="13"/>
  <c r="H5" i="13"/>
  <c r="D6" i="13"/>
  <c r="H6" i="13"/>
  <c r="D7" i="13"/>
  <c r="H7" i="13"/>
  <c r="D8" i="13"/>
  <c r="H8" i="13"/>
  <c r="D9" i="13"/>
  <c r="H9" i="13"/>
  <c r="D10" i="13"/>
  <c r="H10" i="13"/>
  <c r="D11" i="13"/>
  <c r="H11" i="13"/>
  <c r="D12" i="13"/>
  <c r="H12" i="13"/>
  <c r="D13" i="13"/>
  <c r="H13" i="13"/>
  <c r="D14" i="13"/>
  <c r="H14" i="13"/>
  <c r="D15" i="13"/>
  <c r="H15" i="13"/>
  <c r="D16" i="13"/>
  <c r="H16" i="13"/>
  <c r="D17" i="13"/>
  <c r="H17" i="13"/>
  <c r="D18" i="13"/>
  <c r="H18" i="13"/>
  <c r="D19" i="13"/>
  <c r="H19" i="13"/>
  <c r="D20" i="13"/>
  <c r="H20" i="13"/>
  <c r="D21" i="13"/>
  <c r="H21" i="13"/>
  <c r="D22" i="13"/>
  <c r="H22" i="13"/>
  <c r="D23" i="13"/>
  <c r="H23" i="13"/>
  <c r="D24" i="13"/>
  <c r="H24" i="13"/>
  <c r="D25" i="13"/>
  <c r="H25" i="13"/>
  <c r="B27" i="13"/>
  <c r="C27" i="13" s="1"/>
  <c r="F27" i="13"/>
  <c r="G27" i="13" s="1"/>
  <c r="F30" i="13"/>
  <c r="F32" i="13"/>
  <c r="A3" i="4"/>
  <c r="D3" i="4"/>
  <c r="H3" i="4"/>
  <c r="D4" i="4"/>
  <c r="D27" i="4" s="1"/>
  <c r="H4" i="4"/>
  <c r="H27" i="4" s="1"/>
  <c r="D5" i="4"/>
  <c r="H5" i="4"/>
  <c r="D6" i="4"/>
  <c r="H6" i="4"/>
  <c r="D7" i="4"/>
  <c r="H7" i="4"/>
  <c r="D8" i="4"/>
  <c r="H8" i="4"/>
  <c r="D9" i="4"/>
  <c r="H9" i="4"/>
  <c r="D10" i="4"/>
  <c r="H10" i="4"/>
  <c r="D11" i="4"/>
  <c r="H11" i="4"/>
  <c r="D12" i="4"/>
  <c r="H12" i="4"/>
  <c r="D13" i="4"/>
  <c r="H13" i="4"/>
  <c r="D14" i="4"/>
  <c r="H14" i="4"/>
  <c r="D15" i="4"/>
  <c r="H15" i="4"/>
  <c r="D16" i="4"/>
  <c r="H16" i="4"/>
  <c r="D17" i="4"/>
  <c r="H17" i="4"/>
  <c r="D18" i="4"/>
  <c r="H18" i="4"/>
  <c r="D19" i="4"/>
  <c r="H19" i="4"/>
  <c r="D20" i="4"/>
  <c r="H20" i="4"/>
  <c r="D21" i="4"/>
  <c r="H21" i="4"/>
  <c r="D22" i="4"/>
  <c r="H22" i="4"/>
  <c r="D23" i="4"/>
  <c r="H23" i="4"/>
  <c r="D24" i="4"/>
  <c r="H24" i="4"/>
  <c r="D25" i="4"/>
  <c r="H25" i="4"/>
  <c r="B27" i="4"/>
  <c r="C27" i="4"/>
  <c r="F32" i="4" s="1"/>
  <c r="F27" i="4"/>
  <c r="G27" i="4" s="1"/>
  <c r="F29" i="4"/>
  <c r="G29" i="4" s="1"/>
  <c r="F30" i="4"/>
  <c r="G30" i="4" s="1"/>
  <c r="A3" i="11"/>
  <c r="D3" i="11"/>
  <c r="H3" i="11"/>
  <c r="D4" i="11"/>
  <c r="H4" i="11"/>
  <c r="D5" i="11"/>
  <c r="H5" i="11"/>
  <c r="D6" i="11"/>
  <c r="H6" i="11"/>
  <c r="D7" i="11"/>
  <c r="H7" i="11"/>
  <c r="D8" i="11"/>
  <c r="H8" i="11"/>
  <c r="D9" i="11"/>
  <c r="H9" i="11"/>
  <c r="D10" i="11"/>
  <c r="H10" i="11"/>
  <c r="D11" i="11"/>
  <c r="H11" i="11"/>
  <c r="D12" i="11"/>
  <c r="H12" i="11"/>
  <c r="D13" i="11"/>
  <c r="H13" i="11"/>
  <c r="D14" i="11"/>
  <c r="H14" i="11"/>
  <c r="D15" i="11"/>
  <c r="H15" i="11"/>
  <c r="D16" i="11"/>
  <c r="H16" i="11"/>
  <c r="M16" i="11"/>
  <c r="D17" i="11"/>
  <c r="H17" i="11"/>
  <c r="M17" i="11"/>
  <c r="D18" i="11"/>
  <c r="H18" i="11"/>
  <c r="M18" i="11"/>
  <c r="D19" i="11"/>
  <c r="H19" i="11"/>
  <c r="M19" i="11"/>
  <c r="D20" i="11"/>
  <c r="H20" i="11"/>
  <c r="M20" i="11"/>
  <c r="D21" i="11"/>
  <c r="H21" i="11"/>
  <c r="M21" i="11"/>
  <c r="D22" i="11"/>
  <c r="H22" i="11"/>
  <c r="M22" i="11"/>
  <c r="D23" i="11"/>
  <c r="H23" i="11"/>
  <c r="M23" i="11"/>
  <c r="D24" i="11"/>
  <c r="H24" i="11"/>
  <c r="D25" i="11"/>
  <c r="H25" i="11"/>
  <c r="B27" i="11"/>
  <c r="C27" i="11"/>
  <c r="F32" i="11" s="1"/>
  <c r="F27" i="11"/>
  <c r="G27" i="11" s="1"/>
  <c r="F30" i="11"/>
  <c r="A3" i="7"/>
  <c r="D3" i="7"/>
  <c r="H3" i="7"/>
  <c r="D4" i="7"/>
  <c r="H4" i="7"/>
  <c r="H27" i="7" s="1"/>
  <c r="D5" i="7"/>
  <c r="H5" i="7"/>
  <c r="D6" i="7"/>
  <c r="H6" i="7"/>
  <c r="D7" i="7"/>
  <c r="H7" i="7"/>
  <c r="D8" i="7"/>
  <c r="H8" i="7"/>
  <c r="D9" i="7"/>
  <c r="H9" i="7"/>
  <c r="D10" i="7"/>
  <c r="H10" i="7"/>
  <c r="D11" i="7"/>
  <c r="H11" i="7"/>
  <c r="D12" i="7"/>
  <c r="H12" i="7"/>
  <c r="D13" i="7"/>
  <c r="H13" i="7"/>
  <c r="D14" i="7"/>
  <c r="H14" i="7"/>
  <c r="D15" i="7"/>
  <c r="H15" i="7"/>
  <c r="D16" i="7"/>
  <c r="H16" i="7"/>
  <c r="J16" i="7"/>
  <c r="D17" i="7"/>
  <c r="H17" i="7"/>
  <c r="D18" i="7"/>
  <c r="H18" i="7"/>
  <c r="D19" i="7"/>
  <c r="H19" i="7"/>
  <c r="D20" i="7"/>
  <c r="H20" i="7"/>
  <c r="D21" i="7"/>
  <c r="H21" i="7"/>
  <c r="D22" i="7"/>
  <c r="H22" i="7"/>
  <c r="D23" i="7"/>
  <c r="H23" i="7"/>
  <c r="D24" i="7"/>
  <c r="H24" i="7"/>
  <c r="D25" i="7"/>
  <c r="H25" i="7"/>
  <c r="B27" i="7"/>
  <c r="C27" i="7"/>
  <c r="F27" i="7"/>
  <c r="F29" i="7"/>
  <c r="C30" i="7"/>
  <c r="F30" i="7"/>
  <c r="J9" i="7" s="1"/>
  <c r="J11" i="7" s="1"/>
  <c r="L4" i="2"/>
  <c r="B5" i="2"/>
  <c r="L5" i="2"/>
  <c r="B6" i="2"/>
  <c r="B7" i="2"/>
  <c r="B8" i="2"/>
  <c r="F9" i="2"/>
  <c r="D10" i="2"/>
  <c r="H10" i="2"/>
  <c r="N10" i="2"/>
  <c r="B11" i="2"/>
  <c r="I11" i="2"/>
  <c r="C30" i="1" s="1"/>
  <c r="L11" i="2"/>
  <c r="B12" i="2"/>
  <c r="B16" i="2" s="1"/>
  <c r="I12" i="2"/>
  <c r="C36" i="5" s="1"/>
  <c r="N12" i="2"/>
  <c r="I14" i="2"/>
  <c r="C30" i="6" s="1"/>
  <c r="D15" i="2"/>
  <c r="N15" i="2" s="1"/>
  <c r="I15" i="2"/>
  <c r="B18" i="2"/>
  <c r="B19" i="2"/>
  <c r="N19" i="2"/>
  <c r="G24" i="2"/>
  <c r="L24" i="2"/>
  <c r="J27" i="2"/>
  <c r="E28" i="2"/>
  <c r="J28" i="2"/>
  <c r="E29" i="2"/>
  <c r="J29" i="2"/>
  <c r="L29" i="2"/>
  <c r="E30" i="2"/>
  <c r="J30" i="2"/>
  <c r="B31" i="2"/>
  <c r="E31" i="2"/>
  <c r="J31" i="2"/>
  <c r="M31" i="2"/>
  <c r="E32" i="2"/>
  <c r="J32" i="2"/>
  <c r="E33" i="2"/>
  <c r="F33" i="2"/>
  <c r="G33" i="2"/>
  <c r="J33" i="2"/>
  <c r="E34" i="2"/>
  <c r="J34" i="2"/>
  <c r="L34" i="2"/>
  <c r="E35" i="2"/>
  <c r="J35" i="2"/>
  <c r="E36" i="2"/>
  <c r="J36" i="2"/>
  <c r="E37" i="2"/>
  <c r="J37" i="2"/>
  <c r="E38" i="2"/>
  <c r="J38" i="2"/>
  <c r="E39" i="2"/>
  <c r="F39" i="2"/>
  <c r="G39" i="2" s="1"/>
  <c r="J39" i="2"/>
  <c r="J40" i="2"/>
  <c r="F41" i="2"/>
  <c r="G41" i="2" s="1"/>
  <c r="J41" i="2"/>
  <c r="J42" i="2"/>
  <c r="J2" i="18"/>
  <c r="A3" i="18"/>
  <c r="D3" i="18"/>
  <c r="H3" i="18"/>
  <c r="D4" i="18"/>
  <c r="H4" i="18"/>
  <c r="D5" i="18"/>
  <c r="H5" i="18"/>
  <c r="D6" i="18"/>
  <c r="H6" i="18"/>
  <c r="D7" i="18"/>
  <c r="H7" i="18"/>
  <c r="D8" i="18"/>
  <c r="H8" i="18"/>
  <c r="D9" i="18"/>
  <c r="H9" i="18"/>
  <c r="D10" i="18"/>
  <c r="H10" i="18"/>
  <c r="D11" i="18"/>
  <c r="H11" i="18"/>
  <c r="D12" i="18"/>
  <c r="H12" i="18"/>
  <c r="D13" i="18"/>
  <c r="H13" i="18"/>
  <c r="D14" i="18"/>
  <c r="H14" i="18"/>
  <c r="D15" i="18"/>
  <c r="D27" i="18" s="1"/>
  <c r="H15" i="18"/>
  <c r="D16" i="18"/>
  <c r="H16" i="18"/>
  <c r="M16" i="18"/>
  <c r="D17" i="18"/>
  <c r="H17" i="18"/>
  <c r="M17" i="18"/>
  <c r="D18" i="18"/>
  <c r="H18" i="18"/>
  <c r="M18" i="18"/>
  <c r="D19" i="18"/>
  <c r="H19" i="18"/>
  <c r="M19" i="18"/>
  <c r="D20" i="18"/>
  <c r="H20" i="18"/>
  <c r="M20" i="18"/>
  <c r="D21" i="18"/>
  <c r="H21" i="18"/>
  <c r="M21" i="18"/>
  <c r="D22" i="18"/>
  <c r="H22" i="18"/>
  <c r="M22" i="18"/>
  <c r="D23" i="18"/>
  <c r="H23" i="18"/>
  <c r="M23" i="18"/>
  <c r="D24" i="18"/>
  <c r="H24" i="18"/>
  <c r="D25" i="18"/>
  <c r="H25" i="18"/>
  <c r="B27" i="18"/>
  <c r="F27" i="18"/>
  <c r="G27" i="18" s="1"/>
  <c r="A3" i="6"/>
  <c r="D3" i="6"/>
  <c r="H3" i="6"/>
  <c r="D4" i="6"/>
  <c r="H4" i="6"/>
  <c r="D5" i="6"/>
  <c r="H5" i="6"/>
  <c r="D6" i="6"/>
  <c r="H6" i="6"/>
  <c r="D7" i="6"/>
  <c r="H7" i="6"/>
  <c r="D8" i="6"/>
  <c r="H8" i="6"/>
  <c r="D9" i="6"/>
  <c r="H9" i="6"/>
  <c r="D10" i="6"/>
  <c r="H10" i="6"/>
  <c r="D11" i="6"/>
  <c r="H11" i="6"/>
  <c r="D12" i="6"/>
  <c r="H12" i="6"/>
  <c r="D13" i="6"/>
  <c r="H13" i="6"/>
  <c r="D14" i="6"/>
  <c r="H14" i="6"/>
  <c r="D15" i="6"/>
  <c r="H15" i="6"/>
  <c r="D16" i="6"/>
  <c r="H16" i="6"/>
  <c r="D17" i="6"/>
  <c r="H17" i="6"/>
  <c r="L17" i="6"/>
  <c r="M17" i="6"/>
  <c r="D18" i="6"/>
  <c r="H18" i="6"/>
  <c r="L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B27" i="6"/>
  <c r="F27" i="6"/>
  <c r="F29" i="6" s="1"/>
  <c r="H27" i="6"/>
  <c r="G27" i="6" s="1"/>
  <c r="J2" i="12"/>
  <c r="A3" i="12"/>
  <c r="D3" i="12"/>
  <c r="H3" i="12"/>
  <c r="D4" i="12"/>
  <c r="H4" i="12"/>
  <c r="D5" i="12"/>
  <c r="H5" i="12"/>
  <c r="D6" i="12"/>
  <c r="H6" i="12"/>
  <c r="H27" i="12" s="1"/>
  <c r="D7" i="12"/>
  <c r="H7" i="12"/>
  <c r="D8" i="12"/>
  <c r="H8" i="12"/>
  <c r="D9" i="12"/>
  <c r="H9" i="12"/>
  <c r="D10" i="12"/>
  <c r="H10" i="12"/>
  <c r="D11" i="12"/>
  <c r="H11" i="12"/>
  <c r="D12" i="12"/>
  <c r="H12" i="12"/>
  <c r="D13" i="12"/>
  <c r="H13" i="12"/>
  <c r="N13" i="12"/>
  <c r="O13" i="12" s="1"/>
  <c r="O14" i="12" s="1"/>
  <c r="D14" i="12"/>
  <c r="H14" i="12"/>
  <c r="L14" i="12"/>
  <c r="D15" i="12"/>
  <c r="H15" i="12"/>
  <c r="M15" i="12"/>
  <c r="D16" i="12"/>
  <c r="H16" i="12"/>
  <c r="D17" i="12"/>
  <c r="H17" i="12"/>
  <c r="M17" i="12"/>
  <c r="D18" i="12"/>
  <c r="H18" i="12"/>
  <c r="M18" i="12"/>
  <c r="D19" i="12"/>
  <c r="H19" i="12"/>
  <c r="D20" i="12"/>
  <c r="H20" i="12"/>
  <c r="D21" i="12"/>
  <c r="H21" i="12"/>
  <c r="N21" i="12"/>
  <c r="D22" i="12"/>
  <c r="H22" i="12"/>
  <c r="D23" i="12"/>
  <c r="H23" i="12"/>
  <c r="D24" i="12"/>
  <c r="H24" i="12"/>
  <c r="D25" i="12"/>
  <c r="H25" i="12"/>
  <c r="B27" i="12"/>
  <c r="F27" i="12"/>
  <c r="G27" i="12"/>
  <c r="C31" i="12"/>
  <c r="I16" i="2" l="1"/>
  <c r="L16" i="2"/>
  <c r="G29" i="7"/>
  <c r="D7" i="3"/>
  <c r="D9" i="2"/>
  <c r="N9" i="2" s="1"/>
  <c r="J9" i="11"/>
  <c r="J11" i="11" s="1"/>
  <c r="D7" i="2" s="1"/>
  <c r="G30" i="11"/>
  <c r="J10" i="7"/>
  <c r="C31" i="11"/>
  <c r="J2" i="11" s="1"/>
  <c r="L7" i="2"/>
  <c r="G30" i="13"/>
  <c r="J9" i="13"/>
  <c r="H30" i="13"/>
  <c r="F35" i="13" s="1"/>
  <c r="F32" i="14"/>
  <c r="D27" i="14"/>
  <c r="F37" i="16"/>
  <c r="J4" i="16" s="1"/>
  <c r="J6" i="16" s="1"/>
  <c r="G11" i="2"/>
  <c r="D27" i="11"/>
  <c r="F29" i="14"/>
  <c r="F30" i="14"/>
  <c r="H27" i="14"/>
  <c r="F29" i="8"/>
  <c r="G4" i="2"/>
  <c r="C27" i="12"/>
  <c r="F32" i="12" s="1"/>
  <c r="F30" i="12"/>
  <c r="C27" i="18"/>
  <c r="F32" i="18" s="1"/>
  <c r="F30" i="18"/>
  <c r="D27" i="7"/>
  <c r="H27" i="11"/>
  <c r="G5" i="2"/>
  <c r="H27" i="9"/>
  <c r="G27" i="9" s="1"/>
  <c r="D33" i="5"/>
  <c r="C33" i="5" s="1"/>
  <c r="D27" i="1"/>
  <c r="H27" i="1"/>
  <c r="D27" i="8"/>
  <c r="C31" i="10"/>
  <c r="J2" i="10" s="1"/>
  <c r="L6" i="2"/>
  <c r="F29" i="11"/>
  <c r="F29" i="13"/>
  <c r="C27" i="15"/>
  <c r="G29" i="15" s="1"/>
  <c r="H33" i="5"/>
  <c r="G33" i="5" s="1"/>
  <c r="H27" i="16"/>
  <c r="H27" i="8"/>
  <c r="J9" i="8"/>
  <c r="J11" i="8" s="1"/>
  <c r="D4" i="2" s="1"/>
  <c r="G30" i="8"/>
  <c r="H30" i="8" s="1"/>
  <c r="F35" i="8" s="1"/>
  <c r="G8" i="2"/>
  <c r="B13" i="2"/>
  <c r="B14" i="2"/>
  <c r="C37" i="5"/>
  <c r="J2" i="5" s="1"/>
  <c r="L12" i="2"/>
  <c r="G27" i="7"/>
  <c r="F32" i="7" s="1"/>
  <c r="D27" i="13"/>
  <c r="H29" i="16"/>
  <c r="F34" i="16" s="1"/>
  <c r="J11" i="16"/>
  <c r="J10" i="16"/>
  <c r="D27" i="16"/>
  <c r="G27" i="8"/>
  <c r="D27" i="12"/>
  <c r="F29" i="1"/>
  <c r="F30" i="1"/>
  <c r="C27" i="1"/>
  <c r="D27" i="10"/>
  <c r="C27" i="10" s="1"/>
  <c r="F32" i="10" s="1"/>
  <c r="H27" i="18"/>
  <c r="F29" i="12"/>
  <c r="F30" i="6"/>
  <c r="D27" i="6"/>
  <c r="C27" i="6" s="1"/>
  <c r="F29" i="18"/>
  <c r="L8" i="2"/>
  <c r="B10" i="2"/>
  <c r="L10" i="2" s="1"/>
  <c r="B9" i="2"/>
  <c r="H30" i="11"/>
  <c r="F35" i="11" s="1"/>
  <c r="H27" i="13"/>
  <c r="G27" i="1"/>
  <c r="H27" i="10"/>
  <c r="C27" i="8"/>
  <c r="J30" i="5"/>
  <c r="J31" i="5" s="1"/>
  <c r="J10" i="5"/>
  <c r="J9" i="10"/>
  <c r="J11" i="10" s="1"/>
  <c r="D6" i="2" s="1"/>
  <c r="H30" i="4"/>
  <c r="F35" i="4" s="1"/>
  <c r="J9" i="4"/>
  <c r="F30" i="9"/>
  <c r="H30" i="16"/>
  <c r="F35" i="16" s="1"/>
  <c r="B20" i="2"/>
  <c r="G30" i="7"/>
  <c r="J11" i="5"/>
  <c r="G29" i="9" l="1"/>
  <c r="H29" i="9" s="1"/>
  <c r="F34" i="9" s="1"/>
  <c r="F32" i="9"/>
  <c r="F32" i="6"/>
  <c r="G29" i="6"/>
  <c r="J9" i="1"/>
  <c r="H30" i="1"/>
  <c r="F35" i="1" s="1"/>
  <c r="G30" i="1"/>
  <c r="J3" i="7"/>
  <c r="J14" i="7"/>
  <c r="E15" i="2"/>
  <c r="J13" i="7"/>
  <c r="J11" i="4"/>
  <c r="D13" i="2"/>
  <c r="N13" i="2" s="1"/>
  <c r="J10" i="4"/>
  <c r="G29" i="13"/>
  <c r="H29" i="13" s="1"/>
  <c r="F34" i="13" s="1"/>
  <c r="F37" i="13" s="1"/>
  <c r="J4" i="13" s="1"/>
  <c r="F16" i="2" s="1"/>
  <c r="F38" i="5"/>
  <c r="F43" i="5" s="1"/>
  <c r="J4" i="5" s="1"/>
  <c r="F12" i="2" s="1"/>
  <c r="H12" i="2" s="1"/>
  <c r="G35" i="5"/>
  <c r="H35" i="5" s="1"/>
  <c r="F40" i="5" s="1"/>
  <c r="G7" i="2"/>
  <c r="D2" i="3"/>
  <c r="D8" i="3"/>
  <c r="C28" i="8"/>
  <c r="F32" i="8"/>
  <c r="F32" i="1"/>
  <c r="G29" i="11"/>
  <c r="H29" i="11"/>
  <c r="F34" i="11" s="1"/>
  <c r="F37" i="11" s="1"/>
  <c r="J4" i="11" s="1"/>
  <c r="F7" i="2" s="1"/>
  <c r="H7" i="2" s="1"/>
  <c r="G30" i="12"/>
  <c r="H30" i="12"/>
  <c r="F35" i="12" s="1"/>
  <c r="J9" i="12"/>
  <c r="J11" i="12" s="1"/>
  <c r="D8" i="2" s="1"/>
  <c r="G36" i="5"/>
  <c r="H36" i="5" s="1"/>
  <c r="F41" i="5" s="1"/>
  <c r="J9" i="9"/>
  <c r="J11" i="9" s="1"/>
  <c r="D5" i="2" s="1"/>
  <c r="G30" i="9"/>
  <c r="H30" i="9"/>
  <c r="F35" i="9" s="1"/>
  <c r="J13" i="16"/>
  <c r="H30" i="14"/>
  <c r="F35" i="14" s="1"/>
  <c r="J9" i="14"/>
  <c r="G30" i="14"/>
  <c r="G29" i="1"/>
  <c r="H29" i="1"/>
  <c r="F34" i="1" s="1"/>
  <c r="E7" i="3"/>
  <c r="E8" i="3" s="1"/>
  <c r="D20" i="2"/>
  <c r="G12" i="2"/>
  <c r="F2" i="3"/>
  <c r="F8" i="3" s="1"/>
  <c r="N4" i="2"/>
  <c r="G6" i="2"/>
  <c r="H29" i="14"/>
  <c r="F34" i="14" s="1"/>
  <c r="G29" i="14"/>
  <c r="F37" i="14"/>
  <c r="J4" i="14" s="1"/>
  <c r="J6" i="14" s="1"/>
  <c r="J9" i="6"/>
  <c r="G30" i="6"/>
  <c r="H30" i="6" s="1"/>
  <c r="F35" i="6" s="1"/>
  <c r="L14" i="2"/>
  <c r="B15" i="2"/>
  <c r="C31" i="6"/>
  <c r="J2" i="6" s="1"/>
  <c r="N7" i="2"/>
  <c r="I2" i="3"/>
  <c r="I8" i="3" s="1"/>
  <c r="G29" i="12"/>
  <c r="H29" i="12"/>
  <c r="F34" i="12" s="1"/>
  <c r="F37" i="12" s="1"/>
  <c r="J4" i="12" s="1"/>
  <c r="C31" i="13"/>
  <c r="J2" i="13" s="1"/>
  <c r="I13" i="2"/>
  <c r="L13" i="2"/>
  <c r="C31" i="4"/>
  <c r="G30" i="10"/>
  <c r="H30" i="10" s="1"/>
  <c r="F35" i="10" s="1"/>
  <c r="J11" i="13"/>
  <c r="J10" i="13"/>
  <c r="D16" i="2"/>
  <c r="N16" i="2" s="1"/>
  <c r="G29" i="18"/>
  <c r="H29" i="18"/>
  <c r="F34" i="18" s="1"/>
  <c r="F37" i="18" s="1"/>
  <c r="J4" i="18" s="1"/>
  <c r="J6" i="18" s="1"/>
  <c r="G29" i="10"/>
  <c r="H29" i="10" s="1"/>
  <c r="F34" i="10" s="1"/>
  <c r="F37" i="10" s="1"/>
  <c r="J4" i="10" s="1"/>
  <c r="H2" i="3"/>
  <c r="H8" i="3" s="1"/>
  <c r="N6" i="2"/>
  <c r="J13" i="5"/>
  <c r="E12" i="2"/>
  <c r="J3" i="5"/>
  <c r="J14" i="5"/>
  <c r="C31" i="15"/>
  <c r="J2" i="15" s="1"/>
  <c r="L9" i="2"/>
  <c r="F32" i="15"/>
  <c r="G30" i="15"/>
  <c r="H30" i="18"/>
  <c r="F35" i="18" s="1"/>
  <c r="G30" i="18"/>
  <c r="J9" i="18"/>
  <c r="J11" i="18" s="1"/>
  <c r="G29" i="8"/>
  <c r="H29" i="8"/>
  <c r="F34" i="8" s="1"/>
  <c r="F8" i="2" l="1"/>
  <c r="H8" i="2" s="1"/>
  <c r="J6" i="12"/>
  <c r="F6" i="2"/>
  <c r="H6" i="2" s="1"/>
  <c r="J6" i="10"/>
  <c r="J6" i="11"/>
  <c r="J6" i="13"/>
  <c r="J11" i="1"/>
  <c r="J10" i="1"/>
  <c r="D11" i="2"/>
  <c r="E16" i="2"/>
  <c r="J13" i="13"/>
  <c r="D14" i="2"/>
  <c r="N14" i="2" s="1"/>
  <c r="J11" i="6"/>
  <c r="J10" i="6"/>
  <c r="G2" i="3"/>
  <c r="G8" i="3" s="1"/>
  <c r="N5" i="2"/>
  <c r="F37" i="1"/>
  <c r="J4" i="1" s="1"/>
  <c r="H29" i="6"/>
  <c r="F34" i="6" s="1"/>
  <c r="F37" i="6" s="1"/>
  <c r="J4" i="6" s="1"/>
  <c r="C30" i="13"/>
  <c r="J3" i="13" s="1"/>
  <c r="G16" i="2" s="1"/>
  <c r="H16" i="2" s="1"/>
  <c r="C30" i="16"/>
  <c r="J3" i="16" s="1"/>
  <c r="C30" i="14"/>
  <c r="C30" i="4"/>
  <c r="J3" i="4" s="1"/>
  <c r="J10" i="14"/>
  <c r="J11" i="14"/>
  <c r="F37" i="8"/>
  <c r="J4" i="8" s="1"/>
  <c r="H30" i="15"/>
  <c r="F35" i="15" s="1"/>
  <c r="N8" i="2"/>
  <c r="J2" i="3"/>
  <c r="J8" i="3" s="1"/>
  <c r="F37" i="9"/>
  <c r="J4" i="9" s="1"/>
  <c r="E13" i="2"/>
  <c r="J13" i="4"/>
  <c r="J2" i="4"/>
  <c r="H29" i="4"/>
  <c r="F34" i="4" s="1"/>
  <c r="F37" i="4" s="1"/>
  <c r="J4" i="4" s="1"/>
  <c r="F13" i="2" s="1"/>
  <c r="G14" i="2"/>
  <c r="J6" i="5"/>
  <c r="L15" i="2"/>
  <c r="C31" i="7"/>
  <c r="H29" i="15"/>
  <c r="F34" i="15" s="1"/>
  <c r="F37" i="15" s="1"/>
  <c r="J4" i="15" s="1"/>
  <c r="J6" i="15" s="1"/>
  <c r="G9" i="2" s="1"/>
  <c r="H9" i="2" l="1"/>
  <c r="F14" i="2"/>
  <c r="H14" i="2" s="1"/>
  <c r="J6" i="6"/>
  <c r="J2" i="7"/>
  <c r="H29" i="7"/>
  <c r="F34" i="7" s="1"/>
  <c r="F37" i="7" s="1"/>
  <c r="J4" i="7" s="1"/>
  <c r="F15" i="2" s="1"/>
  <c r="H30" i="7"/>
  <c r="F35" i="7" s="1"/>
  <c r="F4" i="2"/>
  <c r="J6" i="8"/>
  <c r="F11" i="2"/>
  <c r="H11" i="2" s="1"/>
  <c r="J6" i="1"/>
  <c r="H13" i="2"/>
  <c r="G13" i="2"/>
  <c r="J6" i="4"/>
  <c r="B8" i="3"/>
  <c r="D18" i="2"/>
  <c r="N18" i="2" s="1"/>
  <c r="E25" i="2"/>
  <c r="F25" i="2" s="1"/>
  <c r="G25" i="2" s="1"/>
  <c r="N11" i="2"/>
  <c r="A16" i="2"/>
  <c r="D17" i="2"/>
  <c r="J3" i="14"/>
  <c r="J13" i="14"/>
  <c r="E11" i="2"/>
  <c r="J13" i="1"/>
  <c r="J3" i="1"/>
  <c r="J14" i="1"/>
  <c r="F5" i="2"/>
  <c r="H5" i="2" s="1"/>
  <c r="J6" i="9"/>
  <c r="J15" i="6"/>
  <c r="J3" i="6"/>
  <c r="J13" i="6"/>
  <c r="E14" i="2"/>
  <c r="H4" i="2" l="1"/>
  <c r="F17" i="2"/>
  <c r="G19" i="2" s="1"/>
  <c r="G22" i="2" s="1"/>
  <c r="E17" i="2"/>
  <c r="B7" i="3"/>
  <c r="B2" i="3" s="1"/>
  <c r="B10" i="3"/>
  <c r="J6" i="7"/>
  <c r="G15" i="2"/>
  <c r="G17" i="2" s="1"/>
  <c r="N17" i="2"/>
  <c r="N22" i="2" s="1"/>
  <c r="D22" i="2"/>
  <c r="H17" i="2" l="1"/>
  <c r="L26" i="5"/>
  <c r="L30" i="1"/>
  <c r="L28" i="6"/>
  <c r="H15" i="2"/>
</calcChain>
</file>

<file path=xl/sharedStrings.xml><?xml version="1.0" encoding="utf-8"?>
<sst xmlns="http://schemas.openxmlformats.org/spreadsheetml/2006/main" count="319" uniqueCount="57">
  <si>
    <t>&lt;- Realized PL</t>
  </si>
  <si>
    <t>&lt;- MTM PL w/o Real PL</t>
  </si>
  <si>
    <t>&lt;- MTM PL with Real PL</t>
  </si>
  <si>
    <t>&lt;- Total Pl</t>
  </si>
  <si>
    <t>BEGINNING</t>
  </si>
  <si>
    <t>HH_SWAP</t>
  </si>
  <si>
    <t>HSC_SWAP</t>
  </si>
  <si>
    <t>KATY_SWAP</t>
  </si>
  <si>
    <t>WAHA_SWAP</t>
  </si>
  <si>
    <t>PERMIAN_SWAP</t>
  </si>
  <si>
    <t>POSTION</t>
  </si>
  <si>
    <t>BUY</t>
  </si>
  <si>
    <t>SELL</t>
  </si>
  <si>
    <t>&lt;- Current MTM</t>
  </si>
  <si>
    <t>ROLL VALUE</t>
  </si>
  <si>
    <t>MTM</t>
  </si>
  <si>
    <t>ROLLOFF VALUE</t>
  </si>
  <si>
    <t>ROLLOFF VAULE</t>
  </si>
  <si>
    <t>NUMBER OF DAYS</t>
  </si>
  <si>
    <t>NEW DEAL</t>
  </si>
  <si>
    <t>NEW DEALS</t>
  </si>
  <si>
    <t>TOTAL  P&amp;L</t>
  </si>
  <si>
    <t>ROLL OFF</t>
  </si>
  <si>
    <t>NET POSTION</t>
  </si>
  <si>
    <t>NET</t>
  </si>
  <si>
    <t>PRIOR</t>
  </si>
  <si>
    <t>KATY_PHYS</t>
  </si>
  <si>
    <t>change</t>
  </si>
  <si>
    <t>3 DAY ROLL</t>
  </si>
  <si>
    <t>PRIOR POSTION</t>
  </si>
  <si>
    <t>CHANGE</t>
  </si>
  <si>
    <t>TOTAL</t>
  </si>
  <si>
    <t>katy index</t>
  </si>
  <si>
    <t>HSC index</t>
  </si>
  <si>
    <t>jul futs</t>
  </si>
  <si>
    <t>aug futs</t>
  </si>
  <si>
    <t>sep fut</t>
  </si>
  <si>
    <t>n-v</t>
  </si>
  <si>
    <t>x-h</t>
  </si>
  <si>
    <t>HH_fix</t>
  </si>
  <si>
    <t>katy_ fixed</t>
  </si>
  <si>
    <t>hsc_fix</t>
  </si>
  <si>
    <t>hsc basis</t>
  </si>
  <si>
    <t>Katy_ AUG</t>
  </si>
  <si>
    <t>HH_AUG</t>
  </si>
  <si>
    <t>Hsc_AUG</t>
  </si>
  <si>
    <t>DEC</t>
  </si>
  <si>
    <t>KA</t>
  </si>
  <si>
    <t>JAN</t>
  </si>
  <si>
    <t>basis</t>
  </si>
  <si>
    <t>J-V</t>
  </si>
  <si>
    <t>CAL2</t>
  </si>
  <si>
    <t>,30</t>
  </si>
  <si>
    <t>FEB</t>
  </si>
  <si>
    <t>MAR</t>
  </si>
  <si>
    <t>Z-H</t>
  </si>
  <si>
    <t>3..182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</si>
</sst>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3" formatCode="0.0000"/>
    <numFmt numFmtId="174" formatCode="0.000"/>
    <numFmt numFmtId="176" formatCode="0.00_);[Red]\(0.00\)"/>
    <numFmt numFmtId="178" formatCode="0.0"/>
    <numFmt numFmtId="180" formatCode="d\-mmm\-yyyy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5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0" fontId="2" fillId="0" borderId="0" xfId="0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  <xf numFmtId="0" fontId="2" fillId="5" borderId="0" xfId="0" applyFont="1" applyFill="1"/>
    <xf numFmtId="166" fontId="2" fillId="0" borderId="0" xfId="2" applyNumberFormat="1" applyFont="1" applyFill="1" applyBorder="1"/>
    <xf numFmtId="0" fontId="2" fillId="0" borderId="0" xfId="0" applyFont="1" applyFill="1" applyBorder="1"/>
    <xf numFmtId="166" fontId="3" fillId="0" borderId="0" xfId="2" applyNumberFormat="1" applyFont="1" applyFill="1" applyBorder="1"/>
    <xf numFmtId="0" fontId="3" fillId="0" borderId="0" xfId="0" applyFont="1" applyFill="1" applyBorder="1"/>
    <xf numFmtId="44" fontId="2" fillId="5" borderId="0" xfId="2" applyFont="1" applyFill="1"/>
    <xf numFmtId="164" fontId="3" fillId="5" borderId="0" xfId="1" applyNumberFormat="1" applyFont="1" applyFill="1"/>
    <xf numFmtId="4" fontId="2" fillId="5" borderId="0" xfId="0" applyNumberFormat="1" applyFont="1" applyFill="1"/>
    <xf numFmtId="176" fontId="2" fillId="3" borderId="0" xfId="2" applyNumberFormat="1" applyFont="1" applyFill="1"/>
    <xf numFmtId="176" fontId="2" fillId="3" borderId="0" xfId="0" applyNumberFormat="1" applyFont="1" applyFill="1"/>
    <xf numFmtId="40" fontId="2" fillId="0" borderId="0" xfId="2" applyNumberFormat="1" applyFont="1"/>
    <xf numFmtId="40" fontId="2" fillId="0" borderId="0" xfId="2" applyNumberFormat="1" applyFont="1" applyFill="1" applyBorder="1"/>
    <xf numFmtId="40" fontId="2" fillId="2" borderId="0" xfId="2" applyNumberFormat="1" applyFont="1" applyFill="1"/>
    <xf numFmtId="2" fontId="2" fillId="2" borderId="0" xfId="2" applyNumberFormat="1" applyFont="1" applyFill="1"/>
    <xf numFmtId="40" fontId="3" fillId="2" borderId="0" xfId="2" applyNumberFormat="1" applyFont="1" applyFill="1"/>
    <xf numFmtId="43" fontId="3" fillId="3" borderId="1" xfId="1" applyFont="1" applyFill="1" applyBorder="1"/>
    <xf numFmtId="40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wrapText="1" shrinkToFit="1"/>
    </xf>
    <xf numFmtId="14" fontId="0" fillId="0" borderId="0" xfId="0" applyNumberFormat="1"/>
    <xf numFmtId="17" fontId="0" fillId="0" borderId="0" xfId="0" applyNumberFormat="1"/>
    <xf numFmtId="38" fontId="0" fillId="0" borderId="0" xfId="0" applyNumberFormat="1"/>
    <xf numFmtId="0" fontId="0" fillId="4" borderId="0" xfId="0" applyFill="1"/>
    <xf numFmtId="0" fontId="0" fillId="6" borderId="0" xfId="0" applyFill="1"/>
    <xf numFmtId="2" fontId="2" fillId="0" borderId="0" xfId="0" applyNumberFormat="1" applyFont="1"/>
    <xf numFmtId="1" fontId="2" fillId="0" borderId="0" xfId="0" applyNumberFormat="1" applyFont="1"/>
    <xf numFmtId="180" fontId="2" fillId="0" borderId="0" xfId="0" applyNumberFormat="1" applyFont="1"/>
    <xf numFmtId="0" fontId="0" fillId="0" borderId="0" xfId="0" applyAlignment="1">
      <alignment horizontal="center" shrinkToFit="1"/>
    </xf>
    <xf numFmtId="40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/>
    <xf numFmtId="6" fontId="0" fillId="0" borderId="0" xfId="0" applyNumberFormat="1" applyFill="1"/>
    <xf numFmtId="6" fontId="4" fillId="0" borderId="0" xfId="0" applyNumberFormat="1" applyFont="1" applyFill="1"/>
    <xf numFmtId="174" fontId="0" fillId="0" borderId="0" xfId="0" applyNumberFormat="1"/>
    <xf numFmtId="164" fontId="2" fillId="3" borderId="0" xfId="0" applyNumberFormat="1" applyFont="1" applyFill="1"/>
    <xf numFmtId="44" fontId="2" fillId="3" borderId="0" xfId="2" applyFont="1" applyFill="1"/>
    <xf numFmtId="164" fontId="2" fillId="3" borderId="0" xfId="1" applyNumberFormat="1" applyFont="1" applyFill="1"/>
    <xf numFmtId="4" fontId="2" fillId="3" borderId="0" xfId="2" applyNumberFormat="1" applyFont="1" applyFill="1"/>
    <xf numFmtId="0" fontId="0" fillId="0" borderId="0" xfId="0" applyAlignment="1">
      <alignment wrapText="1" shrinkToFit="1"/>
    </xf>
    <xf numFmtId="40" fontId="0" fillId="7" borderId="0" xfId="0" applyNumberFormat="1" applyFill="1"/>
    <xf numFmtId="40" fontId="5" fillId="8" borderId="0" xfId="0" applyNumberFormat="1" applyFont="1" applyFill="1" applyAlignment="1">
      <alignment horizontal="center"/>
    </xf>
    <xf numFmtId="6" fontId="6" fillId="9" borderId="0" xfId="0" applyNumberFormat="1" applyFont="1" applyFill="1"/>
    <xf numFmtId="0" fontId="0" fillId="2" borderId="0" xfId="0" applyFill="1"/>
    <xf numFmtId="40" fontId="4" fillId="2" borderId="0" xfId="0" applyNumberFormat="1" applyFont="1" applyFill="1"/>
    <xf numFmtId="174" fontId="2" fillId="0" borderId="0" xfId="0" applyNumberFormat="1" applyFont="1"/>
    <xf numFmtId="0" fontId="0" fillId="0" borderId="0" xfId="0" applyAlignment="1">
      <alignment horizontal="center"/>
    </xf>
    <xf numFmtId="40" fontId="0" fillId="10" borderId="0" xfId="0" applyNumberFormat="1" applyFill="1"/>
    <xf numFmtId="40" fontId="4" fillId="8" borderId="0" xfId="0" applyNumberFormat="1" applyFont="1" applyFill="1" applyAlignment="1">
      <alignment horizontal="center"/>
    </xf>
    <xf numFmtId="0" fontId="7" fillId="11" borderId="0" xfId="0" applyFont="1" applyFill="1"/>
    <xf numFmtId="40" fontId="7" fillId="11" borderId="0" xfId="0" applyNumberFormat="1" applyFont="1" applyFill="1"/>
    <xf numFmtId="174" fontId="0" fillId="4" borderId="0" xfId="0" applyNumberFormat="1" applyFill="1"/>
    <xf numFmtId="40" fontId="4" fillId="3" borderId="0" xfId="0" applyNumberFormat="1" applyFont="1" applyFill="1" applyBorder="1"/>
    <xf numFmtId="8" fontId="0" fillId="0" borderId="0" xfId="0" applyNumberFormat="1"/>
    <xf numFmtId="2" fontId="0" fillId="6" borderId="0" xfId="0" applyNumberFormat="1" applyFill="1"/>
    <xf numFmtId="174" fontId="0" fillId="5" borderId="0" xfId="0" applyNumberFormat="1" applyFill="1"/>
    <xf numFmtId="0" fontId="0" fillId="5" borderId="0" xfId="0" applyFill="1"/>
    <xf numFmtId="173" fontId="0" fillId="5" borderId="0" xfId="0" applyNumberFormat="1" applyFill="1"/>
    <xf numFmtId="0" fontId="0" fillId="4" borderId="0" xfId="0" applyFill="1" applyAlignment="1">
      <alignment horizontal="right"/>
    </xf>
    <xf numFmtId="178" fontId="2" fillId="0" borderId="0" xfId="0" applyNumberFormat="1" applyFont="1"/>
    <xf numFmtId="164" fontId="3" fillId="4" borderId="0" xfId="1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40" fontId="8" fillId="3" borderId="0" xfId="0" applyNumberFormat="1" applyFont="1" applyFill="1"/>
    <xf numFmtId="174" fontId="0" fillId="6" borderId="0" xfId="0" applyNumberFormat="1" applyFill="1"/>
    <xf numFmtId="6" fontId="0" fillId="3" borderId="0" xfId="0" applyNumberForma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2"/>
  <sheetViews>
    <sheetView tabSelected="1" zoomScale="80" workbookViewId="0">
      <selection activeCell="B4" sqref="B4"/>
    </sheetView>
  </sheetViews>
  <sheetFormatPr defaultRowHeight="12.75" x14ac:dyDescent="0.2"/>
  <cols>
    <col min="1" max="1" width="8.28515625" customWidth="1"/>
    <col min="2" max="2" width="8.7109375" customWidth="1"/>
    <col min="3" max="3" width="18.140625" bestFit="1" customWidth="1"/>
    <col min="4" max="4" width="16.28515625" bestFit="1" customWidth="1"/>
    <col min="6" max="6" width="11.7109375" customWidth="1"/>
    <col min="7" max="7" width="14.8554687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1:15" s="45" customFormat="1" ht="25.5" x14ac:dyDescent="0.2">
      <c r="B3" s="45" t="s">
        <v>15</v>
      </c>
      <c r="D3" s="56" t="s">
        <v>10</v>
      </c>
      <c r="E3" s="46" t="s">
        <v>22</v>
      </c>
      <c r="F3" s="45" t="s">
        <v>19</v>
      </c>
      <c r="G3" s="45" t="s">
        <v>15</v>
      </c>
      <c r="H3" s="45" t="s">
        <v>24</v>
      </c>
      <c r="J3" s="47" t="s">
        <v>16</v>
      </c>
      <c r="L3" s="45" t="s">
        <v>27</v>
      </c>
      <c r="M3" s="67" t="s">
        <v>29</v>
      </c>
      <c r="N3" s="45" t="s">
        <v>30</v>
      </c>
    </row>
    <row r="4" spans="1:15" x14ac:dyDescent="0.2">
      <c r="B4" s="86">
        <v>2.8130000000000002</v>
      </c>
      <c r="C4" s="51" t="s">
        <v>46</v>
      </c>
      <c r="D4" s="57">
        <f>DEC_SWAP!J11</f>
        <v>-33</v>
      </c>
      <c r="F4" s="50">
        <f>DEC_SWAP!J4</f>
        <v>-1717.4999999999241</v>
      </c>
      <c r="G4" s="50">
        <f>DEC_SWAP!J2</f>
        <v>40267.499999999694</v>
      </c>
      <c r="H4" s="50">
        <f>F4+G4</f>
        <v>38549.999999999767</v>
      </c>
      <c r="K4">
        <v>2.8519999999999999</v>
      </c>
      <c r="L4" s="62">
        <f t="shared" ref="L4:L16" si="0">B4-K4</f>
        <v>-3.8999999999999702E-2</v>
      </c>
      <c r="M4" s="57">
        <v>-46.5</v>
      </c>
      <c r="N4" s="43">
        <f t="shared" ref="N4:N19" si="1">D4-M4</f>
        <v>13.5</v>
      </c>
      <c r="O4" s="48">
        <v>37043</v>
      </c>
    </row>
    <row r="5" spans="1:15" x14ac:dyDescent="0.2">
      <c r="B5" s="79">
        <f>B4+0.178</f>
        <v>2.9910000000000001</v>
      </c>
      <c r="C5" s="51" t="s">
        <v>48</v>
      </c>
      <c r="D5" s="57">
        <f>JAN_SWAP!J11</f>
        <v>0</v>
      </c>
      <c r="F5" s="50">
        <f>JAN_SWAP!J4</f>
        <v>1627.5000000001305</v>
      </c>
      <c r="G5" s="50">
        <f>JAN_SWAP!J2</f>
        <v>23249.999999999916</v>
      </c>
      <c r="H5" s="50">
        <f t="shared" ref="H5:H16" si="2">F5+G5</f>
        <v>24877.500000000047</v>
      </c>
      <c r="K5">
        <v>3.0409999999999999</v>
      </c>
      <c r="L5" s="62">
        <f t="shared" si="0"/>
        <v>-4.9999999999999822E-2</v>
      </c>
      <c r="M5" s="57">
        <v>-9.3000000000000007</v>
      </c>
      <c r="N5" s="43">
        <f t="shared" si="1"/>
        <v>9.3000000000000007</v>
      </c>
      <c r="O5" s="48">
        <v>37044</v>
      </c>
    </row>
    <row r="6" spans="1:15" x14ac:dyDescent="0.2">
      <c r="B6" s="79">
        <f>B5+0.045</f>
        <v>3.036</v>
      </c>
      <c r="C6" s="51" t="s">
        <v>53</v>
      </c>
      <c r="D6" s="57">
        <f>FEB_SWAP!J11</f>
        <v>-28</v>
      </c>
      <c r="F6" s="50">
        <f>FEB_SWAP!J4</f>
        <v>-3780.0000000000191</v>
      </c>
      <c r="G6" s="50">
        <f>FEB_SWAP!J2</f>
        <v>0</v>
      </c>
      <c r="H6" s="50">
        <f t="shared" si="2"/>
        <v>-3780.0000000000191</v>
      </c>
      <c r="K6">
        <v>3.081</v>
      </c>
      <c r="L6" s="62">
        <f t="shared" si="0"/>
        <v>-4.4999999999999929E-2</v>
      </c>
      <c r="M6" s="57">
        <v>-3.1</v>
      </c>
      <c r="N6" s="43">
        <f t="shared" si="1"/>
        <v>-24.9</v>
      </c>
      <c r="O6" s="48">
        <v>37045</v>
      </c>
    </row>
    <row r="7" spans="1:15" x14ac:dyDescent="0.2">
      <c r="B7" s="79">
        <f>B6-0.031</f>
        <v>3.0049999999999999</v>
      </c>
      <c r="C7" s="51" t="s">
        <v>54</v>
      </c>
      <c r="D7" s="57">
        <f>MAR_SWAP!J11</f>
        <v>0</v>
      </c>
      <c r="F7" s="50">
        <f>MAR_SWAP!J4</f>
        <v>0</v>
      </c>
      <c r="G7" s="50">
        <f>MAR_SWAP!J2</f>
        <v>0</v>
      </c>
      <c r="H7" s="50">
        <f t="shared" si="2"/>
        <v>0</v>
      </c>
      <c r="K7">
        <v>3.0659999999999998</v>
      </c>
      <c r="L7" s="62">
        <f t="shared" si="0"/>
        <v>-6.0999999999999943E-2</v>
      </c>
      <c r="M7" s="57">
        <v>0</v>
      </c>
      <c r="N7" s="43">
        <f t="shared" si="1"/>
        <v>0</v>
      </c>
      <c r="O7" s="48">
        <v>37046</v>
      </c>
    </row>
    <row r="8" spans="1:15" x14ac:dyDescent="0.2">
      <c r="B8" s="79">
        <f>B4+0.14825</f>
        <v>2.9612500000000002</v>
      </c>
      <c r="C8" s="51" t="s">
        <v>55</v>
      </c>
      <c r="D8" s="57">
        <f>'Z-H_SWAP'!J11</f>
        <v>0</v>
      </c>
      <c r="F8" s="50">
        <f>'Z-H_SWAP'!J4</f>
        <v>0</v>
      </c>
      <c r="G8" s="50">
        <f>'Z-H_SWAP'!J2</f>
        <v>0</v>
      </c>
      <c r="H8" s="50">
        <f t="shared" si="2"/>
        <v>0</v>
      </c>
      <c r="K8">
        <v>3.01</v>
      </c>
      <c r="L8" s="62">
        <f t="shared" si="0"/>
        <v>-4.8749999999999627E-2</v>
      </c>
      <c r="M8" s="57">
        <v>0</v>
      </c>
      <c r="N8" s="43">
        <f t="shared" si="1"/>
        <v>0</v>
      </c>
      <c r="O8" s="48">
        <v>37047</v>
      </c>
    </row>
    <row r="9" spans="1:15" x14ac:dyDescent="0.2">
      <c r="B9" s="79">
        <f>B8+0.084</f>
        <v>3.0452500000000002</v>
      </c>
      <c r="C9" s="51" t="s">
        <v>50</v>
      </c>
      <c r="D9" s="57">
        <f>'J-V_SWAP'!J11</f>
        <v>-53.5</v>
      </c>
      <c r="F9" s="50">
        <f>'Z-H_SWAP'!J5</f>
        <v>0</v>
      </c>
      <c r="G9" s="50">
        <f>'J-V_SWAP'!J6</f>
        <v>15916.249999999731</v>
      </c>
      <c r="H9" s="50">
        <f>F9+G9</f>
        <v>15916.249999999731</v>
      </c>
      <c r="K9">
        <v>3.1269999999999998</v>
      </c>
      <c r="L9" s="62">
        <f>B9-K9</f>
        <v>-8.1749999999999545E-2</v>
      </c>
      <c r="M9" s="57">
        <v>1</v>
      </c>
      <c r="N9" s="43">
        <f>D9-M9</f>
        <v>-54.5</v>
      </c>
      <c r="O9" s="48"/>
    </row>
    <row r="10" spans="1:15" x14ac:dyDescent="0.2">
      <c r="B10" s="79">
        <f>B8+0.13</f>
        <v>3.0912500000000001</v>
      </c>
      <c r="C10" s="51" t="s">
        <v>51</v>
      </c>
      <c r="D10" s="57">
        <f>'Z-H_SWAP'!J13</f>
        <v>0</v>
      </c>
      <c r="F10" s="50"/>
      <c r="G10" s="50"/>
      <c r="H10" s="50">
        <f>F10+G10</f>
        <v>0</v>
      </c>
      <c r="K10">
        <v>3.18</v>
      </c>
      <c r="L10" s="62">
        <f>B10-K10</f>
        <v>-8.8750000000000107E-2</v>
      </c>
      <c r="M10" s="57">
        <v>2</v>
      </c>
      <c r="N10" s="43">
        <f>D10-M10</f>
        <v>-2</v>
      </c>
      <c r="O10" s="48"/>
    </row>
    <row r="11" spans="1:15" x14ac:dyDescent="0.2">
      <c r="B11" s="83">
        <f>B4-0.36</f>
        <v>2.4530000000000003</v>
      </c>
      <c r="C11" s="84" t="s">
        <v>5</v>
      </c>
      <c r="D11" s="57">
        <f>HH_SWAP!J9</f>
        <v>-6</v>
      </c>
      <c r="E11" s="44">
        <f>HH_SWAP!J10</f>
        <v>-0.66666666666666663</v>
      </c>
      <c r="F11" s="50">
        <f>HH_SWAP!J4</f>
        <v>88515.000000000044</v>
      </c>
      <c r="G11" s="50">
        <f>HH_SWAP!J2</f>
        <v>-16695.00000000012</v>
      </c>
      <c r="H11" s="50">
        <f t="shared" si="2"/>
        <v>71819.999999999927</v>
      </c>
      <c r="I11">
        <f t="shared" ref="I11:I16" si="3">IF(J11&lt;1,B11,J11)</f>
        <v>1.97</v>
      </c>
      <c r="J11" s="52">
        <v>1.97</v>
      </c>
      <c r="K11">
        <v>2.4</v>
      </c>
      <c r="L11" s="62">
        <f t="shared" si="0"/>
        <v>5.300000000000038E-2</v>
      </c>
      <c r="M11" s="57">
        <v>-69.7</v>
      </c>
      <c r="N11" s="43">
        <f t="shared" si="1"/>
        <v>63.7</v>
      </c>
      <c r="O11" s="48">
        <v>37048</v>
      </c>
    </row>
    <row r="12" spans="1:15" x14ac:dyDescent="0.2">
      <c r="B12" s="85">
        <f>B11-0.04</f>
        <v>2.4130000000000003</v>
      </c>
      <c r="C12" s="84" t="s">
        <v>6</v>
      </c>
      <c r="D12" s="57">
        <f>HSC_SWAP!J9</f>
        <v>-8</v>
      </c>
      <c r="E12" s="44">
        <f>HSC_SWAP!J10</f>
        <v>-0.88888888888888884</v>
      </c>
      <c r="F12" s="50">
        <f>HSC_SWAP!J4</f>
        <v>-27380.000000000131</v>
      </c>
      <c r="G12" s="50">
        <f>HSC_SWAP!J2</f>
        <v>9540.0000000000691</v>
      </c>
      <c r="H12" s="50">
        <f t="shared" si="2"/>
        <v>-17840.000000000062</v>
      </c>
      <c r="I12">
        <f t="shared" si="3"/>
        <v>1.83</v>
      </c>
      <c r="J12" s="52">
        <v>1.83</v>
      </c>
      <c r="K12">
        <v>2.36</v>
      </c>
      <c r="L12" s="62">
        <f t="shared" si="0"/>
        <v>5.300000000000038E-2</v>
      </c>
      <c r="M12" s="57">
        <v>0</v>
      </c>
      <c r="N12" s="43">
        <f t="shared" si="1"/>
        <v>-8</v>
      </c>
      <c r="O12" s="48">
        <v>37049</v>
      </c>
    </row>
    <row r="13" spans="1:15" x14ac:dyDescent="0.2">
      <c r="B13" s="85">
        <f>B12-0.05</f>
        <v>2.3630000000000004</v>
      </c>
      <c r="C13" s="84" t="s">
        <v>7</v>
      </c>
      <c r="D13" s="57">
        <f>KATY_SWAP!J9</f>
        <v>0</v>
      </c>
      <c r="E13" s="44">
        <f>KATY_SWAP!J10</f>
        <v>0</v>
      </c>
      <c r="F13" s="50">
        <f>KATY_SWAP!J4</f>
        <v>0</v>
      </c>
      <c r="G13" s="50">
        <f>KATY_SWAP!J2+KATY_SWAP!J3</f>
        <v>0</v>
      </c>
      <c r="H13" s="50">
        <f t="shared" si="2"/>
        <v>0</v>
      </c>
      <c r="I13">
        <f t="shared" si="3"/>
        <v>2.3630000000000004</v>
      </c>
      <c r="J13" s="52"/>
      <c r="K13">
        <v>2.31</v>
      </c>
      <c r="L13" s="62">
        <f t="shared" si="0"/>
        <v>5.300000000000038E-2</v>
      </c>
      <c r="M13" s="57">
        <v>15.5</v>
      </c>
      <c r="N13" s="43">
        <f t="shared" si="1"/>
        <v>-15.5</v>
      </c>
      <c r="O13" s="48">
        <v>37050</v>
      </c>
    </row>
    <row r="14" spans="1:15" x14ac:dyDescent="0.2">
      <c r="B14" s="85">
        <f>B12-0.25</f>
        <v>2.1630000000000003</v>
      </c>
      <c r="C14" s="84" t="s">
        <v>8</v>
      </c>
      <c r="D14" s="57">
        <f>WAHA_SWAP!J9</f>
        <v>10</v>
      </c>
      <c r="E14" s="44">
        <f>WAHA_SWAP!J10</f>
        <v>1.1111111111111112</v>
      </c>
      <c r="F14" s="50">
        <f>WAHA_SWAP!J4</f>
        <v>-62225.000000000058</v>
      </c>
      <c r="G14" s="50">
        <f>WAHA_SWAP!J2</f>
        <v>11925.000000000085</v>
      </c>
      <c r="H14" s="50">
        <f t="shared" si="2"/>
        <v>-50299.999999999971</v>
      </c>
      <c r="I14">
        <f t="shared" si="3"/>
        <v>1.64</v>
      </c>
      <c r="J14" s="52">
        <v>1.64</v>
      </c>
      <c r="K14">
        <v>2.11</v>
      </c>
      <c r="L14" s="62">
        <f t="shared" si="0"/>
        <v>5.300000000000038E-2</v>
      </c>
      <c r="M14" s="57">
        <v>0</v>
      </c>
      <c r="N14" s="43">
        <f t="shared" si="1"/>
        <v>10</v>
      </c>
      <c r="O14" s="48">
        <v>37051</v>
      </c>
    </row>
    <row r="15" spans="1:15" x14ac:dyDescent="0.2">
      <c r="B15" s="83">
        <f>B14-0.03</f>
        <v>2.1330000000000005</v>
      </c>
      <c r="C15" s="84" t="s">
        <v>9</v>
      </c>
      <c r="D15" s="57">
        <f>PERM_SWAP!J9</f>
        <v>-6</v>
      </c>
      <c r="E15" s="44">
        <f>PERM_SWAP!J10</f>
        <v>-0.66666666666666663</v>
      </c>
      <c r="F15" s="50">
        <f>PERM_SWAP!J4</f>
        <v>39975.000000000029</v>
      </c>
      <c r="G15" s="50">
        <f>PERM_SWAP!J2</f>
        <v>-7155.0000000000509</v>
      </c>
      <c r="H15" s="50">
        <f t="shared" si="2"/>
        <v>32819.999999999978</v>
      </c>
      <c r="I15">
        <f t="shared" si="3"/>
        <v>1.61</v>
      </c>
      <c r="J15" s="52">
        <v>1.61</v>
      </c>
      <c r="K15">
        <v>2.08</v>
      </c>
      <c r="L15" s="62">
        <f t="shared" si="0"/>
        <v>5.300000000000038E-2</v>
      </c>
      <c r="M15" s="57">
        <v>0</v>
      </c>
      <c r="N15" s="43">
        <f t="shared" si="1"/>
        <v>-6</v>
      </c>
      <c r="O15" s="48">
        <v>37052</v>
      </c>
    </row>
    <row r="16" spans="1:15" x14ac:dyDescent="0.2">
      <c r="A16" s="43">
        <f>SUM(D11:D16)</f>
        <v>-10</v>
      </c>
      <c r="B16" s="85">
        <f>B12-0.05</f>
        <v>2.3630000000000004</v>
      </c>
      <c r="C16" s="84" t="s">
        <v>26</v>
      </c>
      <c r="D16" s="57">
        <f>KATY_PHYS!J9</f>
        <v>0</v>
      </c>
      <c r="E16" s="44">
        <f>KATY_PHYS!J10</f>
        <v>0</v>
      </c>
      <c r="F16" s="50">
        <f>KATY_PHYS!J4</f>
        <v>0</v>
      </c>
      <c r="G16" s="50">
        <f>KATY_PHYS!J2+KATY_PHYS!J3</f>
        <v>0</v>
      </c>
      <c r="H16" s="50">
        <f t="shared" si="2"/>
        <v>0</v>
      </c>
      <c r="I16">
        <f t="shared" si="3"/>
        <v>2.3630000000000004</v>
      </c>
      <c r="J16" s="52"/>
      <c r="K16">
        <v>2.31</v>
      </c>
      <c r="L16" s="62">
        <f t="shared" si="0"/>
        <v>5.300000000000038E-2</v>
      </c>
      <c r="M16" s="57">
        <v>58.9</v>
      </c>
      <c r="N16" s="43">
        <f t="shared" si="1"/>
        <v>-58.9</v>
      </c>
      <c r="O16" s="48">
        <v>37053</v>
      </c>
    </row>
    <row r="17" spans="1:16" x14ac:dyDescent="0.2">
      <c r="C17" t="s">
        <v>31</v>
      </c>
      <c r="D17" s="76">
        <f>SUM(D4:D16)</f>
        <v>-124.5</v>
      </c>
      <c r="E17" s="44">
        <f>SUM(E11:E16)</f>
        <v>-1.1111111111111107</v>
      </c>
      <c r="F17" s="70">
        <f>SUM(F4:F16)</f>
        <v>35015.000000000073</v>
      </c>
      <c r="G17" s="70">
        <f>SUM(G4:G16)</f>
        <v>77048.749999999331</v>
      </c>
      <c r="H17" s="59">
        <f>SUM(H4:H16)</f>
        <v>112063.74999999939</v>
      </c>
      <c r="M17" s="69">
        <v>-54.2</v>
      </c>
      <c r="N17" s="68">
        <f t="shared" si="1"/>
        <v>-70.3</v>
      </c>
      <c r="O17" s="48">
        <v>37054</v>
      </c>
    </row>
    <row r="18" spans="1:16" x14ac:dyDescent="0.2">
      <c r="B18" s="77">
        <f>KATY_aug!C31</f>
        <v>2.8460000000000001</v>
      </c>
      <c r="C18" s="77" t="s">
        <v>43</v>
      </c>
      <c r="D18" s="78">
        <f>KATY_aug!J11</f>
        <v>0</v>
      </c>
      <c r="F18" s="59"/>
      <c r="G18" s="60"/>
      <c r="H18" s="61"/>
      <c r="M18">
        <v>0</v>
      </c>
      <c r="N18" s="68">
        <f t="shared" si="1"/>
        <v>0</v>
      </c>
      <c r="O18" s="48">
        <v>37055</v>
      </c>
    </row>
    <row r="19" spans="1:16" x14ac:dyDescent="0.2">
      <c r="B19" s="77">
        <f>B4-0.015</f>
        <v>2.798</v>
      </c>
      <c r="C19" s="77" t="s">
        <v>44</v>
      </c>
      <c r="D19" s="78" t="s">
        <v>47</v>
      </c>
      <c r="F19" s="59"/>
      <c r="G19" s="93">
        <f>F17+G17</f>
        <v>112063.7499999994</v>
      </c>
      <c r="H19" s="93"/>
      <c r="J19">
        <v>3.4470000000000001</v>
      </c>
      <c r="M19">
        <v>0</v>
      </c>
      <c r="N19" s="68" t="e">
        <f t="shared" si="1"/>
        <v>#VALUE!</v>
      </c>
      <c r="O19" s="48">
        <v>37056</v>
      </c>
    </row>
    <row r="20" spans="1:16" x14ac:dyDescent="0.2">
      <c r="B20" s="77">
        <f>hsc_aug!C31</f>
        <v>2.8380000000000001</v>
      </c>
      <c r="C20" s="77" t="s">
        <v>45</v>
      </c>
      <c r="D20" s="78">
        <f>hsc_aug!J11</f>
        <v>0</v>
      </c>
      <c r="F20" t="s">
        <v>49</v>
      </c>
      <c r="G20" s="81">
        <v>-19000</v>
      </c>
      <c r="H20" s="59"/>
      <c r="J20">
        <v>3.51</v>
      </c>
      <c r="M20">
        <v>0</v>
      </c>
      <c r="O20" s="48">
        <v>37057</v>
      </c>
    </row>
    <row r="21" spans="1:16" x14ac:dyDescent="0.2">
      <c r="J21">
        <v>3.4750000000000001</v>
      </c>
      <c r="O21" s="48">
        <v>37058</v>
      </c>
    </row>
    <row r="22" spans="1:16" x14ac:dyDescent="0.2">
      <c r="C22" s="71" t="s">
        <v>31</v>
      </c>
      <c r="D22" s="72">
        <f>SUM(D17:D20)</f>
        <v>-124.5</v>
      </c>
      <c r="G22" s="81">
        <f>G21+G20+G19:G19</f>
        <v>93063.749999999403</v>
      </c>
      <c r="J22">
        <v>3.39</v>
      </c>
      <c r="M22" s="43">
        <v>75.650000000000006</v>
      </c>
      <c r="N22" s="43" t="e">
        <f>SUM(N17:N19)</f>
        <v>#VALUE!</v>
      </c>
      <c r="O22" s="48">
        <v>37059</v>
      </c>
      <c r="P22">
        <v>25000</v>
      </c>
    </row>
    <row r="23" spans="1:16" x14ac:dyDescent="0.2">
      <c r="J23">
        <v>3.39</v>
      </c>
      <c r="O23" s="48">
        <v>37060</v>
      </c>
      <c r="P23">
        <v>25000</v>
      </c>
    </row>
    <row r="24" spans="1:16" x14ac:dyDescent="0.2">
      <c r="C24" t="s">
        <v>18</v>
      </c>
      <c r="E24">
        <v>9</v>
      </c>
      <c r="F24">
        <v>1</v>
      </c>
      <c r="G24" s="52">
        <f>F24*E24</f>
        <v>9</v>
      </c>
      <c r="J24">
        <v>3.4750000000000001</v>
      </c>
      <c r="L24">
        <f>29+14.5</f>
        <v>43.5</v>
      </c>
      <c r="O24" s="48">
        <v>37061</v>
      </c>
      <c r="P24">
        <v>25000</v>
      </c>
    </row>
    <row r="25" spans="1:16" x14ac:dyDescent="0.2">
      <c r="E25" s="43">
        <f>D11+D12+D14+D15</f>
        <v>-10</v>
      </c>
      <c r="F25">
        <f>E25/E24</f>
        <v>-1.1111111111111112</v>
      </c>
      <c r="G25">
        <f>F25*3</f>
        <v>-3.3333333333333335</v>
      </c>
      <c r="O25" s="48">
        <v>37062</v>
      </c>
      <c r="P25">
        <v>25000</v>
      </c>
    </row>
    <row r="26" spans="1:16" x14ac:dyDescent="0.2">
      <c r="I26" t="s">
        <v>25</v>
      </c>
      <c r="O26" s="48">
        <v>37063</v>
      </c>
      <c r="P26">
        <v>25000</v>
      </c>
    </row>
    <row r="27" spans="1:16" x14ac:dyDescent="0.2">
      <c r="C27" s="49">
        <v>37226</v>
      </c>
      <c r="D27">
        <v>2.8130000000000002</v>
      </c>
      <c r="E27" s="58"/>
      <c r="I27">
        <v>3.3969999999999998</v>
      </c>
      <c r="J27" t="e">
        <f>#REF!-I27</f>
        <v>#REF!</v>
      </c>
      <c r="O27" s="48">
        <v>37064</v>
      </c>
      <c r="P27">
        <v>25000</v>
      </c>
    </row>
    <row r="28" spans="1:16" x14ac:dyDescent="0.2">
      <c r="A28">
        <v>1</v>
      </c>
      <c r="B28">
        <v>3.4460000000000002</v>
      </c>
      <c r="C28" s="49">
        <v>37257</v>
      </c>
      <c r="D28">
        <v>2.9910000000000001</v>
      </c>
      <c r="E28" s="58">
        <f>D28-D27</f>
        <v>0.17799999999999994</v>
      </c>
      <c r="H28">
        <v>2.552</v>
      </c>
      <c r="I28">
        <v>2.3690000000000002</v>
      </c>
      <c r="J28" t="e">
        <f>#REF!-I28</f>
        <v>#REF!</v>
      </c>
      <c r="O28" s="48">
        <v>37065</v>
      </c>
      <c r="P28">
        <v>25000</v>
      </c>
    </row>
    <row r="29" spans="1:16" x14ac:dyDescent="0.2">
      <c r="A29">
        <v>2</v>
      </c>
      <c r="B29">
        <v>3.3969999999999998</v>
      </c>
      <c r="C29" s="49">
        <v>37288</v>
      </c>
      <c r="D29">
        <v>3.036</v>
      </c>
      <c r="E29" s="58">
        <f t="shared" ref="E29:E39" si="4">D29-D28</f>
        <v>4.4999999999999929E-2</v>
      </c>
      <c r="F29" s="92"/>
      <c r="G29" s="62"/>
      <c r="H29">
        <v>2.9020000000000001</v>
      </c>
      <c r="I29">
        <v>2.7530000000000001</v>
      </c>
      <c r="J29" t="e">
        <f>#REF!-I29</f>
        <v>#REF!</v>
      </c>
      <c r="L29">
        <f>31*7000</f>
        <v>217000</v>
      </c>
      <c r="O29" s="48">
        <v>37066</v>
      </c>
      <c r="P29">
        <v>25000</v>
      </c>
    </row>
    <row r="30" spans="1:16" x14ac:dyDescent="0.2">
      <c r="A30">
        <v>3</v>
      </c>
      <c r="B30">
        <v>3.4220000000000002</v>
      </c>
      <c r="C30" s="49">
        <v>37316</v>
      </c>
      <c r="D30">
        <v>3.0049999999999999</v>
      </c>
      <c r="E30" s="58">
        <f t="shared" si="4"/>
        <v>-3.1000000000000139E-2</v>
      </c>
      <c r="H30">
        <v>3.2519999999999998</v>
      </c>
      <c r="I30">
        <v>3.125</v>
      </c>
      <c r="J30">
        <f t="shared" ref="J30:J42" si="5">D27-I30</f>
        <v>-0.31199999999999983</v>
      </c>
      <c r="O30" s="48">
        <v>37067</v>
      </c>
      <c r="P30">
        <v>25000</v>
      </c>
    </row>
    <row r="31" spans="1:16" x14ac:dyDescent="0.2">
      <c r="B31">
        <f>AVERAGE(B28:B30)</f>
        <v>3.4216666666666669</v>
      </c>
      <c r="C31" s="49">
        <v>37347</v>
      </c>
      <c r="D31">
        <v>2.9449999999999998</v>
      </c>
      <c r="E31" s="58">
        <f t="shared" si="4"/>
        <v>-6.0000000000000053E-2</v>
      </c>
      <c r="H31">
        <v>3.4220000000000002</v>
      </c>
      <c r="I31">
        <v>3.3029999999999999</v>
      </c>
      <c r="J31">
        <f t="shared" si="5"/>
        <v>-0.31199999999999983</v>
      </c>
      <c r="M31">
        <f>3500*30</f>
        <v>105000</v>
      </c>
      <c r="O31" s="48">
        <v>37068</v>
      </c>
      <c r="P31">
        <v>25000</v>
      </c>
    </row>
    <row r="32" spans="1:16" x14ac:dyDescent="0.2">
      <c r="C32" s="49">
        <v>37377</v>
      </c>
      <c r="D32">
        <v>2.9830000000000001</v>
      </c>
      <c r="E32" s="58">
        <f t="shared" si="4"/>
        <v>3.8000000000000256E-2</v>
      </c>
      <c r="H32">
        <v>3.3940000000000001</v>
      </c>
      <c r="I32">
        <v>3.28</v>
      </c>
      <c r="J32">
        <f t="shared" si="5"/>
        <v>-0.24399999999999977</v>
      </c>
      <c r="O32" s="48">
        <v>37069</v>
      </c>
      <c r="P32">
        <v>25000</v>
      </c>
    </row>
    <row r="33" spans="3:16" x14ac:dyDescent="0.2">
      <c r="C33" s="49">
        <v>37408</v>
      </c>
      <c r="D33">
        <v>3.0230000000000001</v>
      </c>
      <c r="E33" s="58">
        <f t="shared" si="4"/>
        <v>4.0000000000000036E-2</v>
      </c>
      <c r="F33" s="92">
        <f>AVERAGE(D27:D30)</f>
        <v>2.9612499999999997</v>
      </c>
      <c r="G33">
        <f>F33-D27</f>
        <v>0.14824999999999955</v>
      </c>
      <c r="H33">
        <v>3.3250000000000002</v>
      </c>
      <c r="I33">
        <v>3.2149999999999999</v>
      </c>
      <c r="J33">
        <f t="shared" si="5"/>
        <v>-0.20999999999999996</v>
      </c>
      <c r="O33" s="48">
        <v>37070</v>
      </c>
      <c r="P33">
        <v>25000</v>
      </c>
    </row>
    <row r="34" spans="3:16" x14ac:dyDescent="0.2">
      <c r="C34" s="49">
        <v>37438</v>
      </c>
      <c r="D34">
        <v>3.06</v>
      </c>
      <c r="E34" s="58">
        <f t="shared" si="4"/>
        <v>3.6999999999999922E-2</v>
      </c>
      <c r="F34" s="62"/>
      <c r="H34">
        <v>3.2320000000000002</v>
      </c>
      <c r="I34">
        <v>3.125</v>
      </c>
      <c r="J34">
        <f t="shared" si="5"/>
        <v>-0.18000000000000016</v>
      </c>
      <c r="L34">
        <f>2*61</f>
        <v>122</v>
      </c>
      <c r="O34" s="48">
        <v>37071</v>
      </c>
      <c r="P34">
        <v>25000</v>
      </c>
    </row>
    <row r="35" spans="3:16" x14ac:dyDescent="0.2">
      <c r="C35" s="49">
        <v>37469</v>
      </c>
      <c r="D35">
        <v>3.093</v>
      </c>
      <c r="E35" s="58">
        <f t="shared" si="4"/>
        <v>3.2999999999999918E-2</v>
      </c>
      <c r="F35" s="62"/>
      <c r="H35">
        <v>3.2519999999999998</v>
      </c>
      <c r="I35">
        <v>3.15</v>
      </c>
      <c r="J35">
        <f t="shared" si="5"/>
        <v>-0.16699999999999982</v>
      </c>
      <c r="O35" s="48">
        <v>37072</v>
      </c>
      <c r="P35">
        <v>25000</v>
      </c>
    </row>
    <row r="36" spans="3:16" x14ac:dyDescent="0.2">
      <c r="C36" s="49">
        <v>37500</v>
      </c>
      <c r="D36">
        <v>3.0950000000000002</v>
      </c>
      <c r="E36" s="58">
        <f t="shared" si="4"/>
        <v>2.0000000000002238E-3</v>
      </c>
      <c r="F36" s="62"/>
      <c r="H36">
        <v>3.2850000000000001</v>
      </c>
      <c r="I36">
        <v>3.1850000000000001</v>
      </c>
      <c r="J36">
        <f t="shared" si="5"/>
        <v>-0.16199999999999992</v>
      </c>
      <c r="L36" t="s">
        <v>52</v>
      </c>
      <c r="P36">
        <v>25000</v>
      </c>
    </row>
    <row r="37" spans="3:16" x14ac:dyDescent="0.2">
      <c r="C37" s="49">
        <v>37530</v>
      </c>
      <c r="D37">
        <v>3.117</v>
      </c>
      <c r="E37" s="58">
        <f t="shared" si="4"/>
        <v>2.1999999999999797E-2</v>
      </c>
      <c r="F37" s="62"/>
      <c r="H37">
        <v>3.3250000000000002</v>
      </c>
      <c r="I37">
        <v>3.2250000000000001</v>
      </c>
      <c r="J37">
        <f t="shared" si="5"/>
        <v>-0.16500000000000004</v>
      </c>
    </row>
    <row r="38" spans="3:16" x14ac:dyDescent="0.2">
      <c r="C38" s="49">
        <v>37561</v>
      </c>
      <c r="D38">
        <v>3.2970000000000002</v>
      </c>
      <c r="E38" s="58">
        <f t="shared" si="4"/>
        <v>0.18000000000000016</v>
      </c>
      <c r="F38" s="62"/>
      <c r="H38">
        <v>3.3620000000000001</v>
      </c>
      <c r="I38">
        <v>3.262</v>
      </c>
      <c r="J38">
        <f t="shared" si="5"/>
        <v>-0.16900000000000004</v>
      </c>
    </row>
    <row r="39" spans="3:16" x14ac:dyDescent="0.2">
      <c r="C39" s="49">
        <v>37591</v>
      </c>
      <c r="D39">
        <v>3.4820000000000002</v>
      </c>
      <c r="E39" s="58">
        <f t="shared" si="4"/>
        <v>0.18500000000000005</v>
      </c>
      <c r="F39" s="92">
        <f>AVERAGE(D31:D37)</f>
        <v>3.0451428571428574</v>
      </c>
      <c r="G39" s="62">
        <f>F39-F33</f>
        <v>8.3892857142857657E-2</v>
      </c>
      <c r="H39">
        <v>3.36</v>
      </c>
      <c r="I39">
        <v>3.26</v>
      </c>
      <c r="J39">
        <f t="shared" si="5"/>
        <v>-0.16499999999999959</v>
      </c>
    </row>
    <row r="40" spans="3:16" x14ac:dyDescent="0.2">
      <c r="C40" s="49"/>
      <c r="E40" s="58"/>
      <c r="H40">
        <v>3.3719999999999999</v>
      </c>
      <c r="I40">
        <v>3.2719999999999998</v>
      </c>
      <c r="J40">
        <f t="shared" si="5"/>
        <v>-0.1549999999999998</v>
      </c>
    </row>
    <row r="41" spans="3:16" x14ac:dyDescent="0.2">
      <c r="C41" s="49"/>
      <c r="E41" s="58"/>
      <c r="F41" s="82">
        <f>AVERAGE(D28:D39)</f>
        <v>3.0939166666666664</v>
      </c>
      <c r="G41" s="44">
        <f>F41-F33</f>
        <v>0.13266666666666671</v>
      </c>
      <c r="H41">
        <v>3.532</v>
      </c>
      <c r="I41">
        <v>3.4319999999999999</v>
      </c>
      <c r="J41">
        <f t="shared" si="5"/>
        <v>-0.13499999999999979</v>
      </c>
    </row>
    <row r="42" spans="3:16" x14ac:dyDescent="0.2">
      <c r="C42" s="49"/>
      <c r="H42">
        <v>3.6949999999999998</v>
      </c>
      <c r="I42">
        <v>3.5950000000000002</v>
      </c>
      <c r="J42">
        <f t="shared" si="5"/>
        <v>-0.11299999999999999</v>
      </c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4" sqref="B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9</v>
      </c>
      <c r="B3" s="8">
        <v>28</v>
      </c>
      <c r="C3" s="3">
        <v>3.0225</v>
      </c>
      <c r="D3" s="4">
        <f t="shared" ref="D3:D25" si="0">B3*C3*10000</f>
        <v>846300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-3780.0000000000191</v>
      </c>
      <c r="K4" s="11"/>
      <c r="L4" s="5" t="s">
        <v>20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-3780.0000000000191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-28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-28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31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2500</v>
      </c>
      <c r="N17" s="6">
        <f t="shared" ref="N17:N22" si="2">(M17*$M$16)/10000</f>
        <v>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5000</v>
      </c>
      <c r="N18" s="6">
        <f t="shared" si="2"/>
        <v>15.5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6">
        <v>7500</v>
      </c>
      <c r="N19" s="6">
        <f t="shared" si="2"/>
        <v>23.25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10000</v>
      </c>
      <c r="N20" s="6">
        <f t="shared" si="2"/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6">
        <v>12500</v>
      </c>
      <c r="N21" s="6">
        <f t="shared" si="2"/>
        <v>38.75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15000</v>
      </c>
      <c r="N22" s="6">
        <f t="shared" si="2"/>
        <v>46.5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28</v>
      </c>
      <c r="C27" s="18">
        <f>IF(B27=0, 0, D27/B27/10000)</f>
        <v>3.0225</v>
      </c>
      <c r="D27" s="4">
        <f>SUM(D2:D26)</f>
        <v>846300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-28</v>
      </c>
      <c r="G29" s="6">
        <f>IF(F29&lt;0,C27,G27)</f>
        <v>3.0225</v>
      </c>
      <c r="H29" s="21">
        <f>IF(F29&lt;0, (G29-C31)*ABS(F29)*10000, -1*(G29-C31)*ABS(F29)*10000)</f>
        <v>-3780.0000000000191</v>
      </c>
      <c r="J29" s="28"/>
      <c r="K29" s="29"/>
      <c r="L29" s="29"/>
      <c r="M29" s="5"/>
      <c r="N29" s="5"/>
    </row>
    <row r="30" spans="2:14" x14ac:dyDescent="0.2">
      <c r="F30" s="22">
        <f>-B27+F27</f>
        <v>-28</v>
      </c>
      <c r="G30" s="6">
        <f>IF(F30&lt;0, (C27+(J26/(ABS(F30)*10000))), IF(F30 = 0, 0, (G27-(J26/(ABS(F30)*10000)))))</f>
        <v>3.0225</v>
      </c>
      <c r="H30" s="21">
        <f>IF(F30&lt;0, (G30-C31)*ABS(F30)*10000, IF(F30 = 0, 0, -1*(G30-C31)*ABS(F30)*10000))</f>
        <v>-3780.0000000000191</v>
      </c>
      <c r="J30" s="28"/>
      <c r="K30" s="29"/>
      <c r="L30" s="29"/>
      <c r="M30" s="5"/>
      <c r="N30" s="5"/>
    </row>
    <row r="31" spans="2:14" x14ac:dyDescent="0.2">
      <c r="C31" s="6">
        <f>POSTION!B6</f>
        <v>3.036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-3780.0000000000191</v>
      </c>
      <c r="G34" s="1"/>
      <c r="H34" s="1" t="s">
        <v>1</v>
      </c>
    </row>
    <row r="35" spans="1:8" x14ac:dyDescent="0.2">
      <c r="A35" s="7"/>
      <c r="B35" s="26"/>
      <c r="F35" s="23">
        <f>$H$30</f>
        <v>-3780.0000000000191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-3780.0000000000191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3" sqref="B3:C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9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28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7">
        <f>L16*$M$15/10000</f>
        <v>7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7">
        <f t="shared" ref="M17:M23" si="2">L17*$M$15/10000</f>
        <v>14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7">
        <f t="shared" si="2"/>
        <v>21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7">
        <f t="shared" si="2"/>
        <v>28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7">
        <f t="shared" si="2"/>
        <v>35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7">
        <f t="shared" si="2"/>
        <v>42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7">
        <f t="shared" si="2"/>
        <v>49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56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POSTION!B7</f>
        <v>3.0049999999999999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workbookViewId="0">
      <selection activeCell="C4" sqref="B4:C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5" x14ac:dyDescent="0.2">
      <c r="B1" s="15" t="s">
        <v>12</v>
      </c>
      <c r="F1" s="20" t="s">
        <v>11</v>
      </c>
    </row>
    <row r="2" spans="1:15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5" x14ac:dyDescent="0.2">
      <c r="A3" s="6">
        <f>POSTION!$E$24</f>
        <v>9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5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5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5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5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5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5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5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5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5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5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  <c r="N13" s="6">
        <f>226.5/151</f>
        <v>1.5</v>
      </c>
      <c r="O13" s="6">
        <f>N13*30</f>
        <v>45</v>
      </c>
    </row>
    <row r="14" spans="1:15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  <c r="O14" s="6">
        <f>O13-1.5</f>
        <v>43.5</v>
      </c>
    </row>
    <row r="15" spans="1:15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M17*2</f>
        <v>60.5</v>
      </c>
    </row>
    <row r="16" spans="1:15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2500</v>
      </c>
      <c r="M17" s="6">
        <f>(L17*121)/10000</f>
        <v>30.25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5000</v>
      </c>
      <c r="M18" s="6">
        <f>(L18*121)/10000</f>
        <v>60.5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46.5</f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POSTION!B8</f>
        <v>2.9612500000000002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5" sqref="C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4" x14ac:dyDescent="0.2">
      <c r="A3" s="6">
        <f>POSTION!$E$24</f>
        <v>9</v>
      </c>
      <c r="B3" s="8">
        <v>53.5</v>
      </c>
      <c r="C3" s="3">
        <v>3.085</v>
      </c>
      <c r="D3" s="4">
        <f t="shared" ref="D3:D25" si="0">B3*C3*10000</f>
        <v>1650474.9999999998</v>
      </c>
      <c r="E3" s="5"/>
      <c r="F3" s="9">
        <v>53.5</v>
      </c>
      <c r="G3" s="3">
        <v>3.0550000000000002</v>
      </c>
      <c r="H3" s="10">
        <f t="shared" ref="H3:H25" si="1">F3*G3*10000</f>
        <v>1634425</v>
      </c>
      <c r="J3" s="36"/>
      <c r="L3" s="12" t="s">
        <v>17</v>
      </c>
    </row>
    <row r="4" spans="1:14" x14ac:dyDescent="0.2">
      <c r="B4" s="8">
        <v>53.5</v>
      </c>
      <c r="C4" s="3">
        <v>3.0449999999999999</v>
      </c>
      <c r="D4" s="4">
        <f t="shared" si="0"/>
        <v>1629075</v>
      </c>
      <c r="E4" s="5"/>
      <c r="F4" s="9"/>
      <c r="G4" s="3"/>
      <c r="H4" s="10">
        <f t="shared" si="1"/>
        <v>0</v>
      </c>
      <c r="J4" s="23">
        <f>F37</f>
        <v>15916.249999999731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15916.249999999731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-53.5</v>
      </c>
      <c r="L9" s="6" t="s">
        <v>10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-53.5</v>
      </c>
      <c r="L11" s="6" t="s">
        <v>23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365-151</f>
        <v>214</v>
      </c>
      <c r="N15" s="6">
        <f>M15*1.25</f>
        <v>267.5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6">
        <f>M15/2</f>
        <v>107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2500</v>
      </c>
      <c r="M18" s="6">
        <f>M15/4</f>
        <v>53.5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107</v>
      </c>
      <c r="C27" s="18">
        <f>IF(B27=0, 0, D27/B27/10000)</f>
        <v>3.0649999999999999</v>
      </c>
      <c r="D27" s="4">
        <f>SUM(D2:D26)</f>
        <v>3279550</v>
      </c>
      <c r="F27" s="9">
        <f>SUM(F3:F26)</f>
        <v>53.5</v>
      </c>
      <c r="G27" s="3">
        <f>IF(F27=0, 0, H27/F27/10000)</f>
        <v>3.0550000000000002</v>
      </c>
      <c r="H27" s="10">
        <f>SUM(H2:H26)</f>
        <v>1634425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-53.5</v>
      </c>
      <c r="G29" s="6">
        <f>IF(F29&lt;0,C27,G27)</f>
        <v>3.0649999999999999</v>
      </c>
      <c r="H29" s="21">
        <f>IF(F29&lt;0, (G29-C31)*ABS(F29)*10000, -1*(G29-C31)*ABS(F29)*10000)</f>
        <v>10566.249999999845</v>
      </c>
      <c r="J29" s="28"/>
      <c r="K29" s="29"/>
      <c r="L29" s="29"/>
      <c r="M29" s="5"/>
      <c r="N29" s="5"/>
    </row>
    <row r="30" spans="2:14" x14ac:dyDescent="0.2">
      <c r="F30" s="22">
        <f>-B27+F27</f>
        <v>-53.5</v>
      </c>
      <c r="G30" s="6">
        <f>IF(F30&lt;0, (C27+(J26/(ABS(F30)*10000))), IF(F30 = 0, 0, (G27-(J26/(ABS(F30)*10000)))))</f>
        <v>3.0649999999999999</v>
      </c>
      <c r="H30" s="21">
        <f>IF(F30&lt;0, (G30-C31)*ABS(F30)*10000, IF(F30 = 0, 0, -1*(G30-C31)*ABS(F30)*10000))</f>
        <v>10566.249999999845</v>
      </c>
      <c r="J30" s="28"/>
      <c r="K30" s="29"/>
      <c r="L30" s="29"/>
      <c r="M30" s="5"/>
      <c r="N30" s="5"/>
    </row>
    <row r="31" spans="2:14" x14ac:dyDescent="0.2">
      <c r="C31" s="6">
        <f>POSTION!B9</f>
        <v>3.0452500000000002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5349.9999999998863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10566.249999999845</v>
      </c>
      <c r="G34" s="1"/>
      <c r="H34" s="1" t="s">
        <v>1</v>
      </c>
    </row>
    <row r="35" spans="1:8" x14ac:dyDescent="0.2">
      <c r="A35" s="7"/>
      <c r="B35" s="26"/>
      <c r="F35" s="23">
        <f>$H$30</f>
        <v>10566.249999999845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15916.249999999731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4" sqref="B4:C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2000*31</f>
        <v>62000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2.3630000000000004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POSTION!B4+0.033</f>
        <v>2.8460000000000001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M24" sqref="M2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15.5</v>
      </c>
      <c r="M20" s="6">
        <v>3.4449999999999998</v>
      </c>
      <c r="N20" s="6">
        <f>L20*M20</f>
        <v>53.397500000000001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22.5</v>
      </c>
      <c r="M21" s="6">
        <v>3.3849999999999998</v>
      </c>
      <c r="N21" s="6">
        <f>L21*M21</f>
        <v>76.162499999999994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46.5</v>
      </c>
      <c r="M22" s="6">
        <v>3.35</v>
      </c>
      <c r="N22" s="6">
        <f>L22*M22</f>
        <v>155.77500000000001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f>SUM(L20:L22)</f>
        <v>84.5</v>
      </c>
      <c r="N23" s="6">
        <f>SUM(N20:N22)</f>
        <v>285.33500000000004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f>N23/L23</f>
        <v>3.3767455621301781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2.3630000000000004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POSTION!B4+0.025</f>
        <v>2.8380000000000001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4" sqref="I14"/>
    </sheetView>
  </sheetViews>
  <sheetFormatPr defaultColWidth="8" defaultRowHeight="12.75" x14ac:dyDescent="0.2"/>
  <cols>
    <col min="1" max="4" width="10.7109375" customWidth="1"/>
    <col min="5" max="5" width="9.140625" customWidth="1"/>
    <col min="6" max="10" width="10.7109375" customWidth="1"/>
  </cols>
  <sheetData>
    <row r="1" spans="1:10" x14ac:dyDescent="0.2">
      <c r="A1" s="74" t="s">
        <v>32</v>
      </c>
      <c r="B1" s="74" t="s">
        <v>40</v>
      </c>
      <c r="C1" s="74" t="s">
        <v>33</v>
      </c>
      <c r="D1" s="74" t="s">
        <v>39</v>
      </c>
      <c r="E1" s="74" t="s">
        <v>41</v>
      </c>
      <c r="F1" s="74" t="s">
        <v>34</v>
      </c>
      <c r="G1" s="74" t="s">
        <v>35</v>
      </c>
      <c r="H1" s="74" t="s">
        <v>36</v>
      </c>
      <c r="I1" s="74" t="s">
        <v>37</v>
      </c>
      <c r="J1" s="74" t="s">
        <v>38</v>
      </c>
    </row>
    <row r="2" spans="1:10" x14ac:dyDescent="0.2">
      <c r="A2">
        <v>64000</v>
      </c>
      <c r="B2">
        <f>B7</f>
        <v>0</v>
      </c>
      <c r="C2">
        <v>-20000</v>
      </c>
      <c r="D2" s="43">
        <f>(D7*10000)/31</f>
        <v>-17258.064516129034</v>
      </c>
      <c r="F2" s="43">
        <f>POSTION!D4</f>
        <v>-33</v>
      </c>
      <c r="G2" s="43">
        <f>POSTION!D5</f>
        <v>0</v>
      </c>
      <c r="H2" s="43">
        <f>POSTION!D6</f>
        <v>-28</v>
      </c>
      <c r="I2" s="43">
        <f>POSTION!D7</f>
        <v>0</v>
      </c>
      <c r="J2" s="43">
        <f>POSTION!D8</f>
        <v>0</v>
      </c>
    </row>
    <row r="3" spans="1:10" x14ac:dyDescent="0.2">
      <c r="A3">
        <v>10000</v>
      </c>
      <c r="C3">
        <v>20000</v>
      </c>
      <c r="I3">
        <v>-7.75</v>
      </c>
    </row>
    <row r="4" spans="1:10" x14ac:dyDescent="0.2">
      <c r="I4">
        <v>-46</v>
      </c>
    </row>
    <row r="7" spans="1:10" x14ac:dyDescent="0.2">
      <c r="A7">
        <f>SUM(A2:A6)</f>
        <v>74000</v>
      </c>
      <c r="B7">
        <f>(B8*10000)/31</f>
        <v>0</v>
      </c>
      <c r="C7">
        <f>SUM(C2:C6)</f>
        <v>0</v>
      </c>
      <c r="D7" s="43">
        <f>'J-V_SWAP'!J11</f>
        <v>-53.5</v>
      </c>
      <c r="E7" s="43">
        <f>hsc_aug!J11</f>
        <v>0</v>
      </c>
    </row>
    <row r="8" spans="1:10" x14ac:dyDescent="0.2">
      <c r="A8">
        <f>(A7*31)/10000</f>
        <v>229.4</v>
      </c>
      <c r="B8" s="43">
        <f>KATY_aug!J11</f>
        <v>0</v>
      </c>
      <c r="C8">
        <f>(C7*31)/10000</f>
        <v>0</v>
      </c>
      <c r="D8" s="43">
        <f>D7</f>
        <v>-53.5</v>
      </c>
      <c r="E8" s="43">
        <f>E7</f>
        <v>0</v>
      </c>
      <c r="F8" s="43">
        <f>SUM(F2:F7)</f>
        <v>-33</v>
      </c>
      <c r="G8" s="43">
        <f>SUM(G2:G7)</f>
        <v>0</v>
      </c>
      <c r="H8" s="43">
        <f>SUM(H2:H7)</f>
        <v>-28</v>
      </c>
      <c r="I8" s="43">
        <f>SUM(I2:I7)</f>
        <v>-53.75</v>
      </c>
      <c r="J8" s="43">
        <f>SUM(J2:J7)</f>
        <v>0</v>
      </c>
    </row>
    <row r="10" spans="1:10" x14ac:dyDescent="0.2">
      <c r="B10" s="75">
        <f>SUM(A8:E8)+SUM(G8:J8)</f>
        <v>94.15</v>
      </c>
    </row>
    <row r="12" spans="1:10" x14ac:dyDescent="0.2">
      <c r="A12">
        <v>75000</v>
      </c>
      <c r="B12" t="s">
        <v>42</v>
      </c>
    </row>
    <row r="15" spans="1:10" x14ac:dyDescent="0.2">
      <c r="C15">
        <f>6.4*31</f>
        <v>198.4</v>
      </c>
    </row>
    <row r="16" spans="1:10" x14ac:dyDescent="0.2">
      <c r="F16">
        <v>3.1819999999999999</v>
      </c>
      <c r="G16">
        <v>3.286</v>
      </c>
    </row>
    <row r="17" spans="6:7" x14ac:dyDescent="0.2">
      <c r="F17">
        <v>0.05</v>
      </c>
    </row>
    <row r="18" spans="6:7" x14ac:dyDescent="0.2">
      <c r="F18">
        <f>SUM(F16:F17)</f>
        <v>3.2319999999999998</v>
      </c>
      <c r="G18">
        <v>2.2349999999999999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2"/>
  <sheetViews>
    <sheetView zoomScale="80" workbookViewId="0">
      <selection activeCell="C4" sqref="C4"/>
    </sheetView>
  </sheetViews>
  <sheetFormatPr defaultRowHeight="12.75" x14ac:dyDescent="0.2"/>
  <cols>
    <col min="1" max="1" width="8.28515625" customWidth="1"/>
    <col min="2" max="2" width="8.7109375" customWidth="1"/>
    <col min="3" max="3" width="18.140625" bestFit="1" customWidth="1"/>
    <col min="4" max="4" width="16.28515625" bestFit="1" customWidth="1"/>
    <col min="6" max="6" width="11.7109375" customWidth="1"/>
    <col min="7" max="7" width="14.8554687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1:15" s="45" customFormat="1" ht="25.5" x14ac:dyDescent="0.2">
      <c r="B3" s="45" t="s">
        <v>15</v>
      </c>
      <c r="D3" s="56" t="s">
        <v>10</v>
      </c>
      <c r="E3" s="46" t="s">
        <v>22</v>
      </c>
      <c r="F3" s="45" t="s">
        <v>19</v>
      </c>
      <c r="G3" s="45" t="s">
        <v>15</v>
      </c>
      <c r="H3" s="45" t="s">
        <v>24</v>
      </c>
      <c r="J3" s="47" t="s">
        <v>16</v>
      </c>
      <c r="L3" s="45" t="s">
        <v>27</v>
      </c>
      <c r="M3" s="67" t="s">
        <v>29</v>
      </c>
      <c r="N3" s="45" t="s">
        <v>30</v>
      </c>
    </row>
    <row r="4" spans="1:15" x14ac:dyDescent="0.2">
      <c r="B4" s="86">
        <v>2.8519999999999999</v>
      </c>
      <c r="C4" s="51" t="s">
        <v>46</v>
      </c>
      <c r="D4" s="57">
        <v>-103.25</v>
      </c>
      <c r="F4" s="50">
        <v>-17592.5</v>
      </c>
      <c r="G4" s="50">
        <v>-81892.499999999927</v>
      </c>
      <c r="H4" s="50">
        <v>-99484.999999999884</v>
      </c>
      <c r="K4">
        <v>2.7909999999999999</v>
      </c>
      <c r="L4" s="62">
        <v>6.0999999999999943E-2</v>
      </c>
      <c r="M4" s="57">
        <v>-46.5</v>
      </c>
      <c r="N4" s="43">
        <v>-56.75</v>
      </c>
      <c r="O4" s="48">
        <v>37043</v>
      </c>
    </row>
    <row r="5" spans="1:15" x14ac:dyDescent="0.2">
      <c r="B5" s="79">
        <v>3.0409999999999999</v>
      </c>
      <c r="C5" s="51" t="s">
        <v>48</v>
      </c>
      <c r="D5" s="57">
        <v>-46.5</v>
      </c>
      <c r="F5" s="50">
        <v>7672.5000000000846</v>
      </c>
      <c r="G5" s="50">
        <v>0</v>
      </c>
      <c r="H5" s="50">
        <v>7672.5000000000846</v>
      </c>
      <c r="K5">
        <v>2.996</v>
      </c>
      <c r="L5" s="62">
        <v>4.4999999999999929E-2</v>
      </c>
      <c r="M5" s="57">
        <v>-9.3000000000000007</v>
      </c>
      <c r="N5" s="43">
        <v>-37.200000000000003</v>
      </c>
      <c r="O5" s="48">
        <v>37044</v>
      </c>
    </row>
    <row r="6" spans="1:15" x14ac:dyDescent="0.2">
      <c r="B6" s="79">
        <v>3.081</v>
      </c>
      <c r="C6" s="51" t="s">
        <v>53</v>
      </c>
      <c r="D6" s="57">
        <v>0</v>
      </c>
      <c r="F6" s="50">
        <v>0</v>
      </c>
      <c r="G6" s="50">
        <v>0</v>
      </c>
      <c r="H6" s="50">
        <v>0</v>
      </c>
      <c r="K6">
        <v>3.036</v>
      </c>
      <c r="L6" s="62">
        <v>4.4999999999999929E-2</v>
      </c>
      <c r="M6" s="57">
        <v>-3.1</v>
      </c>
      <c r="N6" s="43">
        <v>3.1</v>
      </c>
      <c r="O6" s="48">
        <v>37045</v>
      </c>
    </row>
    <row r="7" spans="1:15" x14ac:dyDescent="0.2">
      <c r="B7" s="79">
        <v>3.0659999999999998</v>
      </c>
      <c r="C7" s="51" t="s">
        <v>54</v>
      </c>
      <c r="D7" s="57">
        <v>0</v>
      </c>
      <c r="F7" s="50">
        <v>-37548.75</v>
      </c>
      <c r="G7" s="50">
        <v>20614.999999999898</v>
      </c>
      <c r="H7" s="50">
        <v>-16933.75000000008</v>
      </c>
      <c r="K7">
        <v>3.028</v>
      </c>
      <c r="L7" s="62">
        <v>3.7999999999999812E-2</v>
      </c>
      <c r="M7" s="57">
        <v>0</v>
      </c>
      <c r="N7" s="43">
        <v>0</v>
      </c>
      <c r="O7" s="48">
        <v>37046</v>
      </c>
    </row>
    <row r="8" spans="1:15" x14ac:dyDescent="0.2">
      <c r="B8" s="79">
        <v>3.01</v>
      </c>
      <c r="C8" s="51" t="s">
        <v>55</v>
      </c>
      <c r="D8" s="57">
        <v>-7.9999999999955662E-3</v>
      </c>
      <c r="F8" s="50">
        <v>12095.599999999915</v>
      </c>
      <c r="G8" s="50">
        <v>0</v>
      </c>
      <c r="H8" s="50">
        <v>12095.599999999915</v>
      </c>
      <c r="K8">
        <v>2.9627499999999998</v>
      </c>
      <c r="L8" s="62">
        <v>4.7250000000000014E-2</v>
      </c>
      <c r="M8" s="57">
        <v>0</v>
      </c>
      <c r="N8" s="43">
        <v>-7.9999999999955662E-3</v>
      </c>
      <c r="O8" s="48">
        <v>37047</v>
      </c>
    </row>
    <row r="9" spans="1:15" x14ac:dyDescent="0.2">
      <c r="B9" s="79">
        <v>3.1269999999999998</v>
      </c>
      <c r="C9" s="51" t="s">
        <v>50</v>
      </c>
      <c r="D9" s="57">
        <v>0</v>
      </c>
      <c r="F9" s="50">
        <v>0</v>
      </c>
      <c r="G9" s="50">
        <v>16451.250000000153</v>
      </c>
      <c r="H9" s="50">
        <v>16451.250000000153</v>
      </c>
      <c r="K9">
        <v>3.1157499999999998</v>
      </c>
      <c r="L9" s="62">
        <v>1.125E-2</v>
      </c>
      <c r="M9" s="57">
        <v>1</v>
      </c>
      <c r="N9" s="43">
        <v>-1</v>
      </c>
      <c r="O9" s="48"/>
    </row>
    <row r="10" spans="1:15" x14ac:dyDescent="0.2">
      <c r="B10" s="79">
        <v>3.18</v>
      </c>
      <c r="C10" s="51" t="s">
        <v>51</v>
      </c>
      <c r="D10" s="57">
        <v>0</v>
      </c>
      <c r="F10" s="50"/>
      <c r="G10" s="50"/>
      <c r="H10" s="50">
        <v>0</v>
      </c>
      <c r="K10">
        <v>3.1527499999999997</v>
      </c>
      <c r="L10" s="62">
        <v>2.7249999999999996E-2</v>
      </c>
      <c r="M10" s="57">
        <v>2</v>
      </c>
      <c r="N10" s="43">
        <v>-2</v>
      </c>
      <c r="O10" s="48"/>
    </row>
    <row r="11" spans="1:15" x14ac:dyDescent="0.2">
      <c r="B11" s="83">
        <v>2.4</v>
      </c>
      <c r="C11" s="84" t="s">
        <v>5</v>
      </c>
      <c r="D11" s="57">
        <v>-36.5</v>
      </c>
      <c r="E11" s="44">
        <v>-4.0555555555555554</v>
      </c>
      <c r="F11" s="50">
        <v>8400.0000000000073</v>
      </c>
      <c r="G11" s="50">
        <v>-12500.000000000067</v>
      </c>
      <c r="H11" s="50">
        <v>-4100.00000000006</v>
      </c>
      <c r="I11">
        <v>2.62</v>
      </c>
      <c r="J11" s="52">
        <v>2.62</v>
      </c>
      <c r="K11">
        <v>2.4510000000000001</v>
      </c>
      <c r="L11" s="62">
        <v>-5.1000000000000156E-2</v>
      </c>
      <c r="M11" s="57">
        <v>-69.7</v>
      </c>
      <c r="N11" s="43">
        <v>33.200000000000003</v>
      </c>
      <c r="O11" s="48">
        <v>37048</v>
      </c>
    </row>
    <row r="12" spans="1:15" x14ac:dyDescent="0.2">
      <c r="B12" s="85">
        <v>2.36</v>
      </c>
      <c r="C12" s="84" t="s">
        <v>6</v>
      </c>
      <c r="D12" s="57">
        <v>43</v>
      </c>
      <c r="E12" s="44">
        <v>4.7777777777777777</v>
      </c>
      <c r="F12" s="50">
        <v>-48650.000000000065</v>
      </c>
      <c r="G12" s="50">
        <v>17500.000000000095</v>
      </c>
      <c r="H12" s="50">
        <v>-31150</v>
      </c>
      <c r="I12">
        <v>2.36</v>
      </c>
      <c r="J12" s="52"/>
      <c r="K12">
        <v>2.411</v>
      </c>
      <c r="L12" s="62">
        <v>-5.1000000000000156E-2</v>
      </c>
      <c r="M12" s="57">
        <v>0</v>
      </c>
      <c r="N12" s="43">
        <v>43</v>
      </c>
      <c r="O12" s="48">
        <v>37049</v>
      </c>
    </row>
    <row r="13" spans="1:15" x14ac:dyDescent="0.2">
      <c r="B13" s="85">
        <v>2.31</v>
      </c>
      <c r="C13" s="84" t="s">
        <v>7</v>
      </c>
      <c r="D13" s="57">
        <v>0</v>
      </c>
      <c r="E13" s="44">
        <v>0</v>
      </c>
      <c r="F13" s="50">
        <v>0</v>
      </c>
      <c r="G13" s="50">
        <v>0</v>
      </c>
      <c r="H13" s="50">
        <v>0</v>
      </c>
      <c r="I13">
        <v>2.31</v>
      </c>
      <c r="J13" s="52"/>
      <c r="K13">
        <v>2.3610000000000002</v>
      </c>
      <c r="L13" s="62">
        <v>-5.1000000000000156E-2</v>
      </c>
      <c r="M13" s="57">
        <v>15.5</v>
      </c>
      <c r="N13" s="43">
        <v>-15.5</v>
      </c>
      <c r="O13" s="48">
        <v>37050</v>
      </c>
    </row>
    <row r="14" spans="1:15" x14ac:dyDescent="0.2">
      <c r="B14" s="85">
        <v>2.11</v>
      </c>
      <c r="C14" s="84" t="s">
        <v>8</v>
      </c>
      <c r="D14" s="57">
        <v>-1.5</v>
      </c>
      <c r="E14" s="44">
        <v>-0.16666666666666666</v>
      </c>
      <c r="F14" s="50">
        <v>-46999.999999999789</v>
      </c>
      <c r="G14" s="50">
        <v>-5000.0000000000264</v>
      </c>
      <c r="H14" s="50">
        <v>-51999.999999999818</v>
      </c>
      <c r="I14">
        <v>2.11</v>
      </c>
      <c r="J14" s="52"/>
      <c r="K14">
        <v>2.161</v>
      </c>
      <c r="L14" s="62">
        <v>-5.1000000000000156E-2</v>
      </c>
      <c r="M14" s="57">
        <v>0</v>
      </c>
      <c r="N14" s="43">
        <v>-1.5</v>
      </c>
      <c r="O14" s="48">
        <v>37051</v>
      </c>
    </row>
    <row r="15" spans="1:15" x14ac:dyDescent="0.2">
      <c r="B15" s="83">
        <v>2.08</v>
      </c>
      <c r="C15" s="84" t="s">
        <v>9</v>
      </c>
      <c r="D15" s="57">
        <v>-15</v>
      </c>
      <c r="E15" s="44">
        <v>-1.6666666666666667</v>
      </c>
      <c r="F15" s="50">
        <v>-2499.9999999999909</v>
      </c>
      <c r="G15" s="50">
        <v>-1500.0000000000125</v>
      </c>
      <c r="H15" s="50">
        <v>-4000</v>
      </c>
      <c r="I15">
        <v>2.08</v>
      </c>
      <c r="J15" s="52"/>
      <c r="K15">
        <v>2.1310000000000002</v>
      </c>
      <c r="L15" s="62">
        <v>-5.1000000000000156E-2</v>
      </c>
      <c r="M15" s="57">
        <v>0</v>
      </c>
      <c r="N15" s="43">
        <v>-15</v>
      </c>
      <c r="O15" s="48">
        <v>37052</v>
      </c>
    </row>
    <row r="16" spans="1:15" x14ac:dyDescent="0.2">
      <c r="A16" s="43">
        <v>-10</v>
      </c>
      <c r="B16" s="85">
        <v>2.31</v>
      </c>
      <c r="C16" s="84" t="s">
        <v>26</v>
      </c>
      <c r="D16" s="57">
        <v>0</v>
      </c>
      <c r="E16" s="44">
        <v>0</v>
      </c>
      <c r="F16" s="50">
        <v>0</v>
      </c>
      <c r="G16" s="50">
        <v>0</v>
      </c>
      <c r="H16" s="50">
        <v>0</v>
      </c>
      <c r="I16">
        <v>2.31</v>
      </c>
      <c r="J16" s="52"/>
      <c r="K16">
        <v>2.3610000000000002</v>
      </c>
      <c r="L16" s="62">
        <v>-5.1000000000000156E-2</v>
      </c>
      <c r="M16" s="57">
        <v>58.9</v>
      </c>
      <c r="N16" s="43">
        <v>-58.9</v>
      </c>
      <c r="O16" s="48">
        <v>37053</v>
      </c>
    </row>
    <row r="17" spans="1:16" x14ac:dyDescent="0.2">
      <c r="C17" t="s">
        <v>31</v>
      </c>
      <c r="D17" s="76">
        <v>-159.75799999999998</v>
      </c>
      <c r="E17" s="44">
        <v>-1.1111111111111112</v>
      </c>
      <c r="F17" s="70">
        <v>-125123.15</v>
      </c>
      <c r="G17" s="70">
        <v>-46326.249999999891</v>
      </c>
      <c r="H17" s="59">
        <v>-171449.4</v>
      </c>
      <c r="M17" s="69">
        <v>-54.2</v>
      </c>
      <c r="N17" s="68">
        <v>-105.55799999999998</v>
      </c>
      <c r="O17" s="48">
        <v>37054</v>
      </c>
    </row>
    <row r="18" spans="1:16" x14ac:dyDescent="0.2">
      <c r="B18" s="77">
        <v>2.8849999999999998</v>
      </c>
      <c r="C18" s="77" t="s">
        <v>43</v>
      </c>
      <c r="D18" s="78">
        <v>0</v>
      </c>
      <c r="F18" s="59"/>
      <c r="G18" s="60"/>
      <c r="H18" s="61"/>
      <c r="M18">
        <v>0</v>
      </c>
      <c r="N18" s="68">
        <v>0</v>
      </c>
      <c r="O18" s="48">
        <v>37055</v>
      </c>
    </row>
    <row r="19" spans="1:16" x14ac:dyDescent="0.2">
      <c r="B19" s="77">
        <v>2.8369999999999997</v>
      </c>
      <c r="C19" s="77" t="s">
        <v>44</v>
      </c>
      <c r="D19" s="78" t="s">
        <v>47</v>
      </c>
      <c r="F19" s="59"/>
      <c r="G19" s="93">
        <v>-171449.4</v>
      </c>
      <c r="H19" s="93"/>
      <c r="J19">
        <v>3.4470000000000001</v>
      </c>
      <c r="M19">
        <v>0</v>
      </c>
      <c r="N19" s="68" t="e">
        <v>#VALUE!</v>
      </c>
      <c r="O19" s="48">
        <v>37056</v>
      </c>
    </row>
    <row r="20" spans="1:16" x14ac:dyDescent="0.2">
      <c r="B20" s="77">
        <v>2.8769999999999998</v>
      </c>
      <c r="C20" s="77" t="s">
        <v>45</v>
      </c>
      <c r="D20" s="78">
        <v>0</v>
      </c>
      <c r="F20" t="s">
        <v>49</v>
      </c>
      <c r="G20" s="81">
        <v>58690</v>
      </c>
      <c r="H20" s="59"/>
      <c r="J20">
        <v>3.51</v>
      </c>
      <c r="M20">
        <v>0</v>
      </c>
      <c r="O20" s="48">
        <v>37057</v>
      </c>
    </row>
    <row r="21" spans="1:16" x14ac:dyDescent="0.2">
      <c r="J21">
        <v>3.4750000000000001</v>
      </c>
      <c r="O21" s="48">
        <v>37058</v>
      </c>
    </row>
    <row r="22" spans="1:16" x14ac:dyDescent="0.2">
      <c r="C22" s="71" t="s">
        <v>31</v>
      </c>
      <c r="D22" s="72">
        <v>-159.75799999999998</v>
      </c>
      <c r="G22" s="81">
        <v>-112759.4</v>
      </c>
      <c r="J22">
        <v>3.39</v>
      </c>
      <c r="M22" s="43">
        <v>75.650000000000006</v>
      </c>
      <c r="N22" s="43" t="e">
        <v>#VALUE!</v>
      </c>
      <c r="O22" s="48">
        <v>37059</v>
      </c>
      <c r="P22">
        <v>25000</v>
      </c>
    </row>
    <row r="23" spans="1:16" x14ac:dyDescent="0.2">
      <c r="J23">
        <v>3.39</v>
      </c>
      <c r="O23" s="48">
        <v>37060</v>
      </c>
      <c r="P23">
        <v>25000</v>
      </c>
    </row>
    <row r="24" spans="1:16" x14ac:dyDescent="0.2">
      <c r="C24" t="s">
        <v>18</v>
      </c>
      <c r="E24">
        <v>9</v>
      </c>
      <c r="F24">
        <v>1</v>
      </c>
      <c r="G24" s="52">
        <v>9</v>
      </c>
      <c r="J24">
        <v>3.4750000000000001</v>
      </c>
      <c r="L24">
        <v>43.5</v>
      </c>
      <c r="O24" s="48">
        <v>37061</v>
      </c>
      <c r="P24">
        <v>25000</v>
      </c>
    </row>
    <row r="25" spans="1:16" x14ac:dyDescent="0.2">
      <c r="E25" s="43">
        <v>-10</v>
      </c>
      <c r="F25">
        <v>-1.1111111111111112</v>
      </c>
      <c r="G25">
        <v>-3.3333333333333335</v>
      </c>
      <c r="O25" s="48">
        <v>37062</v>
      </c>
      <c r="P25">
        <v>25000</v>
      </c>
    </row>
    <row r="26" spans="1:16" x14ac:dyDescent="0.2">
      <c r="I26" t="s">
        <v>25</v>
      </c>
      <c r="O26" s="48">
        <v>37063</v>
      </c>
      <c r="P26">
        <v>25000</v>
      </c>
    </row>
    <row r="27" spans="1:16" x14ac:dyDescent="0.2">
      <c r="C27" s="49">
        <v>37226</v>
      </c>
      <c r="D27">
        <v>2.8519999999999999</v>
      </c>
      <c r="E27" s="58"/>
      <c r="I27">
        <v>3.3969999999999998</v>
      </c>
      <c r="J27" t="e">
        <v>#REF!</v>
      </c>
      <c r="O27" s="48">
        <v>37064</v>
      </c>
      <c r="P27">
        <v>25000</v>
      </c>
    </row>
    <row r="28" spans="1:16" x14ac:dyDescent="0.2">
      <c r="A28">
        <v>1</v>
      </c>
      <c r="B28">
        <v>3.4460000000000002</v>
      </c>
      <c r="C28" s="49">
        <v>37257</v>
      </c>
      <c r="D28">
        <v>3.0409999999999999</v>
      </c>
      <c r="E28" s="58">
        <v>0.18900000000000006</v>
      </c>
      <c r="H28">
        <v>2.552</v>
      </c>
      <c r="I28">
        <v>2.3690000000000002</v>
      </c>
      <c r="J28" t="e">
        <v>#REF!</v>
      </c>
      <c r="O28" s="48">
        <v>37065</v>
      </c>
      <c r="P28">
        <v>25000</v>
      </c>
    </row>
    <row r="29" spans="1:16" x14ac:dyDescent="0.2">
      <c r="A29">
        <v>2</v>
      </c>
      <c r="B29">
        <v>3.3969999999999998</v>
      </c>
      <c r="C29" s="49">
        <v>37288</v>
      </c>
      <c r="D29">
        <v>3.081</v>
      </c>
      <c r="E29" s="58">
        <v>0.04</v>
      </c>
      <c r="F29" s="92"/>
      <c r="G29" s="62"/>
      <c r="H29">
        <v>2.9020000000000001</v>
      </c>
      <c r="I29">
        <v>2.7530000000000001</v>
      </c>
      <c r="J29" t="e">
        <v>#REF!</v>
      </c>
      <c r="L29">
        <v>217000</v>
      </c>
      <c r="O29" s="48">
        <v>37066</v>
      </c>
      <c r="P29">
        <v>25000</v>
      </c>
    </row>
    <row r="30" spans="1:16" x14ac:dyDescent="0.2">
      <c r="A30">
        <v>3</v>
      </c>
      <c r="B30">
        <v>3.4220000000000002</v>
      </c>
      <c r="C30" s="49">
        <v>37316</v>
      </c>
      <c r="D30">
        <v>3.0659999999999998</v>
      </c>
      <c r="E30" s="58">
        <v>-1.5000000000000124E-2</v>
      </c>
      <c r="H30">
        <v>3.2519999999999998</v>
      </c>
      <c r="I30">
        <v>3.125</v>
      </c>
      <c r="J30">
        <v>-0.27300000000000013</v>
      </c>
      <c r="O30" s="48">
        <v>37067</v>
      </c>
      <c r="P30">
        <v>25000</v>
      </c>
    </row>
    <row r="31" spans="1:16" x14ac:dyDescent="0.2">
      <c r="B31">
        <v>3.4216666666666669</v>
      </c>
      <c r="C31" s="49">
        <v>37347</v>
      </c>
      <c r="D31">
        <v>3.0259999999999998</v>
      </c>
      <c r="E31" s="58">
        <v>-0.04</v>
      </c>
      <c r="H31">
        <v>3.4220000000000002</v>
      </c>
      <c r="I31">
        <v>3.3029999999999999</v>
      </c>
      <c r="J31">
        <v>-0.26200000000000001</v>
      </c>
      <c r="M31">
        <v>105000</v>
      </c>
      <c r="O31" s="48">
        <v>37068</v>
      </c>
      <c r="P31">
        <v>25000</v>
      </c>
    </row>
    <row r="32" spans="1:16" x14ac:dyDescent="0.2">
      <c r="C32" s="49">
        <v>37377</v>
      </c>
      <c r="D32">
        <v>3.0680000000000001</v>
      </c>
      <c r="E32" s="58">
        <v>4.2000000000000259E-2</v>
      </c>
      <c r="H32">
        <v>3.3940000000000001</v>
      </c>
      <c r="I32">
        <v>3.28</v>
      </c>
      <c r="J32">
        <v>-0.19899999999999984</v>
      </c>
      <c r="O32" s="48">
        <v>37069</v>
      </c>
      <c r="P32">
        <v>25000</v>
      </c>
    </row>
    <row r="33" spans="3:16" x14ac:dyDescent="0.2">
      <c r="C33" s="49">
        <v>37408</v>
      </c>
      <c r="D33">
        <v>3.1080000000000001</v>
      </c>
      <c r="E33" s="58">
        <v>0.04</v>
      </c>
      <c r="F33" s="92">
        <v>3.01</v>
      </c>
      <c r="G33">
        <v>0.15799999999999992</v>
      </c>
      <c r="H33">
        <v>3.3250000000000002</v>
      </c>
      <c r="I33">
        <v>3.2149999999999999</v>
      </c>
      <c r="J33">
        <v>-0.14900000000000002</v>
      </c>
      <c r="O33" s="48">
        <v>37070</v>
      </c>
      <c r="P33">
        <v>25000</v>
      </c>
    </row>
    <row r="34" spans="3:16" x14ac:dyDescent="0.2">
      <c r="C34" s="49">
        <v>37438</v>
      </c>
      <c r="D34">
        <v>3.1459999999999999</v>
      </c>
      <c r="E34" s="58">
        <v>3.7999999999999812E-2</v>
      </c>
      <c r="F34" s="62"/>
      <c r="H34">
        <v>3.2320000000000002</v>
      </c>
      <c r="I34">
        <v>3.125</v>
      </c>
      <c r="J34">
        <v>-9.9000000000000199E-2</v>
      </c>
      <c r="L34">
        <v>122</v>
      </c>
      <c r="O34" s="48">
        <v>37071</v>
      </c>
      <c r="P34">
        <v>25000</v>
      </c>
    </row>
    <row r="35" spans="3:16" x14ac:dyDescent="0.2">
      <c r="C35" s="49">
        <v>37469</v>
      </c>
      <c r="D35" t="s">
        <v>56</v>
      </c>
      <c r="E35" s="58" t="e">
        <v>#VALUE!</v>
      </c>
      <c r="F35" s="62"/>
      <c r="H35">
        <v>3.2519999999999998</v>
      </c>
      <c r="I35">
        <v>3.15</v>
      </c>
      <c r="J35">
        <v>-8.1999999999999851E-2</v>
      </c>
      <c r="O35" s="48">
        <v>37072</v>
      </c>
      <c r="P35">
        <v>25000</v>
      </c>
    </row>
    <row r="36" spans="3:16" x14ac:dyDescent="0.2">
      <c r="C36" s="49">
        <v>37500</v>
      </c>
      <c r="D36">
        <v>3.194</v>
      </c>
      <c r="E36" s="58" t="e">
        <v>#VALUE!</v>
      </c>
      <c r="F36" s="62"/>
      <c r="H36">
        <v>3.2850000000000001</v>
      </c>
      <c r="I36">
        <v>3.1850000000000001</v>
      </c>
      <c r="J36">
        <v>-7.6999999999999957E-2</v>
      </c>
      <c r="L36" t="s">
        <v>52</v>
      </c>
      <c r="P36">
        <v>25000</v>
      </c>
    </row>
    <row r="37" spans="3:16" x14ac:dyDescent="0.2">
      <c r="C37" s="49">
        <v>37530</v>
      </c>
      <c r="D37">
        <v>3.2210000000000001</v>
      </c>
      <c r="E37" s="58">
        <v>2.7000000000000135E-2</v>
      </c>
      <c r="F37" s="62"/>
      <c r="H37">
        <v>3.3250000000000002</v>
      </c>
      <c r="I37">
        <v>3.2250000000000001</v>
      </c>
      <c r="J37">
        <v>-7.9000000000000181E-2</v>
      </c>
    </row>
    <row r="38" spans="3:16" x14ac:dyDescent="0.2">
      <c r="C38" s="49">
        <v>37561</v>
      </c>
      <c r="D38">
        <v>3.4060000000000001</v>
      </c>
      <c r="E38" s="58">
        <v>0.185</v>
      </c>
      <c r="F38" s="62"/>
      <c r="H38">
        <v>3.3620000000000001</v>
      </c>
      <c r="I38">
        <v>3.262</v>
      </c>
      <c r="J38" t="e">
        <v>#VALUE!</v>
      </c>
    </row>
    <row r="39" spans="3:16" x14ac:dyDescent="0.2">
      <c r="C39" s="49">
        <v>37591</v>
      </c>
      <c r="D39">
        <v>3.5910000000000002</v>
      </c>
      <c r="E39" s="58">
        <v>0.185</v>
      </c>
      <c r="F39" s="92">
        <v>3.1271666666666662</v>
      </c>
      <c r="G39" s="62">
        <v>0.11716666666666642</v>
      </c>
      <c r="H39">
        <v>3.36</v>
      </c>
      <c r="I39">
        <v>3.26</v>
      </c>
      <c r="J39">
        <v>-6.5999999999999837E-2</v>
      </c>
    </row>
    <row r="40" spans="3:16" x14ac:dyDescent="0.2">
      <c r="C40" s="49"/>
      <c r="E40" s="58"/>
      <c r="H40">
        <v>3.3719999999999999</v>
      </c>
      <c r="I40">
        <v>3.2719999999999998</v>
      </c>
      <c r="J40">
        <v>-5.0999999999999712E-2</v>
      </c>
    </row>
    <row r="41" spans="3:16" x14ac:dyDescent="0.2">
      <c r="C41" s="49"/>
      <c r="E41" s="58"/>
      <c r="F41" s="82">
        <v>3.1770909090909085</v>
      </c>
      <c r="G41" s="44">
        <v>0.16709090909090873</v>
      </c>
      <c r="H41">
        <v>3.532</v>
      </c>
      <c r="I41">
        <v>3.4319999999999999</v>
      </c>
      <c r="J41">
        <v>-2.5999999999999801E-2</v>
      </c>
    </row>
    <row r="42" spans="3:16" x14ac:dyDescent="0.2">
      <c r="C42" s="49"/>
      <c r="H42">
        <v>3.6949999999999998</v>
      </c>
      <c r="I42">
        <v>3.5950000000000002</v>
      </c>
      <c r="J42">
        <v>-4.0000000000000036E-3</v>
      </c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4" sqref="C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9</v>
      </c>
      <c r="B3" s="8">
        <v>15.5</v>
      </c>
      <c r="C3" s="3">
        <v>2.73</v>
      </c>
      <c r="D3" s="4">
        <f t="shared" ref="D3:D25" si="0">B3*C3*10000</f>
        <v>423150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>
        <v>23.25</v>
      </c>
      <c r="C4" s="3">
        <v>2.7450000000000001</v>
      </c>
      <c r="D4" s="4">
        <f t="shared" si="0"/>
        <v>638212.5</v>
      </c>
      <c r="E4" s="5"/>
      <c r="F4" s="9"/>
      <c r="G4" s="3"/>
      <c r="H4" s="10">
        <f t="shared" si="1"/>
        <v>0</v>
      </c>
      <c r="J4" s="23">
        <f>F37</f>
        <v>-55412.500000000095</v>
      </c>
      <c r="K4" s="11"/>
      <c r="L4" s="5" t="s">
        <v>20</v>
      </c>
    </row>
    <row r="5" spans="1:13" x14ac:dyDescent="0.2">
      <c r="B5" s="8">
        <v>31</v>
      </c>
      <c r="C5" s="3">
        <v>2.7650000000000001</v>
      </c>
      <c r="D5" s="4">
        <f t="shared" si="0"/>
        <v>857150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>
        <v>46.5</v>
      </c>
      <c r="C6" s="3">
        <v>2.78</v>
      </c>
      <c r="D6" s="4">
        <f t="shared" si="0"/>
        <v>1292699.9999999998</v>
      </c>
      <c r="E6" s="5"/>
      <c r="F6" s="9"/>
      <c r="G6" s="3"/>
      <c r="H6" s="10">
        <f t="shared" si="1"/>
        <v>0</v>
      </c>
      <c r="J6" s="42">
        <f>J2+J3+J4</f>
        <v>-55412.500000000095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-116.25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-116.25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31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7">
        <f t="shared" ref="M16:M23" si="2">L16*$M$15/10000</f>
        <v>7.75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7">
        <f t="shared" si="2"/>
        <v>15.5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7">
        <f t="shared" si="2"/>
        <v>23.25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7">
        <f t="shared" si="2"/>
        <v>31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7">
        <f t="shared" si="2"/>
        <v>38.75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7">
        <f t="shared" si="2"/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7">
        <f t="shared" si="2"/>
        <v>54.25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62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116.25</v>
      </c>
      <c r="C27" s="18">
        <f>IF(B27=0, 0, D27/B27/10000)</f>
        <v>2.7623333333333333</v>
      </c>
      <c r="D27" s="4">
        <f>SUM(D2:D26)</f>
        <v>3211212.5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-116.25</v>
      </c>
      <c r="G29" s="6">
        <f>IF(F29&lt;0,C27,G27)</f>
        <v>2.7623333333333333</v>
      </c>
      <c r="H29" s="21">
        <f>IF(F29&lt;0, (G29-C31)*ABS(F29)*10000, -1*(G29-C31)*ABS(F29)*10000)</f>
        <v>-55412.500000000095</v>
      </c>
      <c r="J29" s="28"/>
      <c r="K29" s="29"/>
      <c r="L29" s="29"/>
      <c r="M29" s="5"/>
      <c r="N29" s="5"/>
    </row>
    <row r="30" spans="2:14" x14ac:dyDescent="0.2">
      <c r="F30" s="22">
        <f>-B27+F27</f>
        <v>-116.25</v>
      </c>
      <c r="G30" s="6">
        <f>IF(F30&lt;0, (C27+(J26/(ABS(F30)*10000))), IF(F30 = 0, 0, (G27-(J26/(ABS(F30)*10000)))))</f>
        <v>2.7623333333333333</v>
      </c>
      <c r="H30" s="21">
        <f>IF(F30&lt;0, (G30-C31)*ABS(F30)*10000, IF(F30 = 0, 0, -1*(G30-C31)*ABS(F30)*10000))</f>
        <v>-55412.500000000095</v>
      </c>
      <c r="J30" s="28"/>
      <c r="K30" s="29"/>
      <c r="L30" s="29"/>
      <c r="M30" s="5"/>
      <c r="N30" s="5"/>
    </row>
    <row r="31" spans="2:14" x14ac:dyDescent="0.2">
      <c r="C31" s="6">
        <v>2.81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-55412.500000000095</v>
      </c>
      <c r="G34" s="1"/>
      <c r="H34" s="1" t="s">
        <v>1</v>
      </c>
    </row>
    <row r="35" spans="1:8" x14ac:dyDescent="0.2">
      <c r="A35" s="7"/>
      <c r="B35" s="26"/>
      <c r="F35" s="23">
        <f>$H$30</f>
        <v>-55412.500000000095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-55412.500000000095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D35" sqref="D3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2.3630000000000004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2.3630000000000004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90" workbookViewId="0">
      <selection activeCell="G11" sqref="G11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3" width="9.7109375" style="6" bestFit="1" customWidth="1"/>
    <col min="14" max="16384" width="9.140625" style="6"/>
  </cols>
  <sheetData>
    <row r="1" spans="1:18" x14ac:dyDescent="0.2">
      <c r="B1" s="15" t="s">
        <v>12</v>
      </c>
      <c r="F1" s="20" t="s">
        <v>11</v>
      </c>
      <c r="N1" s="6">
        <v>10</v>
      </c>
      <c r="O1" s="6">
        <v>2</v>
      </c>
      <c r="P1" s="6">
        <v>1.5</v>
      </c>
      <c r="Q1" s="6">
        <v>1</v>
      </c>
      <c r="R1" s="6">
        <v>0.5</v>
      </c>
    </row>
    <row r="2" spans="1:18" x14ac:dyDescent="0.2">
      <c r="A2" s="6" t="s">
        <v>4</v>
      </c>
      <c r="B2" s="33">
        <v>31.5</v>
      </c>
      <c r="C2" s="27">
        <v>2.4</v>
      </c>
      <c r="D2" s="32"/>
      <c r="E2" s="5"/>
      <c r="F2" s="33"/>
      <c r="G2" s="27"/>
      <c r="H2" s="34"/>
      <c r="J2" s="35">
        <f>IF(F2&lt;1,(C2-C31)*(B2*10000),(C31-G2)*(F2*10000))</f>
        <v>-16695.00000000012</v>
      </c>
      <c r="L2" s="7" t="s">
        <v>15</v>
      </c>
    </row>
    <row r="3" spans="1:18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2866.6666666666661</v>
      </c>
      <c r="L3" s="12" t="s">
        <v>17</v>
      </c>
      <c r="M3" s="55">
        <v>37043</v>
      </c>
      <c r="N3" s="54">
        <v>30</v>
      </c>
      <c r="O3" s="53">
        <f>N3*O$1</f>
        <v>60</v>
      </c>
      <c r="P3" s="53">
        <f>N3*P$1</f>
        <v>45</v>
      </c>
      <c r="Q3" s="53">
        <f>N3*Q$1</f>
        <v>30</v>
      </c>
      <c r="R3" s="53">
        <f>N3*R$1</f>
        <v>15</v>
      </c>
    </row>
    <row r="4" spans="1:18" x14ac:dyDescent="0.2">
      <c r="A4" s="6">
        <v>36.5</v>
      </c>
      <c r="B4" s="8"/>
      <c r="C4" s="3"/>
      <c r="D4" s="4">
        <f t="shared" si="0"/>
        <v>0</v>
      </c>
      <c r="E4" s="5"/>
      <c r="F4" s="9">
        <v>9</v>
      </c>
      <c r="G4" s="3">
        <v>2.16</v>
      </c>
      <c r="H4" s="10">
        <f t="shared" si="1"/>
        <v>194400</v>
      </c>
      <c r="J4" s="23">
        <f>F37</f>
        <v>88515.000000000044</v>
      </c>
      <c r="K4" s="11"/>
      <c r="L4" s="5" t="s">
        <v>20</v>
      </c>
      <c r="M4" s="55">
        <v>37044</v>
      </c>
      <c r="N4" s="54">
        <v>29</v>
      </c>
      <c r="O4" s="53">
        <f t="shared" ref="O4:O32" si="2">N4*O$1</f>
        <v>58</v>
      </c>
      <c r="P4" s="53">
        <f t="shared" ref="P4:P32" si="3">N4*P$1</f>
        <v>43.5</v>
      </c>
      <c r="Q4" s="53">
        <f t="shared" ref="Q4:Q32" si="4">N4*Q$1</f>
        <v>29</v>
      </c>
      <c r="R4" s="53">
        <f t="shared" ref="R4:R32" si="5">N4*R$1</f>
        <v>14.5</v>
      </c>
    </row>
    <row r="5" spans="1:18" x14ac:dyDescent="0.2">
      <c r="B5" s="8"/>
      <c r="C5" s="3"/>
      <c r="D5" s="4">
        <f t="shared" si="0"/>
        <v>0</v>
      </c>
      <c r="E5" s="5"/>
      <c r="F5" s="9">
        <v>9</v>
      </c>
      <c r="G5" s="3">
        <v>2.165</v>
      </c>
      <c r="H5" s="10">
        <f t="shared" si="1"/>
        <v>194850</v>
      </c>
      <c r="J5" s="11"/>
      <c r="K5" s="14"/>
      <c r="L5" s="5"/>
      <c r="M5" s="55">
        <v>37045</v>
      </c>
      <c r="N5" s="54">
        <v>28</v>
      </c>
      <c r="O5" s="53">
        <f t="shared" si="2"/>
        <v>56</v>
      </c>
      <c r="P5" s="53">
        <f t="shared" si="3"/>
        <v>42</v>
      </c>
      <c r="Q5" s="53">
        <f t="shared" si="4"/>
        <v>28</v>
      </c>
      <c r="R5" s="53">
        <f t="shared" si="5"/>
        <v>14</v>
      </c>
    </row>
    <row r="6" spans="1:18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71819.999999999927</v>
      </c>
      <c r="K6" s="14"/>
      <c r="L6" s="5" t="s">
        <v>21</v>
      </c>
      <c r="M6" s="55">
        <v>37046</v>
      </c>
      <c r="N6" s="54">
        <v>27</v>
      </c>
      <c r="O6" s="53">
        <f t="shared" si="2"/>
        <v>54</v>
      </c>
      <c r="P6" s="53">
        <f t="shared" si="3"/>
        <v>40.5</v>
      </c>
      <c r="Q6" s="53">
        <f t="shared" si="4"/>
        <v>27</v>
      </c>
      <c r="R6" s="53">
        <f t="shared" si="5"/>
        <v>13.5</v>
      </c>
    </row>
    <row r="7" spans="1:18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  <c r="M7" s="55">
        <v>37047</v>
      </c>
      <c r="N7" s="54">
        <v>26</v>
      </c>
      <c r="O7" s="53">
        <f t="shared" si="2"/>
        <v>52</v>
      </c>
      <c r="P7" s="53">
        <f t="shared" si="3"/>
        <v>39</v>
      </c>
      <c r="Q7" s="53">
        <f t="shared" si="4"/>
        <v>26</v>
      </c>
      <c r="R7" s="53">
        <f t="shared" si="5"/>
        <v>13</v>
      </c>
    </row>
    <row r="8" spans="1:18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  <c r="M8" s="55">
        <v>37048</v>
      </c>
      <c r="N8" s="54">
        <v>25</v>
      </c>
      <c r="O8" s="53">
        <f t="shared" si="2"/>
        <v>50</v>
      </c>
      <c r="P8" s="53">
        <f t="shared" si="3"/>
        <v>37.5</v>
      </c>
      <c r="Q8" s="53">
        <f t="shared" si="4"/>
        <v>25</v>
      </c>
      <c r="R8" s="53">
        <f t="shared" si="5"/>
        <v>12.5</v>
      </c>
    </row>
    <row r="9" spans="1:18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-6</v>
      </c>
      <c r="L9" s="6" t="s">
        <v>10</v>
      </c>
      <c r="M9" s="55">
        <v>37049</v>
      </c>
      <c r="N9" s="54">
        <v>24</v>
      </c>
      <c r="O9" s="53">
        <f t="shared" si="2"/>
        <v>48</v>
      </c>
      <c r="P9" s="53">
        <f t="shared" si="3"/>
        <v>36</v>
      </c>
      <c r="Q9" s="53">
        <f t="shared" si="4"/>
        <v>24</v>
      </c>
      <c r="R9" s="53">
        <f t="shared" si="5"/>
        <v>12</v>
      </c>
    </row>
    <row r="10" spans="1:18" x14ac:dyDescent="0.2">
      <c r="B10" s="9"/>
      <c r="C10" s="3"/>
      <c r="D10" s="4">
        <f t="shared" si="0"/>
        <v>0</v>
      </c>
      <c r="E10" s="5"/>
      <c r="F10" s="9">
        <v>7.5</v>
      </c>
      <c r="G10" s="3">
        <v>1.97</v>
      </c>
      <c r="H10" s="10">
        <f t="shared" si="1"/>
        <v>147750</v>
      </c>
      <c r="J10" s="40">
        <f>IF($F$2&lt;1,($J$9/$A$3),$J$9/$A$3)</f>
        <v>-0.66666666666666663</v>
      </c>
      <c r="L10" s="6" t="s">
        <v>22</v>
      </c>
      <c r="M10" s="55">
        <v>37050</v>
      </c>
      <c r="N10" s="54">
        <v>23</v>
      </c>
      <c r="O10" s="53">
        <f t="shared" si="2"/>
        <v>46</v>
      </c>
      <c r="P10" s="53">
        <f t="shared" si="3"/>
        <v>34.5</v>
      </c>
      <c r="Q10" s="53">
        <f t="shared" si="4"/>
        <v>23</v>
      </c>
      <c r="R10" s="53">
        <f t="shared" si="5"/>
        <v>11.5</v>
      </c>
    </row>
    <row r="11" spans="1:18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-6</v>
      </c>
      <c r="L11" s="6" t="s">
        <v>23</v>
      </c>
      <c r="M11" s="55">
        <v>37051</v>
      </c>
      <c r="N11" s="54">
        <v>22</v>
      </c>
      <c r="O11" s="53">
        <f t="shared" si="2"/>
        <v>44</v>
      </c>
      <c r="P11" s="53">
        <f t="shared" si="3"/>
        <v>33</v>
      </c>
      <c r="Q11" s="53">
        <f t="shared" si="4"/>
        <v>22</v>
      </c>
      <c r="R11" s="53">
        <f t="shared" si="5"/>
        <v>11</v>
      </c>
    </row>
    <row r="12" spans="1:18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55">
        <v>37052</v>
      </c>
      <c r="N12" s="54">
        <v>21</v>
      </c>
      <c r="O12" s="53">
        <f t="shared" si="2"/>
        <v>42</v>
      </c>
      <c r="P12" s="53">
        <f t="shared" si="3"/>
        <v>31.5</v>
      </c>
      <c r="Q12" s="53">
        <f t="shared" si="4"/>
        <v>21</v>
      </c>
      <c r="R12" s="53">
        <f t="shared" si="5"/>
        <v>10.5</v>
      </c>
    </row>
    <row r="13" spans="1:18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-2</v>
      </c>
      <c r="L13" s="6" t="s">
        <v>28</v>
      </c>
      <c r="M13" s="55">
        <v>37053</v>
      </c>
      <c r="N13" s="54">
        <v>20</v>
      </c>
      <c r="O13" s="53">
        <f t="shared" si="2"/>
        <v>40</v>
      </c>
      <c r="P13" s="53">
        <f t="shared" si="3"/>
        <v>30</v>
      </c>
      <c r="Q13" s="53">
        <f t="shared" si="4"/>
        <v>20</v>
      </c>
      <c r="R13" s="53">
        <f t="shared" si="5"/>
        <v>10</v>
      </c>
    </row>
    <row r="14" spans="1:18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>
        <f>J10*5</f>
        <v>-3.333333333333333</v>
      </c>
      <c r="M14" s="55">
        <v>37054</v>
      </c>
      <c r="N14" s="54">
        <v>19</v>
      </c>
      <c r="O14" s="53">
        <f t="shared" si="2"/>
        <v>38</v>
      </c>
      <c r="P14" s="53">
        <f t="shared" si="3"/>
        <v>28.5</v>
      </c>
      <c r="Q14" s="53">
        <f t="shared" si="4"/>
        <v>19</v>
      </c>
      <c r="R14" s="53">
        <f t="shared" si="5"/>
        <v>9.5</v>
      </c>
    </row>
    <row r="15" spans="1:18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55">
        <v>37055</v>
      </c>
      <c r="N15" s="54">
        <v>18</v>
      </c>
      <c r="O15" s="53">
        <f t="shared" si="2"/>
        <v>36</v>
      </c>
      <c r="P15" s="53">
        <f t="shared" si="3"/>
        <v>27</v>
      </c>
      <c r="Q15" s="53">
        <f t="shared" si="4"/>
        <v>18</v>
      </c>
      <c r="R15" s="53">
        <f t="shared" si="5"/>
        <v>9</v>
      </c>
    </row>
    <row r="16" spans="1:18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>
        <f>1.5*21</f>
        <v>31.5</v>
      </c>
      <c r="M16" s="55">
        <v>37056</v>
      </c>
      <c r="N16" s="54">
        <v>17</v>
      </c>
      <c r="O16" s="53">
        <f t="shared" si="2"/>
        <v>34</v>
      </c>
      <c r="P16" s="53">
        <f t="shared" si="3"/>
        <v>25.5</v>
      </c>
      <c r="Q16" s="53">
        <f t="shared" si="4"/>
        <v>17</v>
      </c>
      <c r="R16" s="53">
        <f t="shared" si="5"/>
        <v>8.5</v>
      </c>
    </row>
    <row r="17" spans="2:18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55">
        <v>37057</v>
      </c>
      <c r="N17" s="54">
        <v>16</v>
      </c>
      <c r="O17" s="53">
        <f t="shared" si="2"/>
        <v>32</v>
      </c>
      <c r="P17" s="53">
        <f t="shared" si="3"/>
        <v>24</v>
      </c>
      <c r="Q17" s="53">
        <f t="shared" si="4"/>
        <v>16</v>
      </c>
      <c r="R17" s="53">
        <f t="shared" si="5"/>
        <v>8</v>
      </c>
    </row>
    <row r="18" spans="2:18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28*1.5</f>
        <v>42</v>
      </c>
      <c r="M18" s="55">
        <v>37058</v>
      </c>
      <c r="N18" s="54">
        <v>15</v>
      </c>
      <c r="O18" s="53">
        <f t="shared" si="2"/>
        <v>30</v>
      </c>
      <c r="P18" s="53">
        <f t="shared" si="3"/>
        <v>22.5</v>
      </c>
      <c r="Q18" s="53">
        <f t="shared" si="4"/>
        <v>15</v>
      </c>
      <c r="R18" s="53">
        <f t="shared" si="5"/>
        <v>7.5</v>
      </c>
    </row>
    <row r="19" spans="2:18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55">
        <v>37059</v>
      </c>
      <c r="N19" s="54">
        <v>14</v>
      </c>
      <c r="O19" s="53">
        <f t="shared" si="2"/>
        <v>28</v>
      </c>
      <c r="P19" s="53">
        <f t="shared" si="3"/>
        <v>21</v>
      </c>
      <c r="Q19" s="53">
        <f t="shared" si="4"/>
        <v>14</v>
      </c>
      <c r="R19" s="53">
        <f t="shared" si="5"/>
        <v>7</v>
      </c>
    </row>
    <row r="20" spans="2:18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f>1.5*21</f>
        <v>31.5</v>
      </c>
      <c r="M20" s="55">
        <v>37060</v>
      </c>
      <c r="N20" s="54">
        <v>13</v>
      </c>
      <c r="O20" s="53">
        <f t="shared" si="2"/>
        <v>26</v>
      </c>
      <c r="P20" s="53">
        <f t="shared" si="3"/>
        <v>19.5</v>
      </c>
      <c r="Q20" s="53">
        <f t="shared" si="4"/>
        <v>13</v>
      </c>
      <c r="R20" s="53">
        <f t="shared" si="5"/>
        <v>6.5</v>
      </c>
    </row>
    <row r="21" spans="2:18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55">
        <v>37061</v>
      </c>
      <c r="N21" s="54">
        <v>12</v>
      </c>
      <c r="O21" s="53">
        <f t="shared" si="2"/>
        <v>24</v>
      </c>
      <c r="P21" s="53">
        <f t="shared" si="3"/>
        <v>18</v>
      </c>
      <c r="Q21" s="53">
        <f t="shared" si="4"/>
        <v>12</v>
      </c>
      <c r="R21" s="53">
        <f t="shared" si="5"/>
        <v>6</v>
      </c>
    </row>
    <row r="22" spans="2:18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55">
        <v>37062</v>
      </c>
      <c r="N22" s="54">
        <v>11</v>
      </c>
      <c r="O22" s="53">
        <f t="shared" si="2"/>
        <v>22</v>
      </c>
      <c r="P22" s="53">
        <f t="shared" si="3"/>
        <v>16.5</v>
      </c>
      <c r="Q22" s="53">
        <f t="shared" si="4"/>
        <v>11</v>
      </c>
      <c r="R22" s="53">
        <f t="shared" si="5"/>
        <v>5.5</v>
      </c>
    </row>
    <row r="23" spans="2:18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55">
        <v>37063</v>
      </c>
      <c r="N23" s="54">
        <v>10</v>
      </c>
      <c r="O23" s="53">
        <f t="shared" si="2"/>
        <v>20</v>
      </c>
      <c r="P23" s="53">
        <f t="shared" si="3"/>
        <v>15</v>
      </c>
      <c r="Q23" s="53">
        <f t="shared" si="4"/>
        <v>10</v>
      </c>
      <c r="R23" s="53">
        <f t="shared" si="5"/>
        <v>5</v>
      </c>
    </row>
    <row r="24" spans="2:18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L24" s="6">
        <f>1.5*21</f>
        <v>31.5</v>
      </c>
      <c r="M24" s="55">
        <v>37064</v>
      </c>
      <c r="N24" s="54">
        <v>9</v>
      </c>
      <c r="O24" s="53">
        <f t="shared" si="2"/>
        <v>18</v>
      </c>
      <c r="P24" s="53">
        <f t="shared" si="3"/>
        <v>13.5</v>
      </c>
      <c r="Q24" s="53">
        <f t="shared" si="4"/>
        <v>9</v>
      </c>
      <c r="R24" s="53">
        <f t="shared" si="5"/>
        <v>4.5</v>
      </c>
    </row>
    <row r="25" spans="2:18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55">
        <v>37065</v>
      </c>
      <c r="N25" s="54">
        <v>8</v>
      </c>
      <c r="O25" s="53">
        <f t="shared" si="2"/>
        <v>16</v>
      </c>
      <c r="P25" s="53">
        <f t="shared" si="3"/>
        <v>12</v>
      </c>
      <c r="Q25" s="53">
        <f t="shared" si="4"/>
        <v>8</v>
      </c>
      <c r="R25" s="53">
        <f t="shared" si="5"/>
        <v>4</v>
      </c>
    </row>
    <row r="26" spans="2:18" x14ac:dyDescent="0.2">
      <c r="F26" s="15"/>
      <c r="H26" s="17"/>
      <c r="J26" s="38"/>
      <c r="K26" s="29"/>
      <c r="L26" s="29">
        <f>1.5*13</f>
        <v>19.5</v>
      </c>
      <c r="M26" s="55">
        <v>37066</v>
      </c>
      <c r="N26" s="54">
        <v>7</v>
      </c>
      <c r="O26" s="53">
        <f t="shared" si="2"/>
        <v>14</v>
      </c>
      <c r="P26" s="53">
        <f t="shared" si="3"/>
        <v>10.5</v>
      </c>
      <c r="Q26" s="53">
        <f t="shared" si="4"/>
        <v>7</v>
      </c>
      <c r="R26" s="53">
        <f t="shared" si="5"/>
        <v>3.5</v>
      </c>
    </row>
    <row r="27" spans="2:18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25.5</v>
      </c>
      <c r="G27" s="3">
        <f>IF(F27=0, 0, H27/F27/10000)</f>
        <v>2.1058823529411765</v>
      </c>
      <c r="H27" s="10">
        <f>SUM(H2:H26)</f>
        <v>537000</v>
      </c>
      <c r="J27" s="28"/>
      <c r="K27" s="29"/>
      <c r="L27" s="29"/>
      <c r="M27" s="55">
        <v>37067</v>
      </c>
      <c r="N27" s="54">
        <v>6</v>
      </c>
      <c r="O27" s="53">
        <f t="shared" si="2"/>
        <v>12</v>
      </c>
      <c r="P27" s="53">
        <f t="shared" si="3"/>
        <v>9</v>
      </c>
      <c r="Q27" s="53">
        <f t="shared" si="4"/>
        <v>6</v>
      </c>
      <c r="R27" s="53">
        <f t="shared" si="5"/>
        <v>3</v>
      </c>
    </row>
    <row r="28" spans="2:18" x14ac:dyDescent="0.2">
      <c r="J28" s="28"/>
      <c r="K28" s="29"/>
      <c r="L28" s="29"/>
      <c r="M28" s="55">
        <v>37068</v>
      </c>
      <c r="N28" s="54">
        <v>5</v>
      </c>
      <c r="O28" s="53">
        <f t="shared" si="2"/>
        <v>10</v>
      </c>
      <c r="P28" s="53">
        <f t="shared" si="3"/>
        <v>7.5</v>
      </c>
      <c r="Q28" s="53">
        <f t="shared" si="4"/>
        <v>5</v>
      </c>
      <c r="R28" s="53">
        <f t="shared" si="5"/>
        <v>2.5</v>
      </c>
    </row>
    <row r="29" spans="2:18" x14ac:dyDescent="0.2">
      <c r="F29" s="20">
        <f>-B27+F27</f>
        <v>25.5</v>
      </c>
      <c r="G29" s="6">
        <f>IF(F29&lt;0,C27,G27)</f>
        <v>2.1058823529411765</v>
      </c>
      <c r="H29" s="21">
        <f>IF(F29&lt;0, (G29-C31)*ABS(F29)*10000, -1*(G29-C31)*ABS(F29)*10000)</f>
        <v>88515.000000000044</v>
      </c>
      <c r="J29" s="28"/>
      <c r="K29" s="29"/>
      <c r="L29" s="29"/>
      <c r="M29" s="55">
        <v>37069</v>
      </c>
      <c r="N29" s="54">
        <v>4</v>
      </c>
      <c r="O29" s="53">
        <f t="shared" si="2"/>
        <v>8</v>
      </c>
      <c r="P29" s="53">
        <f t="shared" si="3"/>
        <v>6</v>
      </c>
      <c r="Q29" s="53">
        <f t="shared" si="4"/>
        <v>4</v>
      </c>
      <c r="R29" s="53">
        <f t="shared" si="5"/>
        <v>2</v>
      </c>
    </row>
    <row r="30" spans="2:18" ht="12.75" x14ac:dyDescent="0.2">
      <c r="C30" s="6">
        <f>POSTION!I11</f>
        <v>1.97</v>
      </c>
      <c r="D30" s="16" t="s">
        <v>14</v>
      </c>
      <c r="F30" s="22">
        <f>-B27+F27</f>
        <v>25.5</v>
      </c>
      <c r="G30" s="6">
        <f>IF(F30&lt;0, (C27+(J26/(ABS(F30)*10000))), IF(F30 = 0, 0, (G27-(J26/(ABS(F30)*10000)))))</f>
        <v>2.1058823529411765</v>
      </c>
      <c r="H30" s="21">
        <f>IF(F30&lt;0, (G30-C31)*ABS(F30)*10000, IF(F30 = 0, 0, -1*(G30-C31)*ABS(F30)*10000))</f>
        <v>88515.000000000044</v>
      </c>
      <c r="J30" s="28"/>
      <c r="K30" s="29"/>
      <c r="L30" s="80">
        <f>POSTION!D22</f>
        <v>-124.5</v>
      </c>
      <c r="M30" s="55">
        <v>37070</v>
      </c>
      <c r="N30" s="54">
        <v>3</v>
      </c>
      <c r="O30" s="53">
        <f t="shared" si="2"/>
        <v>6</v>
      </c>
      <c r="P30" s="53">
        <f t="shared" si="3"/>
        <v>4.5</v>
      </c>
      <c r="Q30" s="53">
        <f t="shared" si="4"/>
        <v>3</v>
      </c>
      <c r="R30" s="53">
        <f t="shared" si="5"/>
        <v>1.5</v>
      </c>
    </row>
    <row r="31" spans="2:18" x14ac:dyDescent="0.2">
      <c r="C31" s="6">
        <f>POSTION!B11</f>
        <v>2.4530000000000003</v>
      </c>
      <c r="D31" s="16" t="s">
        <v>13</v>
      </c>
      <c r="J31" s="30"/>
      <c r="K31" s="31"/>
      <c r="L31" s="31"/>
      <c r="M31" s="55">
        <v>37071</v>
      </c>
      <c r="N31" s="54">
        <v>2</v>
      </c>
      <c r="O31" s="53">
        <f t="shared" si="2"/>
        <v>4</v>
      </c>
      <c r="P31" s="53">
        <f t="shared" si="3"/>
        <v>3</v>
      </c>
      <c r="Q31" s="53">
        <f t="shared" si="4"/>
        <v>2</v>
      </c>
      <c r="R31" s="53">
        <f t="shared" si="5"/>
        <v>1</v>
      </c>
    </row>
    <row r="32" spans="2:18" x14ac:dyDescent="0.2">
      <c r="F32" s="19">
        <f>MIN($B$27,$F$27)*($C$27-$G$27)*10000</f>
        <v>0</v>
      </c>
      <c r="G32" s="1"/>
      <c r="H32" s="1" t="s">
        <v>0</v>
      </c>
      <c r="M32" s="55">
        <v>37072</v>
      </c>
      <c r="N32" s="54">
        <v>1</v>
      </c>
      <c r="O32" s="53">
        <f t="shared" si="2"/>
        <v>2</v>
      </c>
      <c r="P32" s="53">
        <f t="shared" si="3"/>
        <v>1.5</v>
      </c>
      <c r="Q32" s="53">
        <f t="shared" si="4"/>
        <v>1</v>
      </c>
      <c r="R32" s="53">
        <f t="shared" si="5"/>
        <v>0.5</v>
      </c>
    </row>
    <row r="33" spans="1:14" x14ac:dyDescent="0.2">
      <c r="F33" s="19"/>
      <c r="G33" s="1"/>
      <c r="H33" s="1"/>
      <c r="M33" s="7"/>
      <c r="N33" s="5"/>
    </row>
    <row r="34" spans="1:14" x14ac:dyDescent="0.2">
      <c r="F34" s="19">
        <f>$H$29</f>
        <v>88515.000000000044</v>
      </c>
      <c r="G34" s="1"/>
      <c r="H34" s="1" t="s">
        <v>1</v>
      </c>
      <c r="M34" s="7"/>
    </row>
    <row r="35" spans="1:14" x14ac:dyDescent="0.2">
      <c r="A35" s="7"/>
      <c r="B35" s="26"/>
      <c r="F35" s="23">
        <f>$H$30</f>
        <v>88515.000000000044</v>
      </c>
      <c r="G35" s="2"/>
      <c r="H35" s="2" t="s">
        <v>2</v>
      </c>
      <c r="M35" s="7"/>
    </row>
    <row r="36" spans="1:14" x14ac:dyDescent="0.2">
      <c r="B36" s="26"/>
      <c r="F36" s="13"/>
      <c r="H36" s="6"/>
      <c r="M36" s="7"/>
    </row>
    <row r="37" spans="1:14" x14ac:dyDescent="0.2">
      <c r="B37" s="26"/>
      <c r="F37" s="24">
        <f>F32+F34</f>
        <v>88515.000000000044</v>
      </c>
      <c r="G37" s="25"/>
      <c r="H37" s="25" t="s">
        <v>3</v>
      </c>
      <c r="L37" s="6">
        <f>1.5*28</f>
        <v>42</v>
      </c>
    </row>
    <row r="38" spans="1:14" x14ac:dyDescent="0.2">
      <c r="B38" s="26"/>
    </row>
    <row r="39" spans="1:14" x14ac:dyDescent="0.2">
      <c r="B39" s="20"/>
    </row>
    <row r="42" spans="1:14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90" workbookViewId="0">
      <selection activeCell="G10" sqref="G10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  <c r="G1" s="6">
        <v>12.5</v>
      </c>
    </row>
    <row r="2" spans="1:13" x14ac:dyDescent="0.2">
      <c r="A2" s="6" t="s">
        <v>4</v>
      </c>
      <c r="B2" s="33"/>
      <c r="C2" s="27"/>
      <c r="D2" s="32"/>
      <c r="E2" s="5"/>
      <c r="F2" s="33">
        <v>18</v>
      </c>
      <c r="G2" s="27">
        <v>2.36</v>
      </c>
      <c r="H2" s="34"/>
      <c r="J2" s="35">
        <f>IF(F2&lt;1,(C2-C37)*(B2*10000),(C37-G2)*(F2*10000))</f>
        <v>9540.0000000000691</v>
      </c>
      <c r="L2" s="7" t="s">
        <v>15</v>
      </c>
    </row>
    <row r="3" spans="1:13" x14ac:dyDescent="0.2">
      <c r="A3" s="6">
        <f>POSTION!$E$24</f>
        <v>9</v>
      </c>
      <c r="B3" s="63"/>
      <c r="C3" s="2"/>
      <c r="D3" s="64">
        <f t="shared" ref="D3:D31" si="0">B3*C3*10000</f>
        <v>0</v>
      </c>
      <c r="E3" s="5"/>
      <c r="F3" s="65"/>
      <c r="G3" s="2"/>
      <c r="H3" s="66">
        <f t="shared" ref="H3:H31" si="1">F3*G3*10000</f>
        <v>0</v>
      </c>
      <c r="J3" s="36">
        <f>IF(F2&lt;1,(J10*10000)*(C36-C2),(J10*10000)*(C36-G2))</f>
        <v>4711.1111111111095</v>
      </c>
      <c r="L3" s="12" t="s">
        <v>17</v>
      </c>
    </row>
    <row r="4" spans="1:13" x14ac:dyDescent="0.2">
      <c r="B4" s="90">
        <v>9</v>
      </c>
      <c r="C4" s="3">
        <v>2.35</v>
      </c>
      <c r="D4" s="4">
        <f t="shared" si="0"/>
        <v>211500.00000000003</v>
      </c>
      <c r="E4" s="5"/>
      <c r="F4" s="9"/>
      <c r="G4" s="3"/>
      <c r="H4" s="10">
        <f t="shared" si="1"/>
        <v>0</v>
      </c>
      <c r="J4" s="23">
        <f>F43</f>
        <v>-27380.000000000131</v>
      </c>
      <c r="K4" s="11"/>
      <c r="L4" s="5" t="s">
        <v>20</v>
      </c>
    </row>
    <row r="5" spans="1:13" x14ac:dyDescent="0.2">
      <c r="B5" s="90">
        <v>9</v>
      </c>
      <c r="C5" s="3">
        <v>2.13</v>
      </c>
      <c r="D5" s="4">
        <f t="shared" si="0"/>
        <v>191699.99999999997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>
        <v>9</v>
      </c>
      <c r="C6" s="3">
        <v>2.14</v>
      </c>
      <c r="D6" s="4">
        <f t="shared" si="0"/>
        <v>192600.00000000003</v>
      </c>
      <c r="E6" s="5"/>
      <c r="F6" s="9"/>
      <c r="G6" s="3"/>
      <c r="H6" s="10">
        <f t="shared" si="1"/>
        <v>0</v>
      </c>
      <c r="J6" s="42">
        <f>J2+J4</f>
        <v>-17840.000000000062</v>
      </c>
      <c r="K6" s="14"/>
      <c r="L6" s="5" t="s">
        <v>21</v>
      </c>
    </row>
    <row r="7" spans="1:13" ht="12" thickTop="1" x14ac:dyDescent="0.2">
      <c r="B7" s="8">
        <v>9</v>
      </c>
      <c r="C7" s="3">
        <v>2.08</v>
      </c>
      <c r="D7" s="4">
        <f t="shared" si="0"/>
        <v>187200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>
        <v>10</v>
      </c>
      <c r="G9" s="3">
        <v>1.83</v>
      </c>
      <c r="H9" s="10">
        <f t="shared" si="1"/>
        <v>183000</v>
      </c>
      <c r="J9" s="39">
        <f>F36-B2+F2</f>
        <v>-8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-0.88888888888888884</v>
      </c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-8</v>
      </c>
      <c r="L11" s="6" t="s">
        <v>23</v>
      </c>
      <c r="M11" s="6">
        <f>488-306</f>
        <v>182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6">
        <f>M11/12</f>
        <v>15.166666666666666</v>
      </c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-2.6666666666666665</v>
      </c>
      <c r="L13" s="6" t="s">
        <v>28</v>
      </c>
      <c r="M13" s="6">
        <f>M12*3</f>
        <v>45.5</v>
      </c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>
        <f>J10*5</f>
        <v>-4.4444444444444446</v>
      </c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>
        <v>2.2949999999999999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230000</v>
      </c>
      <c r="M19" s="6">
        <f>L19*12</f>
        <v>2760000</v>
      </c>
      <c r="N19" s="6">
        <f>M19/10000</f>
        <v>276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-366780</v>
      </c>
      <c r="M20" s="6">
        <f>L20*12</f>
        <v>-4401360</v>
      </c>
      <c r="N20" s="6">
        <f>M20/10000</f>
        <v>-440.13600000000002</v>
      </c>
    </row>
    <row r="21" spans="2:14" x14ac:dyDescent="0.2">
      <c r="B21" s="88"/>
      <c r="C21" s="89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SUM(N19:N20)</f>
        <v>-164.13600000000002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ht="12.75" x14ac:dyDescent="0.2">
      <c r="B26" s="9"/>
      <c r="C26" s="3"/>
      <c r="D26" s="4">
        <f t="shared" si="0"/>
        <v>0</v>
      </c>
      <c r="E26" s="5"/>
      <c r="F26" s="9"/>
      <c r="G26" s="3"/>
      <c r="H26" s="10">
        <f t="shared" si="1"/>
        <v>0</v>
      </c>
      <c r="J26" s="37"/>
      <c r="L26" s="91">
        <f>POSTION!D22</f>
        <v>-124.5</v>
      </c>
    </row>
    <row r="27" spans="2:14" x14ac:dyDescent="0.2">
      <c r="B27" s="9"/>
      <c r="C27" s="3"/>
      <c r="D27" s="4">
        <f t="shared" si="0"/>
        <v>0</v>
      </c>
      <c r="E27" s="5"/>
      <c r="F27" s="9"/>
      <c r="G27" s="3"/>
      <c r="H27" s="10">
        <f t="shared" si="1"/>
        <v>0</v>
      </c>
      <c r="J27" s="37"/>
    </row>
    <row r="28" spans="2:14" x14ac:dyDescent="0.2">
      <c r="B28" s="9"/>
      <c r="C28" s="3"/>
      <c r="D28" s="4">
        <f t="shared" si="0"/>
        <v>0</v>
      </c>
      <c r="E28" s="5"/>
      <c r="F28" s="9"/>
      <c r="G28" s="3"/>
      <c r="H28" s="10">
        <f t="shared" si="1"/>
        <v>0</v>
      </c>
      <c r="J28" s="37"/>
      <c r="L28" s="6">
        <v>8</v>
      </c>
      <c r="M28" s="6">
        <f>L28*12</f>
        <v>96</v>
      </c>
    </row>
    <row r="29" spans="2:14" x14ac:dyDescent="0.2">
      <c r="B29" s="9"/>
      <c r="C29" s="3"/>
      <c r="D29" s="4">
        <f t="shared" si="0"/>
        <v>0</v>
      </c>
      <c r="E29" s="5"/>
      <c r="F29" s="9"/>
      <c r="G29" s="3"/>
      <c r="H29" s="10">
        <f t="shared" si="1"/>
        <v>0</v>
      </c>
      <c r="J29" s="38"/>
      <c r="K29" s="29"/>
      <c r="L29" s="29">
        <v>-5.5</v>
      </c>
      <c r="M29" s="6">
        <f>L29*12</f>
        <v>-66</v>
      </c>
      <c r="N29" s="6">
        <f>M29+M28</f>
        <v>30</v>
      </c>
    </row>
    <row r="30" spans="2:14" x14ac:dyDescent="0.2">
      <c r="B30" s="9"/>
      <c r="C30" s="3"/>
      <c r="D30" s="4">
        <f t="shared" si="0"/>
        <v>0</v>
      </c>
      <c r="E30" s="5"/>
      <c r="F30" s="9"/>
      <c r="G30" s="3"/>
      <c r="H30" s="10">
        <f t="shared" si="1"/>
        <v>0</v>
      </c>
      <c r="J30" s="28">
        <f>F33-B33</f>
        <v>-26</v>
      </c>
      <c r="K30" s="29"/>
      <c r="L30" s="29">
        <v>12.5</v>
      </c>
      <c r="M30" s="6">
        <f>L30*12</f>
        <v>150</v>
      </c>
      <c r="N30" s="5"/>
    </row>
    <row r="31" spans="2:14" x14ac:dyDescent="0.2">
      <c r="B31" s="9"/>
      <c r="C31" s="3"/>
      <c r="D31" s="4">
        <f t="shared" si="0"/>
        <v>0</v>
      </c>
      <c r="E31" s="5"/>
      <c r="F31" s="9"/>
      <c r="G31" s="3"/>
      <c r="H31" s="10">
        <f t="shared" si="1"/>
        <v>0</v>
      </c>
      <c r="J31" s="28">
        <f>J30+48</f>
        <v>22</v>
      </c>
      <c r="K31" s="29"/>
      <c r="L31" s="29">
        <v>4</v>
      </c>
      <c r="M31" s="6">
        <f>L31*12</f>
        <v>48</v>
      </c>
      <c r="N31" s="5">
        <f>M30+M31</f>
        <v>198</v>
      </c>
    </row>
    <row r="32" spans="2:14" x14ac:dyDescent="0.2">
      <c r="F32" s="15"/>
      <c r="H32" s="17"/>
      <c r="J32" s="28"/>
      <c r="K32" s="29"/>
      <c r="L32" s="29">
        <f>21/2</f>
        <v>10.5</v>
      </c>
      <c r="M32" s="5"/>
      <c r="N32" s="5"/>
    </row>
    <row r="33" spans="1:14" x14ac:dyDescent="0.2">
      <c r="B33" s="9">
        <f>SUM(B3:B32)</f>
        <v>36</v>
      </c>
      <c r="C33" s="18">
        <f>IF(B33=0, 0, D33/B33/10000)</f>
        <v>2.1749999999999998</v>
      </c>
      <c r="D33" s="4">
        <f>SUM(D2:D32)</f>
        <v>783000</v>
      </c>
      <c r="F33" s="9">
        <f>SUM(F3:F32)</f>
        <v>10</v>
      </c>
      <c r="G33" s="3">
        <f>IF(F33=0, 0, H33/F33/10000)</f>
        <v>1.83</v>
      </c>
      <c r="H33" s="10">
        <f>SUM(H2:H32)</f>
        <v>183000</v>
      </c>
      <c r="J33" s="28"/>
      <c r="K33" s="29"/>
      <c r="L33" s="29"/>
      <c r="M33" s="5"/>
      <c r="N33" s="5"/>
    </row>
    <row r="34" spans="1:14" x14ac:dyDescent="0.2">
      <c r="J34" s="30"/>
      <c r="K34" s="31"/>
      <c r="L34" s="31"/>
      <c r="M34" s="5"/>
      <c r="N34" s="5"/>
    </row>
    <row r="35" spans="1:14" x14ac:dyDescent="0.2">
      <c r="F35" s="20">
        <f>-B33+F33</f>
        <v>-26</v>
      </c>
      <c r="G35" s="6">
        <f>IF(F35&lt;0,C33,G33)</f>
        <v>2.1749999999999998</v>
      </c>
      <c r="H35" s="21">
        <f>IF(F35&lt;0, (G35-C37)*ABS(F35)*10000, -1*(G35-C37)*ABS(F35)*10000)</f>
        <v>-61880.000000000109</v>
      </c>
      <c r="M35" s="5"/>
      <c r="N35" s="5"/>
    </row>
    <row r="36" spans="1:14" x14ac:dyDescent="0.2">
      <c r="C36" s="6">
        <f>POSTION!I12</f>
        <v>1.83</v>
      </c>
      <c r="D36" s="16" t="s">
        <v>14</v>
      </c>
      <c r="F36" s="22">
        <f>-B33+F33</f>
        <v>-26</v>
      </c>
      <c r="G36" s="6">
        <f>IF(F36&lt;0, (C33+(J29/(ABS(F36)*10000))), IF(F36 = 0, 0, (G33-(J29/(ABS(F36)*10000)))))</f>
        <v>2.1749999999999998</v>
      </c>
      <c r="H36" s="21">
        <f>IF(F36&lt;0, (G36-C37)*ABS(F36)*10000, IF(F36 = 0, 0, -1*(G36-C37)*ABS(F36)*10000))</f>
        <v>-61880.000000000109</v>
      </c>
    </row>
    <row r="37" spans="1:14" x14ac:dyDescent="0.2">
      <c r="C37" s="6">
        <f>POSTION!B12</f>
        <v>2.4130000000000003</v>
      </c>
      <c r="D37" s="16" t="s">
        <v>13</v>
      </c>
    </row>
    <row r="38" spans="1:14" x14ac:dyDescent="0.2">
      <c r="A38" s="7"/>
      <c r="F38" s="19">
        <f>MIN($B$33,$F$33)*($C$33-$G$33)*10000</f>
        <v>34499.999999999978</v>
      </c>
      <c r="G38" s="1"/>
      <c r="H38" s="1" t="s">
        <v>0</v>
      </c>
    </row>
    <row r="39" spans="1:14" x14ac:dyDescent="0.2">
      <c r="F39" s="19"/>
      <c r="G39" s="1"/>
      <c r="H39" s="1"/>
    </row>
    <row r="40" spans="1:14" x14ac:dyDescent="0.2">
      <c r="F40" s="19">
        <f>$H$35</f>
        <v>-61880.000000000109</v>
      </c>
      <c r="G40" s="1"/>
      <c r="H40" s="1" t="s">
        <v>1</v>
      </c>
    </row>
    <row r="41" spans="1:14" x14ac:dyDescent="0.2">
      <c r="B41" s="26"/>
      <c r="F41" s="23">
        <f>$H$36</f>
        <v>-61880.000000000109</v>
      </c>
      <c r="G41" s="2"/>
      <c r="H41" s="2" t="s">
        <v>2</v>
      </c>
    </row>
    <row r="42" spans="1:14" x14ac:dyDescent="0.2">
      <c r="B42" s="26"/>
      <c r="F42" s="13"/>
      <c r="H42" s="6"/>
    </row>
    <row r="43" spans="1:14" x14ac:dyDescent="0.2">
      <c r="B43" s="26"/>
      <c r="F43" s="24">
        <f>F38+F40</f>
        <v>-27380.000000000131</v>
      </c>
      <c r="G43" s="25"/>
      <c r="H43" s="25" t="s">
        <v>3</v>
      </c>
    </row>
    <row r="44" spans="1:14" x14ac:dyDescent="0.2">
      <c r="B44" s="26"/>
    </row>
    <row r="45" spans="1:14" x14ac:dyDescent="0.2">
      <c r="B45" s="20"/>
    </row>
    <row r="48" spans="1:14" x14ac:dyDescent="0.2">
      <c r="B48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2.3630000000000004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2.3630000000000004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9" sqref="C9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>
        <v>22.5</v>
      </c>
      <c r="G2" s="27">
        <v>2.11</v>
      </c>
      <c r="H2" s="34"/>
      <c r="J2" s="35">
        <f>IF(F2&lt;1,(C2-C31)*(B2*10000),(C31-G2)*(F2*10000))</f>
        <v>11925.000000000085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-5222.2222222222217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>
        <v>9</v>
      </c>
      <c r="G4" s="3">
        <v>1.875</v>
      </c>
      <c r="H4" s="10">
        <f t="shared" si="1"/>
        <v>168750</v>
      </c>
      <c r="J4" s="23">
        <f>F37</f>
        <v>-62225.000000000058</v>
      </c>
      <c r="K4" s="11"/>
      <c r="L4" s="5" t="s">
        <v>20</v>
      </c>
    </row>
    <row r="5" spans="1:12" x14ac:dyDescent="0.2">
      <c r="B5" s="8">
        <v>9</v>
      </c>
      <c r="C5" s="3">
        <v>1.91</v>
      </c>
      <c r="D5" s="4">
        <f t="shared" si="0"/>
        <v>171899.99999999997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-50299.999999999971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>
        <v>12.5</v>
      </c>
      <c r="C8" s="3">
        <v>1.64</v>
      </c>
      <c r="D8" s="4">
        <f t="shared" si="0"/>
        <v>205000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10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1.1111111111111112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10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3.3333333333333335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>
        <f>J10*5</f>
        <v>5.5555555555555554</v>
      </c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f>13*12.5</f>
        <v>162.5</v>
      </c>
      <c r="M17" s="6">
        <f>13*5</f>
        <v>65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13*1.5</f>
        <v>19.5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21.5</v>
      </c>
      <c r="C27" s="18">
        <f>IF(B27=0, 0, D27/B27/10000)</f>
        <v>1.7530232558139534</v>
      </c>
      <c r="D27" s="4">
        <f>SUM(D2:D26)</f>
        <v>376900</v>
      </c>
      <c r="F27" s="9">
        <f>SUM(F3:F26)</f>
        <v>9</v>
      </c>
      <c r="G27" s="3">
        <f>IF(F27=0, 0, H27/F27/10000)</f>
        <v>1.875</v>
      </c>
      <c r="H27" s="10">
        <f>SUM(H2:H26)</f>
        <v>168750</v>
      </c>
      <c r="J27" s="28"/>
      <c r="K27" s="29"/>
      <c r="L27" s="29"/>
      <c r="M27" s="5"/>
      <c r="N27" s="5"/>
    </row>
    <row r="28" spans="2:14" ht="12.75" x14ac:dyDescent="0.2">
      <c r="J28" s="28"/>
      <c r="K28" s="29"/>
      <c r="L28" s="80">
        <f>POSTION!D22</f>
        <v>-124.5</v>
      </c>
      <c r="M28" s="5"/>
      <c r="N28" s="5"/>
    </row>
    <row r="29" spans="2:14" x14ac:dyDescent="0.2">
      <c r="F29" s="20">
        <f>-B27+F27</f>
        <v>-12.5</v>
      </c>
      <c r="G29" s="6">
        <f>IF(F29&lt;0,C27,G27)</f>
        <v>1.7530232558139534</v>
      </c>
      <c r="H29" s="21">
        <f>IF(F29&lt;0, (G29-C31)*ABS(F29)*10000, -1*(G29-C31)*ABS(F29)*10000)</f>
        <v>-51247.09302325586</v>
      </c>
      <c r="J29" s="28"/>
      <c r="K29" s="29"/>
      <c r="L29" s="29"/>
      <c r="M29" s="5"/>
      <c r="N29" s="5"/>
    </row>
    <row r="30" spans="2:14" x14ac:dyDescent="0.2">
      <c r="C30" s="6">
        <f>POSTION!I14</f>
        <v>1.64</v>
      </c>
      <c r="D30" s="16" t="s">
        <v>14</v>
      </c>
      <c r="F30" s="22">
        <f>-B27+F27</f>
        <v>-12.5</v>
      </c>
      <c r="G30" s="6">
        <f>IF(F30&lt;0, (C27+(J26/(ABS(F30)*10000))), IF(F30 = 0, 0, (G27-(J26/(ABS(F30)*10000)))))</f>
        <v>1.7530232558139534</v>
      </c>
      <c r="H30" s="21">
        <f>IF(F30&lt;0, (G30-C31)*ABS(F30)*10000, IF(F30 = 0, 0, -1*(G30-C31)*ABS(F30)*10000))</f>
        <v>-51247.09302325586</v>
      </c>
      <c r="J30" s="28"/>
      <c r="K30" s="29"/>
      <c r="L30" s="29"/>
      <c r="M30" s="5"/>
      <c r="N30" s="5"/>
    </row>
    <row r="31" spans="2:14" x14ac:dyDescent="0.2">
      <c r="C31" s="6">
        <f>POSTION!B14</f>
        <v>2.1630000000000003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-10977.906976744198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-51247.09302325586</v>
      </c>
      <c r="G34" s="1"/>
      <c r="H34" s="1" t="s">
        <v>1</v>
      </c>
    </row>
    <row r="35" spans="1:8" x14ac:dyDescent="0.2">
      <c r="A35" s="7"/>
      <c r="B35" s="26"/>
      <c r="F35" s="23">
        <f>$H$30</f>
        <v>-51247.09302325586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-62225.000000000058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7" sqref="F7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>
        <v>13.5</v>
      </c>
      <c r="C2" s="27">
        <v>2.08</v>
      </c>
      <c r="D2" s="32"/>
      <c r="E2" s="5"/>
      <c r="F2" s="33"/>
      <c r="G2" s="27"/>
      <c r="H2" s="34"/>
      <c r="J2" s="35">
        <f>IF(F2&lt;1,(C2-C31)*(B2*10000),(C31-G2)*(F2*10000))</f>
        <v>-7155.0000000000509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3133.333333333333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39975.000000000029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>
        <v>7.5</v>
      </c>
      <c r="G6" s="3">
        <v>1.6</v>
      </c>
      <c r="H6" s="10">
        <f t="shared" si="1"/>
        <v>120000</v>
      </c>
      <c r="J6" s="42">
        <f>J2+J4</f>
        <v>32819.999999999978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-6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-0.66666666666666663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-6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-2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>
        <f>J10*5</f>
        <v>-3.333333333333333</v>
      </c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>
        <f>4.5*3</f>
        <v>13.5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7.5</v>
      </c>
      <c r="G27" s="3">
        <f>IF(F27=0, 0, H27/F27/10000)</f>
        <v>1.6</v>
      </c>
      <c r="H27" s="10">
        <f>SUM(H2:H26)</f>
        <v>120000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7.5</v>
      </c>
      <c r="G29" s="6">
        <f>IF(F29&lt;0,C27,G27)</f>
        <v>1.6</v>
      </c>
      <c r="H29" s="21">
        <f>IF(F29&lt;0, (G29-C31)*ABS(F29)*10000, -1*(G29-C31)*ABS(F29)*10000)</f>
        <v>39975.000000000029</v>
      </c>
      <c r="J29" s="28"/>
      <c r="K29" s="29"/>
      <c r="L29" s="29"/>
      <c r="M29" s="5"/>
      <c r="N29" s="5"/>
    </row>
    <row r="30" spans="2:14" x14ac:dyDescent="0.2">
      <c r="C30" s="6">
        <f>POSTION!I15</f>
        <v>1.61</v>
      </c>
      <c r="D30" s="16" t="s">
        <v>14</v>
      </c>
      <c r="F30" s="22">
        <f>-B27+F27</f>
        <v>7.5</v>
      </c>
      <c r="G30" s="6">
        <f>IF(F30&lt;0, (C27+(J26/(ABS(F30)*10000))), IF(F30 = 0, 0, (G27-(J26/(ABS(F30)*10000)))))</f>
        <v>1.6</v>
      </c>
      <c r="H30" s="21">
        <f>IF(F30&lt;0, (G30-C31)*ABS(F30)*10000, IF(F30 = 0, 0, -1*(G30-C31)*ABS(F30)*10000))</f>
        <v>39975.000000000029</v>
      </c>
      <c r="J30" s="28"/>
      <c r="K30" s="29"/>
      <c r="L30" s="29"/>
      <c r="M30" s="5"/>
      <c r="N30" s="5"/>
    </row>
    <row r="31" spans="2:14" x14ac:dyDescent="0.2">
      <c r="C31" s="6">
        <f>POSTION!B15</f>
        <v>2.1330000000000005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39975.000000000029</v>
      </c>
      <c r="G34" s="1"/>
      <c r="H34" s="1" t="s">
        <v>1</v>
      </c>
    </row>
    <row r="35" spans="1:8" x14ac:dyDescent="0.2">
      <c r="A35" s="7"/>
      <c r="B35" s="26"/>
      <c r="F35" s="23">
        <f>$H$30</f>
        <v>39975.000000000029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39975.000000000029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7" sqref="C7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>
        <v>103.25</v>
      </c>
      <c r="C2" s="27">
        <v>2.8519999999999999</v>
      </c>
      <c r="D2" s="32"/>
      <c r="E2" s="5"/>
      <c r="F2" s="33"/>
      <c r="G2" s="27"/>
      <c r="H2" s="34"/>
      <c r="J2" s="35">
        <f>IF(F2&lt;1,(C2-C31)*(B2*10000),(C31-G2)*(F2*10000))</f>
        <v>40267.499999999694</v>
      </c>
      <c r="L2" s="7" t="s">
        <v>15</v>
      </c>
    </row>
    <row r="3" spans="1:14" x14ac:dyDescent="0.2">
      <c r="A3" s="6">
        <f>POSTION!$E$24</f>
        <v>9</v>
      </c>
      <c r="B3" s="8">
        <v>31</v>
      </c>
      <c r="C3" s="3">
        <v>2.82</v>
      </c>
      <c r="D3" s="4">
        <f t="shared" ref="D3:D25" si="0">B3*C3*10000</f>
        <v>874200</v>
      </c>
      <c r="E3" s="5"/>
      <c r="F3" s="9">
        <v>62</v>
      </c>
      <c r="G3" s="3">
        <v>2.8149999999999999</v>
      </c>
      <c r="H3" s="10">
        <f t="shared" ref="H3:H25" si="1">F3*G3*10000</f>
        <v>1745300</v>
      </c>
      <c r="J3" s="36"/>
      <c r="L3" s="12" t="s">
        <v>17</v>
      </c>
    </row>
    <row r="4" spans="1:14" x14ac:dyDescent="0.2">
      <c r="B4" s="8"/>
      <c r="C4" s="3"/>
      <c r="D4" s="4">
        <f t="shared" si="0"/>
        <v>0</v>
      </c>
      <c r="E4" s="5"/>
      <c r="F4" s="9">
        <v>62</v>
      </c>
      <c r="G4" s="3">
        <v>2.81</v>
      </c>
      <c r="H4" s="10">
        <f t="shared" si="1"/>
        <v>1742200</v>
      </c>
      <c r="J4" s="23">
        <f>F37</f>
        <v>-1717.4999999999241</v>
      </c>
      <c r="K4" s="11"/>
      <c r="L4" s="5" t="s">
        <v>20</v>
      </c>
    </row>
    <row r="5" spans="1:14" x14ac:dyDescent="0.2">
      <c r="B5" s="8">
        <v>15.5</v>
      </c>
      <c r="C5" s="3">
        <v>2.79</v>
      </c>
      <c r="D5" s="4">
        <f t="shared" si="0"/>
        <v>432450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>
        <v>7.25</v>
      </c>
      <c r="C6" s="3">
        <v>2.8</v>
      </c>
      <c r="D6" s="4">
        <f t="shared" si="0"/>
        <v>202999.99999999997</v>
      </c>
      <c r="E6" s="5"/>
      <c r="F6" s="9"/>
      <c r="G6" s="3"/>
      <c r="H6" s="10">
        <f t="shared" si="1"/>
        <v>0</v>
      </c>
      <c r="J6" s="42">
        <f>J2+J3+J4</f>
        <v>38549.999999999767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-33</v>
      </c>
      <c r="L9" s="6" t="s">
        <v>10</v>
      </c>
      <c r="M9" s="8"/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-33</v>
      </c>
      <c r="L11" s="6" t="s">
        <v>23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L15" s="6">
        <f>127.5-75</f>
        <v>52.5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9" si="2">(M21*$M$20)/10000</f>
        <v>7.75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23.25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38.75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46.5</v>
      </c>
    </row>
    <row r="27" spans="2:14" x14ac:dyDescent="0.2">
      <c r="B27" s="9">
        <f>SUM(B3:B26)</f>
        <v>53.75</v>
      </c>
      <c r="C27" s="18">
        <f>IF(B27=0, 0, D27/B27/10000)</f>
        <v>2.8086511627906976</v>
      </c>
      <c r="D27" s="4">
        <f>SUM(D2:D26)</f>
        <v>1509650</v>
      </c>
      <c r="F27" s="9">
        <f>SUM(F3:F26)</f>
        <v>124</v>
      </c>
      <c r="G27" s="3">
        <f>IF(F27=0, 0, H27/F27/10000)</f>
        <v>2.8125</v>
      </c>
      <c r="H27" s="10">
        <f>SUM(H2:H26)</f>
        <v>3487500</v>
      </c>
      <c r="J27" s="28"/>
      <c r="K27" s="29"/>
      <c r="L27" s="29"/>
      <c r="M27" s="5">
        <v>17500</v>
      </c>
      <c r="N27" s="5">
        <f t="shared" si="2"/>
        <v>54.25</v>
      </c>
    </row>
    <row r="28" spans="2:14" x14ac:dyDescent="0.2">
      <c r="C28" s="73">
        <f>C27-0.0175</f>
        <v>2.7911511627906975</v>
      </c>
      <c r="J28" s="28"/>
      <c r="K28" s="29"/>
      <c r="L28" s="29"/>
      <c r="M28" s="5">
        <v>20000</v>
      </c>
      <c r="N28" s="5">
        <f t="shared" si="2"/>
        <v>62</v>
      </c>
    </row>
    <row r="29" spans="2:14" x14ac:dyDescent="0.2">
      <c r="F29" s="22">
        <f>-B27+F27</f>
        <v>70.25</v>
      </c>
      <c r="G29" s="6">
        <f>IF(F29&lt;0,C27,G27)</f>
        <v>2.8125</v>
      </c>
      <c r="H29" s="21">
        <f>IF(F29&lt;0, (G29-C31)*ABS(F29)*10000, -1*(G29-C31)*ABS(F29)*10000)</f>
        <v>351.25000000011732</v>
      </c>
      <c r="J29" s="28"/>
      <c r="K29" s="29"/>
      <c r="L29" s="29"/>
      <c r="M29" s="5">
        <v>25000</v>
      </c>
      <c r="N29" s="5">
        <f t="shared" si="2"/>
        <v>77.5</v>
      </c>
    </row>
    <row r="30" spans="2:14" x14ac:dyDescent="0.2">
      <c r="F30" s="22">
        <f>-B27+F27</f>
        <v>70.25</v>
      </c>
      <c r="G30" s="6">
        <f>IF(F30&lt;0, (C27+(J26/(ABS(F30)*10000))), IF(F30 = 0, 0, (G27-(J26/(ABS(F30)*10000)))))</f>
        <v>2.8125</v>
      </c>
      <c r="H30" s="21">
        <f>IF(F30&lt;0, (G30-C31)*ABS(F30)*10000, IF(F30 = 0, 0, -1*(G30-C31)*ABS(F30)*10000))</f>
        <v>351.25000000011732</v>
      </c>
      <c r="J30" s="28"/>
      <c r="K30" s="29"/>
      <c r="L30" s="29"/>
      <c r="M30" s="5"/>
      <c r="N30" s="5"/>
    </row>
    <row r="31" spans="2:14" x14ac:dyDescent="0.2">
      <c r="C31" s="73">
        <f>POSTION!B4</f>
        <v>2.8130000000000002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-2068.7500000000414</v>
      </c>
      <c r="G32" s="1"/>
      <c r="H32" s="1" t="s">
        <v>0</v>
      </c>
      <c r="L32" s="6">
        <f>SUM(L28:L31)</f>
        <v>0</v>
      </c>
      <c r="M32" s="5"/>
      <c r="N32" s="5">
        <f>SUM(N28:N31)</f>
        <v>139.5</v>
      </c>
    </row>
    <row r="33" spans="1:13" x14ac:dyDescent="0.2">
      <c r="F33" s="19"/>
      <c r="G33" s="1"/>
      <c r="H33" s="1"/>
      <c r="M33" s="6" t="e">
        <f>N32/L32</f>
        <v>#DIV/0!</v>
      </c>
    </row>
    <row r="34" spans="1:13" x14ac:dyDescent="0.2">
      <c r="F34" s="19">
        <f>$H$29</f>
        <v>351.25000000011732</v>
      </c>
      <c r="G34" s="1"/>
      <c r="H34" s="1" t="s">
        <v>1</v>
      </c>
    </row>
    <row r="35" spans="1:13" x14ac:dyDescent="0.2">
      <c r="A35" s="7"/>
      <c r="B35" s="26"/>
      <c r="F35" s="23">
        <f>$H$30</f>
        <v>351.25000000011732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-1717.4999999999241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4" sqref="G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>
        <v>46.5</v>
      </c>
      <c r="C2" s="27">
        <v>3.0409999999999999</v>
      </c>
      <c r="D2" s="32"/>
      <c r="E2" s="5"/>
      <c r="F2" s="33"/>
      <c r="G2" s="27"/>
      <c r="H2" s="34"/>
      <c r="J2" s="35">
        <f>IF(F2&lt;1,(C2-C31)*(B2*10000),(C31-G2)*(F2*10000))</f>
        <v>23249.999999999916</v>
      </c>
      <c r="L2" s="7" t="s">
        <v>15</v>
      </c>
    </row>
    <row r="3" spans="1:14" x14ac:dyDescent="0.2">
      <c r="A3" s="6">
        <f>POSTION!$E$24</f>
        <v>9</v>
      </c>
      <c r="B3" s="8"/>
      <c r="C3" s="3"/>
      <c r="D3" s="4">
        <f t="shared" ref="D3:D25" si="0">B3*C3*10000</f>
        <v>0</v>
      </c>
      <c r="E3" s="5"/>
      <c r="F3" s="9">
        <v>46.5</v>
      </c>
      <c r="G3" s="3">
        <v>2.9874999999999998</v>
      </c>
      <c r="H3" s="10">
        <f t="shared" ref="H3:H25" si="1">F3*G3*10000</f>
        <v>1389187.5</v>
      </c>
      <c r="J3" s="36"/>
      <c r="L3" s="12" t="s">
        <v>17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1627.5000000001305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24877.500000000047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2500</v>
      </c>
      <c r="N15" s="6">
        <f>M15*31</f>
        <v>77500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12500</v>
      </c>
      <c r="N16" s="6">
        <f>M16*31</f>
        <v>387500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17500</v>
      </c>
      <c r="N17" s="6">
        <f>M17*31</f>
        <v>542500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7500</v>
      </c>
      <c r="N18" s="6">
        <f>M18*31</f>
        <v>232500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L25" s="6">
        <f>152.7-46.5</f>
        <v>106.19999999999999</v>
      </c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46.5</v>
      </c>
      <c r="G27" s="3">
        <f>IF(F27=0, 0, H27/F27/10000)</f>
        <v>2.9874999999999998</v>
      </c>
      <c r="H27" s="10">
        <f>SUM(H2:H26)</f>
        <v>1389187.5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46.5</v>
      </c>
      <c r="G29" s="6">
        <f>IF(F29&lt;0,C27,G27)</f>
        <v>2.9874999999999998</v>
      </c>
      <c r="H29" s="21">
        <f>IF(F29&lt;0, (G29-C31)*ABS(F29)*10000, -1*(G29-C31)*ABS(F29)*10000)</f>
        <v>1627.5000000001305</v>
      </c>
      <c r="J29" s="28"/>
      <c r="K29" s="29"/>
      <c r="L29" s="29"/>
      <c r="M29" s="5"/>
      <c r="N29" s="5"/>
    </row>
    <row r="30" spans="2:14" x14ac:dyDescent="0.2">
      <c r="F30" s="22">
        <f>-B27+F27</f>
        <v>46.5</v>
      </c>
      <c r="G30" s="6">
        <f>IF(F30&lt;0, (C27+(J26/(ABS(F30)*10000))), IF(F30 = 0, 0, (G27-(J26/(ABS(F30)*10000)))))</f>
        <v>2.9874999999999998</v>
      </c>
      <c r="H30" s="21">
        <f>IF(F30&lt;0, (G30-C31)*ABS(F30)*10000, IF(F30 = 0, 0, -1*(G30-C31)*ABS(F30)*10000))</f>
        <v>1627.5000000001305</v>
      </c>
      <c r="J30" s="28"/>
      <c r="K30" s="29"/>
      <c r="L30" s="29"/>
      <c r="M30" s="5"/>
      <c r="N30" s="5"/>
    </row>
    <row r="31" spans="2:14" x14ac:dyDescent="0.2">
      <c r="C31" s="6">
        <f>POSTION!B5</f>
        <v>2.9910000000000001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1627.5000000001305</v>
      </c>
      <c r="G34" s="1"/>
      <c r="H34" s="1" t="s">
        <v>1</v>
      </c>
    </row>
    <row r="35" spans="1:8" x14ac:dyDescent="0.2">
      <c r="A35" s="7"/>
      <c r="B35" s="26"/>
      <c r="F35" s="23">
        <f>$H$30</f>
        <v>1627.5000000001305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1627.5000000001305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POSTION</vt:lpstr>
      <vt:lpstr>KATY_PHYS</vt:lpstr>
      <vt:lpstr>HH_SWAP</vt:lpstr>
      <vt:lpstr>HSC_SWAP</vt:lpstr>
      <vt:lpstr>KATY_SWAP</vt:lpstr>
      <vt:lpstr>WAHA_SWAP</vt:lpstr>
      <vt:lpstr>PERM_SWAP</vt:lpstr>
      <vt:lpstr>DEC_SWAP</vt:lpstr>
      <vt:lpstr>JAN_SWAP</vt:lpstr>
      <vt:lpstr>FEB_SWAP</vt:lpstr>
      <vt:lpstr>MAR_SWAP</vt:lpstr>
      <vt:lpstr>Z-H_SWAP</vt:lpstr>
      <vt:lpstr>J-V_SWAP</vt:lpstr>
      <vt:lpstr>KATY_aug</vt:lpstr>
      <vt:lpstr>hsc_aug</vt:lpstr>
      <vt:lpstr>FOM</vt:lpstr>
      <vt:lpstr>priorday</vt:lpstr>
      <vt:lpstr>scale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Felienne</cp:lastModifiedBy>
  <cp:lastPrinted>2001-07-24T16:55:32Z</cp:lastPrinted>
  <dcterms:created xsi:type="dcterms:W3CDTF">2001-06-05T02:27:59Z</dcterms:created>
  <dcterms:modified xsi:type="dcterms:W3CDTF">2014-09-04T18:11:55Z</dcterms:modified>
</cp:coreProperties>
</file>