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6365" yWindow="20370" windowWidth="13260" windowHeight="8325" tabRatio="839"/>
  </bookViews>
  <sheets>
    <sheet name="POSTION" sheetId="2" r:id="rId1"/>
    <sheet name="HH_SWAP" sheetId="1" r:id="rId2"/>
    <sheet name="HSC_SWAP" sheetId="5" r:id="rId3"/>
    <sheet name="JUN_SWAP" sheetId="8" r:id="rId4"/>
    <sheet name="JUL_SWAP" sheetId="9" r:id="rId5"/>
    <sheet name="AUG_SWAP" sheetId="10" r:id="rId6"/>
    <sheet name="SEP_SWAP" sheetId="11" r:id="rId7"/>
    <sheet name="M-V_SWAP" sheetId="12" r:id="rId8"/>
    <sheet name="X-H_SWAP" sheetId="15" r:id="rId9"/>
    <sheet name="OCT_nym" sheetId="14" r:id="rId10"/>
    <sheet name="JAN3_nym" sheetId="16" r:id="rId11"/>
    <sheet name="FOM" sheetId="3" r:id="rId12"/>
    <sheet name="PRIORday" sheetId="17" r:id="rId13"/>
    <sheet name="YTD" sheetId="18" r:id="rId14"/>
    <sheet name="MAY_SWAP (2)" sheetId="19" r:id="rId15"/>
    <sheet name="scale" sheetId="20" r:id="rId16"/>
  </sheets>
  <calcPr calcId="152511"/>
</workbook>
</file>

<file path=xl/calcChain.xml><?xml version="1.0" encoding="utf-8"?>
<calcChain xmlns="http://schemas.openxmlformats.org/spreadsheetml/2006/main">
  <c r="A3" i="10" l="1"/>
  <c r="D3" i="10"/>
  <c r="H3" i="10"/>
  <c r="H27" i="10" s="1"/>
  <c r="D4" i="10"/>
  <c r="H4" i="10"/>
  <c r="D5" i="10"/>
  <c r="H5" i="10"/>
  <c r="D6" i="10"/>
  <c r="H6" i="10"/>
  <c r="D7" i="10"/>
  <c r="H7" i="10"/>
  <c r="D8" i="10"/>
  <c r="H8" i="10"/>
  <c r="D9" i="10"/>
  <c r="H9" i="10"/>
  <c r="D10" i="10"/>
  <c r="H10" i="10"/>
  <c r="D11" i="10"/>
  <c r="H11" i="10"/>
  <c r="D12" i="10"/>
  <c r="H12" i="10"/>
  <c r="D13" i="10"/>
  <c r="H13" i="10"/>
  <c r="D14" i="10"/>
  <c r="H14" i="10"/>
  <c r="D15" i="10"/>
  <c r="H15" i="10"/>
  <c r="D16" i="10"/>
  <c r="H16" i="10"/>
  <c r="D17" i="10"/>
  <c r="H17" i="10"/>
  <c r="N17" i="10"/>
  <c r="D18" i="10"/>
  <c r="H18" i="10"/>
  <c r="N18" i="10"/>
  <c r="D19" i="10"/>
  <c r="H19" i="10"/>
  <c r="N19" i="10"/>
  <c r="D20" i="10"/>
  <c r="H20" i="10"/>
  <c r="N20" i="10"/>
  <c r="D21" i="10"/>
  <c r="H21" i="10"/>
  <c r="N21" i="10"/>
  <c r="D22" i="10"/>
  <c r="H22" i="10"/>
  <c r="N22" i="10"/>
  <c r="D23" i="10"/>
  <c r="H23" i="10"/>
  <c r="D24" i="10"/>
  <c r="H24" i="10"/>
  <c r="D25" i="10"/>
  <c r="H25" i="10"/>
  <c r="B27" i="10"/>
  <c r="F29" i="10" s="1"/>
  <c r="C27" i="10"/>
  <c r="D27" i="10"/>
  <c r="F27" i="10"/>
  <c r="G27" i="10" s="1"/>
  <c r="F30" i="10"/>
  <c r="J9" i="10" s="1"/>
  <c r="J11" i="10" s="1"/>
  <c r="D6" i="2" s="1"/>
  <c r="G30" i="10"/>
  <c r="A7" i="3"/>
  <c r="C7" i="3"/>
  <c r="C8" i="3" s="1"/>
  <c r="A8" i="3"/>
  <c r="C15" i="3"/>
  <c r="F18" i="3"/>
  <c r="A3" i="1"/>
  <c r="D3" i="1"/>
  <c r="H3" i="1"/>
  <c r="O3" i="1"/>
  <c r="P3" i="1"/>
  <c r="Q3" i="1"/>
  <c r="R3" i="1"/>
  <c r="D4" i="1"/>
  <c r="H4" i="1"/>
  <c r="O4" i="1"/>
  <c r="P4" i="1"/>
  <c r="Q4" i="1"/>
  <c r="R4" i="1"/>
  <c r="D5" i="1"/>
  <c r="D27" i="1" s="1"/>
  <c r="H5" i="1"/>
  <c r="O5" i="1"/>
  <c r="P5" i="1"/>
  <c r="Q5" i="1"/>
  <c r="R5" i="1"/>
  <c r="D6" i="1"/>
  <c r="H6" i="1"/>
  <c r="O6" i="1"/>
  <c r="P6" i="1"/>
  <c r="Q6" i="1"/>
  <c r="R6" i="1"/>
  <c r="D7" i="1"/>
  <c r="H7" i="1"/>
  <c r="O7" i="1"/>
  <c r="P7" i="1"/>
  <c r="Q7" i="1"/>
  <c r="R7" i="1"/>
  <c r="D8" i="1"/>
  <c r="H8" i="1"/>
  <c r="O8" i="1"/>
  <c r="P8" i="1"/>
  <c r="Q8" i="1"/>
  <c r="R8" i="1"/>
  <c r="D9" i="1"/>
  <c r="H9" i="1"/>
  <c r="O9" i="1"/>
  <c r="P9" i="1"/>
  <c r="Q9" i="1"/>
  <c r="R9" i="1"/>
  <c r="D10" i="1"/>
  <c r="H10" i="1"/>
  <c r="O10" i="1"/>
  <c r="P10" i="1"/>
  <c r="Q10" i="1"/>
  <c r="R10" i="1"/>
  <c r="D11" i="1"/>
  <c r="H11" i="1"/>
  <c r="O11" i="1"/>
  <c r="P11" i="1"/>
  <c r="Q11" i="1"/>
  <c r="R11" i="1"/>
  <c r="D12" i="1"/>
  <c r="H12" i="1"/>
  <c r="O12" i="1"/>
  <c r="P12" i="1"/>
  <c r="Q12" i="1"/>
  <c r="R12" i="1"/>
  <c r="D13" i="1"/>
  <c r="H13" i="1"/>
  <c r="O13" i="1"/>
  <c r="P13" i="1"/>
  <c r="Q13" i="1"/>
  <c r="R13" i="1"/>
  <c r="D14" i="1"/>
  <c r="H14" i="1"/>
  <c r="O14" i="1"/>
  <c r="P14" i="1"/>
  <c r="Q14" i="1"/>
  <c r="R14" i="1"/>
  <c r="D15" i="1"/>
  <c r="H15" i="1"/>
  <c r="O15" i="1"/>
  <c r="P15" i="1"/>
  <c r="Q15" i="1"/>
  <c r="R15" i="1"/>
  <c r="D16" i="1"/>
  <c r="H16" i="1"/>
  <c r="O16" i="1"/>
  <c r="P16" i="1"/>
  <c r="Q16" i="1"/>
  <c r="R16" i="1"/>
  <c r="D17" i="1"/>
  <c r="H17" i="1"/>
  <c r="O17" i="1"/>
  <c r="P17" i="1"/>
  <c r="Q17" i="1"/>
  <c r="R17" i="1"/>
  <c r="D18" i="1"/>
  <c r="H18" i="1"/>
  <c r="L18" i="1"/>
  <c r="O18" i="1"/>
  <c r="P18" i="1"/>
  <c r="Q18" i="1"/>
  <c r="R18" i="1"/>
  <c r="D19" i="1"/>
  <c r="H19" i="1"/>
  <c r="O19" i="1"/>
  <c r="P19" i="1"/>
  <c r="Q19" i="1"/>
  <c r="R19" i="1"/>
  <c r="D20" i="1"/>
  <c r="H20" i="1"/>
  <c r="L20" i="1"/>
  <c r="O20" i="1"/>
  <c r="P20" i="1"/>
  <c r="Q20" i="1"/>
  <c r="R20" i="1"/>
  <c r="D21" i="1"/>
  <c r="H21" i="1"/>
  <c r="O21" i="1"/>
  <c r="P21" i="1"/>
  <c r="Q21" i="1"/>
  <c r="R21" i="1"/>
  <c r="D22" i="1"/>
  <c r="H22" i="1"/>
  <c r="O22" i="1"/>
  <c r="P22" i="1"/>
  <c r="Q22" i="1"/>
  <c r="R22" i="1"/>
  <c r="D23" i="1"/>
  <c r="H23" i="1"/>
  <c r="O23" i="1"/>
  <c r="P23" i="1"/>
  <c r="Q23" i="1"/>
  <c r="R23" i="1"/>
  <c r="D24" i="1"/>
  <c r="H24" i="1"/>
  <c r="L24" i="1"/>
  <c r="O24" i="1"/>
  <c r="P24" i="1"/>
  <c r="Q24" i="1"/>
  <c r="R24" i="1"/>
  <c r="D25" i="1"/>
  <c r="H25" i="1"/>
  <c r="O25" i="1"/>
  <c r="P25" i="1"/>
  <c r="Q25" i="1"/>
  <c r="R25" i="1"/>
  <c r="L26" i="1"/>
  <c r="O26" i="1"/>
  <c r="P26" i="1"/>
  <c r="Q26" i="1"/>
  <c r="R26" i="1"/>
  <c r="B27" i="1"/>
  <c r="F27" i="1"/>
  <c r="G27" i="1"/>
  <c r="H27" i="1"/>
  <c r="O27" i="1"/>
  <c r="P27" i="1"/>
  <c r="Q27" i="1"/>
  <c r="R27" i="1"/>
  <c r="O28" i="1"/>
  <c r="P28" i="1"/>
  <c r="Q28" i="1"/>
  <c r="R28" i="1"/>
  <c r="O29" i="1"/>
  <c r="P29" i="1"/>
  <c r="Q29" i="1"/>
  <c r="R29" i="1"/>
  <c r="C30" i="1"/>
  <c r="O30" i="1"/>
  <c r="P30" i="1"/>
  <c r="Q30" i="1"/>
  <c r="R30" i="1"/>
  <c r="O31" i="1"/>
  <c r="P31" i="1"/>
  <c r="Q31" i="1"/>
  <c r="R31" i="1"/>
  <c r="O32" i="1"/>
  <c r="P32" i="1"/>
  <c r="Q32" i="1"/>
  <c r="R32" i="1"/>
  <c r="A3" i="5"/>
  <c r="D3" i="5"/>
  <c r="D27" i="5" s="1"/>
  <c r="H3" i="5"/>
  <c r="D4" i="5"/>
  <c r="H4" i="5"/>
  <c r="D5" i="5"/>
  <c r="H5" i="5"/>
  <c r="H27" i="5" s="1"/>
  <c r="D6" i="5"/>
  <c r="H6" i="5"/>
  <c r="D7" i="5"/>
  <c r="H7" i="5"/>
  <c r="D8" i="5"/>
  <c r="H8" i="5"/>
  <c r="D9" i="5"/>
  <c r="H9" i="5"/>
  <c r="D10" i="5"/>
  <c r="H10" i="5"/>
  <c r="D11" i="5"/>
  <c r="H11" i="5"/>
  <c r="D12" i="5"/>
  <c r="H12" i="5"/>
  <c r="D13" i="5"/>
  <c r="H13" i="5"/>
  <c r="D14" i="5"/>
  <c r="H14" i="5"/>
  <c r="D15" i="5"/>
  <c r="H15" i="5"/>
  <c r="D16" i="5"/>
  <c r="H16" i="5"/>
  <c r="L16" i="5"/>
  <c r="D17" i="5"/>
  <c r="H17" i="5"/>
  <c r="D18" i="5"/>
  <c r="H18" i="5"/>
  <c r="D19" i="5"/>
  <c r="H19" i="5"/>
  <c r="D20" i="5"/>
  <c r="H20" i="5"/>
  <c r="D21" i="5"/>
  <c r="H21" i="5"/>
  <c r="D22" i="5"/>
  <c r="H22" i="5"/>
  <c r="D23" i="5"/>
  <c r="H23" i="5"/>
  <c r="D24" i="5"/>
  <c r="H24" i="5"/>
  <c r="D25" i="5"/>
  <c r="H25" i="5"/>
  <c r="B27" i="5"/>
  <c r="F29" i="5" s="1"/>
  <c r="C27" i="5"/>
  <c r="F32" i="5" s="1"/>
  <c r="F27" i="5"/>
  <c r="G27" i="5"/>
  <c r="C30" i="5"/>
  <c r="A3" i="16"/>
  <c r="D3" i="16"/>
  <c r="H3" i="16"/>
  <c r="D4" i="16"/>
  <c r="H4" i="16"/>
  <c r="H27" i="16" s="1"/>
  <c r="D5" i="16"/>
  <c r="H5" i="16"/>
  <c r="D6" i="16"/>
  <c r="H6" i="16"/>
  <c r="D7" i="16"/>
  <c r="H7" i="16"/>
  <c r="D8" i="16"/>
  <c r="H8" i="16"/>
  <c r="D9" i="16"/>
  <c r="H9" i="16"/>
  <c r="D10" i="16"/>
  <c r="H10" i="16"/>
  <c r="D11" i="16"/>
  <c r="H11" i="16"/>
  <c r="D12" i="16"/>
  <c r="H12" i="16"/>
  <c r="D13" i="16"/>
  <c r="H13" i="16"/>
  <c r="D14" i="16"/>
  <c r="H14" i="16"/>
  <c r="D15" i="16"/>
  <c r="H15" i="16"/>
  <c r="D16" i="16"/>
  <c r="H16" i="16"/>
  <c r="D17" i="16"/>
  <c r="H17" i="16"/>
  <c r="D18" i="16"/>
  <c r="H18" i="16"/>
  <c r="D19" i="16"/>
  <c r="H19" i="16"/>
  <c r="D20" i="16"/>
  <c r="H20" i="16"/>
  <c r="N20" i="16"/>
  <c r="D21" i="16"/>
  <c r="H21" i="16"/>
  <c r="N21" i="16"/>
  <c r="D22" i="16"/>
  <c r="H22" i="16"/>
  <c r="N22" i="16"/>
  <c r="D23" i="16"/>
  <c r="H23" i="16"/>
  <c r="L23" i="16"/>
  <c r="N23" i="16"/>
  <c r="M24" i="16" s="1"/>
  <c r="D24" i="16"/>
  <c r="H24" i="16"/>
  <c r="D25" i="16"/>
  <c r="H25" i="16"/>
  <c r="B27" i="16"/>
  <c r="F29" i="16" s="1"/>
  <c r="D27" i="16"/>
  <c r="C27" i="16" s="1"/>
  <c r="F32" i="16" s="1"/>
  <c r="F27" i="16"/>
  <c r="G27" i="16"/>
  <c r="C30" i="16"/>
  <c r="F30" i="16"/>
  <c r="J9" i="16" s="1"/>
  <c r="A3" i="9"/>
  <c r="D3" i="9"/>
  <c r="H3" i="9"/>
  <c r="D4" i="9"/>
  <c r="H4" i="9"/>
  <c r="H27" i="9" s="1"/>
  <c r="D5" i="9"/>
  <c r="D27" i="9" s="1"/>
  <c r="H5" i="9"/>
  <c r="D6" i="9"/>
  <c r="H6" i="9"/>
  <c r="D7" i="9"/>
  <c r="H7" i="9"/>
  <c r="D8" i="9"/>
  <c r="H8" i="9"/>
  <c r="D9" i="9"/>
  <c r="H9" i="9"/>
  <c r="D10" i="9"/>
  <c r="H10" i="9"/>
  <c r="D11" i="9"/>
  <c r="H11" i="9"/>
  <c r="D12" i="9"/>
  <c r="H12" i="9"/>
  <c r="D13" i="9"/>
  <c r="H13" i="9"/>
  <c r="D14" i="9"/>
  <c r="H14" i="9"/>
  <c r="D15" i="9"/>
  <c r="H15" i="9"/>
  <c r="N15" i="9"/>
  <c r="D16" i="9"/>
  <c r="H16" i="9"/>
  <c r="N16" i="9"/>
  <c r="D17" i="9"/>
  <c r="H17" i="9"/>
  <c r="D18" i="9"/>
  <c r="H18" i="9"/>
  <c r="N18" i="9"/>
  <c r="D19" i="9"/>
  <c r="H19" i="9"/>
  <c r="D20" i="9"/>
  <c r="H20" i="9"/>
  <c r="D21" i="9"/>
  <c r="H21" i="9"/>
  <c r="D22" i="9"/>
  <c r="H22" i="9"/>
  <c r="D23" i="9"/>
  <c r="H23" i="9"/>
  <c r="D24" i="9"/>
  <c r="H24" i="9"/>
  <c r="D25" i="9"/>
  <c r="H25" i="9"/>
  <c r="B27" i="9"/>
  <c r="F29" i="9" s="1"/>
  <c r="C27" i="9"/>
  <c r="F32" i="9" s="1"/>
  <c r="F27" i="9"/>
  <c r="G27" i="9"/>
  <c r="F30" i="9"/>
  <c r="G30" i="9" s="1"/>
  <c r="J2" i="8"/>
  <c r="A3" i="8"/>
  <c r="D3" i="8"/>
  <c r="H3" i="8"/>
  <c r="D4" i="8"/>
  <c r="H4" i="8"/>
  <c r="H27" i="8" s="1"/>
  <c r="D5" i="8"/>
  <c r="H5" i="8"/>
  <c r="D6" i="8"/>
  <c r="H6" i="8"/>
  <c r="D7" i="8"/>
  <c r="H7" i="8"/>
  <c r="D8" i="8"/>
  <c r="H8" i="8"/>
  <c r="D9" i="8"/>
  <c r="D27" i="8" s="1"/>
  <c r="H9" i="8"/>
  <c r="D10" i="8"/>
  <c r="H10" i="8"/>
  <c r="D11" i="8"/>
  <c r="H11" i="8"/>
  <c r="D12" i="8"/>
  <c r="H12" i="8"/>
  <c r="D13" i="8"/>
  <c r="H13" i="8"/>
  <c r="D14" i="8"/>
  <c r="H14" i="8"/>
  <c r="D15" i="8"/>
  <c r="H15" i="8"/>
  <c r="D16" i="8"/>
  <c r="H16" i="8"/>
  <c r="D17" i="8"/>
  <c r="H17" i="8"/>
  <c r="D18" i="8"/>
  <c r="H18" i="8"/>
  <c r="D19" i="8"/>
  <c r="H19" i="8"/>
  <c r="D20" i="8"/>
  <c r="H20" i="8"/>
  <c r="D21" i="8"/>
  <c r="H21" i="8"/>
  <c r="L21" i="8"/>
  <c r="N21" i="8"/>
  <c r="D22" i="8"/>
  <c r="H22" i="8"/>
  <c r="N22" i="8"/>
  <c r="D23" i="8"/>
  <c r="H23" i="8"/>
  <c r="N23" i="8"/>
  <c r="D24" i="8"/>
  <c r="H24" i="8"/>
  <c r="N24" i="8"/>
  <c r="D25" i="8"/>
  <c r="H25" i="8"/>
  <c r="N25" i="8"/>
  <c r="N26" i="8"/>
  <c r="B27" i="8"/>
  <c r="F29" i="8" s="1"/>
  <c r="F27" i="8"/>
  <c r="N28" i="8"/>
  <c r="N32" i="8" s="1"/>
  <c r="M33" i="8" s="1"/>
  <c r="N29" i="8"/>
  <c r="C31" i="8"/>
  <c r="L32" i="8"/>
  <c r="A3" i="19"/>
  <c r="D3" i="19"/>
  <c r="H3" i="19"/>
  <c r="D4" i="19"/>
  <c r="H4" i="19"/>
  <c r="H27" i="19" s="1"/>
  <c r="D5" i="19"/>
  <c r="H5" i="19"/>
  <c r="D6" i="19"/>
  <c r="H6" i="19"/>
  <c r="D7" i="19"/>
  <c r="H7" i="19"/>
  <c r="D8" i="19"/>
  <c r="H8" i="19"/>
  <c r="D9" i="19"/>
  <c r="H9" i="19"/>
  <c r="D10" i="19"/>
  <c r="H10" i="19"/>
  <c r="D11" i="19"/>
  <c r="D27" i="19" s="1"/>
  <c r="H11" i="19"/>
  <c r="D12" i="19"/>
  <c r="H12" i="19"/>
  <c r="D13" i="19"/>
  <c r="H13" i="19"/>
  <c r="D14" i="19"/>
  <c r="H14" i="19"/>
  <c r="D15" i="19"/>
  <c r="H15" i="19"/>
  <c r="D16" i="19"/>
  <c r="H16" i="19"/>
  <c r="D17" i="19"/>
  <c r="H17" i="19"/>
  <c r="D18" i="19"/>
  <c r="H18" i="19"/>
  <c r="D19" i="19"/>
  <c r="H19" i="19"/>
  <c r="D20" i="19"/>
  <c r="H20" i="19"/>
  <c r="D21" i="19"/>
  <c r="H21" i="19"/>
  <c r="L21" i="19"/>
  <c r="N21" i="19"/>
  <c r="D22" i="19"/>
  <c r="H22" i="19"/>
  <c r="N22" i="19"/>
  <c r="D23" i="19"/>
  <c r="H23" i="19"/>
  <c r="N23" i="19"/>
  <c r="D24" i="19"/>
  <c r="H24" i="19"/>
  <c r="N24" i="19"/>
  <c r="D25" i="19"/>
  <c r="H25" i="19"/>
  <c r="N25" i="19"/>
  <c r="N26" i="19"/>
  <c r="B27" i="19"/>
  <c r="F30" i="19" s="1"/>
  <c r="C27" i="19"/>
  <c r="C28" i="19" s="1"/>
  <c r="F27" i="19"/>
  <c r="G27" i="19"/>
  <c r="N28" i="19"/>
  <c r="F29" i="19"/>
  <c r="G29" i="19"/>
  <c r="H29" i="19"/>
  <c r="F34" i="19" s="1"/>
  <c r="N29" i="19"/>
  <c r="C31" i="19"/>
  <c r="J2" i="19" s="1"/>
  <c r="L32" i="19"/>
  <c r="N32" i="19"/>
  <c r="M33" i="19" s="1"/>
  <c r="A3" i="12"/>
  <c r="D3" i="12"/>
  <c r="H3" i="12"/>
  <c r="H27" i="12" s="1"/>
  <c r="D4" i="12"/>
  <c r="H4" i="12"/>
  <c r="D5" i="12"/>
  <c r="H5" i="12"/>
  <c r="D6" i="12"/>
  <c r="H6" i="12"/>
  <c r="D7" i="12"/>
  <c r="H7" i="12"/>
  <c r="D8" i="12"/>
  <c r="H8" i="12"/>
  <c r="D9" i="12"/>
  <c r="H9" i="12"/>
  <c r="D10" i="12"/>
  <c r="H10" i="12"/>
  <c r="D11" i="12"/>
  <c r="H11" i="12"/>
  <c r="D12" i="12"/>
  <c r="H12" i="12"/>
  <c r="D13" i="12"/>
  <c r="H13" i="12"/>
  <c r="L13" i="12"/>
  <c r="D14" i="12"/>
  <c r="H14" i="12"/>
  <c r="L14" i="12"/>
  <c r="D15" i="12"/>
  <c r="H15" i="12"/>
  <c r="D16" i="12"/>
  <c r="H16" i="12"/>
  <c r="D17" i="12"/>
  <c r="H17" i="12"/>
  <c r="M17" i="12"/>
  <c r="N17" i="12" s="1"/>
  <c r="D18" i="12"/>
  <c r="H18" i="12"/>
  <c r="M18" i="12"/>
  <c r="D19" i="12"/>
  <c r="H19" i="12"/>
  <c r="D20" i="12"/>
  <c r="H20" i="12"/>
  <c r="D21" i="12"/>
  <c r="H21" i="12"/>
  <c r="D22" i="12"/>
  <c r="H22" i="12"/>
  <c r="D23" i="12"/>
  <c r="H23" i="12"/>
  <c r="D24" i="12"/>
  <c r="H24" i="12"/>
  <c r="D25" i="12"/>
  <c r="H25" i="12"/>
  <c r="B27" i="12"/>
  <c r="F29" i="12" s="1"/>
  <c r="C27" i="12"/>
  <c r="F32" i="12" s="1"/>
  <c r="D27" i="12"/>
  <c r="F27" i="12"/>
  <c r="G27" i="12"/>
  <c r="F30" i="12"/>
  <c r="H30" i="12" s="1"/>
  <c r="F35" i="12" s="1"/>
  <c r="G30" i="12"/>
  <c r="A3" i="14"/>
  <c r="D3" i="14"/>
  <c r="H3" i="14"/>
  <c r="D4" i="14"/>
  <c r="H4" i="14"/>
  <c r="H27" i="14" s="1"/>
  <c r="D5" i="14"/>
  <c r="D27" i="14" s="1"/>
  <c r="H5" i="14"/>
  <c r="D6" i="14"/>
  <c r="H6" i="14"/>
  <c r="D7" i="14"/>
  <c r="H7" i="14"/>
  <c r="D8" i="14"/>
  <c r="H8" i="14"/>
  <c r="D9" i="14"/>
  <c r="H9" i="14"/>
  <c r="D10" i="14"/>
  <c r="H10" i="14"/>
  <c r="D11" i="14"/>
  <c r="H11" i="14"/>
  <c r="D12" i="14"/>
  <c r="H12" i="14"/>
  <c r="D13" i="14"/>
  <c r="H13" i="14"/>
  <c r="D14" i="14"/>
  <c r="H14" i="14"/>
  <c r="D15" i="14"/>
  <c r="H15" i="14"/>
  <c r="D16" i="14"/>
  <c r="H16" i="14"/>
  <c r="L16" i="14"/>
  <c r="D17" i="14"/>
  <c r="H17" i="14"/>
  <c r="D18" i="14"/>
  <c r="H18" i="14"/>
  <c r="D19" i="14"/>
  <c r="H19" i="14"/>
  <c r="D20" i="14"/>
  <c r="H20" i="14"/>
  <c r="D21" i="14"/>
  <c r="H21" i="14"/>
  <c r="D22" i="14"/>
  <c r="H22" i="14"/>
  <c r="D23" i="14"/>
  <c r="H23" i="14"/>
  <c r="D24" i="14"/>
  <c r="H24" i="14"/>
  <c r="D25" i="14"/>
  <c r="H25" i="14"/>
  <c r="B27" i="14"/>
  <c r="F29" i="14" s="1"/>
  <c r="C27" i="14"/>
  <c r="F32" i="14" s="1"/>
  <c r="F27" i="14"/>
  <c r="G27" i="14"/>
  <c r="C30" i="14"/>
  <c r="L4" i="2"/>
  <c r="B5" i="2"/>
  <c r="L5" i="2" s="1"/>
  <c r="B8" i="2"/>
  <c r="L8" i="2" s="1"/>
  <c r="B9" i="2"/>
  <c r="F9" i="2"/>
  <c r="L9" i="2"/>
  <c r="D10" i="2"/>
  <c r="N10" i="2" s="1"/>
  <c r="H10" i="2"/>
  <c r="B11" i="2"/>
  <c r="L11" i="2" s="1"/>
  <c r="B12" i="2"/>
  <c r="C31" i="5" s="1"/>
  <c r="J2" i="5" s="1"/>
  <c r="B14" i="2"/>
  <c r="C31" i="14" s="1"/>
  <c r="J2" i="14" s="1"/>
  <c r="S14" i="2"/>
  <c r="S16" i="2" s="1"/>
  <c r="R17" i="2" s="1"/>
  <c r="N15" i="2"/>
  <c r="S15" i="2"/>
  <c r="B16" i="2"/>
  <c r="C31" i="16" s="1"/>
  <c r="J2" i="16" s="1"/>
  <c r="Q16" i="2"/>
  <c r="G20" i="2"/>
  <c r="L20" i="2"/>
  <c r="J23" i="2"/>
  <c r="J24" i="2"/>
  <c r="E25" i="2"/>
  <c r="J25" i="2"/>
  <c r="L25" i="2"/>
  <c r="E26" i="2"/>
  <c r="F26" i="2"/>
  <c r="G26" i="2" s="1"/>
  <c r="J26" i="2"/>
  <c r="B27" i="2"/>
  <c r="E27" i="2"/>
  <c r="J27" i="2"/>
  <c r="M27" i="2"/>
  <c r="E28" i="2"/>
  <c r="J28" i="2"/>
  <c r="E29" i="2"/>
  <c r="J29" i="2"/>
  <c r="E30" i="2"/>
  <c r="F30" i="2"/>
  <c r="G30" i="2" s="1"/>
  <c r="J30" i="2"/>
  <c r="L30" i="2"/>
  <c r="E31" i="2"/>
  <c r="J31" i="2"/>
  <c r="E32" i="2"/>
  <c r="J32" i="2"/>
  <c r="E33" i="2"/>
  <c r="J33" i="2"/>
  <c r="E34" i="2"/>
  <c r="J34" i="2"/>
  <c r="E35" i="2"/>
  <c r="J35" i="2"/>
  <c r="E36" i="2"/>
  <c r="F36" i="2"/>
  <c r="J36" i="2"/>
  <c r="E37" i="2"/>
  <c r="J37" i="2"/>
  <c r="E38" i="2"/>
  <c r="F38" i="2"/>
  <c r="G38" i="2" s="1"/>
  <c r="J38" i="2"/>
  <c r="G17" i="17"/>
  <c r="J2" i="20"/>
  <c r="A3" i="20"/>
  <c r="D3" i="20"/>
  <c r="H3" i="20"/>
  <c r="H27" i="20" s="1"/>
  <c r="D4" i="20"/>
  <c r="H4" i="20"/>
  <c r="D5" i="20"/>
  <c r="D27" i="20" s="1"/>
  <c r="H5" i="20"/>
  <c r="D6" i="20"/>
  <c r="H6" i="20"/>
  <c r="D7" i="20"/>
  <c r="H7" i="20"/>
  <c r="D8" i="20"/>
  <c r="H8" i="20"/>
  <c r="D9" i="20"/>
  <c r="H9" i="20"/>
  <c r="D10" i="20"/>
  <c r="H10" i="20"/>
  <c r="D11" i="20"/>
  <c r="H11" i="20"/>
  <c r="D12" i="20"/>
  <c r="H12" i="20"/>
  <c r="D13" i="20"/>
  <c r="H13" i="20"/>
  <c r="D14" i="20"/>
  <c r="H14" i="20"/>
  <c r="D15" i="20"/>
  <c r="H15" i="20"/>
  <c r="D16" i="20"/>
  <c r="H16" i="20"/>
  <c r="D17" i="20"/>
  <c r="H17" i="20"/>
  <c r="D18" i="20"/>
  <c r="H18" i="20"/>
  <c r="D19" i="20"/>
  <c r="H19" i="20"/>
  <c r="D20" i="20"/>
  <c r="H20" i="20"/>
  <c r="D21" i="20"/>
  <c r="H21" i="20"/>
  <c r="L21" i="20"/>
  <c r="N21" i="20"/>
  <c r="D22" i="20"/>
  <c r="H22" i="20"/>
  <c r="N22" i="20"/>
  <c r="D23" i="20"/>
  <c r="H23" i="20"/>
  <c r="N23" i="20"/>
  <c r="D24" i="20"/>
  <c r="H24" i="20"/>
  <c r="N24" i="20"/>
  <c r="D25" i="20"/>
  <c r="H25" i="20"/>
  <c r="N25" i="20"/>
  <c r="N26" i="20"/>
  <c r="B27" i="20"/>
  <c r="F29" i="20" s="1"/>
  <c r="F27" i="20"/>
  <c r="G27" i="20" s="1"/>
  <c r="N28" i="20"/>
  <c r="N29" i="20"/>
  <c r="N32" i="20" s="1"/>
  <c r="M33" i="20" s="1"/>
  <c r="F30" i="20"/>
  <c r="L32" i="20"/>
  <c r="A3" i="11"/>
  <c r="D3" i="11"/>
  <c r="H3" i="11"/>
  <c r="H27" i="11" s="1"/>
  <c r="D4" i="11"/>
  <c r="H4" i="11"/>
  <c r="D5" i="11"/>
  <c r="H5" i="11"/>
  <c r="D6" i="11"/>
  <c r="H6" i="11"/>
  <c r="D7" i="11"/>
  <c r="H7" i="11"/>
  <c r="D8" i="11"/>
  <c r="H8" i="11"/>
  <c r="D9" i="11"/>
  <c r="H9" i="11"/>
  <c r="D10" i="11"/>
  <c r="H10" i="11"/>
  <c r="D11" i="11"/>
  <c r="H11" i="11"/>
  <c r="D12" i="11"/>
  <c r="H12" i="11"/>
  <c r="D13" i="11"/>
  <c r="H13" i="11"/>
  <c r="D14" i="11"/>
  <c r="H14" i="11"/>
  <c r="D15" i="11"/>
  <c r="H15" i="11"/>
  <c r="D16" i="11"/>
  <c r="H16" i="11"/>
  <c r="D17" i="11"/>
  <c r="H17" i="11"/>
  <c r="D18" i="11"/>
  <c r="H18" i="11"/>
  <c r="D19" i="11"/>
  <c r="H19" i="11"/>
  <c r="D20" i="11"/>
  <c r="H20" i="11"/>
  <c r="D21" i="11"/>
  <c r="H21" i="11"/>
  <c r="D22" i="11"/>
  <c r="H22" i="11"/>
  <c r="D23" i="11"/>
  <c r="H23" i="11"/>
  <c r="D24" i="11"/>
  <c r="H24" i="11"/>
  <c r="D25" i="11"/>
  <c r="H25" i="11"/>
  <c r="B27" i="11"/>
  <c r="C27" i="11"/>
  <c r="F32" i="11" s="1"/>
  <c r="D27" i="11"/>
  <c r="F27" i="11"/>
  <c r="G27" i="11"/>
  <c r="F29" i="11"/>
  <c r="G29" i="11"/>
  <c r="F30" i="11"/>
  <c r="J9" i="11" s="1"/>
  <c r="J11" i="11" s="1"/>
  <c r="D7" i="2" s="1"/>
  <c r="G30" i="11"/>
  <c r="J2" i="15"/>
  <c r="A3" i="15"/>
  <c r="D3" i="15"/>
  <c r="H3" i="15"/>
  <c r="D4" i="15"/>
  <c r="H4" i="15"/>
  <c r="D5" i="15"/>
  <c r="H5" i="15"/>
  <c r="H27" i="15" s="1"/>
  <c r="D6" i="15"/>
  <c r="H6" i="15"/>
  <c r="D7" i="15"/>
  <c r="H7" i="15"/>
  <c r="D8" i="15"/>
  <c r="H8" i="15"/>
  <c r="D9" i="15"/>
  <c r="H9" i="15"/>
  <c r="D10" i="15"/>
  <c r="H10" i="15"/>
  <c r="D11" i="15"/>
  <c r="H11" i="15"/>
  <c r="D12" i="15"/>
  <c r="H12" i="15"/>
  <c r="D13" i="15"/>
  <c r="H13" i="15"/>
  <c r="D14" i="15"/>
  <c r="H14" i="15"/>
  <c r="L14" i="15"/>
  <c r="D15" i="15"/>
  <c r="H15" i="15"/>
  <c r="D16" i="15"/>
  <c r="D27" i="15" s="1"/>
  <c r="H16" i="15"/>
  <c r="D17" i="15"/>
  <c r="H17" i="15"/>
  <c r="M17" i="15"/>
  <c r="D18" i="15"/>
  <c r="H18" i="15"/>
  <c r="M18" i="15"/>
  <c r="D19" i="15"/>
  <c r="H19" i="15"/>
  <c r="D20" i="15"/>
  <c r="H20" i="15"/>
  <c r="D21" i="15"/>
  <c r="H21" i="15"/>
  <c r="D22" i="15"/>
  <c r="H22" i="15"/>
  <c r="D23" i="15"/>
  <c r="H23" i="15"/>
  <c r="D24" i="15"/>
  <c r="H24" i="15"/>
  <c r="D25" i="15"/>
  <c r="H25" i="15"/>
  <c r="B27" i="15"/>
  <c r="C27" i="15"/>
  <c r="F32" i="15" s="1"/>
  <c r="F27" i="15"/>
  <c r="G27" i="15"/>
  <c r="F29" i="15"/>
  <c r="H29" i="15" s="1"/>
  <c r="F34" i="15" s="1"/>
  <c r="G29" i="15"/>
  <c r="F30" i="15"/>
  <c r="J9" i="15" s="1"/>
  <c r="J11" i="15" s="1"/>
  <c r="G30" i="15"/>
  <c r="C31" i="15"/>
  <c r="I3" i="18"/>
  <c r="K3" i="18"/>
  <c r="K4" i="18" s="1"/>
  <c r="D8" i="18"/>
  <c r="D9" i="18"/>
  <c r="D10" i="18" s="1"/>
  <c r="D11" i="18" s="1"/>
  <c r="D12" i="18" s="1"/>
  <c r="D14" i="18"/>
  <c r="D15" i="18"/>
  <c r="D16" i="18" s="1"/>
  <c r="D17" i="18" s="1"/>
  <c r="D18" i="18" s="1"/>
  <c r="D22" i="18" s="1"/>
  <c r="D23" i="18"/>
  <c r="D30" i="18"/>
  <c r="G29" i="14" l="1"/>
  <c r="H29" i="14" s="1"/>
  <c r="F34" i="14" s="1"/>
  <c r="F37" i="14" s="1"/>
  <c r="J4" i="14" s="1"/>
  <c r="J6" i="14" s="1"/>
  <c r="F14" i="2" s="1"/>
  <c r="I2" i="3"/>
  <c r="I8" i="3" s="1"/>
  <c r="N7" i="2"/>
  <c r="F37" i="15"/>
  <c r="J4" i="15" s="1"/>
  <c r="J6" i="15" s="1"/>
  <c r="G9" i="2" s="1"/>
  <c r="H9" i="2" s="1"/>
  <c r="G27" i="8"/>
  <c r="G29" i="8" s="1"/>
  <c r="H29" i="8" s="1"/>
  <c r="F34" i="8" s="1"/>
  <c r="J10" i="16"/>
  <c r="J11" i="16"/>
  <c r="F32" i="10"/>
  <c r="G29" i="10"/>
  <c r="C27" i="1"/>
  <c r="F32" i="1" s="1"/>
  <c r="J6" i="19"/>
  <c r="F37" i="16"/>
  <c r="J4" i="16" s="1"/>
  <c r="J6" i="16" s="1"/>
  <c r="F16" i="2" s="1"/>
  <c r="H30" i="19"/>
  <c r="F35" i="19" s="1"/>
  <c r="J9" i="19"/>
  <c r="J11" i="19" s="1"/>
  <c r="G30" i="19"/>
  <c r="G29" i="9"/>
  <c r="H29" i="9"/>
  <c r="F34" i="9" s="1"/>
  <c r="F37" i="9" s="1"/>
  <c r="J4" i="9" s="1"/>
  <c r="F5" i="2" s="1"/>
  <c r="G29" i="16"/>
  <c r="H29" i="16"/>
  <c r="F34" i="16" s="1"/>
  <c r="F37" i="5"/>
  <c r="J4" i="5" s="1"/>
  <c r="F12" i="2" s="1"/>
  <c r="N6" i="2"/>
  <c r="H2" i="3"/>
  <c r="H8" i="3" s="1"/>
  <c r="D9" i="2"/>
  <c r="N9" i="2" s="1"/>
  <c r="D7" i="3"/>
  <c r="G29" i="12"/>
  <c r="H29" i="12"/>
  <c r="F34" i="12" s="1"/>
  <c r="F37" i="12" s="1"/>
  <c r="J4" i="12" s="1"/>
  <c r="F8" i="2" s="1"/>
  <c r="H29" i="5"/>
  <c r="F34" i="5" s="1"/>
  <c r="G29" i="5"/>
  <c r="J9" i="20"/>
  <c r="J11" i="20" s="1"/>
  <c r="G4" i="2"/>
  <c r="C31" i="9"/>
  <c r="J2" i="9" s="1"/>
  <c r="F30" i="8"/>
  <c r="J9" i="12"/>
  <c r="J11" i="12" s="1"/>
  <c r="D8" i="2" s="1"/>
  <c r="B10" i="2"/>
  <c r="L10" i="2" s="1"/>
  <c r="C31" i="12"/>
  <c r="J2" i="12" s="1"/>
  <c r="H30" i="9"/>
  <c r="F35" i="9" s="1"/>
  <c r="J9" i="9"/>
  <c r="J11" i="9" s="1"/>
  <c r="D5" i="2" s="1"/>
  <c r="G36" i="2"/>
  <c r="H30" i="15"/>
  <c r="F35" i="15" s="1"/>
  <c r="H30" i="11"/>
  <c r="F35" i="11" s="1"/>
  <c r="F30" i="14"/>
  <c r="G30" i="16"/>
  <c r="H30" i="16" s="1"/>
  <c r="F35" i="16" s="1"/>
  <c r="F30" i="5"/>
  <c r="C31" i="1"/>
  <c r="J2" i="1" s="1"/>
  <c r="F30" i="1"/>
  <c r="F29" i="1"/>
  <c r="H30" i="10"/>
  <c r="F35" i="10" s="1"/>
  <c r="C27" i="20"/>
  <c r="F32" i="20" s="1"/>
  <c r="B6" i="2"/>
  <c r="F32" i="19"/>
  <c r="F37" i="19" s="1"/>
  <c r="J4" i="19" s="1"/>
  <c r="C27" i="8"/>
  <c r="F32" i="8" s="1"/>
  <c r="L12" i="2"/>
  <c r="J9" i="5" l="1"/>
  <c r="G30" i="5"/>
  <c r="H30" i="5"/>
  <c r="F35" i="5" s="1"/>
  <c r="G8" i="2"/>
  <c r="H8" i="2" s="1"/>
  <c r="J6" i="12"/>
  <c r="G29" i="20"/>
  <c r="H29" i="20" s="1"/>
  <c r="F34" i="20" s="1"/>
  <c r="D16" i="2"/>
  <c r="E7" i="3"/>
  <c r="E8" i="3" s="1"/>
  <c r="F37" i="8"/>
  <c r="J4" i="8" s="1"/>
  <c r="B7" i="2"/>
  <c r="C31" i="10"/>
  <c r="J2" i="10" s="1"/>
  <c r="L6" i="2"/>
  <c r="J9" i="14"/>
  <c r="G30" i="14"/>
  <c r="H30" i="14"/>
  <c r="F35" i="14" s="1"/>
  <c r="J3" i="16"/>
  <c r="J13" i="16"/>
  <c r="F37" i="20"/>
  <c r="J4" i="20" s="1"/>
  <c r="J6" i="20" s="1"/>
  <c r="J2" i="3"/>
  <c r="J8" i="3" s="1"/>
  <c r="N8" i="2"/>
  <c r="J6" i="5"/>
  <c r="N5" i="2"/>
  <c r="G2" i="3"/>
  <c r="G8" i="3" s="1"/>
  <c r="F37" i="1"/>
  <c r="J4" i="1" s="1"/>
  <c r="F11" i="2" s="1"/>
  <c r="G29" i="1"/>
  <c r="H29" i="1"/>
  <c r="F34" i="1" s="1"/>
  <c r="G30" i="8"/>
  <c r="H30" i="8" s="1"/>
  <c r="F35" i="8" s="1"/>
  <c r="J9" i="8"/>
  <c r="J11" i="8" s="1"/>
  <c r="D4" i="2" s="1"/>
  <c r="G30" i="20"/>
  <c r="H30" i="20" s="1"/>
  <c r="F35" i="20" s="1"/>
  <c r="G30" i="1"/>
  <c r="H30" i="1" s="1"/>
  <c r="F35" i="1" s="1"/>
  <c r="J9" i="1"/>
  <c r="G5" i="2"/>
  <c r="H5" i="2" s="1"/>
  <c r="J6" i="9"/>
  <c r="D2" i="3"/>
  <c r="D8" i="3"/>
  <c r="F4" i="2" l="1"/>
  <c r="J6" i="8"/>
  <c r="J11" i="1"/>
  <c r="D11" i="2"/>
  <c r="N11" i="2" s="1"/>
  <c r="J10" i="1"/>
  <c r="G6" i="2"/>
  <c r="L7" i="2"/>
  <c r="C31" i="11"/>
  <c r="N4" i="2"/>
  <c r="F2" i="3"/>
  <c r="F8" i="3" s="1"/>
  <c r="H29" i="10"/>
  <c r="F34" i="10" s="1"/>
  <c r="F37" i="10" s="1"/>
  <c r="J4" i="10" s="1"/>
  <c r="F6" i="2" s="1"/>
  <c r="H6" i="2" s="1"/>
  <c r="J10" i="5"/>
  <c r="D12" i="2"/>
  <c r="N12" i="2" s="1"/>
  <c r="J11" i="5"/>
  <c r="J6" i="1"/>
  <c r="J10" i="14"/>
  <c r="J11" i="14"/>
  <c r="J13" i="5" l="1"/>
  <c r="E12" i="2"/>
  <c r="J3" i="5"/>
  <c r="G12" i="2" s="1"/>
  <c r="H12" i="2" s="1"/>
  <c r="J6" i="10"/>
  <c r="J3" i="1"/>
  <c r="G11" i="2" s="1"/>
  <c r="H11" i="2" s="1"/>
  <c r="J13" i="1"/>
  <c r="E11" i="2"/>
  <c r="E13" i="2" s="1"/>
  <c r="B8" i="3"/>
  <c r="D14" i="2"/>
  <c r="N14" i="2" s="1"/>
  <c r="D13" i="2"/>
  <c r="J13" i="14"/>
  <c r="J3" i="14"/>
  <c r="J2" i="11"/>
  <c r="H29" i="11"/>
  <c r="F34" i="11" s="1"/>
  <c r="F37" i="11" s="1"/>
  <c r="J4" i="11" s="1"/>
  <c r="F7" i="2" s="1"/>
  <c r="H4" i="2"/>
  <c r="H7" i="2" l="1"/>
  <c r="D18" i="2"/>
  <c r="N13" i="2"/>
  <c r="N18" i="2" s="1"/>
  <c r="J6" i="11"/>
  <c r="G7" i="2"/>
  <c r="G13" i="2" s="1"/>
  <c r="F13" i="2"/>
  <c r="G15" i="2" s="1"/>
  <c r="M10" i="8" s="1"/>
  <c r="B10" i="3"/>
  <c r="B7" i="3"/>
  <c r="B2" i="3" s="1"/>
  <c r="L30" i="1" l="1"/>
  <c r="J15" i="8"/>
  <c r="J15" i="20"/>
  <c r="L23" i="5"/>
</calcChain>
</file>

<file path=xl/sharedStrings.xml><?xml version="1.0" encoding="utf-8"?>
<sst xmlns="http://schemas.openxmlformats.org/spreadsheetml/2006/main" count="262" uniqueCount="60">
  <si>
    <t>&lt;- Realized PL</t>
  </si>
  <si>
    <t>&lt;- MTM PL w/o Real PL</t>
  </si>
  <si>
    <t>&lt;- MTM PL with Real PL</t>
  </si>
  <si>
    <t>&lt;- Total Pl</t>
  </si>
  <si>
    <t>BEGINNING</t>
  </si>
  <si>
    <t>HH_SWAP</t>
  </si>
  <si>
    <t>HSC_SWAP</t>
  </si>
  <si>
    <t>X-H</t>
  </si>
  <si>
    <t>POSTION</t>
  </si>
  <si>
    <t>BUY</t>
  </si>
  <si>
    <t>SELL</t>
  </si>
  <si>
    <t>&lt;- Current MTM</t>
  </si>
  <si>
    <t>ROLL VALUE</t>
  </si>
  <si>
    <t>MTM</t>
  </si>
  <si>
    <t>ROLLOFF VALUE</t>
  </si>
  <si>
    <t>ROLLOFF VAULE</t>
  </si>
  <si>
    <t>NUMBER OF DAYS</t>
  </si>
  <si>
    <t>NEW DEAL</t>
  </si>
  <si>
    <t>NEW DEALS</t>
  </si>
  <si>
    <t>TOTAL  P&amp;L</t>
  </si>
  <si>
    <t>ROLL OFF</t>
  </si>
  <si>
    <t>NET POSTION</t>
  </si>
  <si>
    <t>NET</t>
  </si>
  <si>
    <t>PRIOR</t>
  </si>
  <si>
    <t>change</t>
  </si>
  <si>
    <t>3 DAY ROLL</t>
  </si>
  <si>
    <t>PRIOR POSTION</t>
  </si>
  <si>
    <t>CHANGE</t>
  </si>
  <si>
    <t>TOTAL</t>
  </si>
  <si>
    <t>``</t>
  </si>
  <si>
    <t>katy index</t>
  </si>
  <si>
    <t>HSC index</t>
  </si>
  <si>
    <t>jul futs</t>
  </si>
  <si>
    <t>aug futs</t>
  </si>
  <si>
    <t>sep fut</t>
  </si>
  <si>
    <t>n-v</t>
  </si>
  <si>
    <t>x-h</t>
  </si>
  <si>
    <t>HH_fix</t>
  </si>
  <si>
    <t>katy_ fixed</t>
  </si>
  <si>
    <t>hsc_fix</t>
  </si>
  <si>
    <t>hsc basis</t>
  </si>
  <si>
    <t>2000/d nov-dec texas enregy transfer</t>
  </si>
  <si>
    <t>,30</t>
  </si>
  <si>
    <t>MAY</t>
  </si>
  <si>
    <t xml:space="preserve">JUN </t>
  </si>
  <si>
    <t>JUL</t>
  </si>
  <si>
    <t>AUG</t>
  </si>
  <si>
    <t>K-V</t>
  </si>
  <si>
    <t>CAL3</t>
  </si>
  <si>
    <t>Daily</t>
  </si>
  <si>
    <t>Cumulative</t>
  </si>
  <si>
    <t>position</t>
  </si>
  <si>
    <t>end of day var</t>
  </si>
  <si>
    <t>Oct</t>
  </si>
  <si>
    <t>Jan</t>
  </si>
  <si>
    <t>Position</t>
  </si>
  <si>
    <t>vol</t>
  </si>
  <si>
    <t>Sep</t>
  </si>
  <si>
    <t>M-V</t>
  </si>
  <si>
    <t>the trend days are in relation to the PH, PL. 30 min above the PH or 30 min below the PL changes, confirms the short term trend. The daily av at 3717 is what i think the market needs to close below today to suggest a top is in and to look for a downmove next week. a close between 3720-3780 today is neutral/up bias.  a close above 3780 indicates up next week to make new highs. back to the trend day rules: I take a 5 min bar chart. and i look for 6 consecutive closes above the PH or below the PL(30 min) If that happens then i get a trend day status. If only get 4 bars outside the PH,PL and closes back within the predicted ranges then i start the counting over again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</si>
</sst>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0_);_(* \(#,##0.0\);_(* &quot;-&quot;??_);_(@_)"/>
    <numFmt numFmtId="165" formatCode="mm/dd/yy"/>
    <numFmt numFmtId="166" formatCode="_(&quot;$&quot;* #,##0_);_(&quot;$&quot;* \(#,##0\);_(&quot;$&quot;* &quot;-&quot;??_);_(@_)"/>
    <numFmt numFmtId="167" formatCode="_(* #,##0_);_(* \(#,##0\);_(* &quot;-&quot;??_);_(@_)"/>
    <numFmt numFmtId="173" formatCode="0.0000"/>
    <numFmt numFmtId="174" formatCode="0.000"/>
    <numFmt numFmtId="176" formatCode="0.00_);[Red]\(0.00\)"/>
    <numFmt numFmtId="178" formatCode="0.0"/>
    <numFmt numFmtId="180" formatCode="d\-mmm\-yyyy"/>
    <numFmt numFmtId="182" formatCode="#,##0.000_);[Red]\(#,##0.000\)"/>
  </numFmts>
  <fonts count="12" x14ac:knownFonts="1">
    <font>
      <sz val="10"/>
      <name val="Arial"/>
    </font>
    <font>
      <sz val="10"/>
      <name val="Arial"/>
    </font>
    <font>
      <sz val="8"/>
      <name val="Arial"/>
      <family val="2"/>
    </font>
    <font>
      <b/>
      <sz val="8"/>
      <name val="Arial"/>
      <family val="2"/>
    </font>
    <font>
      <b/>
      <sz val="10"/>
      <name val="Arial"/>
      <family val="2"/>
    </font>
    <font>
      <b/>
      <sz val="10"/>
      <color indexed="15"/>
      <name val="Arial"/>
      <family val="2"/>
    </font>
    <font>
      <sz val="10"/>
      <name val="Arial"/>
      <family val="2"/>
    </font>
    <font>
      <sz val="10"/>
      <color indexed="22"/>
      <name val="Arial"/>
      <family val="2"/>
    </font>
    <font>
      <b/>
      <sz val="10"/>
      <color indexed="10"/>
      <name val="Arial"/>
      <family val="2"/>
    </font>
    <font>
      <b/>
      <sz val="8"/>
      <color indexed="8"/>
      <name val="Arial"/>
      <family val="2"/>
    </font>
    <font>
      <sz val="10"/>
      <color indexed="8"/>
      <name val="Arial"/>
      <family val="2"/>
    </font>
    <font>
      <b/>
      <sz val="12"/>
      <color indexed="10"/>
      <name val="Arial"/>
      <family val="2"/>
    </font>
  </fonts>
  <fills count="11">
    <fill>
      <patternFill patternType="none"/>
    </fill>
    <fill>
      <patternFill patternType="gray125"/>
    </fill>
    <fill>
      <patternFill patternType="solid">
        <fgColor indexed="15"/>
        <bgColor indexed="64"/>
      </patternFill>
    </fill>
    <fill>
      <patternFill patternType="solid">
        <fgColor indexed="11"/>
        <bgColor indexed="64"/>
      </patternFill>
    </fill>
    <fill>
      <patternFill patternType="solid">
        <fgColor indexed="43"/>
        <bgColor indexed="64"/>
      </patternFill>
    </fill>
    <fill>
      <patternFill patternType="solid">
        <fgColor indexed="44"/>
        <bgColor indexed="64"/>
      </patternFill>
    </fill>
    <fill>
      <patternFill patternType="solid">
        <fgColor indexed="22"/>
        <bgColor indexed="64"/>
      </patternFill>
    </fill>
    <fill>
      <patternFill patternType="solid">
        <fgColor indexed="47"/>
        <bgColor indexed="64"/>
      </patternFill>
    </fill>
    <fill>
      <patternFill patternType="solid">
        <fgColor indexed="40"/>
        <bgColor indexed="64"/>
      </patternFill>
    </fill>
    <fill>
      <patternFill patternType="solid">
        <fgColor indexed="42"/>
        <bgColor indexed="64"/>
      </patternFill>
    </fill>
    <fill>
      <patternFill patternType="solid">
        <fgColor indexed="13"/>
        <bgColor indexed="64"/>
      </patternFill>
    </fill>
  </fills>
  <borders count="2">
    <border>
      <left/>
      <right/>
      <top/>
      <bottom/>
      <diagonal/>
    </border>
    <border>
      <left/>
      <right/>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05">
    <xf numFmtId="0" fontId="0" fillId="0" borderId="0" xfId="0"/>
    <xf numFmtId="0" fontId="2" fillId="2" borderId="0" xfId="0" applyFont="1" applyFill="1"/>
    <xf numFmtId="0" fontId="2" fillId="3" borderId="0" xfId="0" applyFont="1" applyFill="1"/>
    <xf numFmtId="0" fontId="2" fillId="4" borderId="0" xfId="0" applyFont="1" applyFill="1"/>
    <xf numFmtId="44" fontId="2" fillId="4" borderId="0" xfId="2" applyFont="1" applyFill="1"/>
    <xf numFmtId="0" fontId="2" fillId="0" borderId="0" xfId="0" applyFont="1" applyFill="1"/>
    <xf numFmtId="0" fontId="2" fillId="0" borderId="0" xfId="0" applyFont="1"/>
    <xf numFmtId="14" fontId="2" fillId="0" borderId="0" xfId="0" applyNumberFormat="1" applyFont="1"/>
    <xf numFmtId="164" fontId="2" fillId="4" borderId="0" xfId="0" applyNumberFormat="1" applyFont="1" applyFill="1"/>
    <xf numFmtId="164" fontId="2" fillId="4" borderId="0" xfId="1" applyNumberFormat="1" applyFont="1" applyFill="1"/>
    <xf numFmtId="4" fontId="2" fillId="4" borderId="0" xfId="2" applyNumberFormat="1" applyFont="1" applyFill="1"/>
    <xf numFmtId="165" fontId="2" fillId="0" borderId="0" xfId="2" applyNumberFormat="1" applyFont="1"/>
    <xf numFmtId="22" fontId="2" fillId="0" borderId="0" xfId="0" applyNumberFormat="1" applyFont="1" applyAlignment="1">
      <alignment horizontal="left"/>
    </xf>
    <xf numFmtId="166" fontId="2" fillId="0" borderId="0" xfId="2" applyNumberFormat="1" applyFont="1"/>
    <xf numFmtId="167" fontId="2" fillId="0" borderId="0" xfId="1" applyNumberFormat="1" applyFont="1" applyFill="1"/>
    <xf numFmtId="164" fontId="2" fillId="0" borderId="0" xfId="1" applyNumberFormat="1" applyFont="1"/>
    <xf numFmtId="44" fontId="2" fillId="0" borderId="0" xfId="2" applyFont="1"/>
    <xf numFmtId="4" fontId="2" fillId="0" borderId="0" xfId="2" applyNumberFormat="1" applyFont="1"/>
    <xf numFmtId="174" fontId="2" fillId="4" borderId="0" xfId="0" applyNumberFormat="1" applyFont="1" applyFill="1"/>
    <xf numFmtId="166" fontId="2" fillId="2" borderId="0" xfId="2" applyNumberFormat="1" applyFont="1" applyFill="1"/>
    <xf numFmtId="164" fontId="2" fillId="0" borderId="0" xfId="0" applyNumberFormat="1" applyFont="1"/>
    <xf numFmtId="4" fontId="2" fillId="0" borderId="0" xfId="0" applyNumberFormat="1" applyFont="1"/>
    <xf numFmtId="43" fontId="2" fillId="0" borderId="0" xfId="0" applyNumberFormat="1" applyFont="1"/>
    <xf numFmtId="166" fontId="2" fillId="3" borderId="0" xfId="2" applyNumberFormat="1" applyFont="1" applyFill="1"/>
    <xf numFmtId="166" fontId="3" fillId="3" borderId="0" xfId="2" applyNumberFormat="1" applyFont="1" applyFill="1"/>
    <xf numFmtId="0" fontId="3" fillId="3" borderId="0" xfId="0" applyFont="1" applyFill="1"/>
    <xf numFmtId="164" fontId="2" fillId="0" borderId="0" xfId="1" quotePrefix="1" applyNumberFormat="1" applyFont="1"/>
    <xf numFmtId="0" fontId="2" fillId="5" borderId="0" xfId="0" applyFont="1" applyFill="1"/>
    <xf numFmtId="166" fontId="2" fillId="0" borderId="0" xfId="2" applyNumberFormat="1" applyFont="1" applyFill="1" applyBorder="1"/>
    <xf numFmtId="0" fontId="2" fillId="0" borderId="0" xfId="0" applyFont="1" applyFill="1" applyBorder="1"/>
    <xf numFmtId="166" fontId="3" fillId="0" borderId="0" xfId="2" applyNumberFormat="1" applyFont="1" applyFill="1" applyBorder="1"/>
    <xf numFmtId="0" fontId="3" fillId="0" borderId="0" xfId="0" applyFont="1" applyFill="1" applyBorder="1"/>
    <xf numFmtId="44" fontId="2" fillId="5" borderId="0" xfId="2" applyFont="1" applyFill="1"/>
    <xf numFmtId="164" fontId="3" fillId="5" borderId="0" xfId="1" applyNumberFormat="1" applyFont="1" applyFill="1"/>
    <xf numFmtId="4" fontId="2" fillId="5" borderId="0" xfId="0" applyNumberFormat="1" applyFont="1" applyFill="1"/>
    <xf numFmtId="176" fontId="2" fillId="3" borderId="0" xfId="2" applyNumberFormat="1" applyFont="1" applyFill="1"/>
    <xf numFmtId="176" fontId="2" fillId="3" borderId="0" xfId="0" applyNumberFormat="1" applyFont="1" applyFill="1"/>
    <xf numFmtId="40" fontId="2" fillId="0" borderId="0" xfId="2" applyNumberFormat="1" applyFont="1"/>
    <xf numFmtId="40" fontId="2" fillId="0" borderId="0" xfId="2" applyNumberFormat="1" applyFont="1" applyFill="1" applyBorder="1"/>
    <xf numFmtId="40" fontId="2" fillId="2" borderId="0" xfId="2" applyNumberFormat="1" applyFont="1" applyFill="1"/>
    <xf numFmtId="2" fontId="2" fillId="2" borderId="0" xfId="2" applyNumberFormat="1" applyFont="1" applyFill="1"/>
    <xf numFmtId="40" fontId="3" fillId="2" borderId="0" xfId="2" applyNumberFormat="1" applyFont="1" applyFill="1"/>
    <xf numFmtId="43" fontId="3" fillId="3" borderId="1" xfId="1" applyFont="1" applyFill="1" applyBorder="1"/>
    <xf numFmtId="40" fontId="0" fillId="0" borderId="0" xfId="0" applyNumberFormat="1"/>
    <xf numFmtId="2" fontId="0" fillId="0" borderId="0" xfId="0" applyNumberFormat="1"/>
    <xf numFmtId="0" fontId="0" fillId="0" borderId="0" xfId="0" applyAlignment="1">
      <alignment shrinkToFit="1"/>
    </xf>
    <xf numFmtId="0" fontId="2" fillId="0" borderId="0" xfId="0" applyFont="1" applyAlignment="1">
      <alignment shrinkToFit="1"/>
    </xf>
    <xf numFmtId="0" fontId="2" fillId="0" borderId="0" xfId="0" applyFont="1" applyAlignment="1">
      <alignment wrapText="1" shrinkToFit="1"/>
    </xf>
    <xf numFmtId="14" fontId="0" fillId="0" borderId="0" xfId="0" applyNumberFormat="1"/>
    <xf numFmtId="17" fontId="0" fillId="0" borderId="0" xfId="0" applyNumberFormat="1"/>
    <xf numFmtId="38" fontId="0" fillId="0" borderId="0" xfId="0" applyNumberFormat="1"/>
    <xf numFmtId="0" fontId="0" fillId="4" borderId="0" xfId="0" applyFill="1"/>
    <xf numFmtId="0" fontId="0" fillId="6" borderId="0" xfId="0" applyFill="1"/>
    <xf numFmtId="2" fontId="2" fillId="0" borderId="0" xfId="0" applyNumberFormat="1" applyFont="1"/>
    <xf numFmtId="1" fontId="2" fillId="0" borderId="0" xfId="0" applyNumberFormat="1" applyFont="1"/>
    <xf numFmtId="180" fontId="2" fillId="0" borderId="0" xfId="0" applyNumberFormat="1" applyFont="1"/>
    <xf numFmtId="0" fontId="0" fillId="0" borderId="0" xfId="0" applyAlignment="1">
      <alignment horizontal="center" shrinkToFit="1"/>
    </xf>
    <xf numFmtId="40" fontId="0" fillId="2" borderId="0" xfId="0" applyNumberFormat="1" applyFill="1" applyAlignment="1">
      <alignment horizontal="center"/>
    </xf>
    <xf numFmtId="0" fontId="0" fillId="0" borderId="0" xfId="0" applyAlignment="1">
      <alignment horizontal="left"/>
    </xf>
    <xf numFmtId="6" fontId="0" fillId="0" borderId="0" xfId="0" applyNumberFormat="1"/>
    <xf numFmtId="6" fontId="0" fillId="0" borderId="0" xfId="0" applyNumberFormat="1" applyFill="1"/>
    <xf numFmtId="6" fontId="4" fillId="0" borderId="0" xfId="0" applyNumberFormat="1" applyFont="1" applyFill="1"/>
    <xf numFmtId="174" fontId="0" fillId="0" borderId="0" xfId="0" applyNumberFormat="1"/>
    <xf numFmtId="164" fontId="2" fillId="3" borderId="0" xfId="0" applyNumberFormat="1" applyFont="1" applyFill="1"/>
    <xf numFmtId="44" fontId="2" fillId="3" borderId="0" xfId="2" applyFont="1" applyFill="1"/>
    <xf numFmtId="164" fontId="2" fillId="3" borderId="0" xfId="1" applyNumberFormat="1" applyFont="1" applyFill="1"/>
    <xf numFmtId="4" fontId="2" fillId="3" borderId="0" xfId="2" applyNumberFormat="1" applyFont="1" applyFill="1"/>
    <xf numFmtId="0" fontId="0" fillId="0" borderId="0" xfId="0" applyAlignment="1">
      <alignment wrapText="1" shrinkToFit="1"/>
    </xf>
    <xf numFmtId="40" fontId="0" fillId="7" borderId="0" xfId="0" applyNumberFormat="1" applyFill="1"/>
    <xf numFmtId="40" fontId="5" fillId="8" borderId="0" xfId="0" applyNumberFormat="1" applyFont="1" applyFill="1" applyAlignment="1">
      <alignment horizontal="center"/>
    </xf>
    <xf numFmtId="6" fontId="6" fillId="9" borderId="0" xfId="0" applyNumberFormat="1" applyFont="1" applyFill="1"/>
    <xf numFmtId="43" fontId="0" fillId="0" borderId="0" xfId="0" applyNumberFormat="1"/>
    <xf numFmtId="0" fontId="0" fillId="2" borderId="0" xfId="0" applyFill="1"/>
    <xf numFmtId="40" fontId="4" fillId="2" borderId="0" xfId="0" applyNumberFormat="1" applyFont="1" applyFill="1"/>
    <xf numFmtId="174" fontId="2" fillId="0" borderId="0" xfId="0" applyNumberFormat="1" applyFont="1"/>
    <xf numFmtId="0" fontId="0" fillId="0" borderId="0" xfId="0" applyAlignment="1">
      <alignment horizontal="center"/>
    </xf>
    <xf numFmtId="40" fontId="0" fillId="10" borderId="0" xfId="0" applyNumberFormat="1" applyFill="1"/>
    <xf numFmtId="173" fontId="0" fillId="4" borderId="0" xfId="0" applyNumberFormat="1" applyFill="1"/>
    <xf numFmtId="17" fontId="0" fillId="6" borderId="0" xfId="0" applyNumberFormat="1" applyFill="1"/>
    <xf numFmtId="40" fontId="4" fillId="8" borderId="0" xfId="0" applyNumberFormat="1" applyFont="1" applyFill="1" applyAlignment="1">
      <alignment horizontal="center"/>
    </xf>
    <xf numFmtId="174" fontId="0" fillId="4" borderId="0" xfId="0" applyNumberFormat="1" applyFill="1"/>
    <xf numFmtId="40" fontId="8" fillId="3" borderId="0" xfId="0" applyNumberFormat="1" applyFont="1" applyFill="1"/>
    <xf numFmtId="40" fontId="4" fillId="3" borderId="0" xfId="0" applyNumberFormat="1" applyFont="1" applyFill="1" applyBorder="1"/>
    <xf numFmtId="8" fontId="0" fillId="0" borderId="0" xfId="0" applyNumberFormat="1"/>
    <xf numFmtId="2" fontId="0" fillId="6" borderId="0" xfId="0" applyNumberFormat="1" applyFill="1"/>
    <xf numFmtId="173" fontId="0" fillId="6" borderId="0" xfId="0" applyNumberFormat="1" applyFill="1"/>
    <xf numFmtId="174" fontId="0" fillId="6" borderId="0" xfId="0" applyNumberFormat="1" applyFill="1"/>
    <xf numFmtId="178" fontId="2" fillId="0" borderId="0" xfId="0" applyNumberFormat="1" applyFont="1"/>
    <xf numFmtId="40" fontId="9" fillId="10" borderId="0" xfId="2" applyNumberFormat="1" applyFont="1" applyFill="1"/>
    <xf numFmtId="43" fontId="0" fillId="0" borderId="0" xfId="1" applyFont="1"/>
    <xf numFmtId="0" fontId="0" fillId="0" borderId="0" xfId="0" applyAlignment="1">
      <alignment wrapText="1"/>
    </xf>
    <xf numFmtId="43" fontId="0" fillId="0" borderId="0" xfId="1" applyFont="1" applyAlignment="1">
      <alignment wrapText="1"/>
    </xf>
    <xf numFmtId="40" fontId="7" fillId="0" borderId="0" xfId="0" applyNumberFormat="1" applyFont="1" applyFill="1"/>
    <xf numFmtId="0" fontId="10" fillId="0" borderId="0" xfId="0" applyFont="1" applyFill="1"/>
    <xf numFmtId="16" fontId="10" fillId="0" borderId="0" xfId="0" applyNumberFormat="1" applyFont="1" applyFill="1" applyAlignment="1">
      <alignment horizontal="left"/>
    </xf>
    <xf numFmtId="40" fontId="10" fillId="0" borderId="0" xfId="0" applyNumberFormat="1" applyFont="1" applyFill="1"/>
    <xf numFmtId="174" fontId="10" fillId="0" borderId="0" xfId="0" applyNumberFormat="1" applyFont="1" applyFill="1"/>
    <xf numFmtId="182" fontId="2" fillId="0" borderId="0" xfId="0" applyNumberFormat="1" applyFont="1"/>
    <xf numFmtId="43" fontId="3" fillId="5" borderId="0" xfId="1" applyNumberFormat="1" applyFont="1" applyFill="1"/>
    <xf numFmtId="2" fontId="0" fillId="4" borderId="0" xfId="0" applyNumberFormat="1" applyFill="1"/>
    <xf numFmtId="173" fontId="0" fillId="0" borderId="0" xfId="0" applyNumberFormat="1"/>
    <xf numFmtId="44" fontId="2" fillId="0" borderId="0" xfId="0" applyNumberFormat="1" applyFont="1"/>
    <xf numFmtId="40" fontId="2" fillId="0" borderId="0" xfId="2" applyNumberFormat="1" applyFont="1" applyAlignment="1">
      <alignment horizontal="center"/>
    </xf>
    <xf numFmtId="164" fontId="11" fillId="4" borderId="0" xfId="0" applyNumberFormat="1" applyFont="1" applyFill="1" applyAlignment="1">
      <alignment horizontal="center"/>
    </xf>
    <xf numFmtId="6" fontId="0" fillId="3" borderId="0" xfId="0" applyNumberFormat="1" applyFill="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S41"/>
  <sheetViews>
    <sheetView tabSelected="1" zoomScale="80" workbookViewId="0">
      <selection activeCell="B4" sqref="B4"/>
    </sheetView>
  </sheetViews>
  <sheetFormatPr defaultRowHeight="12.75" x14ac:dyDescent="0.2"/>
  <cols>
    <col min="1" max="1" width="8.28515625" customWidth="1"/>
    <col min="2" max="2" width="8.85546875" bestFit="1" customWidth="1"/>
    <col min="3" max="3" width="18.140625" bestFit="1" customWidth="1"/>
    <col min="4" max="4" width="16.28515625" bestFit="1" customWidth="1"/>
    <col min="6" max="6" width="13" bestFit="1" customWidth="1"/>
    <col min="7" max="7" width="14.42578125" bestFit="1" customWidth="1"/>
    <col min="8" max="8" width="13.42578125" bestFit="1" customWidth="1"/>
    <col min="9" max="9" width="9.42578125" customWidth="1"/>
    <col min="10" max="10" width="8.5703125" customWidth="1"/>
    <col min="11" max="11" width="9.85546875" bestFit="1" customWidth="1"/>
    <col min="12" max="12" width="11" customWidth="1"/>
    <col min="15" max="15" width="9.85546875" bestFit="1" customWidth="1"/>
  </cols>
  <sheetData>
    <row r="3" spans="2:19" s="45" customFormat="1" ht="25.5" x14ac:dyDescent="0.2">
      <c r="B3" s="45" t="s">
        <v>13</v>
      </c>
      <c r="D3" s="56" t="s">
        <v>8</v>
      </c>
      <c r="E3" s="46" t="s">
        <v>20</v>
      </c>
      <c r="F3" s="45" t="s">
        <v>17</v>
      </c>
      <c r="G3" s="45" t="s">
        <v>13</v>
      </c>
      <c r="H3" s="45" t="s">
        <v>22</v>
      </c>
      <c r="J3" s="47" t="s">
        <v>14</v>
      </c>
      <c r="L3" s="45" t="s">
        <v>24</v>
      </c>
      <c r="M3" s="67" t="s">
        <v>26</v>
      </c>
      <c r="N3" s="45" t="s">
        <v>27</v>
      </c>
    </row>
    <row r="4" spans="2:19" x14ac:dyDescent="0.2">
      <c r="B4">
        <v>3.4590000000000001</v>
      </c>
      <c r="C4" t="s">
        <v>44</v>
      </c>
      <c r="D4" s="57">
        <f>JUN_SWAP!J11</f>
        <v>158</v>
      </c>
      <c r="F4" s="50">
        <f>JUN_SWAP!J4</f>
        <v>3679.9999999994434</v>
      </c>
      <c r="G4" s="50">
        <f>JUN_SWAP!J2</f>
        <v>60160.000000000051</v>
      </c>
      <c r="H4" s="50">
        <f>F4+G4</f>
        <v>63839.999999999491</v>
      </c>
      <c r="K4">
        <v>3.5910000000000002</v>
      </c>
      <c r="L4" s="62">
        <f t="shared" ref="L4:L12" si="0">B4-K4</f>
        <v>-0.13200000000000012</v>
      </c>
      <c r="M4" s="57">
        <v>-46.5</v>
      </c>
      <c r="N4" s="43">
        <f t="shared" ref="N4:N15" si="1">D4-M4</f>
        <v>204.5</v>
      </c>
      <c r="O4" s="48">
        <v>37043</v>
      </c>
    </row>
    <row r="5" spans="2:19" x14ac:dyDescent="0.2">
      <c r="B5" s="100">
        <f>B4+0.078</f>
        <v>3.5369999999999999</v>
      </c>
      <c r="C5" t="s">
        <v>45</v>
      </c>
      <c r="D5" s="57">
        <f>JUL_SWAP!J11</f>
        <v>-107.5</v>
      </c>
      <c r="F5" s="50">
        <f>JUL_SWAP!J4</f>
        <v>0</v>
      </c>
      <c r="G5" s="50">
        <f>JUL_SWAP!J2</f>
        <v>-68800.000000000058</v>
      </c>
      <c r="H5" s="50">
        <f t="shared" ref="H5:H12" si="2">F5+G5</f>
        <v>-68800.000000000058</v>
      </c>
      <c r="K5">
        <v>3.6150000000000002</v>
      </c>
      <c r="L5" s="62">
        <f t="shared" si="0"/>
        <v>-7.8000000000000291E-2</v>
      </c>
      <c r="M5" s="57">
        <v>-9.3000000000000007</v>
      </c>
      <c r="N5" s="43">
        <f t="shared" si="1"/>
        <v>-98.2</v>
      </c>
      <c r="O5" s="48">
        <v>37044</v>
      </c>
    </row>
    <row r="6" spans="2:19" x14ac:dyDescent="0.2">
      <c r="B6" s="100">
        <f>B5+0.057</f>
        <v>3.5939999999999999</v>
      </c>
      <c r="C6" t="s">
        <v>46</v>
      </c>
      <c r="D6" s="57">
        <f>AUG_SWAP!J11</f>
        <v>0</v>
      </c>
      <c r="F6" s="50">
        <f>AUG_SWAP!J4</f>
        <v>0</v>
      </c>
      <c r="G6" s="50">
        <f>AUG_SWAP!J2</f>
        <v>0</v>
      </c>
      <c r="H6" s="50">
        <f t="shared" si="2"/>
        <v>0</v>
      </c>
      <c r="K6">
        <v>3.645</v>
      </c>
      <c r="L6" s="62">
        <f t="shared" si="0"/>
        <v>-5.1000000000000156E-2</v>
      </c>
      <c r="M6" s="57">
        <v>-3.1</v>
      </c>
      <c r="N6" s="43">
        <f t="shared" si="1"/>
        <v>3.1</v>
      </c>
      <c r="O6" s="48">
        <v>37045</v>
      </c>
    </row>
    <row r="7" spans="2:19" x14ac:dyDescent="0.2">
      <c r="B7" s="100">
        <f>B6+0.026</f>
        <v>3.6199999999999997</v>
      </c>
      <c r="C7" t="s">
        <v>57</v>
      </c>
      <c r="D7" s="57">
        <f>SEP_SWAP!J11</f>
        <v>0</v>
      </c>
      <c r="F7" s="50">
        <f>SEP_SWAP!J4</f>
        <v>0</v>
      </c>
      <c r="G7" s="50">
        <f>SEP_SWAP!J2</f>
        <v>0</v>
      </c>
      <c r="H7" s="50">
        <f t="shared" si="2"/>
        <v>0</v>
      </c>
      <c r="K7">
        <v>3.6749999999999998</v>
      </c>
      <c r="L7" s="62">
        <f t="shared" si="0"/>
        <v>-5.500000000000016E-2</v>
      </c>
      <c r="M7" s="57">
        <v>0</v>
      </c>
      <c r="N7" s="43">
        <f t="shared" si="1"/>
        <v>0</v>
      </c>
      <c r="O7" s="48">
        <v>37046</v>
      </c>
    </row>
    <row r="8" spans="2:19" x14ac:dyDescent="0.2">
      <c r="B8" s="80">
        <f>B4+0.113</f>
        <v>3.5720000000000001</v>
      </c>
      <c r="C8" t="s">
        <v>58</v>
      </c>
      <c r="D8" s="57">
        <f>'M-V_SWAP'!J11</f>
        <v>38.200000000000003</v>
      </c>
      <c r="F8" s="50">
        <f>'M-V_SWAP'!J4</f>
        <v>0</v>
      </c>
      <c r="G8" s="50">
        <f>'M-V_SWAP'!J2</f>
        <v>24066.000000000065</v>
      </c>
      <c r="H8" s="50">
        <f t="shared" si="2"/>
        <v>24066.000000000065</v>
      </c>
      <c r="K8">
        <v>3.6416000000000004</v>
      </c>
      <c r="L8" s="62">
        <f t="shared" si="0"/>
        <v>-6.9600000000000328E-2</v>
      </c>
      <c r="M8" s="57">
        <v>0</v>
      </c>
      <c r="N8" s="43">
        <f t="shared" si="1"/>
        <v>38.200000000000003</v>
      </c>
      <c r="O8" s="48">
        <v>37047</v>
      </c>
    </row>
    <row r="9" spans="2:19" x14ac:dyDescent="0.2">
      <c r="B9" s="80">
        <f>B8+0.521</f>
        <v>4.093</v>
      </c>
      <c r="C9" t="s">
        <v>7</v>
      </c>
      <c r="D9" s="57">
        <f>'X-H_SWAP'!J11</f>
        <v>0</v>
      </c>
      <c r="F9" s="50">
        <f>'M-V_SWAP'!J5</f>
        <v>0</v>
      </c>
      <c r="G9" s="50">
        <f>'X-H_SWAP'!J6</f>
        <v>0</v>
      </c>
      <c r="H9" s="50">
        <f>F9+G9</f>
        <v>0</v>
      </c>
      <c r="K9">
        <v>4.0026000000000002</v>
      </c>
      <c r="L9" s="62">
        <f>B9-K9</f>
        <v>9.0399999999999814E-2</v>
      </c>
      <c r="M9" s="57">
        <v>1</v>
      </c>
      <c r="N9" s="43">
        <f>D9-M9</f>
        <v>-1</v>
      </c>
      <c r="O9" s="48"/>
    </row>
    <row r="10" spans="2:19" x14ac:dyDescent="0.2">
      <c r="B10" s="51">
        <f>B8+0.23</f>
        <v>3.802</v>
      </c>
      <c r="C10" t="s">
        <v>48</v>
      </c>
      <c r="D10" s="57">
        <f>'M-V_SWAP'!J13</f>
        <v>0</v>
      </c>
      <c r="F10" s="50"/>
      <c r="G10" s="50"/>
      <c r="H10" s="50">
        <f>F10+G10</f>
        <v>0</v>
      </c>
      <c r="K10">
        <v>3.8716000000000004</v>
      </c>
      <c r="L10" s="62">
        <f>B10-K10</f>
        <v>-6.9600000000000328E-2</v>
      </c>
      <c r="M10" s="57">
        <v>2</v>
      </c>
      <c r="N10" s="43">
        <f>D10-M10</f>
        <v>-2</v>
      </c>
      <c r="O10" s="48"/>
    </row>
    <row r="11" spans="2:19" x14ac:dyDescent="0.2">
      <c r="B11" s="80">
        <f>B4-0.104</f>
        <v>3.355</v>
      </c>
      <c r="C11" t="s">
        <v>5</v>
      </c>
      <c r="D11" s="57">
        <f>HH_SWAP!J9</f>
        <v>16</v>
      </c>
      <c r="E11" s="44">
        <f>HH_SWAP!J10</f>
        <v>1.4545454545454546</v>
      </c>
      <c r="F11" s="50">
        <f>HH_SWAP!J4</f>
        <v>300.0000000000025</v>
      </c>
      <c r="G11" s="50">
        <f>HH_SWAP!J2+HH_SWAP!J3</f>
        <v>9945.4545454545114</v>
      </c>
      <c r="H11" s="50">
        <f t="shared" si="2"/>
        <v>10245.454545454513</v>
      </c>
      <c r="I11">
        <v>3.37</v>
      </c>
      <c r="J11" s="52">
        <v>3.7349999999999999</v>
      </c>
      <c r="K11">
        <v>3.5910000000000002</v>
      </c>
      <c r="L11" s="62">
        <f t="shared" si="0"/>
        <v>-0.23600000000000021</v>
      </c>
      <c r="M11" s="57">
        <v>-69.7</v>
      </c>
      <c r="N11" s="43">
        <f t="shared" si="1"/>
        <v>85.7</v>
      </c>
      <c r="O11" s="48">
        <v>37048</v>
      </c>
    </row>
    <row r="12" spans="2:19" x14ac:dyDescent="0.2">
      <c r="B12" s="77">
        <f>B11-0.02</f>
        <v>3.335</v>
      </c>
      <c r="C12" t="s">
        <v>6</v>
      </c>
      <c r="D12" s="57">
        <f>HSC_SWAP!J9</f>
        <v>0</v>
      </c>
      <c r="E12" s="44">
        <f>HSC_SWAP!J10</f>
        <v>0</v>
      </c>
      <c r="F12" s="50">
        <f>HSC_SWAP!J4</f>
        <v>0</v>
      </c>
      <c r="G12" s="50">
        <f>HSC_SWAP!J2+HSC_SWAP!J3</f>
        <v>0</v>
      </c>
      <c r="H12" s="50">
        <f t="shared" si="2"/>
        <v>0</v>
      </c>
      <c r="J12" s="52">
        <v>3.7090000000000001</v>
      </c>
      <c r="K12">
        <v>3.5710000000000002</v>
      </c>
      <c r="L12" s="62">
        <f t="shared" si="0"/>
        <v>-0.23600000000000021</v>
      </c>
      <c r="M12" s="57">
        <v>0</v>
      </c>
      <c r="N12" s="43">
        <f t="shared" si="1"/>
        <v>0</v>
      </c>
      <c r="O12" s="48">
        <v>37049</v>
      </c>
    </row>
    <row r="13" spans="2:19" x14ac:dyDescent="0.2">
      <c r="C13" t="s">
        <v>28</v>
      </c>
      <c r="D13" s="79">
        <f>SUM(D4:D12)</f>
        <v>104.7</v>
      </c>
      <c r="E13" s="44">
        <f>SUM(E11:E12)</f>
        <v>1.4545454545454546</v>
      </c>
      <c r="F13" s="70">
        <f>SUM(F4:F12)</f>
        <v>3979.9999999994461</v>
      </c>
      <c r="G13" s="70">
        <f>SUM(G4:G12)</f>
        <v>25371.45454545457</v>
      </c>
      <c r="H13" s="59"/>
      <c r="M13" s="69">
        <v>-54.2</v>
      </c>
      <c r="N13" s="68">
        <f t="shared" si="1"/>
        <v>158.9</v>
      </c>
      <c r="O13" s="48">
        <v>37054</v>
      </c>
    </row>
    <row r="14" spans="2:19" x14ac:dyDescent="0.2">
      <c r="B14" s="93">
        <f>B4+0.192</f>
        <v>3.6510000000000002</v>
      </c>
      <c r="C14" s="93" t="s">
        <v>53</v>
      </c>
      <c r="D14" s="95">
        <f>OCT_nym!J11</f>
        <v>76</v>
      </c>
      <c r="F14" s="71">
        <f>OCT_nym!J6</f>
        <v>46360.000000000291</v>
      </c>
      <c r="G14" s="60"/>
      <c r="H14" s="61"/>
      <c r="M14">
        <v>0</v>
      </c>
      <c r="N14" s="68">
        <f t="shared" si="1"/>
        <v>76</v>
      </c>
      <c r="O14" s="48">
        <v>37055</v>
      </c>
      <c r="Q14">
        <v>30</v>
      </c>
      <c r="R14">
        <v>3.62</v>
      </c>
      <c r="S14">
        <f>Q14*R14</f>
        <v>108.60000000000001</v>
      </c>
    </row>
    <row r="15" spans="2:19" x14ac:dyDescent="0.2">
      <c r="B15" s="93"/>
      <c r="C15" s="93"/>
      <c r="D15" s="92"/>
      <c r="F15" s="59"/>
      <c r="G15" s="104">
        <f>F13+G13+F14+F16</f>
        <v>14711.45454545437</v>
      </c>
      <c r="H15" s="104"/>
      <c r="J15">
        <v>3.4470000000000001</v>
      </c>
      <c r="M15">
        <v>0</v>
      </c>
      <c r="N15" s="68">
        <f t="shared" si="1"/>
        <v>0</v>
      </c>
      <c r="O15" s="48">
        <v>37056</v>
      </c>
      <c r="Q15">
        <v>20</v>
      </c>
      <c r="R15">
        <v>3.6949999999999998</v>
      </c>
      <c r="S15">
        <f>Q15*R15</f>
        <v>73.899999999999991</v>
      </c>
    </row>
    <row r="16" spans="2:19" x14ac:dyDescent="0.2">
      <c r="B16" s="96">
        <f>B14+0.578</f>
        <v>4.2290000000000001</v>
      </c>
      <c r="C16" s="94" t="s">
        <v>54</v>
      </c>
      <c r="D16" s="92">
        <f>JAN3_nym!J11</f>
        <v>-120</v>
      </c>
      <c r="F16" s="71">
        <f>JAN3_nym!J6</f>
        <v>-60999.999999999942</v>
      </c>
      <c r="G16" s="83"/>
      <c r="H16" s="71"/>
      <c r="J16">
        <v>3.51</v>
      </c>
      <c r="M16">
        <v>0</v>
      </c>
      <c r="O16" s="48">
        <v>37057</v>
      </c>
      <c r="Q16">
        <f>SUM(Q14:Q15)</f>
        <v>50</v>
      </c>
      <c r="S16">
        <f>SUM(S14:S15)</f>
        <v>182.5</v>
      </c>
    </row>
    <row r="17" spans="1:18" x14ac:dyDescent="0.2">
      <c r="J17">
        <v>3.4750000000000001</v>
      </c>
      <c r="K17" t="s">
        <v>29</v>
      </c>
      <c r="O17" s="48">
        <v>37058</v>
      </c>
      <c r="R17">
        <f>S16/Q16</f>
        <v>3.65</v>
      </c>
    </row>
    <row r="18" spans="1:18" x14ac:dyDescent="0.2">
      <c r="C18" s="72" t="s">
        <v>28</v>
      </c>
      <c r="D18" s="73">
        <f>SUM(D13:D16)</f>
        <v>60.699999999999989</v>
      </c>
      <c r="J18">
        <v>3.39</v>
      </c>
      <c r="M18" s="43">
        <v>75.650000000000006</v>
      </c>
      <c r="N18" s="43">
        <f>SUM(N13:N15)</f>
        <v>234.9</v>
      </c>
      <c r="O18" s="48">
        <v>37059</v>
      </c>
      <c r="P18">
        <v>25000</v>
      </c>
    </row>
    <row r="19" spans="1:18" x14ac:dyDescent="0.2">
      <c r="J19">
        <v>3.39</v>
      </c>
      <c r="O19" s="48">
        <v>37060</v>
      </c>
      <c r="P19">
        <v>25000</v>
      </c>
    </row>
    <row r="20" spans="1:18" x14ac:dyDescent="0.2">
      <c r="C20" t="s">
        <v>16</v>
      </c>
      <c r="E20">
        <v>11</v>
      </c>
      <c r="F20">
        <v>1</v>
      </c>
      <c r="G20" s="52">
        <f>F20*E20</f>
        <v>11</v>
      </c>
      <c r="J20">
        <v>3.4750000000000001</v>
      </c>
      <c r="L20">
        <f>29+14.5</f>
        <v>43.5</v>
      </c>
      <c r="O20" s="48">
        <v>37061</v>
      </c>
      <c r="P20">
        <v>25000</v>
      </c>
    </row>
    <row r="21" spans="1:18" x14ac:dyDescent="0.2">
      <c r="O21" s="48">
        <v>37062</v>
      </c>
      <c r="P21">
        <v>25000</v>
      </c>
    </row>
    <row r="22" spans="1:18" x14ac:dyDescent="0.2">
      <c r="I22" t="s">
        <v>23</v>
      </c>
      <c r="O22" s="48">
        <v>37063</v>
      </c>
      <c r="P22">
        <v>25000</v>
      </c>
    </row>
    <row r="23" spans="1:18" x14ac:dyDescent="0.2">
      <c r="C23" s="78"/>
      <c r="D23" s="52"/>
      <c r="I23">
        <v>3.3969999999999998</v>
      </c>
      <c r="J23">
        <f t="shared" ref="J23:J38" si="3">D23-I23</f>
        <v>-3.3969999999999998</v>
      </c>
      <c r="O23" s="48">
        <v>37064</v>
      </c>
      <c r="P23">
        <v>25000</v>
      </c>
    </row>
    <row r="24" spans="1:18" x14ac:dyDescent="0.2">
      <c r="A24">
        <v>1</v>
      </c>
      <c r="B24">
        <v>3.4460000000000002</v>
      </c>
      <c r="C24" s="49"/>
      <c r="E24" s="58"/>
      <c r="H24">
        <v>2.552</v>
      </c>
      <c r="I24">
        <v>2.3690000000000002</v>
      </c>
      <c r="J24">
        <f t="shared" si="3"/>
        <v>-2.3690000000000002</v>
      </c>
      <c r="O24" s="48">
        <v>37065</v>
      </c>
      <c r="P24">
        <v>25000</v>
      </c>
    </row>
    <row r="25" spans="1:18" x14ac:dyDescent="0.2">
      <c r="A25">
        <v>2</v>
      </c>
      <c r="B25">
        <v>3.3969999999999998</v>
      </c>
      <c r="C25" s="49">
        <v>37408</v>
      </c>
      <c r="D25">
        <v>3.4590000000000001</v>
      </c>
      <c r="E25" s="58">
        <f t="shared" ref="E25:E38" si="4">D25-D24</f>
        <v>3.4590000000000001</v>
      </c>
      <c r="H25">
        <v>2.9020000000000001</v>
      </c>
      <c r="I25">
        <v>2.7530000000000001</v>
      </c>
      <c r="J25">
        <f t="shared" si="3"/>
        <v>0.70599999999999996</v>
      </c>
      <c r="L25">
        <f>31*7000</f>
        <v>217000</v>
      </c>
      <c r="O25" s="48">
        <v>37066</v>
      </c>
      <c r="P25">
        <v>25000</v>
      </c>
    </row>
    <row r="26" spans="1:18" x14ac:dyDescent="0.2">
      <c r="A26">
        <v>3</v>
      </c>
      <c r="B26">
        <v>3.4220000000000002</v>
      </c>
      <c r="C26" s="49">
        <v>37438</v>
      </c>
      <c r="D26">
        <v>3.5369999999999999</v>
      </c>
      <c r="E26" s="58">
        <f t="shared" si="4"/>
        <v>7.7999999999999847E-2</v>
      </c>
      <c r="F26" s="86">
        <f>AVERAGE(D25:D29)</f>
        <v>3.5722</v>
      </c>
      <c r="G26" s="62">
        <f>F26-D25</f>
        <v>0.11319999999999997</v>
      </c>
      <c r="H26">
        <v>3.2519999999999998</v>
      </c>
      <c r="I26">
        <v>3.125</v>
      </c>
      <c r="J26">
        <f t="shared" si="3"/>
        <v>0.41199999999999992</v>
      </c>
      <c r="O26" s="48">
        <v>37067</v>
      </c>
      <c r="P26">
        <v>25000</v>
      </c>
    </row>
    <row r="27" spans="1:18" x14ac:dyDescent="0.2">
      <c r="B27">
        <f>AVERAGE(B24:B26)</f>
        <v>3.4216666666666669</v>
      </c>
      <c r="C27" s="49">
        <v>37469</v>
      </c>
      <c r="D27">
        <v>3.5939999999999999</v>
      </c>
      <c r="E27" s="58">
        <f t="shared" si="4"/>
        <v>5.699999999999994E-2</v>
      </c>
      <c r="H27">
        <v>3.4220000000000002</v>
      </c>
      <c r="I27">
        <v>3.3029999999999999</v>
      </c>
      <c r="J27">
        <f t="shared" si="3"/>
        <v>0.29099999999999993</v>
      </c>
      <c r="M27">
        <f>3500*30</f>
        <v>105000</v>
      </c>
      <c r="O27" s="48">
        <v>37068</v>
      </c>
      <c r="P27">
        <v>25000</v>
      </c>
    </row>
    <row r="28" spans="1:18" x14ac:dyDescent="0.2">
      <c r="C28" s="49">
        <v>37500</v>
      </c>
      <c r="D28">
        <v>3.62</v>
      </c>
      <c r="E28" s="58">
        <f t="shared" si="4"/>
        <v>2.6000000000000245E-2</v>
      </c>
      <c r="H28">
        <v>3.3940000000000001</v>
      </c>
      <c r="I28">
        <v>3.28</v>
      </c>
      <c r="J28">
        <f t="shared" si="3"/>
        <v>0.3400000000000003</v>
      </c>
      <c r="O28" s="48">
        <v>37069</v>
      </c>
      <c r="P28">
        <v>25000</v>
      </c>
    </row>
    <row r="29" spans="1:18" x14ac:dyDescent="0.2">
      <c r="C29" s="49">
        <v>37530</v>
      </c>
      <c r="D29">
        <v>3.6509999999999998</v>
      </c>
      <c r="E29" s="58">
        <f t="shared" si="4"/>
        <v>3.0999999999999694E-2</v>
      </c>
      <c r="H29">
        <v>3.3250000000000002</v>
      </c>
      <c r="I29">
        <v>3.2149999999999999</v>
      </c>
      <c r="J29">
        <f t="shared" si="3"/>
        <v>0.43599999999999994</v>
      </c>
      <c r="O29" s="48">
        <v>37070</v>
      </c>
      <c r="P29">
        <v>25000</v>
      </c>
    </row>
    <row r="30" spans="1:18" x14ac:dyDescent="0.2">
      <c r="C30" s="49">
        <v>37561</v>
      </c>
      <c r="D30">
        <v>3.9089999999999998</v>
      </c>
      <c r="E30" s="58">
        <f t="shared" si="4"/>
        <v>0.25800000000000001</v>
      </c>
      <c r="F30" s="52">
        <f>AVERAGE(D30:D34)</f>
        <v>4.0936000000000003</v>
      </c>
      <c r="G30" s="62">
        <f>F30-F26</f>
        <v>0.52140000000000031</v>
      </c>
      <c r="H30">
        <v>3.2320000000000002</v>
      </c>
      <c r="I30">
        <v>3.125</v>
      </c>
      <c r="J30">
        <f t="shared" si="3"/>
        <v>0.78399999999999981</v>
      </c>
      <c r="L30">
        <f>2*61</f>
        <v>122</v>
      </c>
      <c r="O30" s="48">
        <v>37071</v>
      </c>
      <c r="P30">
        <v>25000</v>
      </c>
    </row>
    <row r="31" spans="1:18" x14ac:dyDescent="0.2">
      <c r="C31" s="49">
        <v>37591</v>
      </c>
      <c r="D31">
        <v>4.1340000000000003</v>
      </c>
      <c r="E31" s="58">
        <f t="shared" si="4"/>
        <v>0.22500000000000053</v>
      </c>
      <c r="H31">
        <v>3.2519999999999998</v>
      </c>
      <c r="I31">
        <v>3.15</v>
      </c>
      <c r="J31">
        <f t="shared" si="3"/>
        <v>0.98400000000000043</v>
      </c>
      <c r="O31" s="48">
        <v>37072</v>
      </c>
      <c r="P31">
        <v>25000</v>
      </c>
    </row>
    <row r="32" spans="1:18" x14ac:dyDescent="0.2">
      <c r="C32" s="49">
        <v>37622</v>
      </c>
      <c r="D32">
        <v>4.2290000000000001</v>
      </c>
      <c r="E32" s="58">
        <f t="shared" si="4"/>
        <v>9.4999999999999751E-2</v>
      </c>
      <c r="H32">
        <v>3.2850000000000001</v>
      </c>
      <c r="I32">
        <v>3.1850000000000001</v>
      </c>
      <c r="J32">
        <f t="shared" si="3"/>
        <v>1.044</v>
      </c>
      <c r="L32" t="s">
        <v>42</v>
      </c>
      <c r="P32">
        <v>25000</v>
      </c>
    </row>
    <row r="33" spans="3:10" x14ac:dyDescent="0.2">
      <c r="C33" s="49">
        <v>37653</v>
      </c>
      <c r="D33">
        <v>4.1669999999999998</v>
      </c>
      <c r="E33" s="58">
        <f t="shared" si="4"/>
        <v>-6.2000000000000277E-2</v>
      </c>
      <c r="H33">
        <v>3.3250000000000002</v>
      </c>
      <c r="I33">
        <v>3.2250000000000001</v>
      </c>
      <c r="J33">
        <f t="shared" si="3"/>
        <v>0.94199999999999973</v>
      </c>
    </row>
    <row r="34" spans="3:10" x14ac:dyDescent="0.2">
      <c r="C34" s="49">
        <v>37681</v>
      </c>
      <c r="D34">
        <v>4.0289999999999999</v>
      </c>
      <c r="E34" s="58">
        <f t="shared" si="4"/>
        <v>-0.1379999999999999</v>
      </c>
      <c r="H34">
        <v>3.3620000000000001</v>
      </c>
      <c r="I34">
        <v>3.262</v>
      </c>
      <c r="J34">
        <f t="shared" si="3"/>
        <v>0.7669999999999999</v>
      </c>
    </row>
    <row r="35" spans="3:10" x14ac:dyDescent="0.2">
      <c r="C35" s="49">
        <v>37712</v>
      </c>
      <c r="D35">
        <v>3.8340000000000001</v>
      </c>
      <c r="E35" s="58">
        <f t="shared" si="4"/>
        <v>-0.19499999999999984</v>
      </c>
      <c r="H35">
        <v>3.36</v>
      </c>
      <c r="I35">
        <v>3.26</v>
      </c>
      <c r="J35">
        <f t="shared" si="3"/>
        <v>0.57400000000000029</v>
      </c>
    </row>
    <row r="36" spans="3:10" x14ac:dyDescent="0.2">
      <c r="C36" s="49">
        <v>37742</v>
      </c>
      <c r="D36">
        <v>3.8090000000000002</v>
      </c>
      <c r="E36" s="58">
        <f t="shared" si="4"/>
        <v>-2.4999999999999911E-2</v>
      </c>
      <c r="F36" s="85">
        <f>AVERAGE(D30:D36)</f>
        <v>4.0158571428571426</v>
      </c>
      <c r="G36" s="62">
        <f>F36-F30</f>
        <v>-7.774285714285778E-2</v>
      </c>
      <c r="H36">
        <v>3.3719999999999999</v>
      </c>
      <c r="I36">
        <v>3.2719999999999998</v>
      </c>
      <c r="J36">
        <f t="shared" si="3"/>
        <v>0.53700000000000037</v>
      </c>
    </row>
    <row r="37" spans="3:10" x14ac:dyDescent="0.2">
      <c r="C37" s="49">
        <v>37773</v>
      </c>
      <c r="D37">
        <v>3.831</v>
      </c>
      <c r="E37" s="58">
        <f t="shared" si="4"/>
        <v>2.1999999999999797E-2</v>
      </c>
      <c r="H37">
        <v>3.532</v>
      </c>
      <c r="I37">
        <v>3.4319999999999999</v>
      </c>
      <c r="J37">
        <f t="shared" si="3"/>
        <v>0.39900000000000002</v>
      </c>
    </row>
    <row r="38" spans="3:10" x14ac:dyDescent="0.2">
      <c r="C38" s="49">
        <v>37803</v>
      </c>
      <c r="D38">
        <v>3.8690000000000002</v>
      </c>
      <c r="E38" s="58">
        <f t="shared" si="4"/>
        <v>3.8000000000000256E-2</v>
      </c>
      <c r="F38" s="84">
        <f>AVERAGE(D27:D38)</f>
        <v>3.8896666666666668</v>
      </c>
      <c r="G38" s="44">
        <f>F38-F30</f>
        <v>-0.20393333333333352</v>
      </c>
      <c r="H38">
        <v>3.6949999999999998</v>
      </c>
      <c r="I38">
        <v>3.5950000000000002</v>
      </c>
      <c r="J38">
        <f t="shared" si="3"/>
        <v>0.27400000000000002</v>
      </c>
    </row>
    <row r="39" spans="3:10" x14ac:dyDescent="0.2">
      <c r="C39" s="49"/>
    </row>
    <row r="40" spans="3:10" x14ac:dyDescent="0.2">
      <c r="C40" s="49"/>
    </row>
    <row r="41" spans="3:10" x14ac:dyDescent="0.2">
      <c r="C41" s="49"/>
    </row>
  </sheetData>
  <mergeCells count="1">
    <mergeCell ref="G15:H15"/>
  </mergeCells>
  <phoneticPr fontId="0" type="noConversion"/>
  <pageMargins left="0.75" right="0.75" top="1" bottom="1" header="0.5" footer="0.5"/>
  <pageSetup scale="5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G4" sqref="F4:G5"/>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c r="C2" s="27"/>
      <c r="D2" s="32"/>
      <c r="E2" s="5"/>
      <c r="F2" s="33">
        <v>76</v>
      </c>
      <c r="G2" s="27">
        <v>3.59</v>
      </c>
      <c r="H2" s="34"/>
      <c r="J2" s="35">
        <f>IF(F2&lt;1,(C2-C31)*(B2*10000),(C31-G2)*(F2*10000))</f>
        <v>46360.000000000291</v>
      </c>
      <c r="L2" s="7" t="s">
        <v>13</v>
      </c>
    </row>
    <row r="3" spans="1:12" x14ac:dyDescent="0.2">
      <c r="A3" s="6">
        <f>POSTION!$E$20</f>
        <v>11</v>
      </c>
      <c r="B3" s="63"/>
      <c r="C3" s="2"/>
      <c r="D3" s="64">
        <f t="shared" ref="D3:D25" si="0">B3*C3*10000</f>
        <v>0</v>
      </c>
      <c r="E3" s="2"/>
      <c r="F3" s="65"/>
      <c r="G3" s="2"/>
      <c r="H3" s="66">
        <f t="shared" ref="H3:H25" si="1">F3*G3*10000</f>
        <v>0</v>
      </c>
      <c r="J3" s="36" t="e">
        <f>IF(F2&lt;1,(J10*10000)*(C2-C30),(J10*10000)*(C30-G2))</f>
        <v>#REF!</v>
      </c>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2" thickBot="1" x14ac:dyDescent="0.25">
      <c r="B6" s="8"/>
      <c r="C6" s="3"/>
      <c r="D6" s="4">
        <f t="shared" si="0"/>
        <v>0</v>
      </c>
      <c r="E6" s="5"/>
      <c r="F6" s="9"/>
      <c r="G6" s="3"/>
      <c r="H6" s="10">
        <f t="shared" si="1"/>
        <v>0</v>
      </c>
      <c r="J6" s="42">
        <f>J2+J4</f>
        <v>46360.000000000291</v>
      </c>
      <c r="K6" s="14"/>
      <c r="L6" s="5" t="s">
        <v>19</v>
      </c>
    </row>
    <row r="7" spans="1:12" ht="12" thickTop="1" x14ac:dyDescent="0.2">
      <c r="B7" s="8"/>
      <c r="C7" s="3"/>
      <c r="D7" s="4">
        <f t="shared" si="0"/>
        <v>0</v>
      </c>
      <c r="E7" s="5"/>
      <c r="F7" s="9"/>
      <c r="G7" s="3"/>
      <c r="H7" s="10">
        <f t="shared" si="1"/>
        <v>0</v>
      </c>
      <c r="J7" s="11"/>
    </row>
    <row r="8" spans="1:12" x14ac:dyDescent="0.2">
      <c r="B8" s="9"/>
      <c r="C8" s="3"/>
      <c r="D8" s="4">
        <f t="shared" si="0"/>
        <v>0</v>
      </c>
      <c r="E8" s="5"/>
      <c r="F8" s="9"/>
      <c r="G8" s="3"/>
      <c r="H8" s="10">
        <f t="shared" si="1"/>
        <v>0</v>
      </c>
      <c r="J8" s="11"/>
      <c r="L8" s="5"/>
    </row>
    <row r="9" spans="1:12" x14ac:dyDescent="0.2">
      <c r="B9" s="9"/>
      <c r="C9" s="3"/>
      <c r="D9" s="4">
        <f t="shared" si="0"/>
        <v>0</v>
      </c>
      <c r="E9" s="5"/>
      <c r="F9" s="9"/>
      <c r="G9" s="3"/>
      <c r="H9" s="10">
        <f t="shared" si="1"/>
        <v>0</v>
      </c>
      <c r="J9" s="39">
        <f>F30-B2+F2</f>
        <v>76</v>
      </c>
      <c r="L9" s="6" t="s">
        <v>8</v>
      </c>
    </row>
    <row r="10" spans="1:12" x14ac:dyDescent="0.2">
      <c r="B10" s="9"/>
      <c r="C10" s="3"/>
      <c r="D10" s="4">
        <f t="shared" si="0"/>
        <v>0</v>
      </c>
      <c r="E10" s="5"/>
      <c r="F10" s="9"/>
      <c r="G10" s="3"/>
      <c r="H10" s="10">
        <f t="shared" si="1"/>
        <v>0</v>
      </c>
      <c r="J10" s="40">
        <f>IF($F$2&lt;1,(-1*$J$9/$A$3),$J$9/$A$3)</f>
        <v>6.9090909090909092</v>
      </c>
      <c r="L10" s="6" t="s">
        <v>20</v>
      </c>
    </row>
    <row r="11" spans="1:12" x14ac:dyDescent="0.2">
      <c r="B11" s="9"/>
      <c r="C11" s="3"/>
      <c r="D11" s="4">
        <f t="shared" si="0"/>
        <v>0</v>
      </c>
      <c r="E11" s="5"/>
      <c r="F11" s="9"/>
      <c r="G11" s="3"/>
      <c r="H11" s="10">
        <f t="shared" si="1"/>
        <v>0</v>
      </c>
      <c r="J11" s="41">
        <f>J9</f>
        <v>76</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20.727272727272727</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f>2000*31</f>
        <v>62000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C30" s="6" t="e">
        <f>POSTION!#REF!</f>
        <v>#REF!</v>
      </c>
      <c r="D30" s="16" t="s">
        <v>12</v>
      </c>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POSTION!B14</f>
        <v>3.6510000000000002</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6" sqref="C6"/>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v>100</v>
      </c>
      <c r="C2" s="27">
        <v>4.1680000000000001</v>
      </c>
      <c r="D2" s="32"/>
      <c r="E2" s="5"/>
      <c r="F2" s="33"/>
      <c r="G2" s="27"/>
      <c r="H2" s="34"/>
      <c r="J2" s="35">
        <f>IF(F2&lt;1,(C2-C31)*(B2*10000),(C31-G2)*(F2*10000))</f>
        <v>-60999.999999999942</v>
      </c>
      <c r="L2" s="7" t="s">
        <v>13</v>
      </c>
    </row>
    <row r="3" spans="1:12" x14ac:dyDescent="0.2">
      <c r="A3" s="6">
        <f>POSTION!$E$20</f>
        <v>11</v>
      </c>
      <c r="B3" s="63"/>
      <c r="C3" s="2"/>
      <c r="D3" s="64">
        <f t="shared" ref="D3:D25" si="0">B3*C3*10000</f>
        <v>0</v>
      </c>
      <c r="E3" s="2"/>
      <c r="F3" s="65"/>
      <c r="G3" s="2"/>
      <c r="H3" s="66">
        <f t="shared" ref="H3:H25" si="1">F3*G3*10000</f>
        <v>0</v>
      </c>
      <c r="J3" s="36" t="e">
        <f>IF(F2&lt;1,(J10*10000)*(C2-C30),(J10*10000)*(C30-G2))</f>
        <v>#REF!</v>
      </c>
      <c r="L3" s="12" t="s">
        <v>15</v>
      </c>
    </row>
    <row r="4" spans="1:12" x14ac:dyDescent="0.2">
      <c r="B4" s="8">
        <v>8</v>
      </c>
      <c r="C4" s="3">
        <v>4.2350000000000003</v>
      </c>
      <c r="D4" s="4">
        <f t="shared" si="0"/>
        <v>338800</v>
      </c>
      <c r="E4" s="5"/>
      <c r="F4" s="9"/>
      <c r="G4" s="3"/>
      <c r="H4" s="10">
        <f t="shared" si="1"/>
        <v>0</v>
      </c>
      <c r="J4" s="23">
        <f>F37</f>
        <v>0</v>
      </c>
      <c r="K4" s="11"/>
      <c r="L4" s="5" t="s">
        <v>18</v>
      </c>
    </row>
    <row r="5" spans="1:12" x14ac:dyDescent="0.2">
      <c r="B5" s="8">
        <v>12</v>
      </c>
      <c r="C5" s="3">
        <v>4.2249999999999996</v>
      </c>
      <c r="D5" s="4">
        <f t="shared" si="0"/>
        <v>506999.99999999994</v>
      </c>
      <c r="E5" s="5"/>
      <c r="F5" s="9"/>
      <c r="G5" s="3"/>
      <c r="H5" s="10">
        <f t="shared" si="1"/>
        <v>0</v>
      </c>
      <c r="J5" s="11"/>
      <c r="K5" s="14"/>
      <c r="L5" s="5"/>
    </row>
    <row r="6" spans="1:12" ht="12" thickBot="1" x14ac:dyDescent="0.25">
      <c r="B6" s="8"/>
      <c r="C6" s="3"/>
      <c r="D6" s="4">
        <f t="shared" si="0"/>
        <v>0</v>
      </c>
      <c r="E6" s="5"/>
      <c r="F6" s="9"/>
      <c r="G6" s="3"/>
      <c r="H6" s="10">
        <f t="shared" si="1"/>
        <v>0</v>
      </c>
      <c r="J6" s="42">
        <f>J2+J4</f>
        <v>-60999.999999999942</v>
      </c>
      <c r="K6" s="14"/>
      <c r="L6" s="5" t="s">
        <v>19</v>
      </c>
    </row>
    <row r="7" spans="1:12" ht="12" thickTop="1" x14ac:dyDescent="0.2">
      <c r="B7" s="8"/>
      <c r="C7" s="3"/>
      <c r="D7" s="4">
        <f t="shared" si="0"/>
        <v>0</v>
      </c>
      <c r="E7" s="5"/>
      <c r="F7" s="9"/>
      <c r="G7" s="3"/>
      <c r="H7" s="10">
        <f t="shared" si="1"/>
        <v>0</v>
      </c>
      <c r="J7" s="11"/>
    </row>
    <row r="8" spans="1:12" x14ac:dyDescent="0.2">
      <c r="B8" s="9"/>
      <c r="C8" s="3"/>
      <c r="D8" s="4">
        <f t="shared" si="0"/>
        <v>0</v>
      </c>
      <c r="E8" s="5"/>
      <c r="F8" s="9"/>
      <c r="G8" s="3"/>
      <c r="H8" s="10">
        <f t="shared" si="1"/>
        <v>0</v>
      </c>
      <c r="J8" s="11"/>
      <c r="L8" s="5"/>
    </row>
    <row r="9" spans="1:12" x14ac:dyDescent="0.2">
      <c r="B9" s="9"/>
      <c r="C9" s="3"/>
      <c r="D9" s="4">
        <f t="shared" si="0"/>
        <v>0</v>
      </c>
      <c r="E9" s="5"/>
      <c r="F9" s="9"/>
      <c r="G9" s="3"/>
      <c r="H9" s="10">
        <f t="shared" si="1"/>
        <v>0</v>
      </c>
      <c r="J9" s="39">
        <f>F30-B2+F2</f>
        <v>-120</v>
      </c>
      <c r="L9" s="6" t="s">
        <v>8</v>
      </c>
    </row>
    <row r="10" spans="1:12" x14ac:dyDescent="0.2">
      <c r="B10" s="9"/>
      <c r="C10" s="3"/>
      <c r="D10" s="4">
        <f t="shared" si="0"/>
        <v>0</v>
      </c>
      <c r="E10" s="5"/>
      <c r="F10" s="9"/>
      <c r="G10" s="3"/>
      <c r="H10" s="10">
        <f t="shared" si="1"/>
        <v>0</v>
      </c>
      <c r="J10" s="40">
        <f>IF($F$2&lt;1,(-1*$J$9/$A$3),$J$9/$A$3)</f>
        <v>10.909090909090908</v>
      </c>
      <c r="L10" s="6" t="s">
        <v>20</v>
      </c>
    </row>
    <row r="11" spans="1:12" x14ac:dyDescent="0.2">
      <c r="B11" s="9"/>
      <c r="C11" s="3"/>
      <c r="D11" s="4">
        <f t="shared" si="0"/>
        <v>0</v>
      </c>
      <c r="E11" s="5"/>
      <c r="F11" s="9"/>
      <c r="G11" s="3"/>
      <c r="H11" s="10">
        <f t="shared" si="1"/>
        <v>0</v>
      </c>
      <c r="J11" s="41">
        <f>J9</f>
        <v>-120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32.727272727272727</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L20" s="6">
        <v>15.5</v>
      </c>
      <c r="M20" s="6">
        <v>3.4449999999999998</v>
      </c>
      <c r="N20" s="6">
        <f>L20*M20</f>
        <v>53.397500000000001</v>
      </c>
    </row>
    <row r="21" spans="2:14" x14ac:dyDescent="0.2">
      <c r="B21" s="9"/>
      <c r="C21" s="3"/>
      <c r="D21" s="4">
        <f t="shared" si="0"/>
        <v>0</v>
      </c>
      <c r="E21" s="5"/>
      <c r="F21" s="9"/>
      <c r="G21" s="3"/>
      <c r="H21" s="10">
        <f t="shared" si="1"/>
        <v>0</v>
      </c>
      <c r="J21" s="37"/>
      <c r="L21" s="6">
        <v>22.5</v>
      </c>
      <c r="M21" s="6">
        <v>3.3849999999999998</v>
      </c>
      <c r="N21" s="6">
        <f>L21*M21</f>
        <v>76.162499999999994</v>
      </c>
    </row>
    <row r="22" spans="2:14" x14ac:dyDescent="0.2">
      <c r="B22" s="9"/>
      <c r="C22" s="3"/>
      <c r="D22" s="4">
        <f t="shared" si="0"/>
        <v>0</v>
      </c>
      <c r="E22" s="5"/>
      <c r="F22" s="9"/>
      <c r="G22" s="3"/>
      <c r="H22" s="10">
        <f t="shared" si="1"/>
        <v>0</v>
      </c>
      <c r="J22" s="37"/>
      <c r="L22" s="6">
        <v>46.5</v>
      </c>
      <c r="M22" s="6">
        <v>3.35</v>
      </c>
      <c r="N22" s="6">
        <f>L22*M22</f>
        <v>155.77500000000001</v>
      </c>
    </row>
    <row r="23" spans="2:14" x14ac:dyDescent="0.2">
      <c r="B23" s="9"/>
      <c r="C23" s="3"/>
      <c r="D23" s="4">
        <f t="shared" si="0"/>
        <v>0</v>
      </c>
      <c r="E23" s="5"/>
      <c r="F23" s="9"/>
      <c r="G23" s="3"/>
      <c r="H23" s="10">
        <f t="shared" si="1"/>
        <v>0</v>
      </c>
      <c r="J23" s="37"/>
      <c r="L23" s="6">
        <f>SUM(L20:L22)</f>
        <v>84.5</v>
      </c>
      <c r="N23" s="6">
        <f>SUM(N20:N22)</f>
        <v>285.33500000000004</v>
      </c>
    </row>
    <row r="24" spans="2:14" x14ac:dyDescent="0.2">
      <c r="B24" s="9"/>
      <c r="C24" s="3"/>
      <c r="D24" s="4">
        <f t="shared" si="0"/>
        <v>0</v>
      </c>
      <c r="E24" s="5"/>
      <c r="F24" s="9"/>
      <c r="G24" s="3"/>
      <c r="H24" s="10">
        <f t="shared" si="1"/>
        <v>0</v>
      </c>
      <c r="J24" s="37"/>
      <c r="M24" s="6">
        <f>N23/L23</f>
        <v>3.3767455621301781</v>
      </c>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20</v>
      </c>
      <c r="C27" s="18">
        <f>IF(B27=0, 0, D27/B27/10000)</f>
        <v>4.2290000000000001</v>
      </c>
      <c r="D27" s="4">
        <f>SUM(D2:D26)</f>
        <v>845800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-20</v>
      </c>
      <c r="G29" s="6">
        <f>IF(F29&lt;0,C27,G27)</f>
        <v>4.2290000000000001</v>
      </c>
      <c r="H29" s="21">
        <f>IF(F29&lt;0, (G29-C31)*ABS(F29)*10000, -1*(G29-C31)*ABS(F29)*10000)</f>
        <v>0</v>
      </c>
      <c r="J29" s="28"/>
      <c r="K29" s="29"/>
      <c r="L29" s="29"/>
      <c r="M29" s="5"/>
      <c r="N29" s="5"/>
    </row>
    <row r="30" spans="2:14" x14ac:dyDescent="0.2">
      <c r="C30" s="6" t="e">
        <f>POSTION!#REF!</f>
        <v>#REF!</v>
      </c>
      <c r="D30" s="16" t="s">
        <v>12</v>
      </c>
      <c r="F30" s="22">
        <f>-B27+F27</f>
        <v>-20</v>
      </c>
      <c r="G30" s="6">
        <f>IF(F30&lt;0, (C27+(J26/(ABS(F30)*10000))), IF(F30 = 0, 0, (G27-(J26/(ABS(F30)*10000)))))</f>
        <v>4.2290000000000001</v>
      </c>
      <c r="H30" s="21">
        <f>IF(F30&lt;0, (G30-C31)*ABS(F30)*10000, IF(F30 = 0, 0, -1*(G30-C31)*ABS(F30)*10000))</f>
        <v>0</v>
      </c>
      <c r="J30" s="28"/>
      <c r="K30" s="29"/>
      <c r="L30" s="29"/>
      <c r="M30" s="5"/>
      <c r="N30" s="5"/>
    </row>
    <row r="31" spans="2:14" x14ac:dyDescent="0.2">
      <c r="C31" s="97">
        <f>POSTION!B16</f>
        <v>4.2290000000000001</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J16" sqref="J16"/>
    </sheetView>
  </sheetViews>
  <sheetFormatPr defaultColWidth="8" defaultRowHeight="12.75" x14ac:dyDescent="0.2"/>
  <cols>
    <col min="1" max="4" width="10.7109375" customWidth="1"/>
    <col min="5" max="5" width="9.140625" customWidth="1"/>
    <col min="6" max="10" width="10.7109375" customWidth="1"/>
  </cols>
  <sheetData>
    <row r="1" spans="1:10" x14ac:dyDescent="0.2">
      <c r="A1" s="75" t="s">
        <v>30</v>
      </c>
      <c r="B1" s="75" t="s">
        <v>38</v>
      </c>
      <c r="C1" s="75" t="s">
        <v>31</v>
      </c>
      <c r="D1" s="75" t="s">
        <v>37</v>
      </c>
      <c r="E1" s="75" t="s">
        <v>39</v>
      </c>
      <c r="F1" s="75" t="s">
        <v>32</v>
      </c>
      <c r="G1" s="75" t="s">
        <v>33</v>
      </c>
      <c r="H1" s="75" t="s">
        <v>34</v>
      </c>
      <c r="I1" s="75" t="s">
        <v>35</v>
      </c>
      <c r="J1" s="75" t="s">
        <v>36</v>
      </c>
    </row>
    <row r="2" spans="1:10" x14ac:dyDescent="0.2">
      <c r="A2">
        <v>64000</v>
      </c>
      <c r="B2">
        <f>B7</f>
        <v>24516.129032258064</v>
      </c>
      <c r="C2">
        <v>-20000</v>
      </c>
      <c r="D2" s="43">
        <f>(D7*10000)/31</f>
        <v>0</v>
      </c>
      <c r="F2" s="43">
        <f>POSTION!D4</f>
        <v>158</v>
      </c>
      <c r="G2" s="43">
        <f>POSTION!D5</f>
        <v>-107.5</v>
      </c>
      <c r="H2" s="43">
        <f>POSTION!D6</f>
        <v>0</v>
      </c>
      <c r="I2" s="43">
        <f>POSTION!D7</f>
        <v>0</v>
      </c>
      <c r="J2" s="43">
        <f>POSTION!D8</f>
        <v>38.200000000000003</v>
      </c>
    </row>
    <row r="3" spans="1:10" x14ac:dyDescent="0.2">
      <c r="A3">
        <v>10000</v>
      </c>
      <c r="C3">
        <v>20000</v>
      </c>
      <c r="I3">
        <v>-7.75</v>
      </c>
    </row>
    <row r="4" spans="1:10" x14ac:dyDescent="0.2">
      <c r="I4">
        <v>-46</v>
      </c>
    </row>
    <row r="7" spans="1:10" x14ac:dyDescent="0.2">
      <c r="A7">
        <f>SUM(A2:A6)</f>
        <v>74000</v>
      </c>
      <c r="B7">
        <f>(B8*10000)/31</f>
        <v>24516.129032258064</v>
      </c>
      <c r="C7">
        <f>SUM(C2:C6)</f>
        <v>0</v>
      </c>
      <c r="D7" s="43">
        <f>'X-H_SWAP'!J11</f>
        <v>0</v>
      </c>
      <c r="E7" s="43">
        <f>JAN3_nym!J11</f>
        <v>-120</v>
      </c>
    </row>
    <row r="8" spans="1:10" x14ac:dyDescent="0.2">
      <c r="A8">
        <f>(A7*31)/10000</f>
        <v>229.4</v>
      </c>
      <c r="B8" s="43">
        <f>OCT_nym!J11</f>
        <v>76</v>
      </c>
      <c r="C8">
        <f>(C7*31)/10000</f>
        <v>0</v>
      </c>
      <c r="D8" s="43">
        <f>D7</f>
        <v>0</v>
      </c>
      <c r="E8" s="43">
        <f>E7</f>
        <v>-120</v>
      </c>
      <c r="F8" s="43">
        <f>SUM(F2:F7)</f>
        <v>158</v>
      </c>
      <c r="G8" s="43">
        <f>SUM(G2:G7)</f>
        <v>-107.5</v>
      </c>
      <c r="H8" s="43">
        <f>SUM(H2:H7)</f>
        <v>0</v>
      </c>
      <c r="I8" s="43">
        <f>SUM(I2:I7)</f>
        <v>-53.75</v>
      </c>
      <c r="J8" s="43">
        <f>SUM(J2:J7)</f>
        <v>38.200000000000003</v>
      </c>
    </row>
    <row r="10" spans="1:10" x14ac:dyDescent="0.2">
      <c r="B10" s="76">
        <f>SUM(A8:E8)+SUM(G8:J8)</f>
        <v>62.34999999999998</v>
      </c>
    </row>
    <row r="12" spans="1:10" x14ac:dyDescent="0.2">
      <c r="A12">
        <v>75000</v>
      </c>
      <c r="B12" t="s">
        <v>40</v>
      </c>
    </row>
    <row r="15" spans="1:10" x14ac:dyDescent="0.2">
      <c r="C15">
        <f>6.4*31</f>
        <v>198.4</v>
      </c>
    </row>
    <row r="16" spans="1:10" x14ac:dyDescent="0.2">
      <c r="F16">
        <v>3.1819999999999999</v>
      </c>
      <c r="G16">
        <v>3.286</v>
      </c>
    </row>
    <row r="17" spans="6:7" x14ac:dyDescent="0.2">
      <c r="F17">
        <v>0.05</v>
      </c>
    </row>
    <row r="18" spans="6:7" x14ac:dyDescent="0.2">
      <c r="F18">
        <f>SUM(F16:F17)</f>
        <v>3.2319999999999998</v>
      </c>
      <c r="G18">
        <v>2.2349999999999999</v>
      </c>
    </row>
  </sheetData>
  <phoneticPr fontId="0" type="noConversion"/>
  <pageMargins left="0.75" right="0.75" top="1" bottom="1" header="0.5" footer="0.5"/>
  <pageSetup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P41"/>
  <sheetViews>
    <sheetView zoomScale="80" workbookViewId="0">
      <selection activeCell="I16" sqref="I16"/>
    </sheetView>
  </sheetViews>
  <sheetFormatPr defaultRowHeight="12.75" x14ac:dyDescent="0.2"/>
  <cols>
    <col min="1" max="1" width="8.28515625" customWidth="1"/>
    <col min="2" max="2" width="8.85546875" bestFit="1" customWidth="1"/>
    <col min="3" max="3" width="18.140625" bestFit="1" customWidth="1"/>
    <col min="4" max="4" width="16.28515625" bestFit="1" customWidth="1"/>
    <col min="6" max="6" width="11.7109375" customWidth="1"/>
    <col min="7" max="7" width="14.42578125" bestFit="1" customWidth="1"/>
    <col min="8" max="8" width="13.42578125" bestFit="1" customWidth="1"/>
    <col min="9" max="9" width="9.42578125" customWidth="1"/>
    <col min="10" max="10" width="8.5703125" customWidth="1"/>
    <col min="11" max="11" width="9.85546875" bestFit="1" customWidth="1"/>
    <col min="12" max="12" width="11" customWidth="1"/>
    <col min="15" max="15" width="9.85546875" bestFit="1" customWidth="1"/>
  </cols>
  <sheetData>
    <row r="3" spans="2:15" s="45" customFormat="1" ht="25.5" x14ac:dyDescent="0.2">
      <c r="B3" s="45" t="s">
        <v>13</v>
      </c>
      <c r="D3" s="56" t="s">
        <v>8</v>
      </c>
      <c r="E3" s="46" t="s">
        <v>20</v>
      </c>
      <c r="F3" s="45" t="s">
        <v>17</v>
      </c>
      <c r="G3" s="45" t="s">
        <v>13</v>
      </c>
      <c r="H3" s="45" t="s">
        <v>22</v>
      </c>
      <c r="J3" s="47" t="s">
        <v>14</v>
      </c>
      <c r="L3" s="45" t="s">
        <v>24</v>
      </c>
      <c r="M3" s="67" t="s">
        <v>26</v>
      </c>
      <c r="N3" s="45" t="s">
        <v>27</v>
      </c>
    </row>
    <row r="4" spans="2:15" x14ac:dyDescent="0.2">
      <c r="B4">
        <v>3.319</v>
      </c>
      <c r="C4" t="s">
        <v>43</v>
      </c>
      <c r="D4" s="57">
        <v>-50.75</v>
      </c>
      <c r="F4" s="50">
        <v>56890.000000000437</v>
      </c>
      <c r="G4" s="50">
        <v>-27420</v>
      </c>
      <c r="H4" s="50">
        <v>29470.000000000411</v>
      </c>
      <c r="K4">
        <v>3.5910000000000002</v>
      </c>
      <c r="L4" s="62">
        <v>-0.27200000000000024</v>
      </c>
      <c r="M4" s="57">
        <v>-46.5</v>
      </c>
      <c r="N4" s="43">
        <v>-4.25</v>
      </c>
      <c r="O4" s="48">
        <v>37043</v>
      </c>
    </row>
    <row r="5" spans="2:15" x14ac:dyDescent="0.2">
      <c r="B5" s="100">
        <v>3.3719999999999999</v>
      </c>
      <c r="C5" t="s">
        <v>44</v>
      </c>
      <c r="D5" s="57">
        <v>-47</v>
      </c>
      <c r="F5" s="50">
        <v>-13450</v>
      </c>
      <c r="G5" s="50">
        <v>-24419.999999999938</v>
      </c>
      <c r="H5" s="50">
        <v>-37870</v>
      </c>
      <c r="K5">
        <v>3.6150000000000002</v>
      </c>
      <c r="L5" s="62">
        <v>-0.24300000000000033</v>
      </c>
      <c r="M5" s="57">
        <v>-9.3000000000000007</v>
      </c>
      <c r="N5" s="43">
        <v>-37.700000000000003</v>
      </c>
      <c r="O5" s="48">
        <v>37044</v>
      </c>
    </row>
    <row r="6" spans="2:15" x14ac:dyDescent="0.2">
      <c r="B6" s="100">
        <v>3.407</v>
      </c>
      <c r="C6" t="s">
        <v>45</v>
      </c>
      <c r="D6" s="57">
        <v>0</v>
      </c>
      <c r="F6" s="50">
        <v>0</v>
      </c>
      <c r="G6" s="50">
        <v>0</v>
      </c>
      <c r="H6" s="50">
        <v>0</v>
      </c>
      <c r="K6">
        <v>3.645</v>
      </c>
      <c r="L6" s="62">
        <v>-0.23799999999999999</v>
      </c>
      <c r="M6" s="57">
        <v>-3.1</v>
      </c>
      <c r="N6" s="43">
        <v>3.1</v>
      </c>
      <c r="O6" s="48">
        <v>37045</v>
      </c>
    </row>
    <row r="7" spans="2:15" x14ac:dyDescent="0.2">
      <c r="B7" s="100">
        <v>3.4470000000000001</v>
      </c>
      <c r="C7" t="s">
        <v>46</v>
      </c>
      <c r="D7" s="57">
        <v>0</v>
      </c>
      <c r="F7" s="50">
        <v>0</v>
      </c>
      <c r="G7" s="50">
        <v>0</v>
      </c>
      <c r="H7" s="50">
        <v>0</v>
      </c>
      <c r="K7">
        <v>3.6749999999999998</v>
      </c>
      <c r="L7" s="62">
        <v>-0.22799999999999976</v>
      </c>
      <c r="M7" s="57">
        <v>0</v>
      </c>
      <c r="N7" s="43">
        <v>0</v>
      </c>
      <c r="O7" s="48">
        <v>37046</v>
      </c>
    </row>
    <row r="8" spans="2:15" x14ac:dyDescent="0.2">
      <c r="B8" s="80">
        <v>3.40733</v>
      </c>
      <c r="C8" t="s">
        <v>47</v>
      </c>
      <c r="D8" s="57">
        <v>46</v>
      </c>
      <c r="F8" s="50">
        <v>0</v>
      </c>
      <c r="G8" s="50">
        <v>28303.799999999937</v>
      </c>
      <c r="H8" s="50">
        <v>28303.799999999937</v>
      </c>
      <c r="K8">
        <v>3.6416000000000004</v>
      </c>
      <c r="L8" s="62">
        <v>-0.23427000000000042</v>
      </c>
      <c r="M8" s="57">
        <v>0</v>
      </c>
      <c r="N8" s="43">
        <v>46</v>
      </c>
      <c r="O8" s="48">
        <v>37047</v>
      </c>
    </row>
    <row r="9" spans="2:15" x14ac:dyDescent="0.2">
      <c r="B9" s="99">
        <v>3.9043299999999999</v>
      </c>
      <c r="C9" t="s">
        <v>7</v>
      </c>
      <c r="D9" s="57">
        <v>0</v>
      </c>
      <c r="F9" s="50">
        <v>0</v>
      </c>
      <c r="G9" s="50">
        <v>0</v>
      </c>
      <c r="H9" s="50">
        <v>0</v>
      </c>
      <c r="K9">
        <v>4.0026000000000002</v>
      </c>
      <c r="L9" s="62">
        <v>-9.8270000000000302E-2</v>
      </c>
      <c r="M9" s="57">
        <v>1</v>
      </c>
      <c r="N9" s="43">
        <v>-1</v>
      </c>
      <c r="O9" s="48"/>
    </row>
    <row r="10" spans="2:15" x14ac:dyDescent="0.2">
      <c r="B10" s="51">
        <v>3.63733</v>
      </c>
      <c r="C10" t="s">
        <v>48</v>
      </c>
      <c r="D10" s="57">
        <v>0</v>
      </c>
      <c r="F10" s="50"/>
      <c r="G10" s="50"/>
      <c r="H10" s="50">
        <v>0</v>
      </c>
      <c r="K10">
        <v>3.8716000000000004</v>
      </c>
      <c r="L10" s="62">
        <v>-0.23427000000000042</v>
      </c>
      <c r="M10" s="57">
        <v>2</v>
      </c>
      <c r="N10" s="43">
        <v>-2</v>
      </c>
      <c r="O10" s="48"/>
    </row>
    <row r="11" spans="2:15" x14ac:dyDescent="0.2">
      <c r="B11" s="80">
        <v>3.319</v>
      </c>
      <c r="C11" t="s">
        <v>5</v>
      </c>
      <c r="D11" s="57">
        <v>0</v>
      </c>
      <c r="E11" s="44">
        <v>0</v>
      </c>
      <c r="F11" s="50">
        <v>0</v>
      </c>
      <c r="G11" s="50">
        <v>0</v>
      </c>
      <c r="H11" s="50">
        <v>0</v>
      </c>
      <c r="I11">
        <v>3.319</v>
      </c>
      <c r="J11" s="52"/>
      <c r="K11">
        <v>3.5910000000000002</v>
      </c>
      <c r="L11" s="62">
        <v>-0.27200000000000024</v>
      </c>
      <c r="M11" s="57">
        <v>-69.7</v>
      </c>
      <c r="N11" s="43">
        <v>69.7</v>
      </c>
      <c r="O11" s="48">
        <v>37048</v>
      </c>
    </row>
    <row r="12" spans="2:15" x14ac:dyDescent="0.2">
      <c r="B12" s="77">
        <v>3.2989999999999999</v>
      </c>
      <c r="C12" t="s">
        <v>6</v>
      </c>
      <c r="D12" s="57">
        <v>0</v>
      </c>
      <c r="E12" s="44">
        <v>0</v>
      </c>
      <c r="F12" s="50">
        <v>0</v>
      </c>
      <c r="G12" s="50">
        <v>0</v>
      </c>
      <c r="H12" s="50">
        <v>0</v>
      </c>
      <c r="I12">
        <v>3.2989999999999999</v>
      </c>
      <c r="J12" s="52"/>
      <c r="K12">
        <v>3.5710000000000002</v>
      </c>
      <c r="L12" s="62">
        <v>-0.27200000000000024</v>
      </c>
      <c r="M12" s="57">
        <v>0</v>
      </c>
      <c r="N12" s="43">
        <v>0</v>
      </c>
      <c r="O12" s="48">
        <v>37049</v>
      </c>
    </row>
    <row r="13" spans="2:15" x14ac:dyDescent="0.2">
      <c r="C13" t="s">
        <v>28</v>
      </c>
      <c r="D13" s="79">
        <v>-51.75</v>
      </c>
      <c r="E13" s="44">
        <v>0</v>
      </c>
      <c r="F13" s="70">
        <v>43440.000000000407</v>
      </c>
      <c r="G13" s="70">
        <v>-23536.2</v>
      </c>
      <c r="H13" s="59"/>
      <c r="M13" s="69">
        <v>-54.2</v>
      </c>
      <c r="N13" s="68">
        <v>2.4500000000000002</v>
      </c>
      <c r="O13" s="48">
        <v>37054</v>
      </c>
    </row>
    <row r="14" spans="2:15" x14ac:dyDescent="0.2">
      <c r="B14" s="93">
        <v>3.4049999999999998</v>
      </c>
      <c r="C14" s="93" t="s">
        <v>53</v>
      </c>
      <c r="D14" s="95">
        <v>50</v>
      </c>
      <c r="F14" s="71">
        <v>12000</v>
      </c>
      <c r="G14" s="60"/>
      <c r="H14" s="61"/>
      <c r="M14">
        <v>0</v>
      </c>
      <c r="N14" s="68">
        <v>50</v>
      </c>
      <c r="O14" s="48">
        <v>37055</v>
      </c>
    </row>
    <row r="15" spans="2:15" x14ac:dyDescent="0.2">
      <c r="B15" s="93"/>
      <c r="C15" s="93"/>
      <c r="D15" s="92"/>
      <c r="F15" s="59"/>
      <c r="G15" s="104">
        <v>19903.800000000381</v>
      </c>
      <c r="H15" s="104"/>
      <c r="J15">
        <v>3.4470000000000001</v>
      </c>
      <c r="M15">
        <v>0</v>
      </c>
      <c r="N15" s="68">
        <v>0</v>
      </c>
      <c r="O15" s="48">
        <v>37056</v>
      </c>
    </row>
    <row r="16" spans="2:15" x14ac:dyDescent="0.2">
      <c r="B16" s="96">
        <v>3.96</v>
      </c>
      <c r="C16" s="94" t="s">
        <v>54</v>
      </c>
      <c r="D16" s="92">
        <v>-50</v>
      </c>
      <c r="F16" s="71">
        <v>-12000</v>
      </c>
      <c r="G16" s="83">
        <v>3500</v>
      </c>
      <c r="H16" s="71"/>
      <c r="J16">
        <v>3.51</v>
      </c>
      <c r="M16">
        <v>0</v>
      </c>
      <c r="O16" s="48">
        <v>37057</v>
      </c>
    </row>
    <row r="17" spans="1:16" x14ac:dyDescent="0.2">
      <c r="G17" s="83">
        <f>G16+G15</f>
        <v>23403.800000000381</v>
      </c>
      <c r="J17">
        <v>3.4750000000000001</v>
      </c>
      <c r="K17" t="s">
        <v>29</v>
      </c>
      <c r="O17" s="48">
        <v>37058</v>
      </c>
    </row>
    <row r="18" spans="1:16" x14ac:dyDescent="0.2">
      <c r="C18" s="72" t="s">
        <v>28</v>
      </c>
      <c r="D18" s="73">
        <v>-51.75</v>
      </c>
      <c r="J18">
        <v>3.39</v>
      </c>
      <c r="M18" s="43">
        <v>75.650000000000006</v>
      </c>
      <c r="N18" s="43">
        <v>52.45</v>
      </c>
      <c r="O18" s="48">
        <v>37059</v>
      </c>
      <c r="P18">
        <v>25000</v>
      </c>
    </row>
    <row r="19" spans="1:16" x14ac:dyDescent="0.2">
      <c r="J19">
        <v>3.39</v>
      </c>
      <c r="O19" s="48">
        <v>37060</v>
      </c>
      <c r="P19">
        <v>25000</v>
      </c>
    </row>
    <row r="20" spans="1:16" x14ac:dyDescent="0.2">
      <c r="C20" t="s">
        <v>16</v>
      </c>
      <c r="E20">
        <v>3</v>
      </c>
      <c r="F20">
        <v>1</v>
      </c>
      <c r="G20" s="52">
        <v>3</v>
      </c>
      <c r="J20">
        <v>3.4750000000000001</v>
      </c>
      <c r="L20">
        <v>43.5</v>
      </c>
      <c r="O20" s="48">
        <v>37061</v>
      </c>
      <c r="P20">
        <v>25000</v>
      </c>
    </row>
    <row r="21" spans="1:16" x14ac:dyDescent="0.2">
      <c r="O21" s="48">
        <v>37062</v>
      </c>
      <c r="P21">
        <v>25000</v>
      </c>
    </row>
    <row r="22" spans="1:16" x14ac:dyDescent="0.2">
      <c r="I22" t="s">
        <v>23</v>
      </c>
      <c r="O22" s="48">
        <v>37063</v>
      </c>
      <c r="P22">
        <v>25000</v>
      </c>
    </row>
    <row r="23" spans="1:16" x14ac:dyDescent="0.2">
      <c r="C23" s="78"/>
      <c r="D23" s="52"/>
      <c r="I23">
        <v>3.3969999999999998</v>
      </c>
      <c r="J23">
        <v>-3.3969999999999998</v>
      </c>
      <c r="O23" s="48">
        <v>37064</v>
      </c>
      <c r="P23">
        <v>25000</v>
      </c>
    </row>
    <row r="24" spans="1:16" x14ac:dyDescent="0.2">
      <c r="A24">
        <v>1</v>
      </c>
      <c r="B24">
        <v>3.4460000000000002</v>
      </c>
      <c r="C24" s="49">
        <v>37377</v>
      </c>
      <c r="D24">
        <v>3.319</v>
      </c>
      <c r="E24" s="58"/>
      <c r="H24">
        <v>2.552</v>
      </c>
      <c r="I24">
        <v>2.3690000000000002</v>
      </c>
      <c r="J24">
        <v>0.95</v>
      </c>
      <c r="O24" s="48">
        <v>37065</v>
      </c>
      <c r="P24">
        <v>25000</v>
      </c>
    </row>
    <row r="25" spans="1:16" x14ac:dyDescent="0.2">
      <c r="A25">
        <v>2</v>
      </c>
      <c r="B25">
        <v>3.3969999999999998</v>
      </c>
      <c r="C25" s="49">
        <v>37408</v>
      </c>
      <c r="D25">
        <v>3.3719999999999999</v>
      </c>
      <c r="E25" s="58">
        <v>5.2999999999999936E-2</v>
      </c>
      <c r="H25">
        <v>2.9020000000000001</v>
      </c>
      <c r="I25">
        <v>2.7530000000000001</v>
      </c>
      <c r="J25">
        <v>0.61899999999999977</v>
      </c>
      <c r="L25">
        <v>217000</v>
      </c>
      <c r="O25" s="48">
        <v>37066</v>
      </c>
      <c r="P25">
        <v>25000</v>
      </c>
    </row>
    <row r="26" spans="1:16" x14ac:dyDescent="0.2">
      <c r="A26">
        <v>3</v>
      </c>
      <c r="B26">
        <v>3.4220000000000002</v>
      </c>
      <c r="C26" s="49">
        <v>37438</v>
      </c>
      <c r="D26">
        <v>3.407</v>
      </c>
      <c r="E26" s="58">
        <v>3.5000000000000142E-2</v>
      </c>
      <c r="F26" s="86">
        <v>3.4073333333333324</v>
      </c>
      <c r="G26">
        <v>8.8333333333332487E-2</v>
      </c>
      <c r="H26">
        <v>3.2519999999999998</v>
      </c>
      <c r="I26">
        <v>3.125</v>
      </c>
      <c r="J26">
        <v>0.28200000000000003</v>
      </c>
      <c r="O26" s="48">
        <v>37067</v>
      </c>
      <c r="P26">
        <v>25000</v>
      </c>
    </row>
    <row r="27" spans="1:16" x14ac:dyDescent="0.2">
      <c r="B27">
        <v>3.4216666666666669</v>
      </c>
      <c r="C27" s="49">
        <v>37469</v>
      </c>
      <c r="D27">
        <v>3.4470000000000001</v>
      </c>
      <c r="E27" s="58">
        <v>0.04</v>
      </c>
      <c r="H27">
        <v>3.4220000000000002</v>
      </c>
      <c r="I27">
        <v>3.3029999999999999</v>
      </c>
      <c r="J27">
        <v>0.14400000000000013</v>
      </c>
      <c r="M27">
        <v>105000</v>
      </c>
      <c r="O27" s="48">
        <v>37068</v>
      </c>
      <c r="P27">
        <v>25000</v>
      </c>
    </row>
    <row r="28" spans="1:16" x14ac:dyDescent="0.2">
      <c r="C28" s="49">
        <v>37500</v>
      </c>
      <c r="D28">
        <v>3.4470000000000001</v>
      </c>
      <c r="E28" s="58">
        <v>0</v>
      </c>
      <c r="H28">
        <v>3.3940000000000001</v>
      </c>
      <c r="I28">
        <v>3.28</v>
      </c>
      <c r="J28">
        <v>0.16700000000000026</v>
      </c>
      <c r="O28" s="48">
        <v>37069</v>
      </c>
      <c r="P28">
        <v>25000</v>
      </c>
    </row>
    <row r="29" spans="1:16" x14ac:dyDescent="0.2">
      <c r="C29" s="49">
        <v>37530</v>
      </c>
      <c r="D29">
        <v>3.452</v>
      </c>
      <c r="E29" s="58">
        <v>4.9999999999998934E-3</v>
      </c>
      <c r="H29">
        <v>3.3250000000000002</v>
      </c>
      <c r="I29">
        <v>3.2149999999999999</v>
      </c>
      <c r="J29">
        <v>0.2370000000000001</v>
      </c>
      <c r="O29" s="48">
        <v>37070</v>
      </c>
      <c r="P29">
        <v>25000</v>
      </c>
    </row>
    <row r="30" spans="1:16" x14ac:dyDescent="0.2">
      <c r="C30" s="49">
        <v>37561</v>
      </c>
      <c r="D30">
        <v>3.7069999999999999</v>
      </c>
      <c r="E30" s="58">
        <v>0.255</v>
      </c>
      <c r="F30" s="52">
        <v>3.8689999999999998</v>
      </c>
      <c r="G30" s="62">
        <v>0.46166666666666734</v>
      </c>
      <c r="H30">
        <v>3.2320000000000002</v>
      </c>
      <c r="I30">
        <v>3.125</v>
      </c>
      <c r="J30">
        <v>0.58199999999999985</v>
      </c>
      <c r="L30">
        <v>122</v>
      </c>
      <c r="O30" s="48">
        <v>37071</v>
      </c>
      <c r="P30">
        <v>25000</v>
      </c>
    </row>
    <row r="31" spans="1:16" x14ac:dyDescent="0.2">
      <c r="C31" s="49">
        <v>37591</v>
      </c>
      <c r="D31">
        <v>3.93</v>
      </c>
      <c r="E31" s="58">
        <v>0.22300000000000031</v>
      </c>
      <c r="H31">
        <v>3.2519999999999998</v>
      </c>
      <c r="I31">
        <v>3.15</v>
      </c>
      <c r="J31">
        <v>0.78</v>
      </c>
      <c r="O31" s="48">
        <v>37072</v>
      </c>
      <c r="P31">
        <v>25000</v>
      </c>
    </row>
    <row r="32" spans="1:16" x14ac:dyDescent="0.2">
      <c r="C32" s="49">
        <v>37622</v>
      </c>
      <c r="D32">
        <v>4.0140000000000002</v>
      </c>
      <c r="E32" s="58">
        <v>8.4000000000000075E-2</v>
      </c>
      <c r="H32">
        <v>3.2850000000000001</v>
      </c>
      <c r="I32">
        <v>3.1850000000000001</v>
      </c>
      <c r="J32">
        <v>0.82900000000000018</v>
      </c>
      <c r="L32" t="s">
        <v>42</v>
      </c>
      <c r="P32">
        <v>25000</v>
      </c>
    </row>
    <row r="33" spans="3:10" x14ac:dyDescent="0.2">
      <c r="C33" s="49">
        <v>37653</v>
      </c>
      <c r="D33">
        <v>3.927</v>
      </c>
      <c r="E33" s="58">
        <v>-8.7000000000000188E-2</v>
      </c>
      <c r="H33">
        <v>3.3250000000000002</v>
      </c>
      <c r="I33">
        <v>3.2250000000000001</v>
      </c>
      <c r="J33">
        <v>0.70199999999999996</v>
      </c>
    </row>
    <row r="34" spans="3:10" x14ac:dyDescent="0.2">
      <c r="C34" s="49">
        <v>37681</v>
      </c>
      <c r="D34">
        <v>3.7669999999999999</v>
      </c>
      <c r="E34" s="58">
        <v>-0.16</v>
      </c>
      <c r="H34">
        <v>3.3620000000000001</v>
      </c>
      <c r="I34">
        <v>3.262</v>
      </c>
      <c r="J34">
        <v>0.505</v>
      </c>
    </row>
    <row r="35" spans="3:10" x14ac:dyDescent="0.2">
      <c r="C35" s="49">
        <v>37712</v>
      </c>
      <c r="D35">
        <v>3.5539999999999998</v>
      </c>
      <c r="E35" s="58">
        <v>-0.21300000000000008</v>
      </c>
      <c r="H35">
        <v>3.36</v>
      </c>
      <c r="I35">
        <v>3.26</v>
      </c>
      <c r="J35">
        <v>0.29400000000000004</v>
      </c>
    </row>
    <row r="36" spans="3:10" x14ac:dyDescent="0.2">
      <c r="C36" s="49">
        <v>37742</v>
      </c>
      <c r="D36">
        <v>3.5369999999999999</v>
      </c>
      <c r="E36" s="58">
        <v>-1.6999999999999904E-2</v>
      </c>
      <c r="F36" s="85">
        <v>3.7765714285714282</v>
      </c>
      <c r="G36" s="62">
        <v>-9.2428571428571527E-2</v>
      </c>
      <c r="H36">
        <v>3.3719999999999999</v>
      </c>
      <c r="I36">
        <v>3.2719999999999998</v>
      </c>
      <c r="J36">
        <v>0.26500000000000001</v>
      </c>
    </row>
    <row r="37" spans="3:10" x14ac:dyDescent="0.2">
      <c r="C37" s="49">
        <v>37773</v>
      </c>
      <c r="D37">
        <v>3.5670000000000002</v>
      </c>
      <c r="E37" s="58">
        <v>3.0000000000000249E-2</v>
      </c>
      <c r="H37">
        <v>3.532</v>
      </c>
      <c r="I37">
        <v>3.4319999999999999</v>
      </c>
      <c r="J37">
        <v>0.13500000000000001</v>
      </c>
    </row>
    <row r="38" spans="3:10" x14ac:dyDescent="0.2">
      <c r="C38" s="49">
        <v>37803</v>
      </c>
      <c r="D38">
        <v>3.5870000000000002</v>
      </c>
      <c r="E38" s="58">
        <v>0.02</v>
      </c>
      <c r="F38" s="84">
        <v>3.6613333333333333</v>
      </c>
      <c r="G38" s="44">
        <v>-0.20766666666666644</v>
      </c>
      <c r="H38">
        <v>3.6949999999999998</v>
      </c>
      <c r="I38">
        <v>3.5950000000000002</v>
      </c>
      <c r="J38">
        <v>-8.0000000000000071E-3</v>
      </c>
    </row>
    <row r="39" spans="3:10" x14ac:dyDescent="0.2">
      <c r="C39" s="49"/>
    </row>
    <row r="40" spans="3:10" x14ac:dyDescent="0.2">
      <c r="C40" s="49"/>
    </row>
    <row r="41" spans="3:10" x14ac:dyDescent="0.2">
      <c r="C41" s="49"/>
    </row>
  </sheetData>
  <mergeCells count="1">
    <mergeCell ref="G15:H15"/>
  </mergeCells>
  <phoneticPr fontId="0" type="noConversion"/>
  <pageMargins left="0.75" right="0.75" top="1" bottom="1" header="0.5" footer="0.5"/>
  <pageSetup scale="7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13"/>
  <sheetViews>
    <sheetView workbookViewId="0">
      <pane ySplit="1" topLeftCell="A4" activePane="bottomLeft" state="frozenSplit"/>
      <selection pane="bottomLeft" activeCell="D31" sqref="D31"/>
    </sheetView>
  </sheetViews>
  <sheetFormatPr defaultRowHeight="12.75" x14ac:dyDescent="0.2"/>
  <cols>
    <col min="2" max="2" width="11.85546875" style="89" bestFit="1" customWidth="1"/>
    <col min="3" max="3" width="9.140625" style="89"/>
    <col min="4" max="4" width="11.28515625" style="89" bestFit="1" customWidth="1"/>
    <col min="9" max="9" width="10.85546875" customWidth="1"/>
    <col min="11" max="11" width="11.28515625" bestFit="1" customWidth="1"/>
  </cols>
  <sheetData>
    <row r="1" spans="1:11" s="90" customFormat="1" ht="25.5" x14ac:dyDescent="0.2">
      <c r="B1" s="91" t="s">
        <v>49</v>
      </c>
      <c r="C1" s="91"/>
      <c r="D1" s="91" t="s">
        <v>50</v>
      </c>
      <c r="E1" s="90" t="s">
        <v>52</v>
      </c>
      <c r="F1" s="91" t="s">
        <v>51</v>
      </c>
      <c r="G1" s="91" t="s">
        <v>56</v>
      </c>
    </row>
    <row r="2" spans="1:11" x14ac:dyDescent="0.2">
      <c r="A2" s="48">
        <v>37347</v>
      </c>
      <c r="I2">
        <v>95</v>
      </c>
      <c r="K2">
        <v>0.8</v>
      </c>
    </row>
    <row r="3" spans="1:11" x14ac:dyDescent="0.2">
      <c r="A3" s="48">
        <v>37348</v>
      </c>
      <c r="H3">
        <v>1.645</v>
      </c>
      <c r="I3">
        <f>I2*10000</f>
        <v>950000</v>
      </c>
      <c r="J3">
        <v>3.43</v>
      </c>
      <c r="K3">
        <f>K2/16</f>
        <v>0.05</v>
      </c>
    </row>
    <row r="4" spans="1:11" x14ac:dyDescent="0.2">
      <c r="A4" s="48">
        <v>37349</v>
      </c>
      <c r="K4" s="89">
        <f>K3*J3*H3*I3</f>
        <v>268011.625</v>
      </c>
    </row>
    <row r="5" spans="1:11" x14ac:dyDescent="0.2">
      <c r="A5" s="48">
        <v>37350</v>
      </c>
    </row>
    <row r="6" spans="1:11" x14ac:dyDescent="0.2">
      <c r="A6" s="48">
        <v>37351</v>
      </c>
    </row>
    <row r="7" spans="1:11" x14ac:dyDescent="0.2">
      <c r="A7" s="48">
        <v>37352</v>
      </c>
      <c r="D7" s="89">
        <v>158287</v>
      </c>
    </row>
    <row r="8" spans="1:11" x14ac:dyDescent="0.2">
      <c r="A8" s="48">
        <v>37353</v>
      </c>
      <c r="B8" s="89">
        <v>107600</v>
      </c>
      <c r="D8" s="89">
        <f>B8+D7</f>
        <v>265887</v>
      </c>
    </row>
    <row r="9" spans="1:11" x14ac:dyDescent="0.2">
      <c r="A9" s="48">
        <v>37354</v>
      </c>
      <c r="B9" s="89">
        <v>-17632</v>
      </c>
      <c r="D9" s="89">
        <f>B9+D8</f>
        <v>248255</v>
      </c>
    </row>
    <row r="10" spans="1:11" x14ac:dyDescent="0.2">
      <c r="A10" s="48">
        <v>37355</v>
      </c>
      <c r="B10" s="89">
        <v>-10524.999999999407</v>
      </c>
      <c r="D10" s="89">
        <f>B10+D9</f>
        <v>237730.00000000058</v>
      </c>
      <c r="E10">
        <v>95919</v>
      </c>
      <c r="F10" s="89">
        <v>40</v>
      </c>
      <c r="G10" s="89"/>
    </row>
    <row r="11" spans="1:11" x14ac:dyDescent="0.2">
      <c r="A11" s="48">
        <v>37356</v>
      </c>
      <c r="B11" s="89">
        <v>52700</v>
      </c>
      <c r="D11" s="89">
        <f>B11+D10</f>
        <v>290430.00000000058</v>
      </c>
      <c r="E11">
        <v>184293</v>
      </c>
      <c r="F11" s="89">
        <v>-0.78</v>
      </c>
      <c r="G11" s="89"/>
    </row>
    <row r="12" spans="1:11" x14ac:dyDescent="0.2">
      <c r="A12" s="48">
        <v>37357</v>
      </c>
      <c r="B12" s="89">
        <v>-60127</v>
      </c>
      <c r="D12" s="89">
        <f>B12+D11</f>
        <v>230303.00000000058</v>
      </c>
      <c r="E12">
        <v>204056</v>
      </c>
      <c r="F12" s="89">
        <v>81.5</v>
      </c>
      <c r="G12" s="89"/>
    </row>
    <row r="13" spans="1:11" x14ac:dyDescent="0.2">
      <c r="A13" s="48">
        <v>37358</v>
      </c>
      <c r="B13" s="89">
        <v>67923</v>
      </c>
      <c r="D13" s="89">
        <v>302000</v>
      </c>
      <c r="E13">
        <v>166502</v>
      </c>
      <c r="F13" s="89">
        <v>-66.5</v>
      </c>
      <c r="G13" s="89"/>
    </row>
    <row r="14" spans="1:11" x14ac:dyDescent="0.2">
      <c r="A14" s="48">
        <v>37359</v>
      </c>
      <c r="B14" s="89">
        <v>-36202</v>
      </c>
      <c r="D14" s="89">
        <f>B14+D13</f>
        <v>265798</v>
      </c>
      <c r="E14">
        <v>114610</v>
      </c>
      <c r="F14" s="89">
        <v>50</v>
      </c>
      <c r="G14" s="89"/>
    </row>
    <row r="15" spans="1:11" x14ac:dyDescent="0.2">
      <c r="A15" s="48">
        <v>37368</v>
      </c>
      <c r="B15" s="89">
        <v>37976</v>
      </c>
      <c r="D15" s="89">
        <f>B15+D14</f>
        <v>303774</v>
      </c>
    </row>
    <row r="16" spans="1:11" x14ac:dyDescent="0.2">
      <c r="A16" s="48">
        <v>37369</v>
      </c>
      <c r="B16" s="89">
        <v>-40198</v>
      </c>
      <c r="D16" s="89">
        <f>B16+D15</f>
        <v>263576</v>
      </c>
      <c r="E16">
        <v>225694</v>
      </c>
      <c r="F16" s="89">
        <v>-80</v>
      </c>
      <c r="G16" s="89"/>
    </row>
    <row r="17" spans="1:9" x14ac:dyDescent="0.2">
      <c r="A17" s="48">
        <v>37370</v>
      </c>
      <c r="B17" s="89">
        <v>101545</v>
      </c>
      <c r="D17" s="89">
        <f>B17+D16</f>
        <v>365121</v>
      </c>
      <c r="I17" s="71"/>
    </row>
    <row r="18" spans="1:9" x14ac:dyDescent="0.2">
      <c r="A18" s="48">
        <v>37371</v>
      </c>
      <c r="B18" s="89">
        <v>113813</v>
      </c>
      <c r="D18" s="89">
        <f>B18+D17</f>
        <v>478934</v>
      </c>
      <c r="E18">
        <v>268000</v>
      </c>
      <c r="F18" s="89">
        <v>-100</v>
      </c>
      <c r="G18" s="89">
        <v>90</v>
      </c>
    </row>
    <row r="19" spans="1:9" x14ac:dyDescent="0.2">
      <c r="A19" s="48">
        <v>37372</v>
      </c>
    </row>
    <row r="20" spans="1:9" x14ac:dyDescent="0.2">
      <c r="A20" s="48">
        <v>37373</v>
      </c>
    </row>
    <row r="21" spans="1:9" x14ac:dyDescent="0.2">
      <c r="A21" s="48">
        <v>37374</v>
      </c>
    </row>
    <row r="22" spans="1:9" x14ac:dyDescent="0.2">
      <c r="A22" s="48">
        <v>37375</v>
      </c>
      <c r="B22" s="89">
        <v>-135000</v>
      </c>
      <c r="D22" s="89">
        <f>B22+D18</f>
        <v>343934</v>
      </c>
    </row>
    <row r="23" spans="1:9" x14ac:dyDescent="0.2">
      <c r="A23" s="48">
        <v>37376</v>
      </c>
      <c r="D23" s="89">
        <f>B23+D19</f>
        <v>0</v>
      </c>
    </row>
    <row r="24" spans="1:9" x14ac:dyDescent="0.2">
      <c r="A24" s="48">
        <v>37377</v>
      </c>
    </row>
    <row r="25" spans="1:9" x14ac:dyDescent="0.2">
      <c r="A25" s="48">
        <v>37378</v>
      </c>
    </row>
    <row r="26" spans="1:9" x14ac:dyDescent="0.2">
      <c r="A26" s="48">
        <v>37379</v>
      </c>
    </row>
    <row r="27" spans="1:9" x14ac:dyDescent="0.2">
      <c r="A27" s="48">
        <v>37380</v>
      </c>
    </row>
    <row r="28" spans="1:9" x14ac:dyDescent="0.2">
      <c r="A28" s="48">
        <v>37381</v>
      </c>
    </row>
    <row r="29" spans="1:9" x14ac:dyDescent="0.2">
      <c r="A29" s="48">
        <v>37382</v>
      </c>
      <c r="D29" s="89">
        <v>432000</v>
      </c>
    </row>
    <row r="30" spans="1:9" x14ac:dyDescent="0.2">
      <c r="A30" s="48">
        <v>37383</v>
      </c>
      <c r="B30" s="89">
        <v>-39162</v>
      </c>
      <c r="D30" s="89">
        <f>D29+B30</f>
        <v>392838</v>
      </c>
    </row>
    <row r="31" spans="1:9" x14ac:dyDescent="0.2">
      <c r="A31" s="48">
        <v>37384</v>
      </c>
    </row>
    <row r="32" spans="1:9" x14ac:dyDescent="0.2">
      <c r="A32" s="48">
        <v>37385</v>
      </c>
    </row>
    <row r="33" spans="1:1" x14ac:dyDescent="0.2">
      <c r="A33" s="48">
        <v>37386</v>
      </c>
    </row>
    <row r="34" spans="1:1" x14ac:dyDescent="0.2">
      <c r="A34" s="48">
        <v>37387</v>
      </c>
    </row>
    <row r="35" spans="1:1" x14ac:dyDescent="0.2">
      <c r="A35" s="48">
        <v>37388</v>
      </c>
    </row>
    <row r="36" spans="1:1" x14ac:dyDescent="0.2">
      <c r="A36" s="48">
        <v>37389</v>
      </c>
    </row>
    <row r="37" spans="1:1" x14ac:dyDescent="0.2">
      <c r="A37" s="48">
        <v>37390</v>
      </c>
    </row>
    <row r="38" spans="1:1" x14ac:dyDescent="0.2">
      <c r="A38" s="48">
        <v>37391</v>
      </c>
    </row>
    <row r="39" spans="1:1" x14ac:dyDescent="0.2">
      <c r="A39" s="48">
        <v>37392</v>
      </c>
    </row>
    <row r="40" spans="1:1" x14ac:dyDescent="0.2">
      <c r="A40" s="48">
        <v>37393</v>
      </c>
    </row>
    <row r="41" spans="1:1" x14ac:dyDescent="0.2">
      <c r="A41" s="48">
        <v>37394</v>
      </c>
    </row>
    <row r="42" spans="1:1" x14ac:dyDescent="0.2">
      <c r="A42" s="48">
        <v>37395</v>
      </c>
    </row>
    <row r="43" spans="1:1" x14ac:dyDescent="0.2">
      <c r="A43" s="48">
        <v>37396</v>
      </c>
    </row>
    <row r="44" spans="1:1" x14ac:dyDescent="0.2">
      <c r="A44" s="48">
        <v>37397</v>
      </c>
    </row>
    <row r="45" spans="1:1" x14ac:dyDescent="0.2">
      <c r="A45" s="48">
        <v>37398</v>
      </c>
    </row>
    <row r="46" spans="1:1" x14ac:dyDescent="0.2">
      <c r="A46" s="48">
        <v>37399</v>
      </c>
    </row>
    <row r="47" spans="1:1" x14ac:dyDescent="0.2">
      <c r="A47" s="48">
        <v>37400</v>
      </c>
    </row>
    <row r="48" spans="1:1" x14ac:dyDescent="0.2">
      <c r="A48" s="48">
        <v>37401</v>
      </c>
    </row>
    <row r="49" spans="1:1" x14ac:dyDescent="0.2">
      <c r="A49" s="48">
        <v>37402</v>
      </c>
    </row>
    <row r="50" spans="1:1" x14ac:dyDescent="0.2">
      <c r="A50" s="48">
        <v>37403</v>
      </c>
    </row>
    <row r="51" spans="1:1" x14ac:dyDescent="0.2">
      <c r="A51" s="48">
        <v>37404</v>
      </c>
    </row>
    <row r="52" spans="1:1" x14ac:dyDescent="0.2">
      <c r="A52" s="48">
        <v>37405</v>
      </c>
    </row>
    <row r="53" spans="1:1" x14ac:dyDescent="0.2">
      <c r="A53" s="48">
        <v>37406</v>
      </c>
    </row>
    <row r="54" spans="1:1" x14ac:dyDescent="0.2">
      <c r="A54" s="48">
        <v>37407</v>
      </c>
    </row>
    <row r="55" spans="1:1" x14ac:dyDescent="0.2">
      <c r="A55" s="48">
        <v>37408</v>
      </c>
    </row>
    <row r="56" spans="1:1" x14ac:dyDescent="0.2">
      <c r="A56" s="48">
        <v>37409</v>
      </c>
    </row>
    <row r="57" spans="1:1" x14ac:dyDescent="0.2">
      <c r="A57" s="48">
        <v>37410</v>
      </c>
    </row>
    <row r="58" spans="1:1" x14ac:dyDescent="0.2">
      <c r="A58" s="48">
        <v>37411</v>
      </c>
    </row>
    <row r="59" spans="1:1" x14ac:dyDescent="0.2">
      <c r="A59" s="48">
        <v>37412</v>
      </c>
    </row>
    <row r="60" spans="1:1" x14ac:dyDescent="0.2">
      <c r="A60" s="48">
        <v>37413</v>
      </c>
    </row>
    <row r="61" spans="1:1" x14ac:dyDescent="0.2">
      <c r="A61" s="48">
        <v>37414</v>
      </c>
    </row>
    <row r="62" spans="1:1" x14ac:dyDescent="0.2">
      <c r="A62" s="48">
        <v>37415</v>
      </c>
    </row>
    <row r="63" spans="1:1" x14ac:dyDescent="0.2">
      <c r="A63" s="48">
        <v>37416</v>
      </c>
    </row>
    <row r="64" spans="1:1" x14ac:dyDescent="0.2">
      <c r="A64" s="48">
        <v>37417</v>
      </c>
    </row>
    <row r="65" spans="1:1" x14ac:dyDescent="0.2">
      <c r="A65" s="48">
        <v>37418</v>
      </c>
    </row>
    <row r="66" spans="1:1" x14ac:dyDescent="0.2">
      <c r="A66" s="48">
        <v>37419</v>
      </c>
    </row>
    <row r="67" spans="1:1" x14ac:dyDescent="0.2">
      <c r="A67" s="48">
        <v>37420</v>
      </c>
    </row>
    <row r="68" spans="1:1" x14ac:dyDescent="0.2">
      <c r="A68" s="48">
        <v>37421</v>
      </c>
    </row>
    <row r="69" spans="1:1" x14ac:dyDescent="0.2">
      <c r="A69" s="48">
        <v>37422</v>
      </c>
    </row>
    <row r="70" spans="1:1" x14ac:dyDescent="0.2">
      <c r="A70" s="48">
        <v>37423</v>
      </c>
    </row>
    <row r="71" spans="1:1" x14ac:dyDescent="0.2">
      <c r="A71" s="48">
        <v>37424</v>
      </c>
    </row>
    <row r="72" spans="1:1" x14ac:dyDescent="0.2">
      <c r="A72" s="48">
        <v>37425</v>
      </c>
    </row>
    <row r="73" spans="1:1" x14ac:dyDescent="0.2">
      <c r="A73" s="48">
        <v>37426</v>
      </c>
    </row>
    <row r="74" spans="1:1" x14ac:dyDescent="0.2">
      <c r="A74" s="48">
        <v>37427</v>
      </c>
    </row>
    <row r="75" spans="1:1" x14ac:dyDescent="0.2">
      <c r="A75" s="48">
        <v>37428</v>
      </c>
    </row>
    <row r="76" spans="1:1" x14ac:dyDescent="0.2">
      <c r="A76" s="48">
        <v>37429</v>
      </c>
    </row>
    <row r="77" spans="1:1" x14ac:dyDescent="0.2">
      <c r="A77" s="48">
        <v>37430</v>
      </c>
    </row>
    <row r="78" spans="1:1" x14ac:dyDescent="0.2">
      <c r="A78" s="48">
        <v>37431</v>
      </c>
    </row>
    <row r="79" spans="1:1" x14ac:dyDescent="0.2">
      <c r="A79" s="48">
        <v>37432</v>
      </c>
    </row>
    <row r="80" spans="1:1" x14ac:dyDescent="0.2">
      <c r="A80" s="48">
        <v>37433</v>
      </c>
    </row>
    <row r="81" spans="1:1" x14ac:dyDescent="0.2">
      <c r="A81" s="48">
        <v>37434</v>
      </c>
    </row>
    <row r="82" spans="1:1" x14ac:dyDescent="0.2">
      <c r="A82" s="48">
        <v>37435</v>
      </c>
    </row>
    <row r="83" spans="1:1" x14ac:dyDescent="0.2">
      <c r="A83" s="48">
        <v>37436</v>
      </c>
    </row>
    <row r="84" spans="1:1" x14ac:dyDescent="0.2">
      <c r="A84" s="48">
        <v>37437</v>
      </c>
    </row>
    <row r="85" spans="1:1" x14ac:dyDescent="0.2">
      <c r="A85" s="48">
        <v>37438</v>
      </c>
    </row>
    <row r="86" spans="1:1" x14ac:dyDescent="0.2">
      <c r="A86" s="48">
        <v>37439</v>
      </c>
    </row>
    <row r="87" spans="1:1" x14ac:dyDescent="0.2">
      <c r="A87" s="48">
        <v>37440</v>
      </c>
    </row>
    <row r="88" spans="1:1" x14ac:dyDescent="0.2">
      <c r="A88" s="48">
        <v>37441</v>
      </c>
    </row>
    <row r="89" spans="1:1" x14ac:dyDescent="0.2">
      <c r="A89" s="48">
        <v>37442</v>
      </c>
    </row>
    <row r="90" spans="1:1" x14ac:dyDescent="0.2">
      <c r="A90" s="48">
        <v>37443</v>
      </c>
    </row>
    <row r="91" spans="1:1" x14ac:dyDescent="0.2">
      <c r="A91" s="48">
        <v>37444</v>
      </c>
    </row>
    <row r="92" spans="1:1" x14ac:dyDescent="0.2">
      <c r="A92" s="48">
        <v>37445</v>
      </c>
    </row>
    <row r="93" spans="1:1" x14ac:dyDescent="0.2">
      <c r="A93" s="48">
        <v>37446</v>
      </c>
    </row>
    <row r="94" spans="1:1" x14ac:dyDescent="0.2">
      <c r="A94" s="48">
        <v>37447</v>
      </c>
    </row>
    <row r="95" spans="1:1" x14ac:dyDescent="0.2">
      <c r="A95" s="48">
        <v>37448</v>
      </c>
    </row>
    <row r="96" spans="1:1" x14ac:dyDescent="0.2">
      <c r="A96" s="48">
        <v>37449</v>
      </c>
    </row>
    <row r="97" spans="1:1" x14ac:dyDescent="0.2">
      <c r="A97" s="48">
        <v>37450</v>
      </c>
    </row>
    <row r="98" spans="1:1" x14ac:dyDescent="0.2">
      <c r="A98" s="48">
        <v>37451</v>
      </c>
    </row>
    <row r="99" spans="1:1" x14ac:dyDescent="0.2">
      <c r="A99" s="48">
        <v>37452</v>
      </c>
    </row>
    <row r="100" spans="1:1" x14ac:dyDescent="0.2">
      <c r="A100" s="48">
        <v>37453</v>
      </c>
    </row>
    <row r="101" spans="1:1" x14ac:dyDescent="0.2">
      <c r="A101" s="48">
        <v>37454</v>
      </c>
    </row>
    <row r="102" spans="1:1" x14ac:dyDescent="0.2">
      <c r="A102" s="48">
        <v>37455</v>
      </c>
    </row>
    <row r="103" spans="1:1" x14ac:dyDescent="0.2">
      <c r="A103" s="48">
        <v>37456</v>
      </c>
    </row>
    <row r="104" spans="1:1" x14ac:dyDescent="0.2">
      <c r="A104" s="48">
        <v>37457</v>
      </c>
    </row>
    <row r="105" spans="1:1" x14ac:dyDescent="0.2">
      <c r="A105" s="48">
        <v>37458</v>
      </c>
    </row>
    <row r="106" spans="1:1" x14ac:dyDescent="0.2">
      <c r="A106" s="48">
        <v>37459</v>
      </c>
    </row>
    <row r="107" spans="1:1" x14ac:dyDescent="0.2">
      <c r="A107" s="48">
        <v>37460</v>
      </c>
    </row>
    <row r="108" spans="1:1" x14ac:dyDescent="0.2">
      <c r="A108" s="48">
        <v>37461</v>
      </c>
    </row>
    <row r="109" spans="1:1" x14ac:dyDescent="0.2">
      <c r="A109" s="48">
        <v>37462</v>
      </c>
    </row>
    <row r="110" spans="1:1" x14ac:dyDescent="0.2">
      <c r="A110" s="48">
        <v>37463</v>
      </c>
    </row>
    <row r="111" spans="1:1" x14ac:dyDescent="0.2">
      <c r="A111" s="48">
        <v>37464</v>
      </c>
    </row>
    <row r="112" spans="1:1" x14ac:dyDescent="0.2">
      <c r="A112" s="48">
        <v>37465</v>
      </c>
    </row>
    <row r="113" spans="1:1" x14ac:dyDescent="0.2">
      <c r="A113" s="48">
        <v>37466</v>
      </c>
    </row>
    <row r="114" spans="1:1" x14ac:dyDescent="0.2">
      <c r="A114" s="48">
        <v>37467</v>
      </c>
    </row>
    <row r="115" spans="1:1" x14ac:dyDescent="0.2">
      <c r="A115" s="48">
        <v>37468</v>
      </c>
    </row>
    <row r="116" spans="1:1" x14ac:dyDescent="0.2">
      <c r="A116" s="48">
        <v>37469</v>
      </c>
    </row>
    <row r="117" spans="1:1" x14ac:dyDescent="0.2">
      <c r="A117" s="48">
        <v>37470</v>
      </c>
    </row>
    <row r="118" spans="1:1" x14ac:dyDescent="0.2">
      <c r="A118" s="48">
        <v>37471</v>
      </c>
    </row>
    <row r="119" spans="1:1" x14ac:dyDescent="0.2">
      <c r="A119" s="48">
        <v>37472</v>
      </c>
    </row>
    <row r="120" spans="1:1" x14ac:dyDescent="0.2">
      <c r="A120" s="48">
        <v>37473</v>
      </c>
    </row>
    <row r="121" spans="1:1" x14ac:dyDescent="0.2">
      <c r="A121" s="48">
        <v>37474</v>
      </c>
    </row>
    <row r="122" spans="1:1" x14ac:dyDescent="0.2">
      <c r="A122" s="48">
        <v>37475</v>
      </c>
    </row>
    <row r="123" spans="1:1" x14ac:dyDescent="0.2">
      <c r="A123" s="48">
        <v>37476</v>
      </c>
    </row>
    <row r="124" spans="1:1" x14ac:dyDescent="0.2">
      <c r="A124" s="48">
        <v>37477</v>
      </c>
    </row>
    <row r="125" spans="1:1" x14ac:dyDescent="0.2">
      <c r="A125" s="48">
        <v>37478</v>
      </c>
    </row>
    <row r="126" spans="1:1" x14ac:dyDescent="0.2">
      <c r="A126" s="48">
        <v>37479</v>
      </c>
    </row>
    <row r="127" spans="1:1" x14ac:dyDescent="0.2">
      <c r="A127" s="48">
        <v>37480</v>
      </c>
    </row>
    <row r="128" spans="1:1" x14ac:dyDescent="0.2">
      <c r="A128" s="48">
        <v>37481</v>
      </c>
    </row>
    <row r="129" spans="1:1" x14ac:dyDescent="0.2">
      <c r="A129" s="48">
        <v>37482</v>
      </c>
    </row>
    <row r="130" spans="1:1" x14ac:dyDescent="0.2">
      <c r="A130" s="48">
        <v>37483</v>
      </c>
    </row>
    <row r="131" spans="1:1" x14ac:dyDescent="0.2">
      <c r="A131" s="48">
        <v>37484</v>
      </c>
    </row>
    <row r="132" spans="1:1" x14ac:dyDescent="0.2">
      <c r="A132" s="48">
        <v>37485</v>
      </c>
    </row>
    <row r="133" spans="1:1" x14ac:dyDescent="0.2">
      <c r="A133" s="48">
        <v>37486</v>
      </c>
    </row>
    <row r="134" spans="1:1" x14ac:dyDescent="0.2">
      <c r="A134" s="48">
        <v>37487</v>
      </c>
    </row>
    <row r="135" spans="1:1" x14ac:dyDescent="0.2">
      <c r="A135" s="48">
        <v>37488</v>
      </c>
    </row>
    <row r="136" spans="1:1" x14ac:dyDescent="0.2">
      <c r="A136" s="48">
        <v>37489</v>
      </c>
    </row>
    <row r="137" spans="1:1" x14ac:dyDescent="0.2">
      <c r="A137" s="48">
        <v>37490</v>
      </c>
    </row>
    <row r="138" spans="1:1" x14ac:dyDescent="0.2">
      <c r="A138" s="48">
        <v>37491</v>
      </c>
    </row>
    <row r="139" spans="1:1" x14ac:dyDescent="0.2">
      <c r="A139" s="48">
        <v>37492</v>
      </c>
    </row>
    <row r="140" spans="1:1" x14ac:dyDescent="0.2">
      <c r="A140" s="48">
        <v>37493</v>
      </c>
    </row>
    <row r="141" spans="1:1" x14ac:dyDescent="0.2">
      <c r="A141" s="48">
        <v>37494</v>
      </c>
    </row>
    <row r="142" spans="1:1" x14ac:dyDescent="0.2">
      <c r="A142" s="48">
        <v>37495</v>
      </c>
    </row>
    <row r="143" spans="1:1" x14ac:dyDescent="0.2">
      <c r="A143" s="48">
        <v>37496</v>
      </c>
    </row>
    <row r="144" spans="1:1" x14ac:dyDescent="0.2">
      <c r="A144" s="48">
        <v>37497</v>
      </c>
    </row>
    <row r="145" spans="1:1" x14ac:dyDescent="0.2">
      <c r="A145" s="48">
        <v>37498</v>
      </c>
    </row>
    <row r="146" spans="1:1" x14ac:dyDescent="0.2">
      <c r="A146" s="48">
        <v>37499</v>
      </c>
    </row>
    <row r="147" spans="1:1" x14ac:dyDescent="0.2">
      <c r="A147" s="48">
        <v>37500</v>
      </c>
    </row>
    <row r="148" spans="1:1" x14ac:dyDescent="0.2">
      <c r="A148" s="48">
        <v>37501</v>
      </c>
    </row>
    <row r="149" spans="1:1" x14ac:dyDescent="0.2">
      <c r="A149" s="48">
        <v>37502</v>
      </c>
    </row>
    <row r="150" spans="1:1" x14ac:dyDescent="0.2">
      <c r="A150" s="48">
        <v>37503</v>
      </c>
    </row>
    <row r="151" spans="1:1" x14ac:dyDescent="0.2">
      <c r="A151" s="48">
        <v>37504</v>
      </c>
    </row>
    <row r="152" spans="1:1" x14ac:dyDescent="0.2">
      <c r="A152" s="48">
        <v>37505</v>
      </c>
    </row>
    <row r="153" spans="1:1" x14ac:dyDescent="0.2">
      <c r="A153" s="48">
        <v>37506</v>
      </c>
    </row>
    <row r="154" spans="1:1" x14ac:dyDescent="0.2">
      <c r="A154" s="48">
        <v>37507</v>
      </c>
    </row>
    <row r="155" spans="1:1" x14ac:dyDescent="0.2">
      <c r="A155" s="48">
        <v>37508</v>
      </c>
    </row>
    <row r="156" spans="1:1" x14ac:dyDescent="0.2">
      <c r="A156" s="48">
        <v>37509</v>
      </c>
    </row>
    <row r="157" spans="1:1" x14ac:dyDescent="0.2">
      <c r="A157" s="48">
        <v>37510</v>
      </c>
    </row>
    <row r="158" spans="1:1" x14ac:dyDescent="0.2">
      <c r="A158" s="48">
        <v>37511</v>
      </c>
    </row>
    <row r="159" spans="1:1" x14ac:dyDescent="0.2">
      <c r="A159" s="48">
        <v>37512</v>
      </c>
    </row>
    <row r="160" spans="1:1" x14ac:dyDescent="0.2">
      <c r="A160" s="48">
        <v>37513</v>
      </c>
    </row>
    <row r="161" spans="1:1" x14ac:dyDescent="0.2">
      <c r="A161" s="48">
        <v>37514</v>
      </c>
    </row>
    <row r="162" spans="1:1" x14ac:dyDescent="0.2">
      <c r="A162" s="48">
        <v>37515</v>
      </c>
    </row>
    <row r="163" spans="1:1" x14ac:dyDescent="0.2">
      <c r="A163" s="48">
        <v>37516</v>
      </c>
    </row>
    <row r="164" spans="1:1" x14ac:dyDescent="0.2">
      <c r="A164" s="48">
        <v>37517</v>
      </c>
    </row>
    <row r="165" spans="1:1" x14ac:dyDescent="0.2">
      <c r="A165" s="48">
        <v>37518</v>
      </c>
    </row>
    <row r="166" spans="1:1" x14ac:dyDescent="0.2">
      <c r="A166" s="48">
        <v>37519</v>
      </c>
    </row>
    <row r="167" spans="1:1" x14ac:dyDescent="0.2">
      <c r="A167" s="48">
        <v>37520</v>
      </c>
    </row>
    <row r="168" spans="1:1" x14ac:dyDescent="0.2">
      <c r="A168" s="48">
        <v>37521</v>
      </c>
    </row>
    <row r="169" spans="1:1" x14ac:dyDescent="0.2">
      <c r="A169" s="48">
        <v>37522</v>
      </c>
    </row>
    <row r="170" spans="1:1" x14ac:dyDescent="0.2">
      <c r="A170" s="48">
        <v>37523</v>
      </c>
    </row>
    <row r="171" spans="1:1" x14ac:dyDescent="0.2">
      <c r="A171" s="48">
        <v>37524</v>
      </c>
    </row>
    <row r="172" spans="1:1" x14ac:dyDescent="0.2">
      <c r="A172" s="48">
        <v>37525</v>
      </c>
    </row>
    <row r="173" spans="1:1" x14ac:dyDescent="0.2">
      <c r="A173" s="48">
        <v>37526</v>
      </c>
    </row>
    <row r="174" spans="1:1" x14ac:dyDescent="0.2">
      <c r="A174" s="48">
        <v>37527</v>
      </c>
    </row>
    <row r="175" spans="1:1" x14ac:dyDescent="0.2">
      <c r="A175" s="48">
        <v>37528</v>
      </c>
    </row>
    <row r="176" spans="1:1" x14ac:dyDescent="0.2">
      <c r="A176" s="48">
        <v>37529</v>
      </c>
    </row>
    <row r="177" spans="1:1" x14ac:dyDescent="0.2">
      <c r="A177" s="48">
        <v>37530</v>
      </c>
    </row>
    <row r="178" spans="1:1" x14ac:dyDescent="0.2">
      <c r="A178" s="48">
        <v>37531</v>
      </c>
    </row>
    <row r="179" spans="1:1" x14ac:dyDescent="0.2">
      <c r="A179" s="48">
        <v>37532</v>
      </c>
    </row>
    <row r="180" spans="1:1" x14ac:dyDescent="0.2">
      <c r="A180" s="48">
        <v>37533</v>
      </c>
    </row>
    <row r="181" spans="1:1" x14ac:dyDescent="0.2">
      <c r="A181" s="48">
        <v>37534</v>
      </c>
    </row>
    <row r="182" spans="1:1" x14ac:dyDescent="0.2">
      <c r="A182" s="48">
        <v>37535</v>
      </c>
    </row>
    <row r="183" spans="1:1" x14ac:dyDescent="0.2">
      <c r="A183" s="48">
        <v>37536</v>
      </c>
    </row>
    <row r="184" spans="1:1" x14ac:dyDescent="0.2">
      <c r="A184" s="48">
        <v>37537</v>
      </c>
    </row>
    <row r="185" spans="1:1" x14ac:dyDescent="0.2">
      <c r="A185" s="48">
        <v>37538</v>
      </c>
    </row>
    <row r="186" spans="1:1" x14ac:dyDescent="0.2">
      <c r="A186" s="48">
        <v>37539</v>
      </c>
    </row>
    <row r="187" spans="1:1" x14ac:dyDescent="0.2">
      <c r="A187" s="48">
        <v>37540</v>
      </c>
    </row>
    <row r="188" spans="1:1" x14ac:dyDescent="0.2">
      <c r="A188" s="48">
        <v>37541</v>
      </c>
    </row>
    <row r="189" spans="1:1" x14ac:dyDescent="0.2">
      <c r="A189" s="48">
        <v>37542</v>
      </c>
    </row>
    <row r="190" spans="1:1" x14ac:dyDescent="0.2">
      <c r="A190" s="48">
        <v>37543</v>
      </c>
    </row>
    <row r="191" spans="1:1" x14ac:dyDescent="0.2">
      <c r="A191" s="48">
        <v>37544</v>
      </c>
    </row>
    <row r="192" spans="1:1" x14ac:dyDescent="0.2">
      <c r="A192" s="48">
        <v>37545</v>
      </c>
    </row>
    <row r="193" spans="1:1" x14ac:dyDescent="0.2">
      <c r="A193" s="48">
        <v>37546</v>
      </c>
    </row>
    <row r="194" spans="1:1" x14ac:dyDescent="0.2">
      <c r="A194" s="48">
        <v>37547</v>
      </c>
    </row>
    <row r="195" spans="1:1" x14ac:dyDescent="0.2">
      <c r="A195" s="48">
        <v>37548</v>
      </c>
    </row>
    <row r="196" spans="1:1" x14ac:dyDescent="0.2">
      <c r="A196" s="48">
        <v>37549</v>
      </c>
    </row>
    <row r="197" spans="1:1" x14ac:dyDescent="0.2">
      <c r="A197" s="48">
        <v>37550</v>
      </c>
    </row>
    <row r="198" spans="1:1" x14ac:dyDescent="0.2">
      <c r="A198" s="48">
        <v>37551</v>
      </c>
    </row>
    <row r="199" spans="1:1" x14ac:dyDescent="0.2">
      <c r="A199" s="48">
        <v>37552</v>
      </c>
    </row>
    <row r="200" spans="1:1" x14ac:dyDescent="0.2">
      <c r="A200" s="48">
        <v>37553</v>
      </c>
    </row>
    <row r="201" spans="1:1" x14ac:dyDescent="0.2">
      <c r="A201" s="48">
        <v>37554</v>
      </c>
    </row>
    <row r="202" spans="1:1" x14ac:dyDescent="0.2">
      <c r="A202" s="48">
        <v>37555</v>
      </c>
    </row>
    <row r="203" spans="1:1" x14ac:dyDescent="0.2">
      <c r="A203" s="48">
        <v>37556</v>
      </c>
    </row>
    <row r="204" spans="1:1" x14ac:dyDescent="0.2">
      <c r="A204" s="48">
        <v>37557</v>
      </c>
    </row>
    <row r="205" spans="1:1" x14ac:dyDescent="0.2">
      <c r="A205" s="48">
        <v>37558</v>
      </c>
    </row>
    <row r="206" spans="1:1" x14ac:dyDescent="0.2">
      <c r="A206" s="48">
        <v>37559</v>
      </c>
    </row>
    <row r="207" spans="1:1" x14ac:dyDescent="0.2">
      <c r="A207" s="48">
        <v>37560</v>
      </c>
    </row>
    <row r="208" spans="1:1" x14ac:dyDescent="0.2">
      <c r="A208" s="48">
        <v>37561</v>
      </c>
    </row>
    <row r="209" spans="1:1" x14ac:dyDescent="0.2">
      <c r="A209" s="48">
        <v>37562</v>
      </c>
    </row>
    <row r="210" spans="1:1" x14ac:dyDescent="0.2">
      <c r="A210" s="48">
        <v>37563</v>
      </c>
    </row>
    <row r="211" spans="1:1" x14ac:dyDescent="0.2">
      <c r="A211" s="48">
        <v>37564</v>
      </c>
    </row>
    <row r="212" spans="1:1" x14ac:dyDescent="0.2">
      <c r="A212" s="48">
        <v>37565</v>
      </c>
    </row>
    <row r="213" spans="1:1" x14ac:dyDescent="0.2">
      <c r="A213" s="48">
        <v>37566</v>
      </c>
    </row>
    <row r="214" spans="1:1" x14ac:dyDescent="0.2">
      <c r="A214" s="48">
        <v>37567</v>
      </c>
    </row>
    <row r="215" spans="1:1" x14ac:dyDescent="0.2">
      <c r="A215" s="48">
        <v>37568</v>
      </c>
    </row>
    <row r="216" spans="1:1" x14ac:dyDescent="0.2">
      <c r="A216" s="48">
        <v>37569</v>
      </c>
    </row>
    <row r="217" spans="1:1" x14ac:dyDescent="0.2">
      <c r="A217" s="48">
        <v>37570</v>
      </c>
    </row>
    <row r="218" spans="1:1" x14ac:dyDescent="0.2">
      <c r="A218" s="48">
        <v>37571</v>
      </c>
    </row>
    <row r="219" spans="1:1" x14ac:dyDescent="0.2">
      <c r="A219" s="48">
        <v>37572</v>
      </c>
    </row>
    <row r="220" spans="1:1" x14ac:dyDescent="0.2">
      <c r="A220" s="48">
        <v>37573</v>
      </c>
    </row>
    <row r="221" spans="1:1" x14ac:dyDescent="0.2">
      <c r="A221" s="48">
        <v>37574</v>
      </c>
    </row>
    <row r="222" spans="1:1" x14ac:dyDescent="0.2">
      <c r="A222" s="48">
        <v>37575</v>
      </c>
    </row>
    <row r="223" spans="1:1" x14ac:dyDescent="0.2">
      <c r="A223" s="48">
        <v>37576</v>
      </c>
    </row>
    <row r="224" spans="1:1" x14ac:dyDescent="0.2">
      <c r="A224" s="48">
        <v>37577</v>
      </c>
    </row>
    <row r="225" spans="1:1" x14ac:dyDescent="0.2">
      <c r="A225" s="48">
        <v>37578</v>
      </c>
    </row>
    <row r="226" spans="1:1" x14ac:dyDescent="0.2">
      <c r="A226" s="48">
        <v>37579</v>
      </c>
    </row>
    <row r="227" spans="1:1" x14ac:dyDescent="0.2">
      <c r="A227" s="48">
        <v>37580</v>
      </c>
    </row>
    <row r="228" spans="1:1" x14ac:dyDescent="0.2">
      <c r="A228" s="48">
        <v>37581</v>
      </c>
    </row>
    <row r="229" spans="1:1" x14ac:dyDescent="0.2">
      <c r="A229" s="48">
        <v>37582</v>
      </c>
    </row>
    <row r="230" spans="1:1" x14ac:dyDescent="0.2">
      <c r="A230" s="48">
        <v>37583</v>
      </c>
    </row>
    <row r="231" spans="1:1" x14ac:dyDescent="0.2">
      <c r="A231" s="48">
        <v>37584</v>
      </c>
    </row>
    <row r="232" spans="1:1" x14ac:dyDescent="0.2">
      <c r="A232" s="48">
        <v>37585</v>
      </c>
    </row>
    <row r="233" spans="1:1" x14ac:dyDescent="0.2">
      <c r="A233" s="48">
        <v>37586</v>
      </c>
    </row>
    <row r="234" spans="1:1" x14ac:dyDescent="0.2">
      <c r="A234" s="48">
        <v>37587</v>
      </c>
    </row>
    <row r="235" spans="1:1" x14ac:dyDescent="0.2">
      <c r="A235" s="48">
        <v>37588</v>
      </c>
    </row>
    <row r="236" spans="1:1" x14ac:dyDescent="0.2">
      <c r="A236" s="48">
        <v>37589</v>
      </c>
    </row>
    <row r="237" spans="1:1" x14ac:dyDescent="0.2">
      <c r="A237" s="48">
        <v>37590</v>
      </c>
    </row>
    <row r="238" spans="1:1" x14ac:dyDescent="0.2">
      <c r="A238" s="48">
        <v>37591</v>
      </c>
    </row>
    <row r="239" spans="1:1" x14ac:dyDescent="0.2">
      <c r="A239" s="48">
        <v>37592</v>
      </c>
    </row>
    <row r="240" spans="1:1" x14ac:dyDescent="0.2">
      <c r="A240" s="48">
        <v>37593</v>
      </c>
    </row>
    <row r="241" spans="1:1" x14ac:dyDescent="0.2">
      <c r="A241" s="48">
        <v>37594</v>
      </c>
    </row>
    <row r="242" spans="1:1" x14ac:dyDescent="0.2">
      <c r="A242" s="48">
        <v>37595</v>
      </c>
    </row>
    <row r="243" spans="1:1" x14ac:dyDescent="0.2">
      <c r="A243" s="48">
        <v>37596</v>
      </c>
    </row>
    <row r="244" spans="1:1" x14ac:dyDescent="0.2">
      <c r="A244" s="48">
        <v>37597</v>
      </c>
    </row>
    <row r="245" spans="1:1" x14ac:dyDescent="0.2">
      <c r="A245" s="48">
        <v>37598</v>
      </c>
    </row>
    <row r="246" spans="1:1" x14ac:dyDescent="0.2">
      <c r="A246" s="48">
        <v>37599</v>
      </c>
    </row>
    <row r="247" spans="1:1" x14ac:dyDescent="0.2">
      <c r="A247" s="48">
        <v>37600</v>
      </c>
    </row>
    <row r="248" spans="1:1" x14ac:dyDescent="0.2">
      <c r="A248" s="48">
        <v>37601</v>
      </c>
    </row>
    <row r="249" spans="1:1" x14ac:dyDescent="0.2">
      <c r="A249" s="48">
        <v>37602</v>
      </c>
    </row>
    <row r="250" spans="1:1" x14ac:dyDescent="0.2">
      <c r="A250" s="48">
        <v>37603</v>
      </c>
    </row>
    <row r="251" spans="1:1" x14ac:dyDescent="0.2">
      <c r="A251" s="48">
        <v>37604</v>
      </c>
    </row>
    <row r="252" spans="1:1" x14ac:dyDescent="0.2">
      <c r="A252" s="48">
        <v>37605</v>
      </c>
    </row>
    <row r="253" spans="1:1" x14ac:dyDescent="0.2">
      <c r="A253" s="48">
        <v>37606</v>
      </c>
    </row>
    <row r="254" spans="1:1" x14ac:dyDescent="0.2">
      <c r="A254" s="48">
        <v>37607</v>
      </c>
    </row>
    <row r="255" spans="1:1" x14ac:dyDescent="0.2">
      <c r="A255" s="48">
        <v>37608</v>
      </c>
    </row>
    <row r="256" spans="1:1" x14ac:dyDescent="0.2">
      <c r="A256" s="48">
        <v>37609</v>
      </c>
    </row>
    <row r="257" spans="1:1" x14ac:dyDescent="0.2">
      <c r="A257" s="48">
        <v>37610</v>
      </c>
    </row>
    <row r="258" spans="1:1" x14ac:dyDescent="0.2">
      <c r="A258" s="48">
        <v>37611</v>
      </c>
    </row>
    <row r="259" spans="1:1" x14ac:dyDescent="0.2">
      <c r="A259" s="48">
        <v>37612</v>
      </c>
    </row>
    <row r="260" spans="1:1" x14ac:dyDescent="0.2">
      <c r="A260" s="48">
        <v>37613</v>
      </c>
    </row>
    <row r="261" spans="1:1" x14ac:dyDescent="0.2">
      <c r="A261" s="48">
        <v>37614</v>
      </c>
    </row>
    <row r="262" spans="1:1" x14ac:dyDescent="0.2">
      <c r="A262" s="48">
        <v>37615</v>
      </c>
    </row>
    <row r="263" spans="1:1" x14ac:dyDescent="0.2">
      <c r="A263" s="48">
        <v>37616</v>
      </c>
    </row>
    <row r="264" spans="1:1" x14ac:dyDescent="0.2">
      <c r="A264" s="48">
        <v>37617</v>
      </c>
    </row>
    <row r="265" spans="1:1" x14ac:dyDescent="0.2">
      <c r="A265" s="48">
        <v>37618</v>
      </c>
    </row>
    <row r="266" spans="1:1" x14ac:dyDescent="0.2">
      <c r="A266" s="48">
        <v>37619</v>
      </c>
    </row>
    <row r="267" spans="1:1" x14ac:dyDescent="0.2">
      <c r="A267" s="48">
        <v>37620</v>
      </c>
    </row>
    <row r="268" spans="1:1" x14ac:dyDescent="0.2">
      <c r="A268" s="48">
        <v>37621</v>
      </c>
    </row>
    <row r="269" spans="1:1" x14ac:dyDescent="0.2">
      <c r="A269" s="48">
        <v>37622</v>
      </c>
    </row>
    <row r="270" spans="1:1" x14ac:dyDescent="0.2">
      <c r="A270" s="48">
        <v>37623</v>
      </c>
    </row>
    <row r="271" spans="1:1" x14ac:dyDescent="0.2">
      <c r="A271" s="48">
        <v>37624</v>
      </c>
    </row>
    <row r="272" spans="1:1" x14ac:dyDescent="0.2">
      <c r="A272" s="48">
        <v>37625</v>
      </c>
    </row>
    <row r="273" spans="1:1" x14ac:dyDescent="0.2">
      <c r="A273" s="48">
        <v>37626</v>
      </c>
    </row>
    <row r="274" spans="1:1" x14ac:dyDescent="0.2">
      <c r="A274" s="48">
        <v>37627</v>
      </c>
    </row>
    <row r="275" spans="1:1" x14ac:dyDescent="0.2">
      <c r="A275" s="48">
        <v>37628</v>
      </c>
    </row>
    <row r="276" spans="1:1" x14ac:dyDescent="0.2">
      <c r="A276" s="48">
        <v>37629</v>
      </c>
    </row>
    <row r="277" spans="1:1" x14ac:dyDescent="0.2">
      <c r="A277" s="48">
        <v>37622</v>
      </c>
    </row>
    <row r="278" spans="1:1" x14ac:dyDescent="0.2">
      <c r="A278" s="48">
        <v>37623</v>
      </c>
    </row>
    <row r="279" spans="1:1" x14ac:dyDescent="0.2">
      <c r="A279" s="48">
        <v>37624</v>
      </c>
    </row>
    <row r="280" spans="1:1" x14ac:dyDescent="0.2">
      <c r="A280" s="48">
        <v>37625</v>
      </c>
    </row>
    <row r="281" spans="1:1" x14ac:dyDescent="0.2">
      <c r="A281" s="48">
        <v>37626</v>
      </c>
    </row>
    <row r="282" spans="1:1" x14ac:dyDescent="0.2">
      <c r="A282" s="48">
        <v>37627</v>
      </c>
    </row>
    <row r="283" spans="1:1" x14ac:dyDescent="0.2">
      <c r="A283" s="48">
        <v>37628</v>
      </c>
    </row>
    <row r="284" spans="1:1" x14ac:dyDescent="0.2">
      <c r="A284" s="48">
        <v>37629</v>
      </c>
    </row>
    <row r="285" spans="1:1" x14ac:dyDescent="0.2">
      <c r="A285" s="48">
        <v>37630</v>
      </c>
    </row>
    <row r="286" spans="1:1" x14ac:dyDescent="0.2">
      <c r="A286" s="48">
        <v>37631</v>
      </c>
    </row>
    <row r="287" spans="1:1" x14ac:dyDescent="0.2">
      <c r="A287" s="48">
        <v>37632</v>
      </c>
    </row>
    <row r="288" spans="1:1" x14ac:dyDescent="0.2">
      <c r="A288" s="48">
        <v>37633</v>
      </c>
    </row>
    <row r="289" spans="1:1" x14ac:dyDescent="0.2">
      <c r="A289" s="48">
        <v>37634</v>
      </c>
    </row>
    <row r="290" spans="1:1" x14ac:dyDescent="0.2">
      <c r="A290" s="48">
        <v>37635</v>
      </c>
    </row>
    <row r="291" spans="1:1" x14ac:dyDescent="0.2">
      <c r="A291" s="48">
        <v>37636</v>
      </c>
    </row>
    <row r="292" spans="1:1" x14ac:dyDescent="0.2">
      <c r="A292" s="48">
        <v>37637</v>
      </c>
    </row>
    <row r="293" spans="1:1" x14ac:dyDescent="0.2">
      <c r="A293" s="48">
        <v>37638</v>
      </c>
    </row>
    <row r="294" spans="1:1" x14ac:dyDescent="0.2">
      <c r="A294" s="48">
        <v>37639</v>
      </c>
    </row>
    <row r="295" spans="1:1" x14ac:dyDescent="0.2">
      <c r="A295" s="48">
        <v>37640</v>
      </c>
    </row>
    <row r="296" spans="1:1" x14ac:dyDescent="0.2">
      <c r="A296" s="48">
        <v>37641</v>
      </c>
    </row>
    <row r="297" spans="1:1" x14ac:dyDescent="0.2">
      <c r="A297" s="48">
        <v>37642</v>
      </c>
    </row>
    <row r="298" spans="1:1" x14ac:dyDescent="0.2">
      <c r="A298" s="48">
        <v>37643</v>
      </c>
    </row>
    <row r="299" spans="1:1" x14ac:dyDescent="0.2">
      <c r="A299" s="48">
        <v>37644</v>
      </c>
    </row>
    <row r="300" spans="1:1" x14ac:dyDescent="0.2">
      <c r="A300" s="48">
        <v>37645</v>
      </c>
    </row>
    <row r="301" spans="1:1" x14ac:dyDescent="0.2">
      <c r="A301" s="48">
        <v>37646</v>
      </c>
    </row>
    <row r="302" spans="1:1" x14ac:dyDescent="0.2">
      <c r="A302" s="48">
        <v>37647</v>
      </c>
    </row>
    <row r="303" spans="1:1" x14ac:dyDescent="0.2">
      <c r="A303" s="48">
        <v>37648</v>
      </c>
    </row>
    <row r="304" spans="1:1" x14ac:dyDescent="0.2">
      <c r="A304" s="48">
        <v>37649</v>
      </c>
    </row>
    <row r="305" spans="1:1" x14ac:dyDescent="0.2">
      <c r="A305" s="48">
        <v>37650</v>
      </c>
    </row>
    <row r="306" spans="1:1" x14ac:dyDescent="0.2">
      <c r="A306" s="48">
        <v>37651</v>
      </c>
    </row>
    <row r="307" spans="1:1" x14ac:dyDescent="0.2">
      <c r="A307" s="48">
        <v>37652</v>
      </c>
    </row>
    <row r="308" spans="1:1" x14ac:dyDescent="0.2">
      <c r="A308" s="48">
        <v>37653</v>
      </c>
    </row>
    <row r="309" spans="1:1" x14ac:dyDescent="0.2">
      <c r="A309" s="48">
        <v>37654</v>
      </c>
    </row>
    <row r="310" spans="1:1" x14ac:dyDescent="0.2">
      <c r="A310" s="48">
        <v>37655</v>
      </c>
    </row>
    <row r="311" spans="1:1" x14ac:dyDescent="0.2">
      <c r="A311" s="48">
        <v>37656</v>
      </c>
    </row>
    <row r="312" spans="1:1" x14ac:dyDescent="0.2">
      <c r="A312" s="48">
        <v>37657</v>
      </c>
    </row>
    <row r="313" spans="1:1" x14ac:dyDescent="0.2">
      <c r="A313" s="48">
        <v>37658</v>
      </c>
    </row>
    <row r="314" spans="1:1" x14ac:dyDescent="0.2">
      <c r="A314" s="48">
        <v>37659</v>
      </c>
    </row>
    <row r="315" spans="1:1" x14ac:dyDescent="0.2">
      <c r="A315" s="48">
        <v>37660</v>
      </c>
    </row>
    <row r="316" spans="1:1" x14ac:dyDescent="0.2">
      <c r="A316" s="48">
        <v>37661</v>
      </c>
    </row>
    <row r="317" spans="1:1" x14ac:dyDescent="0.2">
      <c r="A317" s="48">
        <v>37662</v>
      </c>
    </row>
    <row r="318" spans="1:1" x14ac:dyDescent="0.2">
      <c r="A318" s="48">
        <v>37663</v>
      </c>
    </row>
    <row r="319" spans="1:1" x14ac:dyDescent="0.2">
      <c r="A319" s="48">
        <v>37664</v>
      </c>
    </row>
    <row r="320" spans="1:1" x14ac:dyDescent="0.2">
      <c r="A320" s="48">
        <v>37665</v>
      </c>
    </row>
    <row r="321" spans="1:1" x14ac:dyDescent="0.2">
      <c r="A321" s="48">
        <v>37666</v>
      </c>
    </row>
    <row r="322" spans="1:1" x14ac:dyDescent="0.2">
      <c r="A322" s="48">
        <v>37667</v>
      </c>
    </row>
    <row r="323" spans="1:1" x14ac:dyDescent="0.2">
      <c r="A323" s="48">
        <v>37668</v>
      </c>
    </row>
    <row r="324" spans="1:1" x14ac:dyDescent="0.2">
      <c r="A324" s="48">
        <v>37669</v>
      </c>
    </row>
    <row r="325" spans="1:1" x14ac:dyDescent="0.2">
      <c r="A325" s="48">
        <v>37670</v>
      </c>
    </row>
    <row r="326" spans="1:1" x14ac:dyDescent="0.2">
      <c r="A326" s="48">
        <v>37671</v>
      </c>
    </row>
    <row r="327" spans="1:1" x14ac:dyDescent="0.2">
      <c r="A327" s="48">
        <v>37672</v>
      </c>
    </row>
    <row r="328" spans="1:1" x14ac:dyDescent="0.2">
      <c r="A328" s="48">
        <v>37673</v>
      </c>
    </row>
    <row r="329" spans="1:1" x14ac:dyDescent="0.2">
      <c r="A329" s="48">
        <v>37674</v>
      </c>
    </row>
    <row r="330" spans="1:1" x14ac:dyDescent="0.2">
      <c r="A330" s="48">
        <v>37675</v>
      </c>
    </row>
    <row r="331" spans="1:1" x14ac:dyDescent="0.2">
      <c r="A331" s="48">
        <v>37676</v>
      </c>
    </row>
    <row r="332" spans="1:1" x14ac:dyDescent="0.2">
      <c r="A332" s="48">
        <v>37677</v>
      </c>
    </row>
    <row r="333" spans="1:1" x14ac:dyDescent="0.2">
      <c r="A333" s="48">
        <v>37678</v>
      </c>
    </row>
    <row r="334" spans="1:1" x14ac:dyDescent="0.2">
      <c r="A334" s="48">
        <v>37679</v>
      </c>
    </row>
    <row r="335" spans="1:1" x14ac:dyDescent="0.2">
      <c r="A335" s="48">
        <v>37680</v>
      </c>
    </row>
    <row r="336" spans="1:1" x14ac:dyDescent="0.2">
      <c r="A336" s="48">
        <v>37681</v>
      </c>
    </row>
    <row r="337" spans="1:1" x14ac:dyDescent="0.2">
      <c r="A337" s="48">
        <v>37682</v>
      </c>
    </row>
    <row r="338" spans="1:1" x14ac:dyDescent="0.2">
      <c r="A338" s="48">
        <v>37683</v>
      </c>
    </row>
    <row r="339" spans="1:1" x14ac:dyDescent="0.2">
      <c r="A339" s="48">
        <v>37684</v>
      </c>
    </row>
    <row r="340" spans="1:1" x14ac:dyDescent="0.2">
      <c r="A340" s="48">
        <v>37685</v>
      </c>
    </row>
    <row r="341" spans="1:1" x14ac:dyDescent="0.2">
      <c r="A341" s="48">
        <v>37686</v>
      </c>
    </row>
    <row r="342" spans="1:1" x14ac:dyDescent="0.2">
      <c r="A342" s="48">
        <v>37687</v>
      </c>
    </row>
    <row r="343" spans="1:1" x14ac:dyDescent="0.2">
      <c r="A343" s="48">
        <v>37688</v>
      </c>
    </row>
    <row r="344" spans="1:1" x14ac:dyDescent="0.2">
      <c r="A344" s="48">
        <v>37689</v>
      </c>
    </row>
    <row r="345" spans="1:1" x14ac:dyDescent="0.2">
      <c r="A345" s="48">
        <v>37690</v>
      </c>
    </row>
    <row r="346" spans="1:1" x14ac:dyDescent="0.2">
      <c r="A346" s="48">
        <v>37691</v>
      </c>
    </row>
    <row r="347" spans="1:1" x14ac:dyDescent="0.2">
      <c r="A347" s="48">
        <v>37692</v>
      </c>
    </row>
    <row r="348" spans="1:1" x14ac:dyDescent="0.2">
      <c r="A348" s="48">
        <v>37693</v>
      </c>
    </row>
    <row r="349" spans="1:1" x14ac:dyDescent="0.2">
      <c r="A349" s="48">
        <v>37694</v>
      </c>
    </row>
    <row r="350" spans="1:1" x14ac:dyDescent="0.2">
      <c r="A350" s="48">
        <v>37695</v>
      </c>
    </row>
    <row r="351" spans="1:1" x14ac:dyDescent="0.2">
      <c r="A351" s="48">
        <v>37696</v>
      </c>
    </row>
    <row r="352" spans="1:1" x14ac:dyDescent="0.2">
      <c r="A352" s="48">
        <v>37697</v>
      </c>
    </row>
    <row r="353" spans="1:1" x14ac:dyDescent="0.2">
      <c r="A353" s="48">
        <v>37698</v>
      </c>
    </row>
    <row r="354" spans="1:1" x14ac:dyDescent="0.2">
      <c r="A354" s="48">
        <v>37699</v>
      </c>
    </row>
    <row r="355" spans="1:1" x14ac:dyDescent="0.2">
      <c r="A355" s="48">
        <v>37700</v>
      </c>
    </row>
    <row r="356" spans="1:1" x14ac:dyDescent="0.2">
      <c r="A356" s="48">
        <v>37701</v>
      </c>
    </row>
    <row r="357" spans="1:1" x14ac:dyDescent="0.2">
      <c r="A357" s="48">
        <v>37702</v>
      </c>
    </row>
    <row r="358" spans="1:1" x14ac:dyDescent="0.2">
      <c r="A358" s="48">
        <v>37703</v>
      </c>
    </row>
    <row r="359" spans="1:1" x14ac:dyDescent="0.2">
      <c r="A359" s="48">
        <v>37704</v>
      </c>
    </row>
    <row r="360" spans="1:1" x14ac:dyDescent="0.2">
      <c r="A360" s="48">
        <v>37705</v>
      </c>
    </row>
    <row r="361" spans="1:1" x14ac:dyDescent="0.2">
      <c r="A361" s="48">
        <v>37706</v>
      </c>
    </row>
    <row r="362" spans="1:1" x14ac:dyDescent="0.2">
      <c r="A362" s="48">
        <v>37707</v>
      </c>
    </row>
    <row r="363" spans="1:1" x14ac:dyDescent="0.2">
      <c r="A363" s="48">
        <v>37708</v>
      </c>
    </row>
    <row r="364" spans="1:1" x14ac:dyDescent="0.2">
      <c r="A364" s="48">
        <v>37709</v>
      </c>
    </row>
    <row r="365" spans="1:1" x14ac:dyDescent="0.2">
      <c r="A365" s="48">
        <v>37710</v>
      </c>
    </row>
    <row r="366" spans="1:1" x14ac:dyDescent="0.2">
      <c r="A366" s="48">
        <v>37711</v>
      </c>
    </row>
    <row r="367" spans="1:1" x14ac:dyDescent="0.2">
      <c r="A367" s="48">
        <v>37712</v>
      </c>
    </row>
    <row r="368" spans="1:1" x14ac:dyDescent="0.2">
      <c r="A368" s="48">
        <v>37713</v>
      </c>
    </row>
    <row r="369" spans="1:1" x14ac:dyDescent="0.2">
      <c r="A369" s="48">
        <v>37714</v>
      </c>
    </row>
    <row r="370" spans="1:1" x14ac:dyDescent="0.2">
      <c r="A370" s="48">
        <v>37715</v>
      </c>
    </row>
    <row r="371" spans="1:1" x14ac:dyDescent="0.2">
      <c r="A371" s="48">
        <v>37716</v>
      </c>
    </row>
    <row r="372" spans="1:1" x14ac:dyDescent="0.2">
      <c r="A372" s="48">
        <v>37717</v>
      </c>
    </row>
    <row r="373" spans="1:1" x14ac:dyDescent="0.2">
      <c r="A373" s="48">
        <v>37718</v>
      </c>
    </row>
    <row r="374" spans="1:1" x14ac:dyDescent="0.2">
      <c r="A374" s="48">
        <v>37719</v>
      </c>
    </row>
    <row r="375" spans="1:1" x14ac:dyDescent="0.2">
      <c r="A375" s="48">
        <v>37720</v>
      </c>
    </row>
    <row r="376" spans="1:1" x14ac:dyDescent="0.2">
      <c r="A376" s="48">
        <v>37721</v>
      </c>
    </row>
    <row r="377" spans="1:1" x14ac:dyDescent="0.2">
      <c r="A377" s="48">
        <v>37722</v>
      </c>
    </row>
    <row r="378" spans="1:1" x14ac:dyDescent="0.2">
      <c r="A378" s="48">
        <v>37723</v>
      </c>
    </row>
    <row r="379" spans="1:1" x14ac:dyDescent="0.2">
      <c r="A379" s="48">
        <v>37724</v>
      </c>
    </row>
    <row r="380" spans="1:1" x14ac:dyDescent="0.2">
      <c r="A380" s="48">
        <v>37725</v>
      </c>
    </row>
    <row r="381" spans="1:1" x14ac:dyDescent="0.2">
      <c r="A381" s="48">
        <v>37726</v>
      </c>
    </row>
    <row r="382" spans="1:1" x14ac:dyDescent="0.2">
      <c r="A382" s="48">
        <v>37727</v>
      </c>
    </row>
    <row r="383" spans="1:1" x14ac:dyDescent="0.2">
      <c r="A383" s="48">
        <v>37728</v>
      </c>
    </row>
    <row r="384" spans="1:1" x14ac:dyDescent="0.2">
      <c r="A384" s="48">
        <v>37729</v>
      </c>
    </row>
    <row r="385" spans="1:1" x14ac:dyDescent="0.2">
      <c r="A385" s="48">
        <v>37730</v>
      </c>
    </row>
    <row r="386" spans="1:1" x14ac:dyDescent="0.2">
      <c r="A386" s="48">
        <v>37731</v>
      </c>
    </row>
    <row r="387" spans="1:1" x14ac:dyDescent="0.2">
      <c r="A387" s="48">
        <v>37732</v>
      </c>
    </row>
    <row r="388" spans="1:1" x14ac:dyDescent="0.2">
      <c r="A388" s="48">
        <v>37733</v>
      </c>
    </row>
    <row r="389" spans="1:1" x14ac:dyDescent="0.2">
      <c r="A389" s="48">
        <v>37734</v>
      </c>
    </row>
    <row r="390" spans="1:1" x14ac:dyDescent="0.2">
      <c r="A390" s="48">
        <v>37735</v>
      </c>
    </row>
    <row r="391" spans="1:1" x14ac:dyDescent="0.2">
      <c r="A391" s="48">
        <v>37736</v>
      </c>
    </row>
    <row r="392" spans="1:1" x14ac:dyDescent="0.2">
      <c r="A392" s="48">
        <v>37737</v>
      </c>
    </row>
    <row r="393" spans="1:1" x14ac:dyDescent="0.2">
      <c r="A393" s="48">
        <v>37738</v>
      </c>
    </row>
    <row r="394" spans="1:1" x14ac:dyDescent="0.2">
      <c r="A394" s="48">
        <v>37739</v>
      </c>
    </row>
    <row r="395" spans="1:1" x14ac:dyDescent="0.2">
      <c r="A395" s="48">
        <v>37740</v>
      </c>
    </row>
    <row r="396" spans="1:1" x14ac:dyDescent="0.2">
      <c r="A396" s="48">
        <v>37741</v>
      </c>
    </row>
    <row r="397" spans="1:1" x14ac:dyDescent="0.2">
      <c r="A397" s="48">
        <v>37742</v>
      </c>
    </row>
    <row r="398" spans="1:1" x14ac:dyDescent="0.2">
      <c r="A398" s="48">
        <v>37743</v>
      </c>
    </row>
    <row r="399" spans="1:1" x14ac:dyDescent="0.2">
      <c r="A399" s="48">
        <v>37744</v>
      </c>
    </row>
    <row r="400" spans="1:1" x14ac:dyDescent="0.2">
      <c r="A400" s="48">
        <v>37745</v>
      </c>
    </row>
    <row r="401" spans="1:1" x14ac:dyDescent="0.2">
      <c r="A401" s="48">
        <v>37746</v>
      </c>
    </row>
    <row r="402" spans="1:1" x14ac:dyDescent="0.2">
      <c r="A402" s="48">
        <v>37747</v>
      </c>
    </row>
    <row r="403" spans="1:1" x14ac:dyDescent="0.2">
      <c r="A403" s="48">
        <v>37748</v>
      </c>
    </row>
    <row r="404" spans="1:1" x14ac:dyDescent="0.2">
      <c r="A404" s="48">
        <v>37749</v>
      </c>
    </row>
    <row r="405" spans="1:1" x14ac:dyDescent="0.2">
      <c r="A405" s="48">
        <v>37750</v>
      </c>
    </row>
    <row r="406" spans="1:1" x14ac:dyDescent="0.2">
      <c r="A406" s="48">
        <v>37751</v>
      </c>
    </row>
    <row r="407" spans="1:1" x14ac:dyDescent="0.2">
      <c r="A407" s="48">
        <v>37752</v>
      </c>
    </row>
    <row r="408" spans="1:1" x14ac:dyDescent="0.2">
      <c r="A408" s="48">
        <v>37753</v>
      </c>
    </row>
    <row r="409" spans="1:1" x14ac:dyDescent="0.2">
      <c r="A409" s="48">
        <v>37754</v>
      </c>
    </row>
    <row r="410" spans="1:1" x14ac:dyDescent="0.2">
      <c r="A410" s="48">
        <v>37755</v>
      </c>
    </row>
    <row r="411" spans="1:1" x14ac:dyDescent="0.2">
      <c r="A411" s="48">
        <v>37756</v>
      </c>
    </row>
    <row r="412" spans="1:1" x14ac:dyDescent="0.2">
      <c r="A412" s="48">
        <v>37757</v>
      </c>
    </row>
    <row r="413" spans="1:1" x14ac:dyDescent="0.2">
      <c r="A413" s="48">
        <v>37758</v>
      </c>
    </row>
    <row r="414" spans="1:1" x14ac:dyDescent="0.2">
      <c r="A414" s="48">
        <v>37759</v>
      </c>
    </row>
    <row r="415" spans="1:1" x14ac:dyDescent="0.2">
      <c r="A415" s="48">
        <v>37760</v>
      </c>
    </row>
    <row r="416" spans="1:1" x14ac:dyDescent="0.2">
      <c r="A416" s="48">
        <v>37761</v>
      </c>
    </row>
    <row r="417" spans="1:1" x14ac:dyDescent="0.2">
      <c r="A417" s="48">
        <v>37762</v>
      </c>
    </row>
    <row r="418" spans="1:1" x14ac:dyDescent="0.2">
      <c r="A418" s="48">
        <v>37763</v>
      </c>
    </row>
    <row r="419" spans="1:1" x14ac:dyDescent="0.2">
      <c r="A419" s="48">
        <v>37764</v>
      </c>
    </row>
    <row r="420" spans="1:1" x14ac:dyDescent="0.2">
      <c r="A420" s="48">
        <v>37765</v>
      </c>
    </row>
    <row r="421" spans="1:1" x14ac:dyDescent="0.2">
      <c r="A421" s="48">
        <v>37766</v>
      </c>
    </row>
    <row r="422" spans="1:1" x14ac:dyDescent="0.2">
      <c r="A422" s="48">
        <v>37767</v>
      </c>
    </row>
    <row r="423" spans="1:1" x14ac:dyDescent="0.2">
      <c r="A423" s="48">
        <v>37768</v>
      </c>
    </row>
    <row r="424" spans="1:1" x14ac:dyDescent="0.2">
      <c r="A424" s="48">
        <v>37769</v>
      </c>
    </row>
    <row r="425" spans="1:1" x14ac:dyDescent="0.2">
      <c r="A425" s="48">
        <v>37770</v>
      </c>
    </row>
    <row r="426" spans="1:1" x14ac:dyDescent="0.2">
      <c r="A426" s="48">
        <v>37771</v>
      </c>
    </row>
    <row r="427" spans="1:1" x14ac:dyDescent="0.2">
      <c r="A427" s="48">
        <v>37772</v>
      </c>
    </row>
    <row r="428" spans="1:1" x14ac:dyDescent="0.2">
      <c r="A428" s="48">
        <v>37773</v>
      </c>
    </row>
    <row r="429" spans="1:1" x14ac:dyDescent="0.2">
      <c r="A429" s="48">
        <v>37774</v>
      </c>
    </row>
    <row r="430" spans="1:1" x14ac:dyDescent="0.2">
      <c r="A430" s="48">
        <v>37775</v>
      </c>
    </row>
    <row r="431" spans="1:1" x14ac:dyDescent="0.2">
      <c r="A431" s="48">
        <v>37776</v>
      </c>
    </row>
    <row r="432" spans="1:1" x14ac:dyDescent="0.2">
      <c r="A432" s="48">
        <v>37777</v>
      </c>
    </row>
    <row r="433" spans="1:1" x14ac:dyDescent="0.2">
      <c r="A433" s="48">
        <v>37778</v>
      </c>
    </row>
    <row r="434" spans="1:1" x14ac:dyDescent="0.2">
      <c r="A434" s="48">
        <v>37779</v>
      </c>
    </row>
    <row r="435" spans="1:1" x14ac:dyDescent="0.2">
      <c r="A435" s="48">
        <v>37780</v>
      </c>
    </row>
    <row r="436" spans="1:1" x14ac:dyDescent="0.2">
      <c r="A436" s="48">
        <v>37781</v>
      </c>
    </row>
    <row r="437" spans="1:1" x14ac:dyDescent="0.2">
      <c r="A437" s="48">
        <v>37782</v>
      </c>
    </row>
    <row r="438" spans="1:1" x14ac:dyDescent="0.2">
      <c r="A438" s="48">
        <v>37783</v>
      </c>
    </row>
    <row r="439" spans="1:1" x14ac:dyDescent="0.2">
      <c r="A439" s="48">
        <v>37784</v>
      </c>
    </row>
    <row r="440" spans="1:1" x14ac:dyDescent="0.2">
      <c r="A440" s="48">
        <v>37785</v>
      </c>
    </row>
    <row r="441" spans="1:1" x14ac:dyDescent="0.2">
      <c r="A441" s="48">
        <v>37786</v>
      </c>
    </row>
    <row r="442" spans="1:1" x14ac:dyDescent="0.2">
      <c r="A442" s="48">
        <v>37787</v>
      </c>
    </row>
    <row r="443" spans="1:1" x14ac:dyDescent="0.2">
      <c r="A443" s="48">
        <v>37788</v>
      </c>
    </row>
    <row r="444" spans="1:1" x14ac:dyDescent="0.2">
      <c r="A444" s="48">
        <v>37789</v>
      </c>
    </row>
    <row r="445" spans="1:1" x14ac:dyDescent="0.2">
      <c r="A445" s="48">
        <v>37790</v>
      </c>
    </row>
    <row r="446" spans="1:1" x14ac:dyDescent="0.2">
      <c r="A446" s="48">
        <v>37791</v>
      </c>
    </row>
    <row r="447" spans="1:1" x14ac:dyDescent="0.2">
      <c r="A447" s="48">
        <v>37792</v>
      </c>
    </row>
    <row r="448" spans="1:1" x14ac:dyDescent="0.2">
      <c r="A448" s="48">
        <v>37793</v>
      </c>
    </row>
    <row r="449" spans="1:1" x14ac:dyDescent="0.2">
      <c r="A449" s="48">
        <v>37794</v>
      </c>
    </row>
    <row r="450" spans="1:1" x14ac:dyDescent="0.2">
      <c r="A450" s="48">
        <v>37795</v>
      </c>
    </row>
    <row r="451" spans="1:1" x14ac:dyDescent="0.2">
      <c r="A451" s="48">
        <v>37796</v>
      </c>
    </row>
    <row r="452" spans="1:1" x14ac:dyDescent="0.2">
      <c r="A452" s="48">
        <v>37797</v>
      </c>
    </row>
    <row r="453" spans="1:1" x14ac:dyDescent="0.2">
      <c r="A453" s="48">
        <v>37798</v>
      </c>
    </row>
    <row r="454" spans="1:1" x14ac:dyDescent="0.2">
      <c r="A454" s="48">
        <v>37799</v>
      </c>
    </row>
    <row r="455" spans="1:1" x14ac:dyDescent="0.2">
      <c r="A455" s="48">
        <v>37800</v>
      </c>
    </row>
    <row r="456" spans="1:1" x14ac:dyDescent="0.2">
      <c r="A456" s="48">
        <v>37801</v>
      </c>
    </row>
    <row r="457" spans="1:1" x14ac:dyDescent="0.2">
      <c r="A457" s="48">
        <v>37802</v>
      </c>
    </row>
    <row r="458" spans="1:1" x14ac:dyDescent="0.2">
      <c r="A458" s="48">
        <v>37803</v>
      </c>
    </row>
    <row r="459" spans="1:1" x14ac:dyDescent="0.2">
      <c r="A459" s="48">
        <v>37804</v>
      </c>
    </row>
    <row r="460" spans="1:1" x14ac:dyDescent="0.2">
      <c r="A460" s="48">
        <v>37805</v>
      </c>
    </row>
    <row r="461" spans="1:1" x14ac:dyDescent="0.2">
      <c r="A461" s="48">
        <v>37806</v>
      </c>
    </row>
    <row r="462" spans="1:1" x14ac:dyDescent="0.2">
      <c r="A462" s="48">
        <v>37807</v>
      </c>
    </row>
    <row r="463" spans="1:1" x14ac:dyDescent="0.2">
      <c r="A463" s="48">
        <v>37808</v>
      </c>
    </row>
    <row r="464" spans="1:1" x14ac:dyDescent="0.2">
      <c r="A464" s="48">
        <v>37809</v>
      </c>
    </row>
    <row r="465" spans="1:1" x14ac:dyDescent="0.2">
      <c r="A465" s="48">
        <v>37810</v>
      </c>
    </row>
    <row r="466" spans="1:1" x14ac:dyDescent="0.2">
      <c r="A466" s="48">
        <v>37811</v>
      </c>
    </row>
    <row r="467" spans="1:1" x14ac:dyDescent="0.2">
      <c r="A467" s="48">
        <v>37812</v>
      </c>
    </row>
    <row r="468" spans="1:1" x14ac:dyDescent="0.2">
      <c r="A468" s="48">
        <v>37813</v>
      </c>
    </row>
    <row r="469" spans="1:1" x14ac:dyDescent="0.2">
      <c r="A469" s="48">
        <v>37814</v>
      </c>
    </row>
    <row r="470" spans="1:1" x14ac:dyDescent="0.2">
      <c r="A470" s="48">
        <v>37815</v>
      </c>
    </row>
    <row r="471" spans="1:1" x14ac:dyDescent="0.2">
      <c r="A471" s="48">
        <v>37816</v>
      </c>
    </row>
    <row r="472" spans="1:1" x14ac:dyDescent="0.2">
      <c r="A472" s="48">
        <v>37817</v>
      </c>
    </row>
    <row r="473" spans="1:1" x14ac:dyDescent="0.2">
      <c r="A473" s="48">
        <v>37818</v>
      </c>
    </row>
    <row r="474" spans="1:1" x14ac:dyDescent="0.2">
      <c r="A474" s="48">
        <v>37819</v>
      </c>
    </row>
    <row r="475" spans="1:1" x14ac:dyDescent="0.2">
      <c r="A475" s="48">
        <v>37820</v>
      </c>
    </row>
    <row r="476" spans="1:1" x14ac:dyDescent="0.2">
      <c r="A476" s="48">
        <v>37821</v>
      </c>
    </row>
    <row r="477" spans="1:1" x14ac:dyDescent="0.2">
      <c r="A477" s="48">
        <v>37822</v>
      </c>
    </row>
    <row r="478" spans="1:1" x14ac:dyDescent="0.2">
      <c r="A478" s="48">
        <v>37823</v>
      </c>
    </row>
    <row r="479" spans="1:1" x14ac:dyDescent="0.2">
      <c r="A479" s="48">
        <v>37824</v>
      </c>
    </row>
    <row r="480" spans="1:1" x14ac:dyDescent="0.2">
      <c r="A480" s="48">
        <v>37825</v>
      </c>
    </row>
    <row r="481" spans="1:1" x14ac:dyDescent="0.2">
      <c r="A481" s="48">
        <v>37826</v>
      </c>
    </row>
    <row r="482" spans="1:1" x14ac:dyDescent="0.2">
      <c r="A482" s="48">
        <v>37827</v>
      </c>
    </row>
    <row r="483" spans="1:1" x14ac:dyDescent="0.2">
      <c r="A483" s="48">
        <v>37828</v>
      </c>
    </row>
    <row r="484" spans="1:1" x14ac:dyDescent="0.2">
      <c r="A484" s="48">
        <v>37829</v>
      </c>
    </row>
    <row r="485" spans="1:1" x14ac:dyDescent="0.2">
      <c r="A485" s="48">
        <v>37830</v>
      </c>
    </row>
    <row r="486" spans="1:1" x14ac:dyDescent="0.2">
      <c r="A486" s="48">
        <v>37831</v>
      </c>
    </row>
    <row r="487" spans="1:1" x14ac:dyDescent="0.2">
      <c r="A487" s="48">
        <v>37832</v>
      </c>
    </row>
    <row r="488" spans="1:1" x14ac:dyDescent="0.2">
      <c r="A488" s="48">
        <v>37833</v>
      </c>
    </row>
    <row r="489" spans="1:1" x14ac:dyDescent="0.2">
      <c r="A489" s="48">
        <v>37834</v>
      </c>
    </row>
    <row r="490" spans="1:1" x14ac:dyDescent="0.2">
      <c r="A490" s="48">
        <v>37835</v>
      </c>
    </row>
    <row r="491" spans="1:1" x14ac:dyDescent="0.2">
      <c r="A491" s="48">
        <v>37836</v>
      </c>
    </row>
    <row r="492" spans="1:1" x14ac:dyDescent="0.2">
      <c r="A492" s="48">
        <v>37837</v>
      </c>
    </row>
    <row r="493" spans="1:1" x14ac:dyDescent="0.2">
      <c r="A493" s="48">
        <v>37838</v>
      </c>
    </row>
    <row r="494" spans="1:1" x14ac:dyDescent="0.2">
      <c r="A494" s="48">
        <v>37839</v>
      </c>
    </row>
    <row r="495" spans="1:1" x14ac:dyDescent="0.2">
      <c r="A495" s="48">
        <v>37840</v>
      </c>
    </row>
    <row r="496" spans="1:1" x14ac:dyDescent="0.2">
      <c r="A496" s="48">
        <v>37841</v>
      </c>
    </row>
    <row r="497" spans="1:1" x14ac:dyDescent="0.2">
      <c r="A497" s="48">
        <v>37842</v>
      </c>
    </row>
    <row r="498" spans="1:1" x14ac:dyDescent="0.2">
      <c r="A498" s="48">
        <v>37843</v>
      </c>
    </row>
    <row r="499" spans="1:1" x14ac:dyDescent="0.2">
      <c r="A499" s="48">
        <v>37844</v>
      </c>
    </row>
    <row r="500" spans="1:1" x14ac:dyDescent="0.2">
      <c r="A500" s="48">
        <v>37845</v>
      </c>
    </row>
    <row r="501" spans="1:1" x14ac:dyDescent="0.2">
      <c r="A501" s="48">
        <v>37846</v>
      </c>
    </row>
    <row r="502" spans="1:1" x14ac:dyDescent="0.2">
      <c r="A502" s="48">
        <v>37847</v>
      </c>
    </row>
    <row r="503" spans="1:1" x14ac:dyDescent="0.2">
      <c r="A503" s="48">
        <v>37848</v>
      </c>
    </row>
    <row r="504" spans="1:1" x14ac:dyDescent="0.2">
      <c r="A504" s="48">
        <v>37849</v>
      </c>
    </row>
    <row r="505" spans="1:1" x14ac:dyDescent="0.2">
      <c r="A505" s="48">
        <v>37850</v>
      </c>
    </row>
    <row r="506" spans="1:1" x14ac:dyDescent="0.2">
      <c r="A506" s="48">
        <v>37851</v>
      </c>
    </row>
    <row r="507" spans="1:1" x14ac:dyDescent="0.2">
      <c r="A507" s="48">
        <v>37852</v>
      </c>
    </row>
    <row r="508" spans="1:1" x14ac:dyDescent="0.2">
      <c r="A508" s="48">
        <v>37853</v>
      </c>
    </row>
    <row r="509" spans="1:1" x14ac:dyDescent="0.2">
      <c r="A509" s="48">
        <v>37854</v>
      </c>
    </row>
    <row r="510" spans="1:1" x14ac:dyDescent="0.2">
      <c r="A510" s="48">
        <v>37855</v>
      </c>
    </row>
    <row r="511" spans="1:1" x14ac:dyDescent="0.2">
      <c r="A511" s="48">
        <v>37856</v>
      </c>
    </row>
    <row r="512" spans="1:1" x14ac:dyDescent="0.2">
      <c r="A512" s="48">
        <v>37857</v>
      </c>
    </row>
    <row r="513" spans="1:1" x14ac:dyDescent="0.2">
      <c r="A513" s="48">
        <v>37858</v>
      </c>
    </row>
    <row r="514" spans="1:1" x14ac:dyDescent="0.2">
      <c r="A514" s="48">
        <v>37859</v>
      </c>
    </row>
    <row r="515" spans="1:1" x14ac:dyDescent="0.2">
      <c r="A515" s="48">
        <v>37860</v>
      </c>
    </row>
    <row r="516" spans="1:1" x14ac:dyDescent="0.2">
      <c r="A516" s="48">
        <v>37861</v>
      </c>
    </row>
    <row r="517" spans="1:1" x14ac:dyDescent="0.2">
      <c r="A517" s="48">
        <v>37862</v>
      </c>
    </row>
    <row r="518" spans="1:1" x14ac:dyDescent="0.2">
      <c r="A518" s="48">
        <v>37863</v>
      </c>
    </row>
    <row r="519" spans="1:1" x14ac:dyDescent="0.2">
      <c r="A519" s="48">
        <v>37864</v>
      </c>
    </row>
    <row r="520" spans="1:1" x14ac:dyDescent="0.2">
      <c r="A520" s="48">
        <v>37865</v>
      </c>
    </row>
    <row r="521" spans="1:1" x14ac:dyDescent="0.2">
      <c r="A521" s="48">
        <v>37866</v>
      </c>
    </row>
    <row r="522" spans="1:1" x14ac:dyDescent="0.2">
      <c r="A522" s="48">
        <v>37867</v>
      </c>
    </row>
    <row r="523" spans="1:1" x14ac:dyDescent="0.2">
      <c r="A523" s="48">
        <v>37868</v>
      </c>
    </row>
    <row r="524" spans="1:1" x14ac:dyDescent="0.2">
      <c r="A524" s="48">
        <v>37869</v>
      </c>
    </row>
    <row r="525" spans="1:1" x14ac:dyDescent="0.2">
      <c r="A525" s="48">
        <v>37870</v>
      </c>
    </row>
    <row r="526" spans="1:1" x14ac:dyDescent="0.2">
      <c r="A526" s="48">
        <v>37871</v>
      </c>
    </row>
    <row r="527" spans="1:1" x14ac:dyDescent="0.2">
      <c r="A527" s="48">
        <v>37872</v>
      </c>
    </row>
    <row r="528" spans="1:1" x14ac:dyDescent="0.2">
      <c r="A528" s="48">
        <v>37873</v>
      </c>
    </row>
    <row r="529" spans="1:1" x14ac:dyDescent="0.2">
      <c r="A529" s="48">
        <v>37874</v>
      </c>
    </row>
    <row r="530" spans="1:1" x14ac:dyDescent="0.2">
      <c r="A530" s="48">
        <v>37875</v>
      </c>
    </row>
    <row r="531" spans="1:1" x14ac:dyDescent="0.2">
      <c r="A531" s="48">
        <v>37876</v>
      </c>
    </row>
    <row r="532" spans="1:1" x14ac:dyDescent="0.2">
      <c r="A532" s="48">
        <v>37877</v>
      </c>
    </row>
    <row r="533" spans="1:1" x14ac:dyDescent="0.2">
      <c r="A533" s="48">
        <v>37878</v>
      </c>
    </row>
    <row r="534" spans="1:1" x14ac:dyDescent="0.2">
      <c r="A534" s="48">
        <v>37879</v>
      </c>
    </row>
    <row r="535" spans="1:1" x14ac:dyDescent="0.2">
      <c r="A535" s="48">
        <v>37880</v>
      </c>
    </row>
    <row r="536" spans="1:1" x14ac:dyDescent="0.2">
      <c r="A536" s="48">
        <v>37881</v>
      </c>
    </row>
    <row r="537" spans="1:1" x14ac:dyDescent="0.2">
      <c r="A537" s="48">
        <v>37882</v>
      </c>
    </row>
    <row r="538" spans="1:1" x14ac:dyDescent="0.2">
      <c r="A538" s="48">
        <v>37883</v>
      </c>
    </row>
    <row r="539" spans="1:1" x14ac:dyDescent="0.2">
      <c r="A539" s="48">
        <v>37884</v>
      </c>
    </row>
    <row r="540" spans="1:1" x14ac:dyDescent="0.2">
      <c r="A540" s="48">
        <v>37885</v>
      </c>
    </row>
    <row r="541" spans="1:1" x14ac:dyDescent="0.2">
      <c r="A541" s="48">
        <v>37886</v>
      </c>
    </row>
    <row r="542" spans="1:1" x14ac:dyDescent="0.2">
      <c r="A542" s="48">
        <v>37887</v>
      </c>
    </row>
    <row r="543" spans="1:1" x14ac:dyDescent="0.2">
      <c r="A543" s="48">
        <v>37888</v>
      </c>
    </row>
    <row r="544" spans="1:1" x14ac:dyDescent="0.2">
      <c r="A544" s="48">
        <v>37889</v>
      </c>
    </row>
    <row r="545" spans="1:1" x14ac:dyDescent="0.2">
      <c r="A545" s="48">
        <v>37890</v>
      </c>
    </row>
    <row r="546" spans="1:1" x14ac:dyDescent="0.2">
      <c r="A546" s="48">
        <v>37891</v>
      </c>
    </row>
    <row r="547" spans="1:1" x14ac:dyDescent="0.2">
      <c r="A547" s="48">
        <v>37892</v>
      </c>
    </row>
    <row r="548" spans="1:1" x14ac:dyDescent="0.2">
      <c r="A548" s="48">
        <v>37893</v>
      </c>
    </row>
    <row r="549" spans="1:1" x14ac:dyDescent="0.2">
      <c r="A549" s="48">
        <v>37894</v>
      </c>
    </row>
    <row r="550" spans="1:1" x14ac:dyDescent="0.2">
      <c r="A550" s="48">
        <v>37895</v>
      </c>
    </row>
    <row r="551" spans="1:1" x14ac:dyDescent="0.2">
      <c r="A551" s="48">
        <v>37896</v>
      </c>
    </row>
    <row r="552" spans="1:1" x14ac:dyDescent="0.2">
      <c r="A552" s="48">
        <v>37897</v>
      </c>
    </row>
    <row r="553" spans="1:1" x14ac:dyDescent="0.2">
      <c r="A553" s="48">
        <v>37898</v>
      </c>
    </row>
    <row r="554" spans="1:1" x14ac:dyDescent="0.2">
      <c r="A554" s="48">
        <v>37899</v>
      </c>
    </row>
    <row r="555" spans="1:1" x14ac:dyDescent="0.2">
      <c r="A555" s="48">
        <v>37900</v>
      </c>
    </row>
    <row r="556" spans="1:1" x14ac:dyDescent="0.2">
      <c r="A556" s="48">
        <v>37901</v>
      </c>
    </row>
    <row r="557" spans="1:1" x14ac:dyDescent="0.2">
      <c r="A557" s="48">
        <v>37902</v>
      </c>
    </row>
    <row r="558" spans="1:1" x14ac:dyDescent="0.2">
      <c r="A558" s="48">
        <v>37903</v>
      </c>
    </row>
    <row r="559" spans="1:1" x14ac:dyDescent="0.2">
      <c r="A559" s="48">
        <v>37904</v>
      </c>
    </row>
    <row r="560" spans="1:1" x14ac:dyDescent="0.2">
      <c r="A560" s="48">
        <v>37905</v>
      </c>
    </row>
    <row r="561" spans="1:1" x14ac:dyDescent="0.2">
      <c r="A561" s="48">
        <v>37906</v>
      </c>
    </row>
    <row r="562" spans="1:1" x14ac:dyDescent="0.2">
      <c r="A562" s="48">
        <v>37907</v>
      </c>
    </row>
    <row r="563" spans="1:1" x14ac:dyDescent="0.2">
      <c r="A563" s="48">
        <v>37908</v>
      </c>
    </row>
    <row r="564" spans="1:1" x14ac:dyDescent="0.2">
      <c r="A564" s="48">
        <v>37909</v>
      </c>
    </row>
    <row r="565" spans="1:1" x14ac:dyDescent="0.2">
      <c r="A565" s="48">
        <v>37910</v>
      </c>
    </row>
    <row r="566" spans="1:1" x14ac:dyDescent="0.2">
      <c r="A566" s="48">
        <v>37911</v>
      </c>
    </row>
    <row r="567" spans="1:1" x14ac:dyDescent="0.2">
      <c r="A567" s="48">
        <v>37912</v>
      </c>
    </row>
    <row r="568" spans="1:1" x14ac:dyDescent="0.2">
      <c r="A568" s="48">
        <v>37913</v>
      </c>
    </row>
    <row r="569" spans="1:1" x14ac:dyDescent="0.2">
      <c r="A569" s="48">
        <v>37914</v>
      </c>
    </row>
    <row r="570" spans="1:1" x14ac:dyDescent="0.2">
      <c r="A570" s="48">
        <v>37915</v>
      </c>
    </row>
    <row r="571" spans="1:1" x14ac:dyDescent="0.2">
      <c r="A571" s="48">
        <v>37916</v>
      </c>
    </row>
    <row r="572" spans="1:1" x14ac:dyDescent="0.2">
      <c r="A572" s="48">
        <v>37917</v>
      </c>
    </row>
    <row r="573" spans="1:1" x14ac:dyDescent="0.2">
      <c r="A573" s="48">
        <v>37918</v>
      </c>
    </row>
    <row r="574" spans="1:1" x14ac:dyDescent="0.2">
      <c r="A574" s="48">
        <v>37919</v>
      </c>
    </row>
    <row r="575" spans="1:1" x14ac:dyDescent="0.2">
      <c r="A575" s="48">
        <v>37920</v>
      </c>
    </row>
    <row r="576" spans="1:1" x14ac:dyDescent="0.2">
      <c r="A576" s="48">
        <v>37921</v>
      </c>
    </row>
    <row r="577" spans="1:1" x14ac:dyDescent="0.2">
      <c r="A577" s="48">
        <v>37922</v>
      </c>
    </row>
    <row r="578" spans="1:1" x14ac:dyDescent="0.2">
      <c r="A578" s="48">
        <v>37923</v>
      </c>
    </row>
    <row r="579" spans="1:1" x14ac:dyDescent="0.2">
      <c r="A579" s="48">
        <v>37924</v>
      </c>
    </row>
    <row r="580" spans="1:1" x14ac:dyDescent="0.2">
      <c r="A580" s="48">
        <v>37925</v>
      </c>
    </row>
    <row r="581" spans="1:1" x14ac:dyDescent="0.2">
      <c r="A581" s="48">
        <v>37926</v>
      </c>
    </row>
    <row r="582" spans="1:1" x14ac:dyDescent="0.2">
      <c r="A582" s="48">
        <v>37927</v>
      </c>
    </row>
    <row r="583" spans="1:1" x14ac:dyDescent="0.2">
      <c r="A583" s="48">
        <v>37928</v>
      </c>
    </row>
    <row r="584" spans="1:1" x14ac:dyDescent="0.2">
      <c r="A584" s="48">
        <v>37929</v>
      </c>
    </row>
    <row r="585" spans="1:1" x14ac:dyDescent="0.2">
      <c r="A585" s="48">
        <v>37930</v>
      </c>
    </row>
    <row r="586" spans="1:1" x14ac:dyDescent="0.2">
      <c r="A586" s="48">
        <v>37931</v>
      </c>
    </row>
    <row r="587" spans="1:1" x14ac:dyDescent="0.2">
      <c r="A587" s="48">
        <v>37932</v>
      </c>
    </row>
    <row r="588" spans="1:1" x14ac:dyDescent="0.2">
      <c r="A588" s="48">
        <v>37933</v>
      </c>
    </row>
    <row r="589" spans="1:1" x14ac:dyDescent="0.2">
      <c r="A589" s="48">
        <v>37934</v>
      </c>
    </row>
    <row r="590" spans="1:1" x14ac:dyDescent="0.2">
      <c r="A590" s="48">
        <v>37935</v>
      </c>
    </row>
    <row r="591" spans="1:1" x14ac:dyDescent="0.2">
      <c r="A591" s="48">
        <v>37936</v>
      </c>
    </row>
    <row r="592" spans="1:1" x14ac:dyDescent="0.2">
      <c r="A592" s="48">
        <v>37937</v>
      </c>
    </row>
    <row r="593" spans="1:1" x14ac:dyDescent="0.2">
      <c r="A593" s="48">
        <v>37938</v>
      </c>
    </row>
    <row r="594" spans="1:1" x14ac:dyDescent="0.2">
      <c r="A594" s="48">
        <v>37939</v>
      </c>
    </row>
    <row r="595" spans="1:1" x14ac:dyDescent="0.2">
      <c r="A595" s="48">
        <v>37940</v>
      </c>
    </row>
    <row r="596" spans="1:1" x14ac:dyDescent="0.2">
      <c r="A596" s="48">
        <v>37941</v>
      </c>
    </row>
    <row r="597" spans="1:1" x14ac:dyDescent="0.2">
      <c r="A597" s="48">
        <v>37942</v>
      </c>
    </row>
    <row r="598" spans="1:1" x14ac:dyDescent="0.2">
      <c r="A598" s="48">
        <v>37943</v>
      </c>
    </row>
    <row r="599" spans="1:1" x14ac:dyDescent="0.2">
      <c r="A599" s="48">
        <v>37944</v>
      </c>
    </row>
    <row r="600" spans="1:1" x14ac:dyDescent="0.2">
      <c r="A600" s="48">
        <v>37945</v>
      </c>
    </row>
    <row r="601" spans="1:1" x14ac:dyDescent="0.2">
      <c r="A601" s="48">
        <v>37946</v>
      </c>
    </row>
    <row r="602" spans="1:1" x14ac:dyDescent="0.2">
      <c r="A602" s="48">
        <v>37947</v>
      </c>
    </row>
    <row r="603" spans="1:1" x14ac:dyDescent="0.2">
      <c r="A603" s="48">
        <v>37948</v>
      </c>
    </row>
    <row r="604" spans="1:1" x14ac:dyDescent="0.2">
      <c r="A604" s="48">
        <v>37949</v>
      </c>
    </row>
    <row r="605" spans="1:1" x14ac:dyDescent="0.2">
      <c r="A605" s="48">
        <v>37950</v>
      </c>
    </row>
    <row r="606" spans="1:1" x14ac:dyDescent="0.2">
      <c r="A606" s="48">
        <v>37951</v>
      </c>
    </row>
    <row r="607" spans="1:1" x14ac:dyDescent="0.2">
      <c r="A607" s="48">
        <v>37952</v>
      </c>
    </row>
    <row r="608" spans="1:1" x14ac:dyDescent="0.2">
      <c r="A608" s="48">
        <v>37953</v>
      </c>
    </row>
    <row r="609" spans="1:1" x14ac:dyDescent="0.2">
      <c r="A609" s="48">
        <v>37954</v>
      </c>
    </row>
    <row r="610" spans="1:1" x14ac:dyDescent="0.2">
      <c r="A610" s="48">
        <v>37955</v>
      </c>
    </row>
    <row r="611" spans="1:1" x14ac:dyDescent="0.2">
      <c r="A611" s="48">
        <v>37956</v>
      </c>
    </row>
    <row r="612" spans="1:1" x14ac:dyDescent="0.2">
      <c r="A612" s="48">
        <v>37957</v>
      </c>
    </row>
    <row r="613" spans="1:1" x14ac:dyDescent="0.2">
      <c r="A613" s="48">
        <v>37958</v>
      </c>
    </row>
    <row r="614" spans="1:1" x14ac:dyDescent="0.2">
      <c r="A614" s="48">
        <v>37959</v>
      </c>
    </row>
    <row r="615" spans="1:1" x14ac:dyDescent="0.2">
      <c r="A615" s="48">
        <v>37960</v>
      </c>
    </row>
    <row r="616" spans="1:1" x14ac:dyDescent="0.2">
      <c r="A616" s="48">
        <v>37961</v>
      </c>
    </row>
    <row r="617" spans="1:1" x14ac:dyDescent="0.2">
      <c r="A617" s="48">
        <v>37962</v>
      </c>
    </row>
    <row r="618" spans="1:1" x14ac:dyDescent="0.2">
      <c r="A618" s="48">
        <v>37963</v>
      </c>
    </row>
    <row r="619" spans="1:1" x14ac:dyDescent="0.2">
      <c r="A619" s="48">
        <v>37964</v>
      </c>
    </row>
    <row r="620" spans="1:1" x14ac:dyDescent="0.2">
      <c r="A620" s="48">
        <v>37965</v>
      </c>
    </row>
    <row r="621" spans="1:1" x14ac:dyDescent="0.2">
      <c r="A621" s="48">
        <v>37966</v>
      </c>
    </row>
    <row r="622" spans="1:1" x14ac:dyDescent="0.2">
      <c r="A622" s="48">
        <v>37967</v>
      </c>
    </row>
    <row r="623" spans="1:1" x14ac:dyDescent="0.2">
      <c r="A623" s="48">
        <v>37968</v>
      </c>
    </row>
    <row r="624" spans="1:1" x14ac:dyDescent="0.2">
      <c r="A624" s="48">
        <v>37969</v>
      </c>
    </row>
    <row r="625" spans="1:1" x14ac:dyDescent="0.2">
      <c r="A625" s="48">
        <v>37970</v>
      </c>
    </row>
    <row r="626" spans="1:1" x14ac:dyDescent="0.2">
      <c r="A626" s="48">
        <v>37971</v>
      </c>
    </row>
    <row r="627" spans="1:1" x14ac:dyDescent="0.2">
      <c r="A627" s="48">
        <v>37972</v>
      </c>
    </row>
    <row r="628" spans="1:1" x14ac:dyDescent="0.2">
      <c r="A628" s="48">
        <v>37973</v>
      </c>
    </row>
    <row r="629" spans="1:1" x14ac:dyDescent="0.2">
      <c r="A629" s="48">
        <v>37974</v>
      </c>
    </row>
    <row r="630" spans="1:1" x14ac:dyDescent="0.2">
      <c r="A630" s="48">
        <v>37975</v>
      </c>
    </row>
    <row r="631" spans="1:1" x14ac:dyDescent="0.2">
      <c r="A631" s="48">
        <v>37976</v>
      </c>
    </row>
    <row r="632" spans="1:1" x14ac:dyDescent="0.2">
      <c r="A632" s="48">
        <v>37977</v>
      </c>
    </row>
    <row r="633" spans="1:1" x14ac:dyDescent="0.2">
      <c r="A633" s="48">
        <v>37978</v>
      </c>
    </row>
    <row r="634" spans="1:1" x14ac:dyDescent="0.2">
      <c r="A634" s="48">
        <v>37979</v>
      </c>
    </row>
    <row r="635" spans="1:1" x14ac:dyDescent="0.2">
      <c r="A635" s="48">
        <v>37980</v>
      </c>
    </row>
    <row r="636" spans="1:1" x14ac:dyDescent="0.2">
      <c r="A636" s="48">
        <v>37981</v>
      </c>
    </row>
    <row r="637" spans="1:1" x14ac:dyDescent="0.2">
      <c r="A637" s="48">
        <v>37982</v>
      </c>
    </row>
    <row r="638" spans="1:1" x14ac:dyDescent="0.2">
      <c r="A638" s="48">
        <v>37983</v>
      </c>
    </row>
    <row r="639" spans="1:1" x14ac:dyDescent="0.2">
      <c r="A639" s="48">
        <v>37984</v>
      </c>
    </row>
    <row r="640" spans="1:1" x14ac:dyDescent="0.2">
      <c r="A640" s="48">
        <v>37985</v>
      </c>
    </row>
    <row r="641" spans="1:1" x14ac:dyDescent="0.2">
      <c r="A641" s="48">
        <v>37986</v>
      </c>
    </row>
    <row r="642" spans="1:1" x14ac:dyDescent="0.2">
      <c r="A642" s="48">
        <v>37987</v>
      </c>
    </row>
    <row r="643" spans="1:1" x14ac:dyDescent="0.2">
      <c r="A643" s="48">
        <v>37988</v>
      </c>
    </row>
    <row r="644" spans="1:1" x14ac:dyDescent="0.2">
      <c r="A644" s="48">
        <v>37989</v>
      </c>
    </row>
    <row r="645" spans="1:1" x14ac:dyDescent="0.2">
      <c r="A645" s="48">
        <v>37990</v>
      </c>
    </row>
    <row r="646" spans="1:1" x14ac:dyDescent="0.2">
      <c r="A646" s="48">
        <v>37991</v>
      </c>
    </row>
    <row r="647" spans="1:1" x14ac:dyDescent="0.2">
      <c r="A647" s="48">
        <v>37992</v>
      </c>
    </row>
    <row r="648" spans="1:1" x14ac:dyDescent="0.2">
      <c r="A648" s="48">
        <v>37993</v>
      </c>
    </row>
    <row r="649" spans="1:1" x14ac:dyDescent="0.2">
      <c r="A649" s="48">
        <v>37994</v>
      </c>
    </row>
    <row r="650" spans="1:1" x14ac:dyDescent="0.2">
      <c r="A650" s="48">
        <v>37995</v>
      </c>
    </row>
    <row r="651" spans="1:1" x14ac:dyDescent="0.2">
      <c r="A651" s="48">
        <v>37996</v>
      </c>
    </row>
    <row r="652" spans="1:1" x14ac:dyDescent="0.2">
      <c r="A652" s="48">
        <v>37997</v>
      </c>
    </row>
    <row r="653" spans="1:1" x14ac:dyDescent="0.2">
      <c r="A653" s="48">
        <v>37998</v>
      </c>
    </row>
    <row r="654" spans="1:1" x14ac:dyDescent="0.2">
      <c r="A654" s="48">
        <v>37999</v>
      </c>
    </row>
    <row r="655" spans="1:1" x14ac:dyDescent="0.2">
      <c r="A655" s="48">
        <v>38000</v>
      </c>
    </row>
    <row r="656" spans="1:1" x14ac:dyDescent="0.2">
      <c r="A656" s="48">
        <v>38001</v>
      </c>
    </row>
    <row r="657" spans="1:1" x14ac:dyDescent="0.2">
      <c r="A657" s="48">
        <v>38002</v>
      </c>
    </row>
    <row r="658" spans="1:1" x14ac:dyDescent="0.2">
      <c r="A658" s="48">
        <v>38003</v>
      </c>
    </row>
    <row r="659" spans="1:1" x14ac:dyDescent="0.2">
      <c r="A659" s="48">
        <v>38004</v>
      </c>
    </row>
    <row r="660" spans="1:1" x14ac:dyDescent="0.2">
      <c r="A660" s="48">
        <v>38005</v>
      </c>
    </row>
    <row r="661" spans="1:1" x14ac:dyDescent="0.2">
      <c r="A661" s="48">
        <v>38006</v>
      </c>
    </row>
    <row r="662" spans="1:1" x14ac:dyDescent="0.2">
      <c r="A662" s="48">
        <v>38007</v>
      </c>
    </row>
    <row r="663" spans="1:1" x14ac:dyDescent="0.2">
      <c r="A663" s="48">
        <v>38008</v>
      </c>
    </row>
    <row r="664" spans="1:1" x14ac:dyDescent="0.2">
      <c r="A664" s="48">
        <v>38009</v>
      </c>
    </row>
    <row r="665" spans="1:1" x14ac:dyDescent="0.2">
      <c r="A665" s="48">
        <v>38010</v>
      </c>
    </row>
    <row r="666" spans="1:1" x14ac:dyDescent="0.2">
      <c r="A666" s="48">
        <v>38011</v>
      </c>
    </row>
    <row r="667" spans="1:1" x14ac:dyDescent="0.2">
      <c r="A667" s="48">
        <v>38012</v>
      </c>
    </row>
    <row r="668" spans="1:1" x14ac:dyDescent="0.2">
      <c r="A668" s="48">
        <v>38013</v>
      </c>
    </row>
    <row r="669" spans="1:1" x14ac:dyDescent="0.2">
      <c r="A669" s="48">
        <v>38014</v>
      </c>
    </row>
    <row r="670" spans="1:1" x14ac:dyDescent="0.2">
      <c r="A670" s="48">
        <v>38015</v>
      </c>
    </row>
    <row r="671" spans="1:1" x14ac:dyDescent="0.2">
      <c r="A671" s="48">
        <v>38016</v>
      </c>
    </row>
    <row r="672" spans="1:1" x14ac:dyDescent="0.2">
      <c r="A672" s="48">
        <v>38017</v>
      </c>
    </row>
    <row r="673" spans="1:1" x14ac:dyDescent="0.2">
      <c r="A673" s="48">
        <v>38018</v>
      </c>
    </row>
    <row r="674" spans="1:1" x14ac:dyDescent="0.2">
      <c r="A674" s="48">
        <v>38019</v>
      </c>
    </row>
    <row r="675" spans="1:1" x14ac:dyDescent="0.2">
      <c r="A675" s="48">
        <v>38020</v>
      </c>
    </row>
    <row r="676" spans="1:1" x14ac:dyDescent="0.2">
      <c r="A676" s="48">
        <v>38021</v>
      </c>
    </row>
    <row r="677" spans="1:1" x14ac:dyDescent="0.2">
      <c r="A677" s="48">
        <v>38022</v>
      </c>
    </row>
    <row r="678" spans="1:1" x14ac:dyDescent="0.2">
      <c r="A678" s="48">
        <v>38023</v>
      </c>
    </row>
    <row r="679" spans="1:1" x14ac:dyDescent="0.2">
      <c r="A679" s="48">
        <v>38024</v>
      </c>
    </row>
    <row r="680" spans="1:1" x14ac:dyDescent="0.2">
      <c r="A680" s="48">
        <v>38025</v>
      </c>
    </row>
    <row r="681" spans="1:1" x14ac:dyDescent="0.2">
      <c r="A681" s="48">
        <v>38026</v>
      </c>
    </row>
    <row r="682" spans="1:1" x14ac:dyDescent="0.2">
      <c r="A682" s="48">
        <v>38027</v>
      </c>
    </row>
    <row r="683" spans="1:1" x14ac:dyDescent="0.2">
      <c r="A683" s="48">
        <v>38028</v>
      </c>
    </row>
    <row r="684" spans="1:1" x14ac:dyDescent="0.2">
      <c r="A684" s="48">
        <v>38029</v>
      </c>
    </row>
    <row r="685" spans="1:1" x14ac:dyDescent="0.2">
      <c r="A685" s="48">
        <v>38030</v>
      </c>
    </row>
    <row r="686" spans="1:1" x14ac:dyDescent="0.2">
      <c r="A686" s="48">
        <v>38031</v>
      </c>
    </row>
    <row r="687" spans="1:1" x14ac:dyDescent="0.2">
      <c r="A687" s="48">
        <v>38032</v>
      </c>
    </row>
    <row r="688" spans="1:1" x14ac:dyDescent="0.2">
      <c r="A688" s="48">
        <v>38033</v>
      </c>
    </row>
    <row r="689" spans="1:1" x14ac:dyDescent="0.2">
      <c r="A689" s="48">
        <v>38034</v>
      </c>
    </row>
    <row r="690" spans="1:1" x14ac:dyDescent="0.2">
      <c r="A690" s="48">
        <v>38035</v>
      </c>
    </row>
    <row r="691" spans="1:1" x14ac:dyDescent="0.2">
      <c r="A691" s="48">
        <v>38036</v>
      </c>
    </row>
    <row r="692" spans="1:1" x14ac:dyDescent="0.2">
      <c r="A692" s="48">
        <v>38037</v>
      </c>
    </row>
    <row r="693" spans="1:1" x14ac:dyDescent="0.2">
      <c r="A693" s="48">
        <v>38038</v>
      </c>
    </row>
    <row r="694" spans="1:1" x14ac:dyDescent="0.2">
      <c r="A694" s="48">
        <v>38039</v>
      </c>
    </row>
    <row r="695" spans="1:1" x14ac:dyDescent="0.2">
      <c r="A695" s="48">
        <v>38040</v>
      </c>
    </row>
    <row r="696" spans="1:1" x14ac:dyDescent="0.2">
      <c r="A696" s="48">
        <v>38041</v>
      </c>
    </row>
    <row r="697" spans="1:1" x14ac:dyDescent="0.2">
      <c r="A697" s="48">
        <v>38042</v>
      </c>
    </row>
    <row r="698" spans="1:1" x14ac:dyDescent="0.2">
      <c r="A698" s="48">
        <v>38043</v>
      </c>
    </row>
    <row r="699" spans="1:1" x14ac:dyDescent="0.2">
      <c r="A699" s="48">
        <v>38044</v>
      </c>
    </row>
    <row r="700" spans="1:1" x14ac:dyDescent="0.2">
      <c r="A700" s="48">
        <v>38045</v>
      </c>
    </row>
    <row r="701" spans="1:1" x14ac:dyDescent="0.2">
      <c r="A701" s="48">
        <v>38046</v>
      </c>
    </row>
    <row r="702" spans="1:1" x14ac:dyDescent="0.2">
      <c r="A702" s="48">
        <v>38047</v>
      </c>
    </row>
    <row r="703" spans="1:1" x14ac:dyDescent="0.2">
      <c r="A703" s="48">
        <v>38048</v>
      </c>
    </row>
    <row r="704" spans="1:1" x14ac:dyDescent="0.2">
      <c r="A704" s="48">
        <v>38049</v>
      </c>
    </row>
    <row r="705" spans="1:1" x14ac:dyDescent="0.2">
      <c r="A705" s="48">
        <v>38050</v>
      </c>
    </row>
    <row r="706" spans="1:1" x14ac:dyDescent="0.2">
      <c r="A706" s="48">
        <v>38051</v>
      </c>
    </row>
    <row r="707" spans="1:1" x14ac:dyDescent="0.2">
      <c r="A707" s="48">
        <v>38052</v>
      </c>
    </row>
    <row r="708" spans="1:1" x14ac:dyDescent="0.2">
      <c r="A708" s="48">
        <v>38053</v>
      </c>
    </row>
    <row r="709" spans="1:1" x14ac:dyDescent="0.2">
      <c r="A709" s="48">
        <v>38054</v>
      </c>
    </row>
    <row r="710" spans="1:1" x14ac:dyDescent="0.2">
      <c r="A710" s="48">
        <v>38055</v>
      </c>
    </row>
    <row r="711" spans="1:1" x14ac:dyDescent="0.2">
      <c r="A711" s="48">
        <v>38056</v>
      </c>
    </row>
    <row r="712" spans="1:1" x14ac:dyDescent="0.2">
      <c r="A712" s="48">
        <v>38057</v>
      </c>
    </row>
    <row r="713" spans="1:1" x14ac:dyDescent="0.2">
      <c r="A713" s="48">
        <v>38058</v>
      </c>
    </row>
    <row r="714" spans="1:1" x14ac:dyDescent="0.2">
      <c r="A714" s="48">
        <v>38059</v>
      </c>
    </row>
    <row r="715" spans="1:1" x14ac:dyDescent="0.2">
      <c r="A715" s="48">
        <v>38060</v>
      </c>
    </row>
    <row r="716" spans="1:1" x14ac:dyDescent="0.2">
      <c r="A716" s="48">
        <v>38061</v>
      </c>
    </row>
    <row r="717" spans="1:1" x14ac:dyDescent="0.2">
      <c r="A717" s="48">
        <v>38062</v>
      </c>
    </row>
    <row r="718" spans="1:1" x14ac:dyDescent="0.2">
      <c r="A718" s="48">
        <v>38063</v>
      </c>
    </row>
    <row r="719" spans="1:1" x14ac:dyDescent="0.2">
      <c r="A719" s="48">
        <v>38064</v>
      </c>
    </row>
    <row r="720" spans="1:1" x14ac:dyDescent="0.2">
      <c r="A720" s="48">
        <v>38065</v>
      </c>
    </row>
    <row r="721" spans="1:1" x14ac:dyDescent="0.2">
      <c r="A721" s="48">
        <v>38066</v>
      </c>
    </row>
    <row r="722" spans="1:1" x14ac:dyDescent="0.2">
      <c r="A722" s="48">
        <v>38067</v>
      </c>
    </row>
    <row r="723" spans="1:1" x14ac:dyDescent="0.2">
      <c r="A723" s="48">
        <v>38068</v>
      </c>
    </row>
    <row r="724" spans="1:1" x14ac:dyDescent="0.2">
      <c r="A724" s="48">
        <v>38069</v>
      </c>
    </row>
    <row r="725" spans="1:1" x14ac:dyDescent="0.2">
      <c r="A725" s="48">
        <v>38070</v>
      </c>
    </row>
    <row r="726" spans="1:1" x14ac:dyDescent="0.2">
      <c r="A726" s="48">
        <v>38071</v>
      </c>
    </row>
    <row r="727" spans="1:1" x14ac:dyDescent="0.2">
      <c r="A727" s="48">
        <v>38072</v>
      </c>
    </row>
    <row r="728" spans="1:1" x14ac:dyDescent="0.2">
      <c r="A728" s="48">
        <v>38073</v>
      </c>
    </row>
    <row r="729" spans="1:1" x14ac:dyDescent="0.2">
      <c r="A729" s="48">
        <v>38074</v>
      </c>
    </row>
    <row r="730" spans="1:1" x14ac:dyDescent="0.2">
      <c r="A730" s="48">
        <v>38075</v>
      </c>
    </row>
    <row r="731" spans="1:1" x14ac:dyDescent="0.2">
      <c r="A731" s="48">
        <v>38076</v>
      </c>
    </row>
    <row r="732" spans="1:1" x14ac:dyDescent="0.2">
      <c r="A732" s="48">
        <v>38077</v>
      </c>
    </row>
    <row r="733" spans="1:1" x14ac:dyDescent="0.2">
      <c r="A733" s="48">
        <v>38078</v>
      </c>
    </row>
    <row r="734" spans="1:1" x14ac:dyDescent="0.2">
      <c r="A734" s="48">
        <v>38079</v>
      </c>
    </row>
    <row r="735" spans="1:1" x14ac:dyDescent="0.2">
      <c r="A735" s="48">
        <v>38080</v>
      </c>
    </row>
    <row r="736" spans="1:1" x14ac:dyDescent="0.2">
      <c r="A736" s="48">
        <v>38081</v>
      </c>
    </row>
    <row r="737" spans="1:1" x14ac:dyDescent="0.2">
      <c r="A737" s="48">
        <v>38082</v>
      </c>
    </row>
    <row r="738" spans="1:1" x14ac:dyDescent="0.2">
      <c r="A738" s="48">
        <v>38083</v>
      </c>
    </row>
    <row r="739" spans="1:1" x14ac:dyDescent="0.2">
      <c r="A739" s="48">
        <v>38084</v>
      </c>
    </row>
    <row r="740" spans="1:1" x14ac:dyDescent="0.2">
      <c r="A740" s="48">
        <v>38085</v>
      </c>
    </row>
    <row r="741" spans="1:1" x14ac:dyDescent="0.2">
      <c r="A741" s="48">
        <v>38086</v>
      </c>
    </row>
    <row r="742" spans="1:1" x14ac:dyDescent="0.2">
      <c r="A742" s="48">
        <v>38087</v>
      </c>
    </row>
    <row r="743" spans="1:1" x14ac:dyDescent="0.2">
      <c r="A743" s="48">
        <v>38088</v>
      </c>
    </row>
    <row r="744" spans="1:1" x14ac:dyDescent="0.2">
      <c r="A744" s="48">
        <v>38089</v>
      </c>
    </row>
    <row r="745" spans="1:1" x14ac:dyDescent="0.2">
      <c r="A745" s="48">
        <v>38090</v>
      </c>
    </row>
    <row r="746" spans="1:1" x14ac:dyDescent="0.2">
      <c r="A746" s="48">
        <v>38091</v>
      </c>
    </row>
    <row r="747" spans="1:1" x14ac:dyDescent="0.2">
      <c r="A747" s="48">
        <v>38092</v>
      </c>
    </row>
    <row r="748" spans="1:1" x14ac:dyDescent="0.2">
      <c r="A748" s="48">
        <v>38093</v>
      </c>
    </row>
    <row r="749" spans="1:1" x14ac:dyDescent="0.2">
      <c r="A749" s="48">
        <v>38094</v>
      </c>
    </row>
    <row r="750" spans="1:1" x14ac:dyDescent="0.2">
      <c r="A750" s="48">
        <v>38095</v>
      </c>
    </row>
    <row r="751" spans="1:1" x14ac:dyDescent="0.2">
      <c r="A751" s="48">
        <v>38096</v>
      </c>
    </row>
    <row r="752" spans="1:1" x14ac:dyDescent="0.2">
      <c r="A752" s="48">
        <v>38097</v>
      </c>
    </row>
    <row r="753" spans="1:1" x14ac:dyDescent="0.2">
      <c r="A753" s="48">
        <v>38098</v>
      </c>
    </row>
    <row r="754" spans="1:1" x14ac:dyDescent="0.2">
      <c r="A754" s="48">
        <v>38099</v>
      </c>
    </row>
    <row r="755" spans="1:1" x14ac:dyDescent="0.2">
      <c r="A755" s="48">
        <v>38100</v>
      </c>
    </row>
    <row r="756" spans="1:1" x14ac:dyDescent="0.2">
      <c r="A756" s="48">
        <v>38101</v>
      </c>
    </row>
    <row r="757" spans="1:1" x14ac:dyDescent="0.2">
      <c r="A757" s="48">
        <v>38102</v>
      </c>
    </row>
    <row r="758" spans="1:1" x14ac:dyDescent="0.2">
      <c r="A758" s="48">
        <v>38103</v>
      </c>
    </row>
    <row r="759" spans="1:1" x14ac:dyDescent="0.2">
      <c r="A759" s="48">
        <v>38104</v>
      </c>
    </row>
    <row r="760" spans="1:1" x14ac:dyDescent="0.2">
      <c r="A760" s="48">
        <v>38105</v>
      </c>
    </row>
    <row r="761" spans="1:1" x14ac:dyDescent="0.2">
      <c r="A761" s="48">
        <v>38106</v>
      </c>
    </row>
    <row r="762" spans="1:1" x14ac:dyDescent="0.2">
      <c r="A762" s="48">
        <v>38107</v>
      </c>
    </row>
    <row r="763" spans="1:1" x14ac:dyDescent="0.2">
      <c r="A763" s="48">
        <v>38108</v>
      </c>
    </row>
    <row r="764" spans="1:1" x14ac:dyDescent="0.2">
      <c r="A764" s="48">
        <v>38109</v>
      </c>
    </row>
    <row r="765" spans="1:1" x14ac:dyDescent="0.2">
      <c r="A765" s="48">
        <v>38110</v>
      </c>
    </row>
    <row r="766" spans="1:1" x14ac:dyDescent="0.2">
      <c r="A766" s="48">
        <v>38111</v>
      </c>
    </row>
    <row r="767" spans="1:1" x14ac:dyDescent="0.2">
      <c r="A767" s="48">
        <v>38112</v>
      </c>
    </row>
    <row r="768" spans="1:1" x14ac:dyDescent="0.2">
      <c r="A768" s="48">
        <v>38113</v>
      </c>
    </row>
    <row r="769" spans="1:1" x14ac:dyDescent="0.2">
      <c r="A769" s="48">
        <v>38114</v>
      </c>
    </row>
    <row r="770" spans="1:1" x14ac:dyDescent="0.2">
      <c r="A770" s="48">
        <v>38115</v>
      </c>
    </row>
    <row r="771" spans="1:1" x14ac:dyDescent="0.2">
      <c r="A771" s="48">
        <v>38116</v>
      </c>
    </row>
    <row r="772" spans="1:1" x14ac:dyDescent="0.2">
      <c r="A772" s="48">
        <v>38117</v>
      </c>
    </row>
    <row r="773" spans="1:1" x14ac:dyDescent="0.2">
      <c r="A773" s="48">
        <v>38118</v>
      </c>
    </row>
    <row r="774" spans="1:1" x14ac:dyDescent="0.2">
      <c r="A774" s="48">
        <v>38119</v>
      </c>
    </row>
    <row r="775" spans="1:1" x14ac:dyDescent="0.2">
      <c r="A775" s="48">
        <v>38120</v>
      </c>
    </row>
    <row r="776" spans="1:1" x14ac:dyDescent="0.2">
      <c r="A776" s="48">
        <v>38121</v>
      </c>
    </row>
    <row r="777" spans="1:1" x14ac:dyDescent="0.2">
      <c r="A777" s="48">
        <v>38122</v>
      </c>
    </row>
    <row r="778" spans="1:1" x14ac:dyDescent="0.2">
      <c r="A778" s="48">
        <v>38123</v>
      </c>
    </row>
    <row r="779" spans="1:1" x14ac:dyDescent="0.2">
      <c r="A779" s="48">
        <v>38124</v>
      </c>
    </row>
    <row r="780" spans="1:1" x14ac:dyDescent="0.2">
      <c r="A780" s="48">
        <v>38125</v>
      </c>
    </row>
    <row r="781" spans="1:1" x14ac:dyDescent="0.2">
      <c r="A781" s="48">
        <v>38126</v>
      </c>
    </row>
    <row r="782" spans="1:1" x14ac:dyDescent="0.2">
      <c r="A782" s="48">
        <v>38127</v>
      </c>
    </row>
    <row r="783" spans="1:1" x14ac:dyDescent="0.2">
      <c r="A783" s="48">
        <v>38128</v>
      </c>
    </row>
    <row r="784" spans="1:1" x14ac:dyDescent="0.2">
      <c r="A784" s="48">
        <v>38129</v>
      </c>
    </row>
    <row r="785" spans="1:1" x14ac:dyDescent="0.2">
      <c r="A785" s="48">
        <v>38130</v>
      </c>
    </row>
    <row r="786" spans="1:1" x14ac:dyDescent="0.2">
      <c r="A786" s="48">
        <v>38131</v>
      </c>
    </row>
    <row r="787" spans="1:1" x14ac:dyDescent="0.2">
      <c r="A787" s="48">
        <v>38132</v>
      </c>
    </row>
    <row r="788" spans="1:1" x14ac:dyDescent="0.2">
      <c r="A788" s="48">
        <v>38133</v>
      </c>
    </row>
    <row r="789" spans="1:1" x14ac:dyDescent="0.2">
      <c r="A789" s="48">
        <v>38134</v>
      </c>
    </row>
    <row r="790" spans="1:1" x14ac:dyDescent="0.2">
      <c r="A790" s="48">
        <v>38135</v>
      </c>
    </row>
    <row r="791" spans="1:1" x14ac:dyDescent="0.2">
      <c r="A791" s="48">
        <v>38136</v>
      </c>
    </row>
    <row r="792" spans="1:1" x14ac:dyDescent="0.2">
      <c r="A792" s="48">
        <v>38137</v>
      </c>
    </row>
    <row r="793" spans="1:1" x14ac:dyDescent="0.2">
      <c r="A793" s="48">
        <v>38138</v>
      </c>
    </row>
    <row r="794" spans="1:1" x14ac:dyDescent="0.2">
      <c r="A794" s="48">
        <v>38139</v>
      </c>
    </row>
    <row r="795" spans="1:1" x14ac:dyDescent="0.2">
      <c r="A795" s="48">
        <v>38140</v>
      </c>
    </row>
    <row r="796" spans="1:1" x14ac:dyDescent="0.2">
      <c r="A796" s="48">
        <v>38141</v>
      </c>
    </row>
    <row r="797" spans="1:1" x14ac:dyDescent="0.2">
      <c r="A797" s="48">
        <v>38142</v>
      </c>
    </row>
    <row r="798" spans="1:1" x14ac:dyDescent="0.2">
      <c r="A798" s="48">
        <v>38143</v>
      </c>
    </row>
    <row r="799" spans="1:1" x14ac:dyDescent="0.2">
      <c r="A799" s="48">
        <v>38144</v>
      </c>
    </row>
    <row r="800" spans="1:1" x14ac:dyDescent="0.2">
      <c r="A800" s="48">
        <v>38145</v>
      </c>
    </row>
    <row r="801" spans="1:1" x14ac:dyDescent="0.2">
      <c r="A801" s="48">
        <v>38146</v>
      </c>
    </row>
    <row r="802" spans="1:1" x14ac:dyDescent="0.2">
      <c r="A802" s="48">
        <v>38147</v>
      </c>
    </row>
    <row r="803" spans="1:1" x14ac:dyDescent="0.2">
      <c r="A803" s="48">
        <v>38148</v>
      </c>
    </row>
    <row r="804" spans="1:1" x14ac:dyDescent="0.2">
      <c r="A804" s="48">
        <v>38149</v>
      </c>
    </row>
    <row r="805" spans="1:1" x14ac:dyDescent="0.2">
      <c r="A805" s="48">
        <v>38150</v>
      </c>
    </row>
    <row r="806" spans="1:1" x14ac:dyDescent="0.2">
      <c r="A806" s="48">
        <v>38151</v>
      </c>
    </row>
    <row r="807" spans="1:1" x14ac:dyDescent="0.2">
      <c r="A807" s="48">
        <v>38152</v>
      </c>
    </row>
    <row r="808" spans="1:1" x14ac:dyDescent="0.2">
      <c r="A808" s="48">
        <v>38153</v>
      </c>
    </row>
    <row r="809" spans="1:1" x14ac:dyDescent="0.2">
      <c r="A809" s="48">
        <v>38154</v>
      </c>
    </row>
    <row r="810" spans="1:1" x14ac:dyDescent="0.2">
      <c r="A810" s="48">
        <v>38155</v>
      </c>
    </row>
    <row r="811" spans="1:1" x14ac:dyDescent="0.2">
      <c r="A811" s="48">
        <v>38156</v>
      </c>
    </row>
    <row r="812" spans="1:1" x14ac:dyDescent="0.2">
      <c r="A812" s="48">
        <v>38157</v>
      </c>
    </row>
    <row r="813" spans="1:1" x14ac:dyDescent="0.2">
      <c r="A813" s="48">
        <v>38158</v>
      </c>
    </row>
    <row r="814" spans="1:1" x14ac:dyDescent="0.2">
      <c r="A814" s="48">
        <v>38159</v>
      </c>
    </row>
    <row r="815" spans="1:1" x14ac:dyDescent="0.2">
      <c r="A815" s="48">
        <v>38160</v>
      </c>
    </row>
    <row r="816" spans="1:1" x14ac:dyDescent="0.2">
      <c r="A816" s="48">
        <v>38161</v>
      </c>
    </row>
    <row r="817" spans="1:1" x14ac:dyDescent="0.2">
      <c r="A817" s="48">
        <v>38162</v>
      </c>
    </row>
    <row r="818" spans="1:1" x14ac:dyDescent="0.2">
      <c r="A818" s="48">
        <v>38163</v>
      </c>
    </row>
    <row r="819" spans="1:1" x14ac:dyDescent="0.2">
      <c r="A819" s="48">
        <v>38164</v>
      </c>
    </row>
    <row r="820" spans="1:1" x14ac:dyDescent="0.2">
      <c r="A820" s="48">
        <v>38165</v>
      </c>
    </row>
    <row r="821" spans="1:1" x14ac:dyDescent="0.2">
      <c r="A821" s="48">
        <v>38166</v>
      </c>
    </row>
    <row r="822" spans="1:1" x14ac:dyDescent="0.2">
      <c r="A822" s="48">
        <v>38167</v>
      </c>
    </row>
    <row r="823" spans="1:1" x14ac:dyDescent="0.2">
      <c r="A823" s="48">
        <v>38168</v>
      </c>
    </row>
    <row r="824" spans="1:1" x14ac:dyDescent="0.2">
      <c r="A824" s="48">
        <v>38169</v>
      </c>
    </row>
    <row r="825" spans="1:1" x14ac:dyDescent="0.2">
      <c r="A825" s="48">
        <v>38170</v>
      </c>
    </row>
    <row r="826" spans="1:1" x14ac:dyDescent="0.2">
      <c r="A826" s="48">
        <v>38171</v>
      </c>
    </row>
    <row r="827" spans="1:1" x14ac:dyDescent="0.2">
      <c r="A827" s="48">
        <v>38172</v>
      </c>
    </row>
    <row r="828" spans="1:1" x14ac:dyDescent="0.2">
      <c r="A828" s="48">
        <v>38173</v>
      </c>
    </row>
    <row r="829" spans="1:1" x14ac:dyDescent="0.2">
      <c r="A829" s="48">
        <v>38174</v>
      </c>
    </row>
    <row r="830" spans="1:1" x14ac:dyDescent="0.2">
      <c r="A830" s="48">
        <v>38175</v>
      </c>
    </row>
    <row r="831" spans="1:1" x14ac:dyDescent="0.2">
      <c r="A831" s="48">
        <v>38176</v>
      </c>
    </row>
    <row r="832" spans="1:1" x14ac:dyDescent="0.2">
      <c r="A832" s="48">
        <v>38177</v>
      </c>
    </row>
    <row r="833" spans="1:1" x14ac:dyDescent="0.2">
      <c r="A833" s="48">
        <v>38178</v>
      </c>
    </row>
    <row r="834" spans="1:1" x14ac:dyDescent="0.2">
      <c r="A834" s="48">
        <v>38179</v>
      </c>
    </row>
    <row r="835" spans="1:1" x14ac:dyDescent="0.2">
      <c r="A835" s="48">
        <v>38180</v>
      </c>
    </row>
    <row r="836" spans="1:1" x14ac:dyDescent="0.2">
      <c r="A836" s="48">
        <v>38181</v>
      </c>
    </row>
    <row r="837" spans="1:1" x14ac:dyDescent="0.2">
      <c r="A837" s="48">
        <v>38182</v>
      </c>
    </row>
    <row r="838" spans="1:1" x14ac:dyDescent="0.2">
      <c r="A838" s="48">
        <v>38183</v>
      </c>
    </row>
    <row r="839" spans="1:1" x14ac:dyDescent="0.2">
      <c r="A839" s="48">
        <v>38184</v>
      </c>
    </row>
    <row r="840" spans="1:1" x14ac:dyDescent="0.2">
      <c r="A840" s="48">
        <v>38185</v>
      </c>
    </row>
    <row r="841" spans="1:1" x14ac:dyDescent="0.2">
      <c r="A841" s="48">
        <v>38186</v>
      </c>
    </row>
    <row r="842" spans="1:1" x14ac:dyDescent="0.2">
      <c r="A842" s="48">
        <v>38187</v>
      </c>
    </row>
    <row r="843" spans="1:1" x14ac:dyDescent="0.2">
      <c r="A843" s="48">
        <v>38188</v>
      </c>
    </row>
    <row r="844" spans="1:1" x14ac:dyDescent="0.2">
      <c r="A844" s="48">
        <v>38189</v>
      </c>
    </row>
    <row r="845" spans="1:1" x14ac:dyDescent="0.2">
      <c r="A845" s="48">
        <v>38190</v>
      </c>
    </row>
    <row r="846" spans="1:1" x14ac:dyDescent="0.2">
      <c r="A846" s="48">
        <v>38191</v>
      </c>
    </row>
    <row r="847" spans="1:1" x14ac:dyDescent="0.2">
      <c r="A847" s="48">
        <v>38192</v>
      </c>
    </row>
    <row r="848" spans="1:1" x14ac:dyDescent="0.2">
      <c r="A848" s="48">
        <v>38193</v>
      </c>
    </row>
    <row r="849" spans="1:1" x14ac:dyDescent="0.2">
      <c r="A849" s="48">
        <v>38194</v>
      </c>
    </row>
    <row r="850" spans="1:1" x14ac:dyDescent="0.2">
      <c r="A850" s="48">
        <v>38195</v>
      </c>
    </row>
    <row r="851" spans="1:1" x14ac:dyDescent="0.2">
      <c r="A851" s="48">
        <v>38196</v>
      </c>
    </row>
    <row r="852" spans="1:1" x14ac:dyDescent="0.2">
      <c r="A852" s="48">
        <v>38197</v>
      </c>
    </row>
    <row r="853" spans="1:1" x14ac:dyDescent="0.2">
      <c r="A853" s="48">
        <v>38198</v>
      </c>
    </row>
    <row r="854" spans="1:1" x14ac:dyDescent="0.2">
      <c r="A854" s="48">
        <v>38199</v>
      </c>
    </row>
    <row r="855" spans="1:1" x14ac:dyDescent="0.2">
      <c r="A855" s="48">
        <v>38200</v>
      </c>
    </row>
    <row r="856" spans="1:1" x14ac:dyDescent="0.2">
      <c r="A856" s="48">
        <v>38201</v>
      </c>
    </row>
    <row r="857" spans="1:1" x14ac:dyDescent="0.2">
      <c r="A857" s="48">
        <v>38202</v>
      </c>
    </row>
    <row r="858" spans="1:1" x14ac:dyDescent="0.2">
      <c r="A858" s="48">
        <v>38203</v>
      </c>
    </row>
    <row r="859" spans="1:1" x14ac:dyDescent="0.2">
      <c r="A859" s="48">
        <v>38204</v>
      </c>
    </row>
    <row r="860" spans="1:1" x14ac:dyDescent="0.2">
      <c r="A860" s="48">
        <v>38205</v>
      </c>
    </row>
    <row r="861" spans="1:1" x14ac:dyDescent="0.2">
      <c r="A861" s="48">
        <v>38206</v>
      </c>
    </row>
    <row r="862" spans="1:1" x14ac:dyDescent="0.2">
      <c r="A862" s="48">
        <v>38207</v>
      </c>
    </row>
    <row r="863" spans="1:1" x14ac:dyDescent="0.2">
      <c r="A863" s="48">
        <v>38208</v>
      </c>
    </row>
    <row r="864" spans="1:1" x14ac:dyDescent="0.2">
      <c r="A864" s="48">
        <v>38209</v>
      </c>
    </row>
    <row r="865" spans="1:1" x14ac:dyDescent="0.2">
      <c r="A865" s="48">
        <v>38210</v>
      </c>
    </row>
    <row r="866" spans="1:1" x14ac:dyDescent="0.2">
      <c r="A866" s="48">
        <v>38211</v>
      </c>
    </row>
    <row r="867" spans="1:1" x14ac:dyDescent="0.2">
      <c r="A867" s="48">
        <v>38212</v>
      </c>
    </row>
    <row r="868" spans="1:1" x14ac:dyDescent="0.2">
      <c r="A868" s="48">
        <v>38213</v>
      </c>
    </row>
    <row r="869" spans="1:1" x14ac:dyDescent="0.2">
      <c r="A869" s="48">
        <v>38214</v>
      </c>
    </row>
    <row r="870" spans="1:1" x14ac:dyDescent="0.2">
      <c r="A870" s="48">
        <v>38215</v>
      </c>
    </row>
    <row r="871" spans="1:1" x14ac:dyDescent="0.2">
      <c r="A871" s="48">
        <v>38216</v>
      </c>
    </row>
    <row r="872" spans="1:1" x14ac:dyDescent="0.2">
      <c r="A872" s="48">
        <v>38217</v>
      </c>
    </row>
    <row r="873" spans="1:1" x14ac:dyDescent="0.2">
      <c r="A873" s="48">
        <v>38218</v>
      </c>
    </row>
    <row r="874" spans="1:1" x14ac:dyDescent="0.2">
      <c r="A874" s="48">
        <v>38219</v>
      </c>
    </row>
    <row r="875" spans="1:1" x14ac:dyDescent="0.2">
      <c r="A875" s="48">
        <v>38220</v>
      </c>
    </row>
    <row r="876" spans="1:1" x14ac:dyDescent="0.2">
      <c r="A876" s="48">
        <v>38221</v>
      </c>
    </row>
    <row r="877" spans="1:1" x14ac:dyDescent="0.2">
      <c r="A877" s="48">
        <v>38222</v>
      </c>
    </row>
    <row r="878" spans="1:1" x14ac:dyDescent="0.2">
      <c r="A878" s="48">
        <v>38223</v>
      </c>
    </row>
    <row r="879" spans="1:1" x14ac:dyDescent="0.2">
      <c r="A879" s="48">
        <v>38224</v>
      </c>
    </row>
    <row r="880" spans="1:1" x14ac:dyDescent="0.2">
      <c r="A880" s="48">
        <v>38225</v>
      </c>
    </row>
    <row r="881" spans="1:1" x14ac:dyDescent="0.2">
      <c r="A881" s="48">
        <v>38226</v>
      </c>
    </row>
    <row r="882" spans="1:1" x14ac:dyDescent="0.2">
      <c r="A882" s="48">
        <v>38227</v>
      </c>
    </row>
    <row r="883" spans="1:1" x14ac:dyDescent="0.2">
      <c r="A883" s="48">
        <v>38228</v>
      </c>
    </row>
    <row r="884" spans="1:1" x14ac:dyDescent="0.2">
      <c r="A884" s="48">
        <v>38229</v>
      </c>
    </row>
    <row r="885" spans="1:1" x14ac:dyDescent="0.2">
      <c r="A885" s="48">
        <v>38230</v>
      </c>
    </row>
    <row r="886" spans="1:1" x14ac:dyDescent="0.2">
      <c r="A886" s="48">
        <v>38231</v>
      </c>
    </row>
    <row r="887" spans="1:1" x14ac:dyDescent="0.2">
      <c r="A887" s="48">
        <v>38232</v>
      </c>
    </row>
    <row r="888" spans="1:1" x14ac:dyDescent="0.2">
      <c r="A888" s="48">
        <v>38233</v>
      </c>
    </row>
    <row r="889" spans="1:1" x14ac:dyDescent="0.2">
      <c r="A889" s="48">
        <v>38234</v>
      </c>
    </row>
    <row r="890" spans="1:1" x14ac:dyDescent="0.2">
      <c r="A890" s="48">
        <v>38235</v>
      </c>
    </row>
    <row r="891" spans="1:1" x14ac:dyDescent="0.2">
      <c r="A891" s="48">
        <v>38236</v>
      </c>
    </row>
    <row r="892" spans="1:1" x14ac:dyDescent="0.2">
      <c r="A892" s="48">
        <v>38237</v>
      </c>
    </row>
    <row r="893" spans="1:1" x14ac:dyDescent="0.2">
      <c r="A893" s="48">
        <v>38238</v>
      </c>
    </row>
    <row r="894" spans="1:1" x14ac:dyDescent="0.2">
      <c r="A894" s="48">
        <v>38239</v>
      </c>
    </row>
    <row r="895" spans="1:1" x14ac:dyDescent="0.2">
      <c r="A895" s="48">
        <v>38240</v>
      </c>
    </row>
    <row r="896" spans="1:1" x14ac:dyDescent="0.2">
      <c r="A896" s="48">
        <v>38241</v>
      </c>
    </row>
    <row r="897" spans="1:1" x14ac:dyDescent="0.2">
      <c r="A897" s="48">
        <v>38242</v>
      </c>
    </row>
    <row r="898" spans="1:1" x14ac:dyDescent="0.2">
      <c r="A898" s="48">
        <v>38243</v>
      </c>
    </row>
    <row r="899" spans="1:1" x14ac:dyDescent="0.2">
      <c r="A899" s="48">
        <v>38244</v>
      </c>
    </row>
    <row r="900" spans="1:1" x14ac:dyDescent="0.2">
      <c r="A900" s="48">
        <v>38245</v>
      </c>
    </row>
    <row r="901" spans="1:1" x14ac:dyDescent="0.2">
      <c r="A901" s="48">
        <v>38246</v>
      </c>
    </row>
    <row r="902" spans="1:1" x14ac:dyDescent="0.2">
      <c r="A902" s="48">
        <v>38247</v>
      </c>
    </row>
    <row r="903" spans="1:1" x14ac:dyDescent="0.2">
      <c r="A903" s="48">
        <v>38248</v>
      </c>
    </row>
    <row r="904" spans="1:1" x14ac:dyDescent="0.2">
      <c r="A904" s="48">
        <v>38249</v>
      </c>
    </row>
    <row r="905" spans="1:1" x14ac:dyDescent="0.2">
      <c r="A905" s="48">
        <v>38250</v>
      </c>
    </row>
    <row r="906" spans="1:1" x14ac:dyDescent="0.2">
      <c r="A906" s="48">
        <v>38251</v>
      </c>
    </row>
    <row r="907" spans="1:1" x14ac:dyDescent="0.2">
      <c r="A907" s="48">
        <v>38252</v>
      </c>
    </row>
    <row r="908" spans="1:1" x14ac:dyDescent="0.2">
      <c r="A908" s="48">
        <v>38253</v>
      </c>
    </row>
    <row r="909" spans="1:1" x14ac:dyDescent="0.2">
      <c r="A909" s="48">
        <v>38254</v>
      </c>
    </row>
    <row r="910" spans="1:1" x14ac:dyDescent="0.2">
      <c r="A910" s="48">
        <v>38255</v>
      </c>
    </row>
    <row r="911" spans="1:1" x14ac:dyDescent="0.2">
      <c r="A911" s="48">
        <v>38256</v>
      </c>
    </row>
    <row r="912" spans="1:1" x14ac:dyDescent="0.2">
      <c r="A912" s="48">
        <v>38257</v>
      </c>
    </row>
    <row r="913" spans="1:1" x14ac:dyDescent="0.2">
      <c r="A913" s="48">
        <v>38258</v>
      </c>
    </row>
    <row r="914" spans="1:1" x14ac:dyDescent="0.2">
      <c r="A914" s="48">
        <v>38259</v>
      </c>
    </row>
    <row r="915" spans="1:1" x14ac:dyDescent="0.2">
      <c r="A915" s="48">
        <v>38260</v>
      </c>
    </row>
    <row r="916" spans="1:1" x14ac:dyDescent="0.2">
      <c r="A916" s="48">
        <v>38261</v>
      </c>
    </row>
    <row r="917" spans="1:1" x14ac:dyDescent="0.2">
      <c r="A917" s="48">
        <v>38262</v>
      </c>
    </row>
    <row r="918" spans="1:1" x14ac:dyDescent="0.2">
      <c r="A918" s="48">
        <v>38263</v>
      </c>
    </row>
    <row r="919" spans="1:1" x14ac:dyDescent="0.2">
      <c r="A919" s="48">
        <v>38264</v>
      </c>
    </row>
    <row r="920" spans="1:1" x14ac:dyDescent="0.2">
      <c r="A920" s="48">
        <v>38265</v>
      </c>
    </row>
    <row r="921" spans="1:1" x14ac:dyDescent="0.2">
      <c r="A921" s="48">
        <v>38266</v>
      </c>
    </row>
    <row r="922" spans="1:1" x14ac:dyDescent="0.2">
      <c r="A922" s="48">
        <v>38267</v>
      </c>
    </row>
    <row r="923" spans="1:1" x14ac:dyDescent="0.2">
      <c r="A923" s="48">
        <v>38268</v>
      </c>
    </row>
    <row r="924" spans="1:1" x14ac:dyDescent="0.2">
      <c r="A924" s="48">
        <v>38269</v>
      </c>
    </row>
    <row r="925" spans="1:1" x14ac:dyDescent="0.2">
      <c r="A925" s="48">
        <v>38270</v>
      </c>
    </row>
    <row r="926" spans="1:1" x14ac:dyDescent="0.2">
      <c r="A926" s="48">
        <v>38271</v>
      </c>
    </row>
    <row r="927" spans="1:1" x14ac:dyDescent="0.2">
      <c r="A927" s="48">
        <v>38272</v>
      </c>
    </row>
    <row r="928" spans="1:1" x14ac:dyDescent="0.2">
      <c r="A928" s="48">
        <v>38273</v>
      </c>
    </row>
    <row r="929" spans="1:1" x14ac:dyDescent="0.2">
      <c r="A929" s="48">
        <v>38274</v>
      </c>
    </row>
    <row r="930" spans="1:1" x14ac:dyDescent="0.2">
      <c r="A930" s="48">
        <v>38275</v>
      </c>
    </row>
    <row r="931" spans="1:1" x14ac:dyDescent="0.2">
      <c r="A931" s="48">
        <v>38276</v>
      </c>
    </row>
    <row r="932" spans="1:1" x14ac:dyDescent="0.2">
      <c r="A932" s="48">
        <v>38277</v>
      </c>
    </row>
    <row r="933" spans="1:1" x14ac:dyDescent="0.2">
      <c r="A933" s="48">
        <v>38278</v>
      </c>
    </row>
    <row r="934" spans="1:1" x14ac:dyDescent="0.2">
      <c r="A934" s="48">
        <v>38279</v>
      </c>
    </row>
    <row r="935" spans="1:1" x14ac:dyDescent="0.2">
      <c r="A935" s="48">
        <v>38280</v>
      </c>
    </row>
    <row r="936" spans="1:1" x14ac:dyDescent="0.2">
      <c r="A936" s="48">
        <v>38281</v>
      </c>
    </row>
    <row r="937" spans="1:1" x14ac:dyDescent="0.2">
      <c r="A937" s="48">
        <v>38282</v>
      </c>
    </row>
    <row r="938" spans="1:1" x14ac:dyDescent="0.2">
      <c r="A938" s="48">
        <v>38283</v>
      </c>
    </row>
    <row r="939" spans="1:1" x14ac:dyDescent="0.2">
      <c r="A939" s="48">
        <v>38284</v>
      </c>
    </row>
    <row r="940" spans="1:1" x14ac:dyDescent="0.2">
      <c r="A940" s="48">
        <v>38285</v>
      </c>
    </row>
    <row r="941" spans="1:1" x14ac:dyDescent="0.2">
      <c r="A941" s="48">
        <v>38286</v>
      </c>
    </row>
    <row r="942" spans="1:1" x14ac:dyDescent="0.2">
      <c r="A942" s="48">
        <v>38287</v>
      </c>
    </row>
    <row r="943" spans="1:1" x14ac:dyDescent="0.2">
      <c r="A943" s="48">
        <v>38288</v>
      </c>
    </row>
    <row r="944" spans="1:1" x14ac:dyDescent="0.2">
      <c r="A944" s="48">
        <v>38289</v>
      </c>
    </row>
    <row r="945" spans="1:1" x14ac:dyDescent="0.2">
      <c r="A945" s="48">
        <v>38290</v>
      </c>
    </row>
    <row r="946" spans="1:1" x14ac:dyDescent="0.2">
      <c r="A946" s="48">
        <v>38291</v>
      </c>
    </row>
    <row r="947" spans="1:1" x14ac:dyDescent="0.2">
      <c r="A947" s="48">
        <v>38292</v>
      </c>
    </row>
    <row r="948" spans="1:1" x14ac:dyDescent="0.2">
      <c r="A948" s="48">
        <v>38293</v>
      </c>
    </row>
    <row r="949" spans="1:1" x14ac:dyDescent="0.2">
      <c r="A949" s="48">
        <v>38294</v>
      </c>
    </row>
    <row r="950" spans="1:1" x14ac:dyDescent="0.2">
      <c r="A950" s="48">
        <v>38295</v>
      </c>
    </row>
    <row r="951" spans="1:1" x14ac:dyDescent="0.2">
      <c r="A951" s="48">
        <v>38296</v>
      </c>
    </row>
    <row r="952" spans="1:1" x14ac:dyDescent="0.2">
      <c r="A952" s="48">
        <v>38297</v>
      </c>
    </row>
    <row r="953" spans="1:1" x14ac:dyDescent="0.2">
      <c r="A953" s="48">
        <v>38298</v>
      </c>
    </row>
    <row r="954" spans="1:1" x14ac:dyDescent="0.2">
      <c r="A954" s="48">
        <v>38299</v>
      </c>
    </row>
    <row r="955" spans="1:1" x14ac:dyDescent="0.2">
      <c r="A955" s="48">
        <v>38300</v>
      </c>
    </row>
    <row r="956" spans="1:1" x14ac:dyDescent="0.2">
      <c r="A956" s="48">
        <v>38301</v>
      </c>
    </row>
    <row r="957" spans="1:1" x14ac:dyDescent="0.2">
      <c r="A957" s="48">
        <v>38302</v>
      </c>
    </row>
    <row r="958" spans="1:1" x14ac:dyDescent="0.2">
      <c r="A958" s="48">
        <v>38303</v>
      </c>
    </row>
    <row r="959" spans="1:1" x14ac:dyDescent="0.2">
      <c r="A959" s="48">
        <v>38304</v>
      </c>
    </row>
    <row r="960" spans="1:1" x14ac:dyDescent="0.2">
      <c r="A960" s="48">
        <v>38305</v>
      </c>
    </row>
    <row r="961" spans="1:1" x14ac:dyDescent="0.2">
      <c r="A961" s="48">
        <v>38306</v>
      </c>
    </row>
    <row r="962" spans="1:1" x14ac:dyDescent="0.2">
      <c r="A962" s="48">
        <v>38307</v>
      </c>
    </row>
    <row r="963" spans="1:1" x14ac:dyDescent="0.2">
      <c r="A963" s="48">
        <v>38308</v>
      </c>
    </row>
    <row r="964" spans="1:1" x14ac:dyDescent="0.2">
      <c r="A964" s="48">
        <v>38309</v>
      </c>
    </row>
    <row r="965" spans="1:1" x14ac:dyDescent="0.2">
      <c r="A965" s="48">
        <v>38310</v>
      </c>
    </row>
    <row r="966" spans="1:1" x14ac:dyDescent="0.2">
      <c r="A966" s="48">
        <v>38311</v>
      </c>
    </row>
    <row r="967" spans="1:1" x14ac:dyDescent="0.2">
      <c r="A967" s="48">
        <v>38312</v>
      </c>
    </row>
    <row r="968" spans="1:1" x14ac:dyDescent="0.2">
      <c r="A968" s="48">
        <v>38313</v>
      </c>
    </row>
    <row r="969" spans="1:1" x14ac:dyDescent="0.2">
      <c r="A969" s="48">
        <v>38314</v>
      </c>
    </row>
    <row r="970" spans="1:1" x14ac:dyDescent="0.2">
      <c r="A970" s="48">
        <v>38315</v>
      </c>
    </row>
    <row r="971" spans="1:1" x14ac:dyDescent="0.2">
      <c r="A971" s="48">
        <v>38316</v>
      </c>
    </row>
    <row r="972" spans="1:1" x14ac:dyDescent="0.2">
      <c r="A972" s="48">
        <v>38317</v>
      </c>
    </row>
    <row r="973" spans="1:1" x14ac:dyDescent="0.2">
      <c r="A973" s="48">
        <v>38318</v>
      </c>
    </row>
    <row r="974" spans="1:1" x14ac:dyDescent="0.2">
      <c r="A974" s="48">
        <v>38319</v>
      </c>
    </row>
    <row r="975" spans="1:1" x14ac:dyDescent="0.2">
      <c r="A975" s="48">
        <v>38320</v>
      </c>
    </row>
    <row r="976" spans="1:1" x14ac:dyDescent="0.2">
      <c r="A976" s="48">
        <v>38321</v>
      </c>
    </row>
    <row r="977" spans="1:1" x14ac:dyDescent="0.2">
      <c r="A977" s="48">
        <v>38322</v>
      </c>
    </row>
    <row r="978" spans="1:1" x14ac:dyDescent="0.2">
      <c r="A978" s="48">
        <v>38323</v>
      </c>
    </row>
    <row r="979" spans="1:1" x14ac:dyDescent="0.2">
      <c r="A979" s="48">
        <v>38324</v>
      </c>
    </row>
    <row r="980" spans="1:1" x14ac:dyDescent="0.2">
      <c r="A980" s="48">
        <v>38325</v>
      </c>
    </row>
    <row r="981" spans="1:1" x14ac:dyDescent="0.2">
      <c r="A981" s="48">
        <v>38326</v>
      </c>
    </row>
    <row r="982" spans="1:1" x14ac:dyDescent="0.2">
      <c r="A982" s="48">
        <v>38327</v>
      </c>
    </row>
    <row r="983" spans="1:1" x14ac:dyDescent="0.2">
      <c r="A983" s="48">
        <v>38328</v>
      </c>
    </row>
    <row r="984" spans="1:1" x14ac:dyDescent="0.2">
      <c r="A984" s="48">
        <v>38329</v>
      </c>
    </row>
    <row r="985" spans="1:1" x14ac:dyDescent="0.2">
      <c r="A985" s="48">
        <v>38330</v>
      </c>
    </row>
    <row r="986" spans="1:1" x14ac:dyDescent="0.2">
      <c r="A986" s="48">
        <v>38331</v>
      </c>
    </row>
    <row r="987" spans="1:1" x14ac:dyDescent="0.2">
      <c r="A987" s="48">
        <v>38332</v>
      </c>
    </row>
    <row r="988" spans="1:1" x14ac:dyDescent="0.2">
      <c r="A988" s="48">
        <v>38333</v>
      </c>
    </row>
    <row r="989" spans="1:1" x14ac:dyDescent="0.2">
      <c r="A989" s="48">
        <v>38334</v>
      </c>
    </row>
    <row r="990" spans="1:1" x14ac:dyDescent="0.2">
      <c r="A990" s="48">
        <v>38335</v>
      </c>
    </row>
    <row r="991" spans="1:1" x14ac:dyDescent="0.2">
      <c r="A991" s="48">
        <v>38336</v>
      </c>
    </row>
    <row r="992" spans="1:1" x14ac:dyDescent="0.2">
      <c r="A992" s="48">
        <v>38337</v>
      </c>
    </row>
    <row r="993" spans="1:1" x14ac:dyDescent="0.2">
      <c r="A993" s="48">
        <v>38338</v>
      </c>
    </row>
    <row r="994" spans="1:1" x14ac:dyDescent="0.2">
      <c r="A994" s="48">
        <v>38339</v>
      </c>
    </row>
    <row r="995" spans="1:1" x14ac:dyDescent="0.2">
      <c r="A995" s="48">
        <v>38340</v>
      </c>
    </row>
    <row r="996" spans="1:1" x14ac:dyDescent="0.2">
      <c r="A996" s="48">
        <v>38341</v>
      </c>
    </row>
    <row r="997" spans="1:1" x14ac:dyDescent="0.2">
      <c r="A997" s="48">
        <v>38342</v>
      </c>
    </row>
    <row r="998" spans="1:1" x14ac:dyDescent="0.2">
      <c r="A998" s="48">
        <v>38343</v>
      </c>
    </row>
    <row r="999" spans="1:1" x14ac:dyDescent="0.2">
      <c r="A999" s="48">
        <v>38344</v>
      </c>
    </row>
    <row r="1000" spans="1:1" x14ac:dyDescent="0.2">
      <c r="A1000" s="48">
        <v>38345</v>
      </c>
    </row>
    <row r="1001" spans="1:1" x14ac:dyDescent="0.2">
      <c r="A1001" s="48">
        <v>38346</v>
      </c>
    </row>
    <row r="1002" spans="1:1" x14ac:dyDescent="0.2">
      <c r="A1002" s="48">
        <v>38347</v>
      </c>
    </row>
    <row r="1003" spans="1:1" x14ac:dyDescent="0.2">
      <c r="A1003" s="48">
        <v>38348</v>
      </c>
    </row>
    <row r="1004" spans="1:1" x14ac:dyDescent="0.2">
      <c r="A1004" s="48">
        <v>38349</v>
      </c>
    </row>
    <row r="1005" spans="1:1" x14ac:dyDescent="0.2">
      <c r="A1005" s="48">
        <v>38350</v>
      </c>
    </row>
    <row r="1006" spans="1:1" x14ac:dyDescent="0.2">
      <c r="A1006" s="48">
        <v>38351</v>
      </c>
    </row>
    <row r="1007" spans="1:1" x14ac:dyDescent="0.2">
      <c r="A1007" s="48">
        <v>38352</v>
      </c>
    </row>
    <row r="1008" spans="1:1" x14ac:dyDescent="0.2">
      <c r="A1008" s="48">
        <v>38353</v>
      </c>
    </row>
    <row r="1009" spans="1:1" x14ac:dyDescent="0.2">
      <c r="A1009" s="48">
        <v>38354</v>
      </c>
    </row>
    <row r="1010" spans="1:1" x14ac:dyDescent="0.2">
      <c r="A1010" s="48">
        <v>38355</v>
      </c>
    </row>
    <row r="1011" spans="1:1" x14ac:dyDescent="0.2">
      <c r="A1011" s="48">
        <v>38356</v>
      </c>
    </row>
    <row r="1012" spans="1:1" x14ac:dyDescent="0.2">
      <c r="A1012" s="48">
        <v>38357</v>
      </c>
    </row>
    <row r="1013" spans="1:1" x14ac:dyDescent="0.2">
      <c r="A1013" s="48">
        <v>38358</v>
      </c>
    </row>
    <row r="1014" spans="1:1" x14ac:dyDescent="0.2">
      <c r="A1014" s="48">
        <v>38359</v>
      </c>
    </row>
    <row r="1015" spans="1:1" x14ac:dyDescent="0.2">
      <c r="A1015" s="48">
        <v>38360</v>
      </c>
    </row>
    <row r="1016" spans="1:1" x14ac:dyDescent="0.2">
      <c r="A1016" s="48">
        <v>38361</v>
      </c>
    </row>
    <row r="1017" spans="1:1" x14ac:dyDescent="0.2">
      <c r="A1017" s="48">
        <v>38362</v>
      </c>
    </row>
    <row r="1018" spans="1:1" x14ac:dyDescent="0.2">
      <c r="A1018" s="48">
        <v>38363</v>
      </c>
    </row>
    <row r="1019" spans="1:1" x14ac:dyDescent="0.2">
      <c r="A1019" s="48">
        <v>38364</v>
      </c>
    </row>
    <row r="1020" spans="1:1" x14ac:dyDescent="0.2">
      <c r="A1020" s="48">
        <v>38365</v>
      </c>
    </row>
    <row r="1021" spans="1:1" x14ac:dyDescent="0.2">
      <c r="A1021" s="48">
        <v>38366</v>
      </c>
    </row>
    <row r="1022" spans="1:1" x14ac:dyDescent="0.2">
      <c r="A1022" s="48">
        <v>38367</v>
      </c>
    </row>
    <row r="1023" spans="1:1" x14ac:dyDescent="0.2">
      <c r="A1023" s="48">
        <v>38368</v>
      </c>
    </row>
    <row r="1024" spans="1:1" x14ac:dyDescent="0.2">
      <c r="A1024" s="48">
        <v>38369</v>
      </c>
    </row>
    <row r="1025" spans="1:1" x14ac:dyDescent="0.2">
      <c r="A1025" s="48">
        <v>38370</v>
      </c>
    </row>
    <row r="1026" spans="1:1" x14ac:dyDescent="0.2">
      <c r="A1026" s="48">
        <v>38371</v>
      </c>
    </row>
    <row r="1027" spans="1:1" x14ac:dyDescent="0.2">
      <c r="A1027" s="48">
        <v>38372</v>
      </c>
    </row>
    <row r="1028" spans="1:1" x14ac:dyDescent="0.2">
      <c r="A1028" s="48">
        <v>38373</v>
      </c>
    </row>
    <row r="1029" spans="1:1" x14ac:dyDescent="0.2">
      <c r="A1029" s="48">
        <v>38374</v>
      </c>
    </row>
    <row r="1030" spans="1:1" x14ac:dyDescent="0.2">
      <c r="A1030" s="48">
        <v>38375</v>
      </c>
    </row>
    <row r="1031" spans="1:1" x14ac:dyDescent="0.2">
      <c r="A1031" s="48">
        <v>38376</v>
      </c>
    </row>
    <row r="1032" spans="1:1" x14ac:dyDescent="0.2">
      <c r="A1032" s="48">
        <v>38377</v>
      </c>
    </row>
    <row r="1033" spans="1:1" x14ac:dyDescent="0.2">
      <c r="A1033" s="48">
        <v>38378</v>
      </c>
    </row>
    <row r="1034" spans="1:1" x14ac:dyDescent="0.2">
      <c r="A1034" s="48">
        <v>38379</v>
      </c>
    </row>
    <row r="1035" spans="1:1" x14ac:dyDescent="0.2">
      <c r="A1035" s="48">
        <v>38380</v>
      </c>
    </row>
    <row r="1036" spans="1:1" x14ac:dyDescent="0.2">
      <c r="A1036" s="48">
        <v>38381</v>
      </c>
    </row>
    <row r="1037" spans="1:1" x14ac:dyDescent="0.2">
      <c r="A1037" s="48">
        <v>38382</v>
      </c>
    </row>
    <row r="1038" spans="1:1" x14ac:dyDescent="0.2">
      <c r="A1038" s="48">
        <v>38383</v>
      </c>
    </row>
    <row r="1039" spans="1:1" x14ac:dyDescent="0.2">
      <c r="A1039" s="48">
        <v>38384</v>
      </c>
    </row>
    <row r="1040" spans="1:1" x14ac:dyDescent="0.2">
      <c r="A1040" s="48">
        <v>38385</v>
      </c>
    </row>
    <row r="1041" spans="1:1" x14ac:dyDescent="0.2">
      <c r="A1041" s="48">
        <v>38386</v>
      </c>
    </row>
    <row r="1042" spans="1:1" x14ac:dyDescent="0.2">
      <c r="A1042" s="48">
        <v>38387</v>
      </c>
    </row>
    <row r="1043" spans="1:1" x14ac:dyDescent="0.2">
      <c r="A1043" s="48">
        <v>38388</v>
      </c>
    </row>
    <row r="1044" spans="1:1" x14ac:dyDescent="0.2">
      <c r="A1044" s="48">
        <v>38389</v>
      </c>
    </row>
    <row r="1045" spans="1:1" x14ac:dyDescent="0.2">
      <c r="A1045" s="48">
        <v>38390</v>
      </c>
    </row>
    <row r="1046" spans="1:1" x14ac:dyDescent="0.2">
      <c r="A1046" s="48">
        <v>38391</v>
      </c>
    </row>
    <row r="1047" spans="1:1" x14ac:dyDescent="0.2">
      <c r="A1047" s="48">
        <v>38392</v>
      </c>
    </row>
    <row r="1048" spans="1:1" x14ac:dyDescent="0.2">
      <c r="A1048" s="48">
        <v>38393</v>
      </c>
    </row>
    <row r="1049" spans="1:1" x14ac:dyDescent="0.2">
      <c r="A1049" s="48">
        <v>38394</v>
      </c>
    </row>
    <row r="1050" spans="1:1" x14ac:dyDescent="0.2">
      <c r="A1050" s="48">
        <v>38395</v>
      </c>
    </row>
    <row r="1051" spans="1:1" x14ac:dyDescent="0.2">
      <c r="A1051" s="48">
        <v>38396</v>
      </c>
    </row>
    <row r="1052" spans="1:1" x14ac:dyDescent="0.2">
      <c r="A1052" s="48">
        <v>38397</v>
      </c>
    </row>
    <row r="1053" spans="1:1" x14ac:dyDescent="0.2">
      <c r="A1053" s="48">
        <v>38398</v>
      </c>
    </row>
    <row r="1054" spans="1:1" x14ac:dyDescent="0.2">
      <c r="A1054" s="48">
        <v>38399</v>
      </c>
    </row>
    <row r="1055" spans="1:1" x14ac:dyDescent="0.2">
      <c r="A1055" s="48">
        <v>38400</v>
      </c>
    </row>
    <row r="1056" spans="1:1" x14ac:dyDescent="0.2">
      <c r="A1056" s="48">
        <v>38401</v>
      </c>
    </row>
    <row r="1057" spans="1:1" x14ac:dyDescent="0.2">
      <c r="A1057" s="48">
        <v>38402</v>
      </c>
    </row>
    <row r="1058" spans="1:1" x14ac:dyDescent="0.2">
      <c r="A1058" s="48">
        <v>38403</v>
      </c>
    </row>
    <row r="1059" spans="1:1" x14ac:dyDescent="0.2">
      <c r="A1059" s="48">
        <v>38404</v>
      </c>
    </row>
    <row r="1060" spans="1:1" x14ac:dyDescent="0.2">
      <c r="A1060" s="48">
        <v>38405</v>
      </c>
    </row>
    <row r="1061" spans="1:1" x14ac:dyDescent="0.2">
      <c r="A1061" s="48">
        <v>38406</v>
      </c>
    </row>
    <row r="1062" spans="1:1" x14ac:dyDescent="0.2">
      <c r="A1062" s="48">
        <v>38407</v>
      </c>
    </row>
    <row r="1063" spans="1:1" x14ac:dyDescent="0.2">
      <c r="A1063" s="48">
        <v>38408</v>
      </c>
    </row>
    <row r="1064" spans="1:1" x14ac:dyDescent="0.2">
      <c r="A1064" s="48">
        <v>38409</v>
      </c>
    </row>
    <row r="1065" spans="1:1" x14ac:dyDescent="0.2">
      <c r="A1065" s="48">
        <v>38410</v>
      </c>
    </row>
    <row r="1066" spans="1:1" x14ac:dyDescent="0.2">
      <c r="A1066" s="48">
        <v>38411</v>
      </c>
    </row>
    <row r="1067" spans="1:1" x14ac:dyDescent="0.2">
      <c r="A1067" s="48">
        <v>38412</v>
      </c>
    </row>
    <row r="1068" spans="1:1" x14ac:dyDescent="0.2">
      <c r="A1068" s="48">
        <v>38413</v>
      </c>
    </row>
    <row r="1069" spans="1:1" x14ac:dyDescent="0.2">
      <c r="A1069" s="48">
        <v>38414</v>
      </c>
    </row>
    <row r="1070" spans="1:1" x14ac:dyDescent="0.2">
      <c r="A1070" s="48">
        <v>38415</v>
      </c>
    </row>
    <row r="1071" spans="1:1" x14ac:dyDescent="0.2">
      <c r="A1071" s="48">
        <v>38416</v>
      </c>
    </row>
    <row r="1072" spans="1:1" x14ac:dyDescent="0.2">
      <c r="A1072" s="48">
        <v>38417</v>
      </c>
    </row>
    <row r="1073" spans="1:1" x14ac:dyDescent="0.2">
      <c r="A1073" s="48">
        <v>38418</v>
      </c>
    </row>
    <row r="1074" spans="1:1" x14ac:dyDescent="0.2">
      <c r="A1074" s="48">
        <v>38419</v>
      </c>
    </row>
    <row r="1075" spans="1:1" x14ac:dyDescent="0.2">
      <c r="A1075" s="48">
        <v>38420</v>
      </c>
    </row>
    <row r="1076" spans="1:1" x14ac:dyDescent="0.2">
      <c r="A1076" s="48">
        <v>38421</v>
      </c>
    </row>
    <row r="1077" spans="1:1" x14ac:dyDescent="0.2">
      <c r="A1077" s="48">
        <v>38422</v>
      </c>
    </row>
    <row r="1078" spans="1:1" x14ac:dyDescent="0.2">
      <c r="A1078" s="48">
        <v>38423</v>
      </c>
    </row>
    <row r="1079" spans="1:1" x14ac:dyDescent="0.2">
      <c r="A1079" s="48">
        <v>38424</v>
      </c>
    </row>
    <row r="1080" spans="1:1" x14ac:dyDescent="0.2">
      <c r="A1080" s="48">
        <v>38425</v>
      </c>
    </row>
    <row r="1081" spans="1:1" x14ac:dyDescent="0.2">
      <c r="A1081" s="48">
        <v>38426</v>
      </c>
    </row>
    <row r="1082" spans="1:1" x14ac:dyDescent="0.2">
      <c r="A1082" s="48">
        <v>38427</v>
      </c>
    </row>
    <row r="1083" spans="1:1" x14ac:dyDescent="0.2">
      <c r="A1083" s="48">
        <v>38428</v>
      </c>
    </row>
    <row r="1084" spans="1:1" x14ac:dyDescent="0.2">
      <c r="A1084" s="48">
        <v>38429</v>
      </c>
    </row>
    <row r="1085" spans="1:1" x14ac:dyDescent="0.2">
      <c r="A1085" s="48">
        <v>38430</v>
      </c>
    </row>
    <row r="1086" spans="1:1" x14ac:dyDescent="0.2">
      <c r="A1086" s="48">
        <v>38431</v>
      </c>
    </row>
    <row r="1087" spans="1:1" x14ac:dyDescent="0.2">
      <c r="A1087" s="48">
        <v>38432</v>
      </c>
    </row>
    <row r="1088" spans="1:1" x14ac:dyDescent="0.2">
      <c r="A1088" s="48">
        <v>38433</v>
      </c>
    </row>
    <row r="1089" spans="1:1" x14ac:dyDescent="0.2">
      <c r="A1089" s="48">
        <v>38434</v>
      </c>
    </row>
    <row r="1090" spans="1:1" x14ac:dyDescent="0.2">
      <c r="A1090" s="48">
        <v>38435</v>
      </c>
    </row>
    <row r="1091" spans="1:1" x14ac:dyDescent="0.2">
      <c r="A1091" s="48">
        <v>38436</v>
      </c>
    </row>
    <row r="1092" spans="1:1" x14ac:dyDescent="0.2">
      <c r="A1092" s="48">
        <v>38437</v>
      </c>
    </row>
    <row r="1093" spans="1:1" x14ac:dyDescent="0.2">
      <c r="A1093" s="48">
        <v>38438</v>
      </c>
    </row>
    <row r="1094" spans="1:1" x14ac:dyDescent="0.2">
      <c r="A1094" s="48">
        <v>38439</v>
      </c>
    </row>
    <row r="1095" spans="1:1" x14ac:dyDescent="0.2">
      <c r="A1095" s="48">
        <v>38440</v>
      </c>
    </row>
    <row r="1096" spans="1:1" x14ac:dyDescent="0.2">
      <c r="A1096" s="48">
        <v>38441</v>
      </c>
    </row>
    <row r="1097" spans="1:1" x14ac:dyDescent="0.2">
      <c r="A1097" s="48">
        <v>38442</v>
      </c>
    </row>
    <row r="1098" spans="1:1" x14ac:dyDescent="0.2">
      <c r="A1098" s="48">
        <v>38443</v>
      </c>
    </row>
    <row r="1099" spans="1:1" x14ac:dyDescent="0.2">
      <c r="A1099" s="48">
        <v>38444</v>
      </c>
    </row>
    <row r="1100" spans="1:1" x14ac:dyDescent="0.2">
      <c r="A1100" s="48">
        <v>38445</v>
      </c>
    </row>
    <row r="1101" spans="1:1" x14ac:dyDescent="0.2">
      <c r="A1101" s="48">
        <v>38446</v>
      </c>
    </row>
    <row r="1102" spans="1:1" x14ac:dyDescent="0.2">
      <c r="A1102" s="48">
        <v>38447</v>
      </c>
    </row>
    <row r="1103" spans="1:1" x14ac:dyDescent="0.2">
      <c r="A1103" s="48">
        <v>38448</v>
      </c>
    </row>
    <row r="1104" spans="1:1" x14ac:dyDescent="0.2">
      <c r="A1104" s="48">
        <v>38449</v>
      </c>
    </row>
    <row r="1105" spans="1:1" x14ac:dyDescent="0.2">
      <c r="A1105" s="48">
        <v>38450</v>
      </c>
    </row>
    <row r="1106" spans="1:1" x14ac:dyDescent="0.2">
      <c r="A1106" s="48">
        <v>38451</v>
      </c>
    </row>
    <row r="1107" spans="1:1" x14ac:dyDescent="0.2">
      <c r="A1107" s="48">
        <v>38452</v>
      </c>
    </row>
    <row r="1108" spans="1:1" x14ac:dyDescent="0.2">
      <c r="A1108" s="48">
        <v>38453</v>
      </c>
    </row>
    <row r="1109" spans="1:1" x14ac:dyDescent="0.2">
      <c r="A1109" s="48">
        <v>38454</v>
      </c>
    </row>
    <row r="1110" spans="1:1" x14ac:dyDescent="0.2">
      <c r="A1110" s="48">
        <v>38455</v>
      </c>
    </row>
    <row r="1111" spans="1:1" x14ac:dyDescent="0.2">
      <c r="A1111" s="48">
        <v>38456</v>
      </c>
    </row>
    <row r="1112" spans="1:1" x14ac:dyDescent="0.2">
      <c r="A1112" s="48">
        <v>38457</v>
      </c>
    </row>
    <row r="1113" spans="1:1" x14ac:dyDescent="0.2">
      <c r="A1113" s="48">
        <v>38458</v>
      </c>
    </row>
  </sheetData>
  <phoneticPr fontId="0"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B2" sqref="B2"/>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4" x14ac:dyDescent="0.2">
      <c r="B1" s="15" t="s">
        <v>10</v>
      </c>
      <c r="F1" s="20" t="s">
        <v>9</v>
      </c>
    </row>
    <row r="2" spans="1:14" x14ac:dyDescent="0.2">
      <c r="A2" s="6" t="s">
        <v>4</v>
      </c>
      <c r="B2" s="98">
        <v>30.75</v>
      </c>
      <c r="C2" s="27">
        <v>3.5960000000000001</v>
      </c>
      <c r="D2" s="32"/>
      <c r="E2" s="5"/>
      <c r="F2" s="33"/>
      <c r="G2" s="27"/>
      <c r="H2" s="34"/>
      <c r="J2" s="35">
        <f>IF(F2&lt;1,(C2-C31)*(B2*10000),(C31-G2)*(F2*10000))</f>
        <v>42127.5</v>
      </c>
      <c r="L2" s="7" t="s">
        <v>13</v>
      </c>
    </row>
    <row r="3" spans="1:14" x14ac:dyDescent="0.2">
      <c r="A3" s="6">
        <f>POSTION!$E$20</f>
        <v>11</v>
      </c>
      <c r="B3" s="8"/>
      <c r="C3" s="3"/>
      <c r="D3" s="4">
        <f t="shared" ref="D3:D25" si="0">B3*C3*10000</f>
        <v>0</v>
      </c>
      <c r="E3" s="5"/>
      <c r="F3" s="9"/>
      <c r="G3" s="3"/>
      <c r="H3" s="10">
        <f t="shared" ref="H3:H25" si="1">F3*G3*10000</f>
        <v>0</v>
      </c>
      <c r="J3" s="36"/>
      <c r="L3" s="12" t="s">
        <v>15</v>
      </c>
    </row>
    <row r="4" spans="1:14" x14ac:dyDescent="0.2">
      <c r="B4" s="8"/>
      <c r="C4" s="3"/>
      <c r="D4" s="4">
        <f t="shared" si="0"/>
        <v>0</v>
      </c>
      <c r="E4" s="5"/>
      <c r="F4" s="9"/>
      <c r="G4" s="3"/>
      <c r="H4" s="10">
        <f t="shared" si="1"/>
        <v>0</v>
      </c>
      <c r="J4" s="23">
        <f>F37</f>
        <v>0</v>
      </c>
      <c r="K4" s="11"/>
      <c r="L4" s="5" t="s">
        <v>18</v>
      </c>
    </row>
    <row r="5" spans="1:14" x14ac:dyDescent="0.2">
      <c r="B5" s="8"/>
      <c r="C5" s="3"/>
      <c r="D5" s="4">
        <f t="shared" si="0"/>
        <v>0</v>
      </c>
      <c r="E5" s="5"/>
      <c r="F5" s="9"/>
      <c r="G5" s="3"/>
      <c r="H5" s="10">
        <f t="shared" si="1"/>
        <v>0</v>
      </c>
      <c r="J5" s="11"/>
      <c r="K5" s="14"/>
      <c r="L5" s="5"/>
    </row>
    <row r="6" spans="1:14" ht="12" thickBot="1" x14ac:dyDescent="0.25">
      <c r="B6" s="8"/>
      <c r="C6" s="3"/>
      <c r="D6" s="4">
        <f t="shared" si="0"/>
        <v>0</v>
      </c>
      <c r="E6" s="5"/>
      <c r="F6" s="9"/>
      <c r="G6" s="3"/>
      <c r="H6" s="10">
        <f t="shared" si="1"/>
        <v>0</v>
      </c>
      <c r="J6" s="42">
        <f>J2+J3+J4</f>
        <v>42127.5</v>
      </c>
      <c r="K6" s="14"/>
      <c r="L6" s="5" t="s">
        <v>19</v>
      </c>
    </row>
    <row r="7" spans="1:14" ht="12" thickTop="1" x14ac:dyDescent="0.2">
      <c r="B7" s="8"/>
      <c r="C7" s="3"/>
      <c r="D7" s="4">
        <f t="shared" si="0"/>
        <v>0</v>
      </c>
      <c r="E7" s="5"/>
      <c r="F7" s="9"/>
      <c r="G7" s="3"/>
      <c r="H7" s="10">
        <f t="shared" si="1"/>
        <v>0</v>
      </c>
      <c r="J7" s="11"/>
    </row>
    <row r="8" spans="1:14" x14ac:dyDescent="0.2">
      <c r="B8" s="9"/>
      <c r="C8" s="3"/>
      <c r="D8" s="4">
        <f t="shared" si="0"/>
        <v>0</v>
      </c>
      <c r="E8" s="5"/>
      <c r="F8" s="9"/>
      <c r="G8" s="3"/>
      <c r="H8" s="10">
        <f t="shared" si="1"/>
        <v>0</v>
      </c>
      <c r="J8" s="11"/>
      <c r="L8" s="5"/>
    </row>
    <row r="9" spans="1:14" x14ac:dyDescent="0.2">
      <c r="B9" s="9"/>
      <c r="C9" s="3"/>
      <c r="D9" s="4">
        <f t="shared" si="0"/>
        <v>0</v>
      </c>
      <c r="E9" s="5"/>
      <c r="F9" s="9"/>
      <c r="G9" s="3"/>
      <c r="H9" s="10">
        <f t="shared" si="1"/>
        <v>0</v>
      </c>
      <c r="J9" s="39">
        <f>F30-B2+F2</f>
        <v>-30.75</v>
      </c>
      <c r="L9" s="6" t="s">
        <v>8</v>
      </c>
      <c r="M9" s="8"/>
      <c r="N9" s="3"/>
    </row>
    <row r="10" spans="1:14" x14ac:dyDescent="0.2">
      <c r="B10" s="9"/>
      <c r="C10" s="3"/>
      <c r="D10" s="4">
        <f t="shared" si="0"/>
        <v>0</v>
      </c>
      <c r="E10" s="5"/>
      <c r="F10" s="9"/>
      <c r="G10" s="3"/>
      <c r="H10" s="10">
        <f t="shared" si="1"/>
        <v>0</v>
      </c>
      <c r="J10" s="40"/>
      <c r="L10" s="6" t="s">
        <v>20</v>
      </c>
      <c r="M10" s="8"/>
      <c r="N10" s="3"/>
    </row>
    <row r="11" spans="1:14" x14ac:dyDescent="0.2">
      <c r="B11" s="9"/>
      <c r="C11" s="3"/>
      <c r="D11" s="4">
        <f t="shared" si="0"/>
        <v>0</v>
      </c>
      <c r="E11" s="5"/>
      <c r="F11" s="9"/>
      <c r="G11" s="3"/>
      <c r="H11" s="10">
        <f t="shared" si="1"/>
        <v>0</v>
      </c>
      <c r="J11" s="88">
        <f>J9-J10</f>
        <v>-30.75</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37"/>
      <c r="M14" s="6">
        <v>50000</v>
      </c>
    </row>
    <row r="15" spans="1:14" x14ac:dyDescent="0.2">
      <c r="B15" s="9"/>
      <c r="C15" s="3"/>
      <c r="D15" s="4">
        <f t="shared" si="0"/>
        <v>0</v>
      </c>
      <c r="E15" s="5"/>
      <c r="F15" s="9"/>
      <c r="G15" s="3"/>
      <c r="H15" s="10">
        <f t="shared" si="1"/>
        <v>0</v>
      </c>
      <c r="J15" s="37"/>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31</v>
      </c>
    </row>
    <row r="21" spans="2:14" x14ac:dyDescent="0.2">
      <c r="B21" s="9"/>
      <c r="C21" s="3"/>
      <c r="D21" s="4">
        <f t="shared" si="0"/>
        <v>0</v>
      </c>
      <c r="E21" s="5"/>
      <c r="F21" s="9"/>
      <c r="G21" s="3"/>
      <c r="H21" s="10">
        <f t="shared" si="1"/>
        <v>0</v>
      </c>
      <c r="J21" s="37"/>
      <c r="L21" s="6">
        <f>24.2-15</f>
        <v>9.1999999999999993</v>
      </c>
      <c r="M21" s="6">
        <v>2500</v>
      </c>
      <c r="N21" s="6">
        <f t="shared" ref="N21:N26" si="2">(M21*$M$20)/10000</f>
        <v>7.75</v>
      </c>
    </row>
    <row r="22" spans="2:14" x14ac:dyDescent="0.2">
      <c r="B22" s="9"/>
      <c r="C22" s="3"/>
      <c r="D22" s="4">
        <f t="shared" si="0"/>
        <v>0</v>
      </c>
      <c r="E22" s="5"/>
      <c r="F22" s="9"/>
      <c r="G22" s="3"/>
      <c r="H22" s="10">
        <f t="shared" si="1"/>
        <v>0</v>
      </c>
      <c r="J22" s="37"/>
      <c r="M22" s="6">
        <v>5000</v>
      </c>
      <c r="N22" s="6">
        <f t="shared" si="2"/>
        <v>15.5</v>
      </c>
    </row>
    <row r="23" spans="2:14" x14ac:dyDescent="0.2">
      <c r="B23" s="9"/>
      <c r="C23" s="3"/>
      <c r="D23" s="4">
        <f t="shared" si="0"/>
        <v>0</v>
      </c>
      <c r="E23" s="5"/>
      <c r="F23" s="9"/>
      <c r="G23" s="3"/>
      <c r="H23" s="10">
        <f t="shared" si="1"/>
        <v>0</v>
      </c>
      <c r="J23" s="37"/>
      <c r="M23" s="6">
        <v>7500</v>
      </c>
      <c r="N23" s="6">
        <f t="shared" si="2"/>
        <v>23.25</v>
      </c>
    </row>
    <row r="24" spans="2:14" x14ac:dyDescent="0.2">
      <c r="B24" s="9"/>
      <c r="C24" s="3"/>
      <c r="D24" s="4">
        <f t="shared" si="0"/>
        <v>0</v>
      </c>
      <c r="E24" s="5"/>
      <c r="F24" s="9"/>
      <c r="G24" s="3"/>
      <c r="H24" s="10">
        <f t="shared" si="1"/>
        <v>0</v>
      </c>
      <c r="J24" s="37"/>
      <c r="M24" s="6">
        <v>10000</v>
      </c>
      <c r="N24" s="6">
        <f t="shared" si="2"/>
        <v>31</v>
      </c>
    </row>
    <row r="25" spans="2:14" x14ac:dyDescent="0.2">
      <c r="B25" s="9"/>
      <c r="C25" s="3"/>
      <c r="D25" s="4">
        <f t="shared" si="0"/>
        <v>0</v>
      </c>
      <c r="E25" s="5"/>
      <c r="F25" s="9"/>
      <c r="G25" s="3"/>
      <c r="H25" s="10">
        <f t="shared" si="1"/>
        <v>0</v>
      </c>
      <c r="J25" s="37"/>
      <c r="M25" s="6">
        <v>12500</v>
      </c>
      <c r="N25" s="6">
        <f t="shared" si="2"/>
        <v>38.75</v>
      </c>
    </row>
    <row r="26" spans="2:14" x14ac:dyDescent="0.2">
      <c r="F26" s="15"/>
      <c r="H26" s="17"/>
      <c r="J26" s="38"/>
      <c r="K26" s="29"/>
      <c r="L26" s="29"/>
      <c r="M26" s="6">
        <v>15000</v>
      </c>
      <c r="N26" s="6">
        <f t="shared" si="2"/>
        <v>46.5</v>
      </c>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C28" s="74">
        <f>C27-0.0175</f>
        <v>-1.7500000000000002E-2</v>
      </c>
      <c r="J28" s="28"/>
      <c r="K28" s="29"/>
      <c r="L28" s="29">
        <v>31</v>
      </c>
      <c r="M28" s="5">
        <v>3.15</v>
      </c>
      <c r="N28" s="5">
        <f>L28*M28</f>
        <v>97.649999999999991</v>
      </c>
    </row>
    <row r="29" spans="2:14" x14ac:dyDescent="0.2">
      <c r="F29" s="22">
        <f>-B27+F27</f>
        <v>0</v>
      </c>
      <c r="G29" s="6">
        <f>IF(F29&lt;0,C27,G27)</f>
        <v>0</v>
      </c>
      <c r="H29" s="21">
        <f>IF(F29&lt;0, (G29-C31)*ABS(F29)*10000, -1*(G29-C31)*ABS(F29)*10000)</f>
        <v>0</v>
      </c>
      <c r="J29" s="28"/>
      <c r="K29" s="29"/>
      <c r="L29" s="29">
        <v>15.5</v>
      </c>
      <c r="M29" s="5">
        <v>3.1150000000000002</v>
      </c>
      <c r="N29" s="5">
        <f>L29*M29</f>
        <v>48.282500000000006</v>
      </c>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74">
        <f>POSTION!B4</f>
        <v>3.4590000000000001</v>
      </c>
      <c r="D31" s="16" t="s">
        <v>11</v>
      </c>
      <c r="J31" s="30"/>
      <c r="K31" s="31"/>
      <c r="L31" s="31"/>
      <c r="M31" s="5"/>
      <c r="N31" s="5"/>
    </row>
    <row r="32" spans="2:14" x14ac:dyDescent="0.2">
      <c r="F32" s="19">
        <f>MIN($B$27,$F$27)*($C$27-$G$27)*10000</f>
        <v>0</v>
      </c>
      <c r="G32" s="1"/>
      <c r="H32" s="1" t="s">
        <v>0</v>
      </c>
      <c r="L32" s="6">
        <f>SUM(L28:L31)</f>
        <v>46.5</v>
      </c>
      <c r="M32" s="5"/>
      <c r="N32" s="5">
        <f>SUM(N28:N31)</f>
        <v>145.9325</v>
      </c>
    </row>
    <row r="33" spans="1:13" x14ac:dyDescent="0.2">
      <c r="F33" s="19"/>
      <c r="G33" s="1"/>
      <c r="H33" s="1"/>
      <c r="M33" s="6">
        <f>N32/L32</f>
        <v>3.1383333333333336</v>
      </c>
    </row>
    <row r="34" spans="1:13" x14ac:dyDescent="0.2">
      <c r="F34" s="19">
        <f>$H$29</f>
        <v>0</v>
      </c>
      <c r="G34" s="1"/>
      <c r="H34" s="1" t="s">
        <v>1</v>
      </c>
    </row>
    <row r="35" spans="1:13" x14ac:dyDescent="0.2">
      <c r="A35" s="7"/>
      <c r="B35" s="26"/>
      <c r="F35" s="23">
        <f>$H$30</f>
        <v>0</v>
      </c>
      <c r="G35" s="2"/>
      <c r="H35" s="2" t="s">
        <v>2</v>
      </c>
    </row>
    <row r="36" spans="1:13" x14ac:dyDescent="0.2">
      <c r="B36" s="26"/>
      <c r="F36" s="13"/>
      <c r="H36" s="6"/>
    </row>
    <row r="37" spans="1:13" x14ac:dyDescent="0.2">
      <c r="B37" s="26"/>
      <c r="F37" s="24">
        <f>F32+F34</f>
        <v>0</v>
      </c>
      <c r="G37" s="25"/>
      <c r="H37" s="25" t="s">
        <v>3</v>
      </c>
    </row>
    <row r="38" spans="1:13" x14ac:dyDescent="0.2">
      <c r="B38" s="26"/>
    </row>
    <row r="39" spans="1:13" x14ac:dyDescent="0.2">
      <c r="B39" s="20"/>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F3" sqref="F3"/>
    </sheetView>
  </sheetViews>
  <sheetFormatPr defaultRowHeight="11.25" x14ac:dyDescent="0.2"/>
  <cols>
    <col min="1" max="1" width="9.140625" style="6"/>
    <col min="2" max="2" width="7.5703125"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3" width="9.140625" style="6"/>
    <col min="14" max="14" width="12" style="6" bestFit="1" customWidth="1"/>
    <col min="15" max="16384" width="9.140625" style="6"/>
  </cols>
  <sheetData>
    <row r="1" spans="1:14" x14ac:dyDescent="0.2">
      <c r="B1" s="15" t="s">
        <v>10</v>
      </c>
      <c r="F1" s="20" t="s">
        <v>9</v>
      </c>
    </row>
    <row r="2" spans="1:14" x14ac:dyDescent="0.2">
      <c r="A2" s="6" t="s">
        <v>4</v>
      </c>
      <c r="B2" s="98"/>
      <c r="C2" s="27"/>
      <c r="D2" s="32"/>
      <c r="E2" s="5"/>
      <c r="F2" s="33"/>
      <c r="G2" s="27"/>
      <c r="H2" s="34"/>
      <c r="J2" s="35">
        <f>IF(F2&lt;1,(C2-C31)*(B2*10000),(C31-G2)*(F2*10000))</f>
        <v>0</v>
      </c>
      <c r="L2" s="7" t="s">
        <v>13</v>
      </c>
    </row>
    <row r="3" spans="1:14" x14ac:dyDescent="0.2">
      <c r="A3" s="6">
        <f>POSTION!$E$20</f>
        <v>11</v>
      </c>
      <c r="B3" s="8">
        <v>10</v>
      </c>
      <c r="C3" s="3">
        <v>3.4550000000000001</v>
      </c>
      <c r="D3" s="4">
        <f t="shared" ref="D3:D25" si="0">B3*C3*10000</f>
        <v>345500</v>
      </c>
      <c r="E3" s="5"/>
      <c r="F3" s="9"/>
      <c r="G3" s="3"/>
      <c r="H3" s="10">
        <f t="shared" ref="H3:H25" si="1">F3*G3*10000</f>
        <v>0</v>
      </c>
      <c r="J3" s="36"/>
      <c r="L3" s="12" t="s">
        <v>15</v>
      </c>
    </row>
    <row r="4" spans="1:14" x14ac:dyDescent="0.2">
      <c r="B4" s="8">
        <v>15</v>
      </c>
      <c r="C4" s="3">
        <v>3.4649999999999999</v>
      </c>
      <c r="D4" s="4">
        <f t="shared" si="0"/>
        <v>519749.99999999994</v>
      </c>
      <c r="E4" s="5"/>
      <c r="F4" s="9"/>
      <c r="G4" s="3"/>
      <c r="H4" s="10">
        <f t="shared" si="1"/>
        <v>0</v>
      </c>
      <c r="J4" s="23">
        <f>F37</f>
        <v>-34249.999999999891</v>
      </c>
      <c r="K4" s="11"/>
      <c r="L4" s="5" t="s">
        <v>18</v>
      </c>
    </row>
    <row r="5" spans="1:14" x14ac:dyDescent="0.2">
      <c r="B5" s="8">
        <v>20</v>
      </c>
      <c r="C5" s="3">
        <v>3.4750000000000001</v>
      </c>
      <c r="D5" s="4">
        <f t="shared" si="0"/>
        <v>695000</v>
      </c>
      <c r="E5" s="5"/>
      <c r="F5" s="9"/>
      <c r="G5" s="3"/>
      <c r="H5" s="10">
        <f t="shared" si="1"/>
        <v>0</v>
      </c>
      <c r="J5" s="11"/>
      <c r="K5" s="14"/>
      <c r="L5" s="5"/>
    </row>
    <row r="6" spans="1:14" ht="12" thickBot="1" x14ac:dyDescent="0.25">
      <c r="B6" s="8">
        <v>30</v>
      </c>
      <c r="C6" s="3">
        <v>3.4849999999999999</v>
      </c>
      <c r="D6" s="4">
        <f t="shared" si="0"/>
        <v>1045500</v>
      </c>
      <c r="E6" s="5"/>
      <c r="F6" s="9"/>
      <c r="G6" s="3"/>
      <c r="H6" s="10">
        <f t="shared" si="1"/>
        <v>0</v>
      </c>
      <c r="J6" s="42">
        <f>J2+J3+J4</f>
        <v>-34249.999999999891</v>
      </c>
      <c r="K6" s="14"/>
      <c r="L6" s="5" t="s">
        <v>19</v>
      </c>
    </row>
    <row r="7" spans="1:14" ht="12" thickTop="1" x14ac:dyDescent="0.2">
      <c r="B7" s="8"/>
      <c r="C7" s="3"/>
      <c r="D7" s="4">
        <f t="shared" si="0"/>
        <v>0</v>
      </c>
      <c r="E7" s="5"/>
      <c r="F7" s="9"/>
      <c r="G7" s="3"/>
      <c r="H7" s="10">
        <f t="shared" si="1"/>
        <v>0</v>
      </c>
      <c r="J7" s="11"/>
    </row>
    <row r="8" spans="1:14" x14ac:dyDescent="0.2">
      <c r="B8" s="9"/>
      <c r="C8" s="3"/>
      <c r="D8" s="4">
        <f t="shared" si="0"/>
        <v>0</v>
      </c>
      <c r="E8" s="5"/>
      <c r="F8" s="9"/>
      <c r="G8" s="3"/>
      <c r="H8" s="10">
        <f t="shared" si="1"/>
        <v>0</v>
      </c>
      <c r="J8" s="11"/>
      <c r="L8" s="5"/>
    </row>
    <row r="9" spans="1:14" x14ac:dyDescent="0.2">
      <c r="B9" s="9"/>
      <c r="C9" s="3"/>
      <c r="D9" s="4">
        <f t="shared" si="0"/>
        <v>0</v>
      </c>
      <c r="E9" s="5"/>
      <c r="F9" s="9"/>
      <c r="G9" s="3"/>
      <c r="H9" s="10">
        <f t="shared" si="1"/>
        <v>0</v>
      </c>
      <c r="J9" s="39">
        <f>F30-B2+F2</f>
        <v>-75</v>
      </c>
      <c r="L9" s="6" t="s">
        <v>8</v>
      </c>
      <c r="N9" s="3"/>
    </row>
    <row r="10" spans="1:14" x14ac:dyDescent="0.2">
      <c r="B10" s="9"/>
      <c r="C10" s="3"/>
      <c r="D10" s="4">
        <f t="shared" si="0"/>
        <v>0</v>
      </c>
      <c r="E10" s="5"/>
      <c r="F10" s="9"/>
      <c r="G10" s="3"/>
      <c r="H10" s="10">
        <f t="shared" si="1"/>
        <v>0</v>
      </c>
      <c r="J10" s="40"/>
      <c r="L10" s="6" t="s">
        <v>20</v>
      </c>
      <c r="M10" s="8"/>
      <c r="N10" s="3"/>
    </row>
    <row r="11" spans="1:14" x14ac:dyDescent="0.2">
      <c r="B11" s="9"/>
      <c r="C11" s="3"/>
      <c r="D11" s="4">
        <f t="shared" si="0"/>
        <v>0</v>
      </c>
      <c r="E11" s="5"/>
      <c r="F11" s="9"/>
      <c r="G11" s="3"/>
      <c r="H11" s="10">
        <f t="shared" si="1"/>
        <v>0</v>
      </c>
      <c r="J11" s="88">
        <f>J9-J10</f>
        <v>-75</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102" t="s">
        <v>55</v>
      </c>
      <c r="M14" s="6">
        <v>50000</v>
      </c>
    </row>
    <row r="15" spans="1:14" ht="15.75" x14ac:dyDescent="0.25">
      <c r="B15" s="9"/>
      <c r="C15" s="3"/>
      <c r="D15" s="4">
        <f t="shared" si="0"/>
        <v>0</v>
      </c>
      <c r="E15" s="5"/>
      <c r="F15" s="9"/>
      <c r="G15" s="3"/>
      <c r="H15" s="10">
        <f t="shared" si="1"/>
        <v>0</v>
      </c>
      <c r="J15" s="103">
        <f>POSTION!D18</f>
        <v>60.699999999999989</v>
      </c>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M17" s="20"/>
      <c r="N17" s="101"/>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30</v>
      </c>
    </row>
    <row r="21" spans="2:14" x14ac:dyDescent="0.2">
      <c r="B21" s="9"/>
      <c r="C21" s="3"/>
      <c r="D21" s="4">
        <f t="shared" si="0"/>
        <v>0</v>
      </c>
      <c r="E21" s="5"/>
      <c r="F21" s="9"/>
      <c r="G21" s="3"/>
      <c r="H21" s="10">
        <f t="shared" si="1"/>
        <v>0</v>
      </c>
      <c r="J21" s="37"/>
      <c r="L21" s="6">
        <f>24.2-15</f>
        <v>9.1999999999999993</v>
      </c>
      <c r="M21" s="6">
        <v>2500</v>
      </c>
      <c r="N21" s="6">
        <f t="shared" ref="N21:N26" si="2">(M21*$M$20)/10000</f>
        <v>7.5</v>
      </c>
    </row>
    <row r="22" spans="2:14" x14ac:dyDescent="0.2">
      <c r="B22" s="9"/>
      <c r="C22" s="3"/>
      <c r="D22" s="4">
        <f t="shared" si="0"/>
        <v>0</v>
      </c>
      <c r="E22" s="5"/>
      <c r="F22" s="9"/>
      <c r="G22" s="3"/>
      <c r="H22" s="10">
        <f t="shared" si="1"/>
        <v>0</v>
      </c>
      <c r="J22" s="37"/>
      <c r="M22" s="6">
        <v>5000</v>
      </c>
      <c r="N22" s="6">
        <f t="shared" si="2"/>
        <v>15</v>
      </c>
    </row>
    <row r="23" spans="2:14" x14ac:dyDescent="0.2">
      <c r="B23" s="9"/>
      <c r="C23" s="3"/>
      <c r="D23" s="4">
        <f t="shared" si="0"/>
        <v>0</v>
      </c>
      <c r="E23" s="5"/>
      <c r="F23" s="9"/>
      <c r="G23" s="3"/>
      <c r="H23" s="10">
        <f t="shared" si="1"/>
        <v>0</v>
      </c>
      <c r="J23" s="37"/>
      <c r="M23" s="6">
        <v>7500</v>
      </c>
      <c r="N23" s="6">
        <f t="shared" si="2"/>
        <v>22.5</v>
      </c>
    </row>
    <row r="24" spans="2:14" x14ac:dyDescent="0.2">
      <c r="B24" s="9"/>
      <c r="C24" s="3"/>
      <c r="D24" s="4">
        <f t="shared" si="0"/>
        <v>0</v>
      </c>
      <c r="E24" s="5"/>
      <c r="F24" s="9"/>
      <c r="G24" s="3"/>
      <c r="H24" s="10">
        <f t="shared" si="1"/>
        <v>0</v>
      </c>
      <c r="J24" s="37"/>
      <c r="M24" s="6">
        <v>10000</v>
      </c>
      <c r="N24" s="6">
        <f t="shared" si="2"/>
        <v>30</v>
      </c>
    </row>
    <row r="25" spans="2:14" x14ac:dyDescent="0.2">
      <c r="B25" s="9"/>
      <c r="C25" s="3"/>
      <c r="D25" s="4">
        <f t="shared" si="0"/>
        <v>0</v>
      </c>
      <c r="E25" s="5"/>
      <c r="F25" s="9"/>
      <c r="G25" s="3"/>
      <c r="H25" s="10">
        <f t="shared" si="1"/>
        <v>0</v>
      </c>
      <c r="J25" s="37"/>
      <c r="M25" s="6">
        <v>12500</v>
      </c>
      <c r="N25" s="6">
        <f t="shared" si="2"/>
        <v>37.5</v>
      </c>
    </row>
    <row r="26" spans="2:14" x14ac:dyDescent="0.2">
      <c r="F26" s="15"/>
      <c r="H26" s="17"/>
      <c r="J26" s="38"/>
      <c r="K26" s="29"/>
      <c r="L26" s="29"/>
      <c r="M26" s="6">
        <v>15000</v>
      </c>
      <c r="N26" s="6">
        <f t="shared" si="2"/>
        <v>45</v>
      </c>
    </row>
    <row r="27" spans="2:14" x14ac:dyDescent="0.2">
      <c r="B27" s="9">
        <f>SUM(B3:B26)</f>
        <v>75</v>
      </c>
      <c r="C27" s="18">
        <f>IF(B27=0, 0, D27/B27/10000)</f>
        <v>3.4743333333333335</v>
      </c>
      <c r="D27" s="4">
        <f>SUM(D2:D26)</f>
        <v>2605750</v>
      </c>
      <c r="F27" s="9">
        <f>SUM(F3:F26)</f>
        <v>0</v>
      </c>
      <c r="G27" s="3">
        <f>IF(F27=0, 0, H27/F27/10000)</f>
        <v>0</v>
      </c>
      <c r="H27" s="10">
        <f>SUM(H2:H26)</f>
        <v>0</v>
      </c>
      <c r="J27" s="28"/>
      <c r="K27" s="29"/>
      <c r="L27" s="29"/>
      <c r="M27" s="5"/>
      <c r="N27" s="5"/>
    </row>
    <row r="28" spans="2:14" x14ac:dyDescent="0.2">
      <c r="C28" s="74"/>
      <c r="J28" s="28"/>
      <c r="K28" s="29"/>
      <c r="L28" s="29">
        <v>31</v>
      </c>
      <c r="M28" s="5">
        <v>3.15</v>
      </c>
      <c r="N28" s="5">
        <f>L28*M28</f>
        <v>97.649999999999991</v>
      </c>
    </row>
    <row r="29" spans="2:14" x14ac:dyDescent="0.2">
      <c r="F29" s="22">
        <f>-B27+F27</f>
        <v>-75</v>
      </c>
      <c r="G29" s="6">
        <f>IF(F29&lt;0,C27,G27)</f>
        <v>3.4743333333333335</v>
      </c>
      <c r="H29" s="21">
        <f>IF(F29&lt;0, (G29-C31)*ABS(F29)*10000, -1*(G29-C31)*ABS(F29)*10000)</f>
        <v>-34249.999999999891</v>
      </c>
      <c r="J29" s="28"/>
      <c r="K29" s="29"/>
      <c r="L29" s="29">
        <v>15.5</v>
      </c>
      <c r="M29" s="5">
        <v>3.1150000000000002</v>
      </c>
      <c r="N29" s="5">
        <f>L29*M29</f>
        <v>48.282500000000006</v>
      </c>
    </row>
    <row r="30" spans="2:14" x14ac:dyDescent="0.2">
      <c r="F30" s="22">
        <f>-B27+F27</f>
        <v>-75</v>
      </c>
      <c r="G30" s="6">
        <f>IF(F30&lt;0, (C27+(J26/(ABS(F30)*10000))), IF(F30 = 0, 0, (G27-(J26/(ABS(F30)*10000)))))</f>
        <v>3.4743333333333335</v>
      </c>
      <c r="H30" s="21">
        <f>IF(F30&lt;0, (G30-C31)*ABS(F30)*10000, IF(F30 = 0, 0, -1*(G30-C31)*ABS(F30)*10000))</f>
        <v>-34249.999999999891</v>
      </c>
      <c r="J30" s="28"/>
      <c r="K30" s="29"/>
      <c r="L30" s="29"/>
      <c r="M30" s="5"/>
      <c r="N30" s="5"/>
    </row>
    <row r="31" spans="2:14" x14ac:dyDescent="0.2">
      <c r="C31" s="74">
        <v>3.52</v>
      </c>
      <c r="D31" s="16" t="s">
        <v>11</v>
      </c>
      <c r="J31" s="30"/>
      <c r="K31" s="31"/>
      <c r="L31" s="31"/>
      <c r="M31" s="5"/>
      <c r="N31" s="5"/>
    </row>
    <row r="32" spans="2:14" x14ac:dyDescent="0.2">
      <c r="F32" s="19">
        <f>MIN($B$27,$F$27)*($C$27-$G$27)*10000</f>
        <v>0</v>
      </c>
      <c r="G32" s="1"/>
      <c r="H32" s="1" t="s">
        <v>0</v>
      </c>
      <c r="L32" s="6">
        <f>SUM(L28:L31)</f>
        <v>46.5</v>
      </c>
      <c r="M32" s="5"/>
      <c r="N32" s="5">
        <f>SUM(N28:N31)</f>
        <v>145.9325</v>
      </c>
    </row>
    <row r="33" spans="1:13" x14ac:dyDescent="0.2">
      <c r="F33" s="19"/>
      <c r="G33" s="1"/>
      <c r="H33" s="1"/>
      <c r="M33" s="6">
        <f>N32/L32</f>
        <v>3.1383333333333336</v>
      </c>
    </row>
    <row r="34" spans="1:13" x14ac:dyDescent="0.2">
      <c r="F34" s="19">
        <f>$H$29</f>
        <v>-34249.999999999891</v>
      </c>
      <c r="G34" s="1"/>
      <c r="H34" s="1" t="s">
        <v>1</v>
      </c>
    </row>
    <row r="35" spans="1:13" x14ac:dyDescent="0.2">
      <c r="A35" s="7"/>
      <c r="B35" s="26"/>
      <c r="F35" s="23">
        <f>$H$30</f>
        <v>-34249.999999999891</v>
      </c>
      <c r="G35" s="2"/>
      <c r="H35" s="2" t="s">
        <v>2</v>
      </c>
    </row>
    <row r="36" spans="1:13" x14ac:dyDescent="0.2">
      <c r="B36" s="26"/>
      <c r="F36" s="13"/>
      <c r="H36" s="6"/>
    </row>
    <row r="37" spans="1:13" x14ac:dyDescent="0.2">
      <c r="B37" s="26"/>
      <c r="F37" s="24">
        <f>F32+F34</f>
        <v>-34249.999999999891</v>
      </c>
      <c r="G37" s="25"/>
      <c r="H37" s="25" t="s">
        <v>3</v>
      </c>
    </row>
    <row r="38" spans="1:13" x14ac:dyDescent="0.2">
      <c r="B38" s="26"/>
    </row>
    <row r="39" spans="1:13" x14ac:dyDescent="0.2">
      <c r="B39" s="20"/>
    </row>
    <row r="40" spans="1:13" x14ac:dyDescent="0.2">
      <c r="A40" s="6" t="s">
        <v>59</v>
      </c>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zoomScale="90" workbookViewId="0">
      <selection activeCell="C5" sqref="C5"/>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3" width="9.7109375" style="6" bestFit="1" customWidth="1"/>
    <col min="14" max="16384" width="9.140625" style="6"/>
  </cols>
  <sheetData>
    <row r="1" spans="1:18" x14ac:dyDescent="0.2">
      <c r="B1" s="15" t="s">
        <v>10</v>
      </c>
      <c r="F1" s="20" t="s">
        <v>9</v>
      </c>
      <c r="N1" s="6">
        <v>10</v>
      </c>
      <c r="O1" s="6">
        <v>2</v>
      </c>
      <c r="P1" s="6">
        <v>1.5</v>
      </c>
      <c r="Q1" s="6">
        <v>1</v>
      </c>
      <c r="R1" s="6">
        <v>0.5</v>
      </c>
    </row>
    <row r="2" spans="1:18" x14ac:dyDescent="0.2">
      <c r="A2" s="6" t="s">
        <v>4</v>
      </c>
      <c r="B2" s="33"/>
      <c r="C2" s="27"/>
      <c r="D2" s="32"/>
      <c r="E2" s="5"/>
      <c r="F2" s="33">
        <v>18</v>
      </c>
      <c r="G2" s="27">
        <v>3.3050000000000002</v>
      </c>
      <c r="H2" s="34"/>
      <c r="J2" s="35">
        <f>IF(F2&lt;1,(C2-C31)*(B2*10000),(C31-G2)*(F2*10000))</f>
        <v>8999.9999999999673</v>
      </c>
      <c r="L2" s="7" t="s">
        <v>13</v>
      </c>
    </row>
    <row r="3" spans="1:18" x14ac:dyDescent="0.2">
      <c r="A3" s="6">
        <f>POSTION!$E$20</f>
        <v>11</v>
      </c>
      <c r="B3" s="63"/>
      <c r="C3" s="2"/>
      <c r="D3" s="64">
        <f t="shared" ref="D3:D25" si="0">B3*C3*10000</f>
        <v>0</v>
      </c>
      <c r="E3" s="5"/>
      <c r="F3" s="65"/>
      <c r="G3" s="2"/>
      <c r="H3" s="66">
        <f t="shared" ref="H3:H25" si="1">F3*G3*10000</f>
        <v>0</v>
      </c>
      <c r="J3" s="36">
        <f>IF(F2&lt;1,(J10*10000)*(C30-C2),(J10*10000)*(C30-G2))</f>
        <v>945.4545454545447</v>
      </c>
      <c r="L3" s="12" t="s">
        <v>15</v>
      </c>
      <c r="M3" s="55">
        <v>37043</v>
      </c>
      <c r="N3" s="54">
        <v>30</v>
      </c>
      <c r="O3" s="53">
        <f>N3*O$1</f>
        <v>60</v>
      </c>
      <c r="P3" s="53">
        <f>N3*P$1</f>
        <v>45</v>
      </c>
      <c r="Q3" s="53">
        <f>N3*Q$1</f>
        <v>30</v>
      </c>
      <c r="R3" s="53">
        <f>N3*R$1</f>
        <v>15</v>
      </c>
    </row>
    <row r="4" spans="1:18" x14ac:dyDescent="0.2">
      <c r="B4" s="8">
        <v>2</v>
      </c>
      <c r="C4" s="3">
        <v>3.37</v>
      </c>
      <c r="D4" s="4">
        <f t="shared" si="0"/>
        <v>67400</v>
      </c>
      <c r="E4" s="5"/>
      <c r="F4" s="9"/>
      <c r="G4" s="3"/>
      <c r="H4" s="10">
        <f t="shared" si="1"/>
        <v>0</v>
      </c>
      <c r="J4" s="23">
        <f>F37</f>
        <v>300.0000000000025</v>
      </c>
      <c r="K4" s="11"/>
      <c r="L4" s="5" t="s">
        <v>18</v>
      </c>
      <c r="M4" s="55">
        <v>37044</v>
      </c>
      <c r="N4" s="54">
        <v>29</v>
      </c>
      <c r="O4" s="53">
        <f t="shared" ref="O4:O32" si="2">N4*O$1</f>
        <v>58</v>
      </c>
      <c r="P4" s="53">
        <f t="shared" ref="P4:P32" si="3">N4*P$1</f>
        <v>43.5</v>
      </c>
      <c r="Q4" s="53">
        <f t="shared" ref="Q4:Q32" si="4">N4*Q$1</f>
        <v>29</v>
      </c>
      <c r="R4" s="53">
        <f t="shared" ref="R4:R32" si="5">N4*R$1</f>
        <v>14.5</v>
      </c>
    </row>
    <row r="5" spans="1:18" x14ac:dyDescent="0.2">
      <c r="B5" s="8"/>
      <c r="C5" s="3"/>
      <c r="D5" s="4">
        <f t="shared" si="0"/>
        <v>0</v>
      </c>
      <c r="E5" s="5"/>
      <c r="F5" s="9"/>
      <c r="G5" s="3"/>
      <c r="H5" s="10">
        <f t="shared" si="1"/>
        <v>0</v>
      </c>
      <c r="J5" s="11"/>
      <c r="K5" s="14"/>
      <c r="L5" s="5"/>
      <c r="M5" s="55">
        <v>37045</v>
      </c>
      <c r="N5" s="54">
        <v>28</v>
      </c>
      <c r="O5" s="53">
        <f t="shared" si="2"/>
        <v>56</v>
      </c>
      <c r="P5" s="53">
        <f t="shared" si="3"/>
        <v>42</v>
      </c>
      <c r="Q5" s="53">
        <f t="shared" si="4"/>
        <v>28</v>
      </c>
      <c r="R5" s="53">
        <f t="shared" si="5"/>
        <v>14</v>
      </c>
    </row>
    <row r="6" spans="1:18" ht="12" thickBot="1" x14ac:dyDescent="0.25">
      <c r="B6" s="8"/>
      <c r="C6" s="3"/>
      <c r="D6" s="4">
        <f t="shared" si="0"/>
        <v>0</v>
      </c>
      <c r="E6" s="5"/>
      <c r="F6" s="9"/>
      <c r="G6" s="3"/>
      <c r="H6" s="10">
        <f t="shared" si="1"/>
        <v>0</v>
      </c>
      <c r="J6" s="42">
        <f>J2+J4</f>
        <v>9299.9999999999691</v>
      </c>
      <c r="K6" s="14"/>
      <c r="L6" s="5" t="s">
        <v>19</v>
      </c>
      <c r="M6" s="55">
        <v>37046</v>
      </c>
      <c r="N6" s="54">
        <v>27</v>
      </c>
      <c r="O6" s="53">
        <f t="shared" si="2"/>
        <v>54</v>
      </c>
      <c r="P6" s="53">
        <f t="shared" si="3"/>
        <v>40.5</v>
      </c>
      <c r="Q6" s="53">
        <f t="shared" si="4"/>
        <v>27</v>
      </c>
      <c r="R6" s="53">
        <f t="shared" si="5"/>
        <v>13.5</v>
      </c>
    </row>
    <row r="7" spans="1:18" ht="12" thickTop="1" x14ac:dyDescent="0.2">
      <c r="B7" s="8"/>
      <c r="C7" s="3"/>
      <c r="D7" s="4">
        <f t="shared" si="0"/>
        <v>0</v>
      </c>
      <c r="E7" s="5"/>
      <c r="F7" s="9"/>
      <c r="G7" s="3"/>
      <c r="H7" s="10">
        <f t="shared" si="1"/>
        <v>0</v>
      </c>
      <c r="J7" s="11"/>
      <c r="M7" s="55">
        <v>37047</v>
      </c>
      <c r="N7" s="54">
        <v>26</v>
      </c>
      <c r="O7" s="53">
        <f t="shared" si="2"/>
        <v>52</v>
      </c>
      <c r="P7" s="53">
        <f t="shared" si="3"/>
        <v>39</v>
      </c>
      <c r="Q7" s="53">
        <f t="shared" si="4"/>
        <v>26</v>
      </c>
      <c r="R7" s="53">
        <f t="shared" si="5"/>
        <v>13</v>
      </c>
    </row>
    <row r="8" spans="1:18" x14ac:dyDescent="0.2">
      <c r="B8" s="9"/>
      <c r="C8" s="3"/>
      <c r="D8" s="4">
        <f t="shared" si="0"/>
        <v>0</v>
      </c>
      <c r="E8" s="5"/>
      <c r="F8" s="9"/>
      <c r="G8" s="3"/>
      <c r="H8" s="10">
        <f>F8*G8*10000</f>
        <v>0</v>
      </c>
      <c r="J8" s="11"/>
      <c r="L8" s="5"/>
      <c r="M8" s="55">
        <v>37048</v>
      </c>
      <c r="N8" s="54">
        <v>25</v>
      </c>
      <c r="O8" s="53">
        <f t="shared" si="2"/>
        <v>50</v>
      </c>
      <c r="P8" s="53">
        <f t="shared" si="3"/>
        <v>37.5</v>
      </c>
      <c r="Q8" s="53">
        <f t="shared" si="4"/>
        <v>25</v>
      </c>
      <c r="R8" s="53">
        <f t="shared" si="5"/>
        <v>12.5</v>
      </c>
    </row>
    <row r="9" spans="1:18" x14ac:dyDescent="0.2">
      <c r="B9" s="9"/>
      <c r="C9" s="3"/>
      <c r="D9" s="4">
        <f t="shared" si="0"/>
        <v>0</v>
      </c>
      <c r="E9" s="5"/>
      <c r="F9" s="9"/>
      <c r="G9" s="3"/>
      <c r="H9" s="10">
        <f t="shared" si="1"/>
        <v>0</v>
      </c>
      <c r="J9" s="39">
        <f>F30-B2+F2</f>
        <v>16</v>
      </c>
      <c r="L9" s="6" t="s">
        <v>8</v>
      </c>
      <c r="M9" s="55">
        <v>37049</v>
      </c>
      <c r="N9" s="54">
        <v>24</v>
      </c>
      <c r="O9" s="53">
        <f t="shared" si="2"/>
        <v>48</v>
      </c>
      <c r="P9" s="53">
        <f t="shared" si="3"/>
        <v>36</v>
      </c>
      <c r="Q9" s="53">
        <f t="shared" si="4"/>
        <v>24</v>
      </c>
      <c r="R9" s="53">
        <f t="shared" si="5"/>
        <v>12</v>
      </c>
    </row>
    <row r="10" spans="1:18" x14ac:dyDescent="0.2">
      <c r="B10" s="9"/>
      <c r="C10" s="3"/>
      <c r="D10" s="4">
        <f t="shared" si="0"/>
        <v>0</v>
      </c>
      <c r="E10" s="5"/>
      <c r="F10" s="9"/>
      <c r="G10" s="3"/>
      <c r="H10" s="10">
        <f t="shared" si="1"/>
        <v>0</v>
      </c>
      <c r="J10" s="40">
        <f>IF($F$2&lt;1,($J$9/$A$3),$J$9/$A$3)</f>
        <v>1.4545454545454546</v>
      </c>
      <c r="L10" s="6" t="s">
        <v>20</v>
      </c>
      <c r="M10" s="55">
        <v>37050</v>
      </c>
      <c r="N10" s="54">
        <v>23</v>
      </c>
      <c r="O10" s="53">
        <f t="shared" si="2"/>
        <v>46</v>
      </c>
      <c r="P10" s="53">
        <f t="shared" si="3"/>
        <v>34.5</v>
      </c>
      <c r="Q10" s="53">
        <f t="shared" si="4"/>
        <v>23</v>
      </c>
      <c r="R10" s="53">
        <f t="shared" si="5"/>
        <v>11.5</v>
      </c>
    </row>
    <row r="11" spans="1:18" x14ac:dyDescent="0.2">
      <c r="B11" s="9"/>
      <c r="C11" s="3"/>
      <c r="D11" s="4">
        <f t="shared" si="0"/>
        <v>0</v>
      </c>
      <c r="E11" s="5"/>
      <c r="F11" s="9"/>
      <c r="G11" s="3"/>
      <c r="H11" s="10">
        <f t="shared" si="1"/>
        <v>0</v>
      </c>
      <c r="J11" s="41">
        <f>J9</f>
        <v>16</v>
      </c>
      <c r="L11" s="6" t="s">
        <v>21</v>
      </c>
      <c r="M11" s="55">
        <v>37051</v>
      </c>
      <c r="N11" s="54">
        <v>22</v>
      </c>
      <c r="O11" s="53">
        <f t="shared" si="2"/>
        <v>44</v>
      </c>
      <c r="P11" s="53">
        <f t="shared" si="3"/>
        <v>33</v>
      </c>
      <c r="Q11" s="53">
        <f t="shared" si="4"/>
        <v>22</v>
      </c>
      <c r="R11" s="53">
        <f t="shared" si="5"/>
        <v>11</v>
      </c>
    </row>
    <row r="12" spans="1:18" x14ac:dyDescent="0.2">
      <c r="B12" s="9"/>
      <c r="C12" s="3"/>
      <c r="D12" s="4">
        <f t="shared" si="0"/>
        <v>0</v>
      </c>
      <c r="E12" s="5"/>
      <c r="F12" s="9"/>
      <c r="G12" s="3"/>
      <c r="H12" s="10">
        <f t="shared" si="1"/>
        <v>0</v>
      </c>
      <c r="J12" s="37"/>
      <c r="M12" s="55">
        <v>37052</v>
      </c>
      <c r="N12" s="54">
        <v>21</v>
      </c>
      <c r="O12" s="53">
        <f t="shared" si="2"/>
        <v>42</v>
      </c>
      <c r="P12" s="53">
        <f t="shared" si="3"/>
        <v>31.5</v>
      </c>
      <c r="Q12" s="53">
        <f t="shared" si="4"/>
        <v>21</v>
      </c>
      <c r="R12" s="53">
        <f t="shared" si="5"/>
        <v>10.5</v>
      </c>
    </row>
    <row r="13" spans="1:18" x14ac:dyDescent="0.2">
      <c r="B13" s="9"/>
      <c r="C13" s="3"/>
      <c r="D13" s="4">
        <f t="shared" si="0"/>
        <v>0</v>
      </c>
      <c r="E13" s="5"/>
      <c r="F13" s="9"/>
      <c r="G13" s="3"/>
      <c r="H13" s="10">
        <f t="shared" si="1"/>
        <v>0</v>
      </c>
      <c r="J13" s="37">
        <f>J10*3</f>
        <v>4.3636363636363633</v>
      </c>
      <c r="L13" s="6" t="s">
        <v>25</v>
      </c>
      <c r="M13" s="55">
        <v>37053</v>
      </c>
      <c r="N13" s="54">
        <v>20</v>
      </c>
      <c r="O13" s="53">
        <f t="shared" si="2"/>
        <v>40</v>
      </c>
      <c r="P13" s="53">
        <f t="shared" si="3"/>
        <v>30</v>
      </c>
      <c r="Q13" s="53">
        <f t="shared" si="4"/>
        <v>20</v>
      </c>
      <c r="R13" s="53">
        <f t="shared" si="5"/>
        <v>10</v>
      </c>
    </row>
    <row r="14" spans="1:18" x14ac:dyDescent="0.2">
      <c r="B14" s="9"/>
      <c r="C14" s="3"/>
      <c r="D14" s="4">
        <f t="shared" si="0"/>
        <v>0</v>
      </c>
      <c r="E14" s="5"/>
      <c r="F14" s="9"/>
      <c r="G14" s="3"/>
      <c r="H14" s="10">
        <f t="shared" si="1"/>
        <v>0</v>
      </c>
      <c r="J14" s="37"/>
      <c r="M14" s="55">
        <v>37054</v>
      </c>
      <c r="N14" s="54">
        <v>19</v>
      </c>
      <c r="O14" s="53">
        <f t="shared" si="2"/>
        <v>38</v>
      </c>
      <c r="P14" s="53">
        <f t="shared" si="3"/>
        <v>28.5</v>
      </c>
      <c r="Q14" s="53">
        <f t="shared" si="4"/>
        <v>19</v>
      </c>
      <c r="R14" s="53">
        <f t="shared" si="5"/>
        <v>9.5</v>
      </c>
    </row>
    <row r="15" spans="1:18" x14ac:dyDescent="0.2">
      <c r="B15" s="9"/>
      <c r="C15" s="3"/>
      <c r="D15" s="4">
        <f t="shared" si="0"/>
        <v>0</v>
      </c>
      <c r="E15" s="5"/>
      <c r="F15" s="9"/>
      <c r="G15" s="3"/>
      <c r="H15" s="10">
        <f t="shared" si="1"/>
        <v>0</v>
      </c>
      <c r="J15" s="37"/>
      <c r="M15" s="55">
        <v>37055</v>
      </c>
      <c r="N15" s="54">
        <v>18</v>
      </c>
      <c r="O15" s="53">
        <f t="shared" si="2"/>
        <v>36</v>
      </c>
      <c r="P15" s="53">
        <f t="shared" si="3"/>
        <v>27</v>
      </c>
      <c r="Q15" s="53">
        <f t="shared" si="4"/>
        <v>18</v>
      </c>
      <c r="R15" s="53">
        <f t="shared" si="5"/>
        <v>9</v>
      </c>
    </row>
    <row r="16" spans="1:18" x14ac:dyDescent="0.2">
      <c r="B16" s="9"/>
      <c r="C16" s="3"/>
      <c r="D16" s="4">
        <f t="shared" si="0"/>
        <v>0</v>
      </c>
      <c r="E16" s="5"/>
      <c r="F16" s="9"/>
      <c r="G16" s="3"/>
      <c r="H16" s="10">
        <f t="shared" si="1"/>
        <v>0</v>
      </c>
      <c r="J16" s="37"/>
      <c r="M16" s="55">
        <v>37056</v>
      </c>
      <c r="N16" s="54">
        <v>17</v>
      </c>
      <c r="O16" s="53">
        <f t="shared" si="2"/>
        <v>34</v>
      </c>
      <c r="P16" s="53">
        <f t="shared" si="3"/>
        <v>25.5</v>
      </c>
      <c r="Q16" s="53">
        <f t="shared" si="4"/>
        <v>17</v>
      </c>
      <c r="R16" s="53">
        <f t="shared" si="5"/>
        <v>8.5</v>
      </c>
    </row>
    <row r="17" spans="2:18" x14ac:dyDescent="0.2">
      <c r="B17" s="9"/>
      <c r="C17" s="3"/>
      <c r="D17" s="4">
        <f t="shared" si="0"/>
        <v>0</v>
      </c>
      <c r="E17" s="5"/>
      <c r="F17" s="9"/>
      <c r="G17" s="3"/>
      <c r="H17" s="10">
        <f t="shared" si="1"/>
        <v>0</v>
      </c>
      <c r="J17" s="37"/>
      <c r="M17" s="55">
        <v>37057</v>
      </c>
      <c r="N17" s="54">
        <v>16</v>
      </c>
      <c r="O17" s="53">
        <f t="shared" si="2"/>
        <v>32</v>
      </c>
      <c r="P17" s="53">
        <f t="shared" si="3"/>
        <v>24</v>
      </c>
      <c r="Q17" s="53">
        <f t="shared" si="4"/>
        <v>16</v>
      </c>
      <c r="R17" s="53">
        <f t="shared" si="5"/>
        <v>8</v>
      </c>
    </row>
    <row r="18" spans="2:18" x14ac:dyDescent="0.2">
      <c r="B18" s="9"/>
      <c r="C18" s="3"/>
      <c r="D18" s="4">
        <f t="shared" si="0"/>
        <v>0</v>
      </c>
      <c r="E18" s="5"/>
      <c r="F18" s="9"/>
      <c r="G18" s="3"/>
      <c r="H18" s="10">
        <f t="shared" si="1"/>
        <v>0</v>
      </c>
      <c r="J18" s="37"/>
      <c r="L18" s="6">
        <f>28*1.5</f>
        <v>42</v>
      </c>
      <c r="M18" s="55">
        <v>37058</v>
      </c>
      <c r="N18" s="54">
        <v>15</v>
      </c>
      <c r="O18" s="53">
        <f t="shared" si="2"/>
        <v>30</v>
      </c>
      <c r="P18" s="53">
        <f t="shared" si="3"/>
        <v>22.5</v>
      </c>
      <c r="Q18" s="53">
        <f t="shared" si="4"/>
        <v>15</v>
      </c>
      <c r="R18" s="53">
        <f t="shared" si="5"/>
        <v>7.5</v>
      </c>
    </row>
    <row r="19" spans="2:18" x14ac:dyDescent="0.2">
      <c r="B19" s="9"/>
      <c r="C19" s="3"/>
      <c r="D19" s="4">
        <f t="shared" si="0"/>
        <v>0</v>
      </c>
      <c r="E19" s="5"/>
      <c r="F19" s="9"/>
      <c r="G19" s="3"/>
      <c r="H19" s="10">
        <f t="shared" si="1"/>
        <v>0</v>
      </c>
      <c r="J19" s="37"/>
      <c r="M19" s="55">
        <v>37059</v>
      </c>
      <c r="N19" s="54">
        <v>14</v>
      </c>
      <c r="O19" s="53">
        <f t="shared" si="2"/>
        <v>28</v>
      </c>
      <c r="P19" s="53">
        <f t="shared" si="3"/>
        <v>21</v>
      </c>
      <c r="Q19" s="53">
        <f t="shared" si="4"/>
        <v>14</v>
      </c>
      <c r="R19" s="53">
        <f t="shared" si="5"/>
        <v>7</v>
      </c>
    </row>
    <row r="20" spans="2:18" x14ac:dyDescent="0.2">
      <c r="B20" s="9"/>
      <c r="C20" s="3"/>
      <c r="D20" s="4">
        <f t="shared" si="0"/>
        <v>0</v>
      </c>
      <c r="E20" s="5"/>
      <c r="F20" s="9"/>
      <c r="G20" s="3"/>
      <c r="H20" s="10">
        <f t="shared" si="1"/>
        <v>0</v>
      </c>
      <c r="J20" s="37"/>
      <c r="L20" s="6">
        <f>1.5*21</f>
        <v>31.5</v>
      </c>
      <c r="M20" s="55">
        <v>37060</v>
      </c>
      <c r="N20" s="54">
        <v>13</v>
      </c>
      <c r="O20" s="53">
        <f t="shared" si="2"/>
        <v>26</v>
      </c>
      <c r="P20" s="53">
        <f t="shared" si="3"/>
        <v>19.5</v>
      </c>
      <c r="Q20" s="53">
        <f t="shared" si="4"/>
        <v>13</v>
      </c>
      <c r="R20" s="53">
        <f t="shared" si="5"/>
        <v>6.5</v>
      </c>
    </row>
    <row r="21" spans="2:18" x14ac:dyDescent="0.2">
      <c r="B21" s="9"/>
      <c r="C21" s="3"/>
      <c r="D21" s="4">
        <f t="shared" si="0"/>
        <v>0</v>
      </c>
      <c r="E21" s="5"/>
      <c r="F21" s="9"/>
      <c r="G21" s="3"/>
      <c r="H21" s="10">
        <f t="shared" si="1"/>
        <v>0</v>
      </c>
      <c r="J21" s="37"/>
      <c r="M21" s="55">
        <v>37061</v>
      </c>
      <c r="N21" s="54">
        <v>12</v>
      </c>
      <c r="O21" s="53">
        <f t="shared" si="2"/>
        <v>24</v>
      </c>
      <c r="P21" s="53">
        <f t="shared" si="3"/>
        <v>18</v>
      </c>
      <c r="Q21" s="53">
        <f t="shared" si="4"/>
        <v>12</v>
      </c>
      <c r="R21" s="53">
        <f t="shared" si="5"/>
        <v>6</v>
      </c>
    </row>
    <row r="22" spans="2:18" x14ac:dyDescent="0.2">
      <c r="B22" s="9"/>
      <c r="C22" s="3"/>
      <c r="D22" s="4">
        <f t="shared" si="0"/>
        <v>0</v>
      </c>
      <c r="E22" s="5"/>
      <c r="F22" s="9"/>
      <c r="G22" s="3"/>
      <c r="H22" s="10">
        <f t="shared" si="1"/>
        <v>0</v>
      </c>
      <c r="J22" s="37"/>
      <c r="M22" s="55">
        <v>37062</v>
      </c>
      <c r="N22" s="54">
        <v>11</v>
      </c>
      <c r="O22" s="53">
        <f t="shared" si="2"/>
        <v>22</v>
      </c>
      <c r="P22" s="53">
        <f t="shared" si="3"/>
        <v>16.5</v>
      </c>
      <c r="Q22" s="53">
        <f t="shared" si="4"/>
        <v>11</v>
      </c>
      <c r="R22" s="53">
        <f t="shared" si="5"/>
        <v>5.5</v>
      </c>
    </row>
    <row r="23" spans="2:18" x14ac:dyDescent="0.2">
      <c r="B23" s="9"/>
      <c r="C23" s="3"/>
      <c r="D23" s="4">
        <f t="shared" si="0"/>
        <v>0</v>
      </c>
      <c r="E23" s="5"/>
      <c r="F23" s="9"/>
      <c r="G23" s="3"/>
      <c r="H23" s="10">
        <f t="shared" si="1"/>
        <v>0</v>
      </c>
      <c r="J23" s="37"/>
      <c r="M23" s="55">
        <v>37063</v>
      </c>
      <c r="N23" s="54">
        <v>10</v>
      </c>
      <c r="O23" s="53">
        <f t="shared" si="2"/>
        <v>20</v>
      </c>
      <c r="P23" s="53">
        <f t="shared" si="3"/>
        <v>15</v>
      </c>
      <c r="Q23" s="53">
        <f t="shared" si="4"/>
        <v>10</v>
      </c>
      <c r="R23" s="53">
        <f t="shared" si="5"/>
        <v>5</v>
      </c>
    </row>
    <row r="24" spans="2:18" x14ac:dyDescent="0.2">
      <c r="B24" s="9"/>
      <c r="C24" s="3"/>
      <c r="D24" s="4">
        <f t="shared" si="0"/>
        <v>0</v>
      </c>
      <c r="E24" s="5"/>
      <c r="F24" s="9"/>
      <c r="G24" s="3"/>
      <c r="H24" s="10">
        <f t="shared" si="1"/>
        <v>0</v>
      </c>
      <c r="J24" s="37"/>
      <c r="L24" s="6">
        <f>1.5*21</f>
        <v>31.5</v>
      </c>
      <c r="M24" s="55">
        <v>37064</v>
      </c>
      <c r="N24" s="54">
        <v>9</v>
      </c>
      <c r="O24" s="53">
        <f t="shared" si="2"/>
        <v>18</v>
      </c>
      <c r="P24" s="53">
        <f t="shared" si="3"/>
        <v>13.5</v>
      </c>
      <c r="Q24" s="53">
        <f t="shared" si="4"/>
        <v>9</v>
      </c>
      <c r="R24" s="53">
        <f t="shared" si="5"/>
        <v>4.5</v>
      </c>
    </row>
    <row r="25" spans="2:18" x14ac:dyDescent="0.2">
      <c r="B25" s="9"/>
      <c r="C25" s="3"/>
      <c r="D25" s="4">
        <f t="shared" si="0"/>
        <v>0</v>
      </c>
      <c r="E25" s="5"/>
      <c r="F25" s="9"/>
      <c r="G25" s="3"/>
      <c r="H25" s="10">
        <f t="shared" si="1"/>
        <v>0</v>
      </c>
      <c r="J25" s="37"/>
      <c r="M25" s="55">
        <v>37065</v>
      </c>
      <c r="N25" s="54">
        <v>8</v>
      </c>
      <c r="O25" s="53">
        <f t="shared" si="2"/>
        <v>16</v>
      </c>
      <c r="P25" s="53">
        <f t="shared" si="3"/>
        <v>12</v>
      </c>
      <c r="Q25" s="53">
        <f t="shared" si="4"/>
        <v>8</v>
      </c>
      <c r="R25" s="53">
        <f t="shared" si="5"/>
        <v>4</v>
      </c>
    </row>
    <row r="26" spans="2:18" x14ac:dyDescent="0.2">
      <c r="F26" s="15"/>
      <c r="H26" s="17"/>
      <c r="J26" s="38"/>
      <c r="K26" s="29"/>
      <c r="L26" s="29">
        <f>1.5*13</f>
        <v>19.5</v>
      </c>
      <c r="M26" s="55">
        <v>37066</v>
      </c>
      <c r="N26" s="54">
        <v>7</v>
      </c>
      <c r="O26" s="53">
        <f t="shared" si="2"/>
        <v>14</v>
      </c>
      <c r="P26" s="53">
        <f t="shared" si="3"/>
        <v>10.5</v>
      </c>
      <c r="Q26" s="53">
        <f t="shared" si="4"/>
        <v>7</v>
      </c>
      <c r="R26" s="53">
        <f t="shared" si="5"/>
        <v>3.5</v>
      </c>
    </row>
    <row r="27" spans="2:18" x14ac:dyDescent="0.2">
      <c r="B27" s="9">
        <f>SUM(B3:B26)</f>
        <v>2</v>
      </c>
      <c r="C27" s="18">
        <f>IF(B27=0, 0, D27/B27/10000)</f>
        <v>3.37</v>
      </c>
      <c r="D27" s="4">
        <f>SUM(D2:D26)</f>
        <v>67400</v>
      </c>
      <c r="F27" s="9">
        <f>SUM(F3:F26)</f>
        <v>0</v>
      </c>
      <c r="G27" s="3">
        <f>IF(F27=0, 0, H27/F27/10000)</f>
        <v>0</v>
      </c>
      <c r="H27" s="10">
        <f>SUM(H2:H26)</f>
        <v>0</v>
      </c>
      <c r="J27" s="28"/>
      <c r="K27" s="29"/>
      <c r="L27" s="29"/>
      <c r="M27" s="55">
        <v>37067</v>
      </c>
      <c r="N27" s="54">
        <v>6</v>
      </c>
      <c r="O27" s="53">
        <f t="shared" si="2"/>
        <v>12</v>
      </c>
      <c r="P27" s="53">
        <f t="shared" si="3"/>
        <v>9</v>
      </c>
      <c r="Q27" s="53">
        <f t="shared" si="4"/>
        <v>6</v>
      </c>
      <c r="R27" s="53">
        <f t="shared" si="5"/>
        <v>3</v>
      </c>
    </row>
    <row r="28" spans="2:18" x14ac:dyDescent="0.2">
      <c r="J28" s="28"/>
      <c r="K28" s="29"/>
      <c r="L28" s="29"/>
      <c r="M28" s="55">
        <v>37068</v>
      </c>
      <c r="N28" s="54">
        <v>5</v>
      </c>
      <c r="O28" s="53">
        <f t="shared" si="2"/>
        <v>10</v>
      </c>
      <c r="P28" s="53">
        <f t="shared" si="3"/>
        <v>7.5</v>
      </c>
      <c r="Q28" s="53">
        <f t="shared" si="4"/>
        <v>5</v>
      </c>
      <c r="R28" s="53">
        <f t="shared" si="5"/>
        <v>2.5</v>
      </c>
    </row>
    <row r="29" spans="2:18" x14ac:dyDescent="0.2">
      <c r="F29" s="20">
        <f>-B27+F27</f>
        <v>-2</v>
      </c>
      <c r="G29" s="6">
        <f>IF(F29&lt;0,C27,G27)</f>
        <v>3.37</v>
      </c>
      <c r="H29" s="21">
        <f>IF(F29&lt;0, (G29-C31)*ABS(F29)*10000, -1*(G29-C31)*ABS(F29)*10000)</f>
        <v>300.0000000000025</v>
      </c>
      <c r="J29" s="28"/>
      <c r="K29" s="29"/>
      <c r="L29" s="29"/>
      <c r="M29" s="55">
        <v>37069</v>
      </c>
      <c r="N29" s="54">
        <v>4</v>
      </c>
      <c r="O29" s="53">
        <f t="shared" si="2"/>
        <v>8</v>
      </c>
      <c r="P29" s="53">
        <f t="shared" si="3"/>
        <v>6</v>
      </c>
      <c r="Q29" s="53">
        <f t="shared" si="4"/>
        <v>4</v>
      </c>
      <c r="R29" s="53">
        <f t="shared" si="5"/>
        <v>2</v>
      </c>
    </row>
    <row r="30" spans="2:18" ht="12.75" x14ac:dyDescent="0.2">
      <c r="C30" s="6">
        <f>POSTION!I11</f>
        <v>3.37</v>
      </c>
      <c r="D30" s="16" t="s">
        <v>12</v>
      </c>
      <c r="F30" s="22">
        <f>-B27+F27</f>
        <v>-2</v>
      </c>
      <c r="G30" s="6">
        <f>IF(F30&lt;0, (C27+(J26/(ABS(F30)*10000))), IF(F30 = 0, 0, (G27-(J26/(ABS(F30)*10000)))))</f>
        <v>3.37</v>
      </c>
      <c r="H30" s="21">
        <f>IF(F30&lt;0, (G30-C31)*ABS(F30)*10000, IF(F30 = 0, 0, -1*(G30-C31)*ABS(F30)*10000))</f>
        <v>300.0000000000025</v>
      </c>
      <c r="J30" s="28"/>
      <c r="K30" s="29"/>
      <c r="L30" s="82">
        <f>POSTION!D18</f>
        <v>60.699999999999989</v>
      </c>
      <c r="M30" s="55">
        <v>37070</v>
      </c>
      <c r="N30" s="54">
        <v>3</v>
      </c>
      <c r="O30" s="53">
        <f t="shared" si="2"/>
        <v>6</v>
      </c>
      <c r="P30" s="53">
        <f t="shared" si="3"/>
        <v>4.5</v>
      </c>
      <c r="Q30" s="53">
        <f t="shared" si="4"/>
        <v>3</v>
      </c>
      <c r="R30" s="53">
        <f t="shared" si="5"/>
        <v>1.5</v>
      </c>
    </row>
    <row r="31" spans="2:18" x14ac:dyDescent="0.2">
      <c r="C31" s="6">
        <f>POSTION!B11</f>
        <v>3.355</v>
      </c>
      <c r="D31" s="16" t="s">
        <v>11</v>
      </c>
      <c r="J31" s="30"/>
      <c r="K31" s="31"/>
      <c r="L31" s="31"/>
      <c r="M31" s="55">
        <v>37071</v>
      </c>
      <c r="N31" s="54">
        <v>2</v>
      </c>
      <c r="O31" s="53">
        <f t="shared" si="2"/>
        <v>4</v>
      </c>
      <c r="P31" s="53">
        <f t="shared" si="3"/>
        <v>3</v>
      </c>
      <c r="Q31" s="53">
        <f t="shared" si="4"/>
        <v>2</v>
      </c>
      <c r="R31" s="53">
        <f t="shared" si="5"/>
        <v>1</v>
      </c>
    </row>
    <row r="32" spans="2:18" x14ac:dyDescent="0.2">
      <c r="F32" s="19">
        <f>MIN($B$27,$F$27)*($C$27-$G$27)*10000</f>
        <v>0</v>
      </c>
      <c r="G32" s="1"/>
      <c r="H32" s="1" t="s">
        <v>0</v>
      </c>
      <c r="M32" s="55">
        <v>37072</v>
      </c>
      <c r="N32" s="54">
        <v>1</v>
      </c>
      <c r="O32" s="53">
        <f t="shared" si="2"/>
        <v>2</v>
      </c>
      <c r="P32" s="53">
        <f t="shared" si="3"/>
        <v>1.5</v>
      </c>
      <c r="Q32" s="53">
        <f t="shared" si="4"/>
        <v>1</v>
      </c>
      <c r="R32" s="53">
        <f t="shared" si="5"/>
        <v>0.5</v>
      </c>
    </row>
    <row r="33" spans="1:14" x14ac:dyDescent="0.2">
      <c r="F33" s="19"/>
      <c r="G33" s="1"/>
      <c r="H33" s="1"/>
      <c r="M33" s="7"/>
      <c r="N33" s="5"/>
    </row>
    <row r="34" spans="1:14" x14ac:dyDescent="0.2">
      <c r="F34" s="19">
        <f>$H$29</f>
        <v>300.0000000000025</v>
      </c>
      <c r="G34" s="1"/>
      <c r="H34" s="1" t="s">
        <v>1</v>
      </c>
      <c r="M34" s="7"/>
    </row>
    <row r="35" spans="1:14" x14ac:dyDescent="0.2">
      <c r="A35" s="7"/>
      <c r="B35" s="26"/>
      <c r="F35" s="23">
        <f>$H$30</f>
        <v>300.0000000000025</v>
      </c>
      <c r="G35" s="2"/>
      <c r="H35" s="2" t="s">
        <v>2</v>
      </c>
      <c r="M35" s="7"/>
    </row>
    <row r="36" spans="1:14" x14ac:dyDescent="0.2">
      <c r="B36" s="26"/>
      <c r="F36" s="13"/>
      <c r="H36" s="6"/>
      <c r="M36" s="7"/>
    </row>
    <row r="37" spans="1:14" x14ac:dyDescent="0.2">
      <c r="B37" s="26"/>
      <c r="F37" s="24">
        <f>F32+F34</f>
        <v>300.0000000000025</v>
      </c>
      <c r="G37" s="25"/>
      <c r="H37" s="25" t="s">
        <v>3</v>
      </c>
    </row>
    <row r="38" spans="1:14" x14ac:dyDescent="0.2">
      <c r="B38" s="26"/>
    </row>
    <row r="39" spans="1:14" x14ac:dyDescent="0.2">
      <c r="B39" s="20"/>
    </row>
    <row r="42" spans="1:14" x14ac:dyDescent="0.2">
      <c r="B42" s="20"/>
    </row>
  </sheetData>
  <phoneticPr fontId="0" type="noConversion"/>
  <pageMargins left="0.75" right="0.75" top="1" bottom="1" header="0.5" footer="0.5"/>
  <pageSetup orientation="portrait" horizontalDpi="4294967294"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2" sqref="B2:C2"/>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c r="C2" s="27"/>
      <c r="D2" s="32"/>
      <c r="E2" s="5"/>
      <c r="F2" s="33">
        <v>0</v>
      </c>
      <c r="G2" s="27">
        <v>0</v>
      </c>
      <c r="H2" s="34"/>
      <c r="J2" s="35">
        <f>IF(F2&lt;1,(C2-C31)*(B2*10000),(C31-G2)*(F2*10000))</f>
        <v>0</v>
      </c>
      <c r="L2" s="7" t="s">
        <v>13</v>
      </c>
    </row>
    <row r="3" spans="1:12" x14ac:dyDescent="0.2">
      <c r="A3" s="6">
        <f>POSTION!$E$20</f>
        <v>11</v>
      </c>
      <c r="B3" s="63"/>
      <c r="C3" s="2"/>
      <c r="D3" s="64">
        <f t="shared" ref="D3:D25" si="0">B3*C3*10000</f>
        <v>0</v>
      </c>
      <c r="E3" s="5"/>
      <c r="F3" s="65"/>
      <c r="G3" s="2"/>
      <c r="H3" s="66">
        <f t="shared" ref="H3:H25" si="1">F3*G3*10000</f>
        <v>0</v>
      </c>
      <c r="J3" s="36">
        <f>IF(F2&lt;1,(J10*10000)*(C30-C2),(J10*10000)*(C30-G2))</f>
        <v>0</v>
      </c>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2" thickBot="1" x14ac:dyDescent="0.25">
      <c r="B6" s="8"/>
      <c r="C6" s="3"/>
      <c r="D6" s="4">
        <f t="shared" si="0"/>
        <v>0</v>
      </c>
      <c r="E6" s="5"/>
      <c r="F6" s="9"/>
      <c r="G6" s="3"/>
      <c r="H6" s="10">
        <f t="shared" si="1"/>
        <v>0</v>
      </c>
      <c r="J6" s="42">
        <f>J2+J4</f>
        <v>0</v>
      </c>
      <c r="K6" s="14"/>
      <c r="L6" s="5" t="s">
        <v>19</v>
      </c>
    </row>
    <row r="7" spans="1:12" ht="12" thickTop="1" x14ac:dyDescent="0.2">
      <c r="B7" s="8"/>
      <c r="C7" s="3"/>
      <c r="D7" s="4">
        <f t="shared" si="0"/>
        <v>0</v>
      </c>
      <c r="E7" s="5"/>
      <c r="F7" s="9"/>
      <c r="G7" s="3"/>
      <c r="H7" s="10">
        <f t="shared" si="1"/>
        <v>0</v>
      </c>
      <c r="J7" s="11"/>
    </row>
    <row r="8" spans="1:12" x14ac:dyDescent="0.2">
      <c r="B8" s="9"/>
      <c r="C8" s="3"/>
      <c r="D8" s="4">
        <f t="shared" si="0"/>
        <v>0</v>
      </c>
      <c r="E8" s="5"/>
      <c r="F8" s="9"/>
      <c r="G8" s="3"/>
      <c r="H8" s="10">
        <f>F8*G8*10000</f>
        <v>0</v>
      </c>
      <c r="J8" s="11"/>
      <c r="L8" s="5"/>
    </row>
    <row r="9" spans="1:12" x14ac:dyDescent="0.2">
      <c r="B9" s="9"/>
      <c r="C9" s="3"/>
      <c r="D9" s="4">
        <f t="shared" si="0"/>
        <v>0</v>
      </c>
      <c r="E9" s="5"/>
      <c r="F9" s="9"/>
      <c r="G9" s="3"/>
      <c r="H9" s="10">
        <f t="shared" si="1"/>
        <v>0</v>
      </c>
      <c r="J9" s="39">
        <f>F30-B2+F2</f>
        <v>0</v>
      </c>
      <c r="L9" s="6" t="s">
        <v>8</v>
      </c>
    </row>
    <row r="10" spans="1:12" x14ac:dyDescent="0.2">
      <c r="B10" s="9"/>
      <c r="C10" s="3"/>
      <c r="D10" s="4">
        <f t="shared" si="0"/>
        <v>0</v>
      </c>
      <c r="E10" s="5"/>
      <c r="F10" s="9"/>
      <c r="G10" s="3"/>
      <c r="H10" s="10">
        <f t="shared" si="1"/>
        <v>0</v>
      </c>
      <c r="J10" s="40">
        <f>IF($F$2&lt;1,($J$9/$A$3),$J$9/$A$3)</f>
        <v>0</v>
      </c>
      <c r="L10" s="6" t="s">
        <v>20</v>
      </c>
    </row>
    <row r="11" spans="1:12" x14ac:dyDescent="0.2">
      <c r="B11" s="9"/>
      <c r="C11" s="3"/>
      <c r="D11" s="4">
        <f t="shared" si="0"/>
        <v>0</v>
      </c>
      <c r="E11" s="5"/>
      <c r="F11" s="9"/>
      <c r="G11" s="3"/>
      <c r="H11" s="10">
        <f t="shared" si="1"/>
        <v>0</v>
      </c>
      <c r="J11" s="41">
        <f>J9</f>
        <v>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0</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f>15000*19</f>
        <v>285000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ht="12.75" x14ac:dyDescent="0.2">
      <c r="B23" s="9"/>
      <c r="C23" s="3"/>
      <c r="D23" s="4">
        <f t="shared" si="0"/>
        <v>0</v>
      </c>
      <c r="E23" s="5"/>
      <c r="F23" s="9"/>
      <c r="G23" s="3"/>
      <c r="H23" s="10">
        <f t="shared" si="1"/>
        <v>0</v>
      </c>
      <c r="J23" s="37"/>
      <c r="L23" s="81">
        <f>POSTION!D18</f>
        <v>60.699999999999989</v>
      </c>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C30" s="6">
        <f>POSTION!I12</f>
        <v>0</v>
      </c>
      <c r="D30" s="16" t="s">
        <v>12</v>
      </c>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POSTION!B12</f>
        <v>3.335</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G10" sqref="G10:G12"/>
    </sheetView>
  </sheetViews>
  <sheetFormatPr defaultRowHeight="11.25" x14ac:dyDescent="0.2"/>
  <cols>
    <col min="1" max="1" width="9.140625" style="6"/>
    <col min="2" max="2" width="7.5703125"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3" width="9" style="6" customWidth="1"/>
    <col min="14" max="14" width="12" style="6" bestFit="1" customWidth="1"/>
    <col min="15" max="16384" width="9.140625" style="6"/>
  </cols>
  <sheetData>
    <row r="1" spans="1:14" x14ac:dyDescent="0.2">
      <c r="B1" s="15" t="s">
        <v>10</v>
      </c>
      <c r="F1" s="20" t="s">
        <v>9</v>
      </c>
    </row>
    <row r="2" spans="1:14" x14ac:dyDescent="0.2">
      <c r="A2" s="6" t="s">
        <v>4</v>
      </c>
      <c r="B2" s="98"/>
      <c r="C2" s="27"/>
      <c r="D2" s="32"/>
      <c r="E2" s="5"/>
      <c r="F2" s="33">
        <v>94</v>
      </c>
      <c r="G2" s="27">
        <v>3.395</v>
      </c>
      <c r="H2" s="34"/>
      <c r="J2" s="35">
        <f>IF(F2&lt;1,(C2-C31)*(B2*10000),(C31-G2)*(F2*10000))</f>
        <v>60160.000000000051</v>
      </c>
      <c r="L2" s="7" t="s">
        <v>13</v>
      </c>
    </row>
    <row r="3" spans="1:14" x14ac:dyDescent="0.2">
      <c r="A3" s="6">
        <f>POSTION!$E$20</f>
        <v>11</v>
      </c>
      <c r="B3" s="8">
        <v>14</v>
      </c>
      <c r="C3" s="3">
        <v>3.4279999999999999</v>
      </c>
      <c r="D3" s="4">
        <f t="shared" ref="D3:D25" si="0">B3*C3*10000</f>
        <v>479920</v>
      </c>
      <c r="E3" s="5"/>
      <c r="F3" s="9">
        <v>2</v>
      </c>
      <c r="G3" s="3">
        <v>3.4239999999999999</v>
      </c>
      <c r="H3" s="10">
        <f t="shared" ref="H3:H25" si="1">F3*G3*10000</f>
        <v>68480</v>
      </c>
      <c r="J3" s="36"/>
      <c r="L3" s="12" t="s">
        <v>15</v>
      </c>
    </row>
    <row r="4" spans="1:14" x14ac:dyDescent="0.2">
      <c r="B4" s="8"/>
      <c r="C4" s="3"/>
      <c r="D4" s="4">
        <f t="shared" si="0"/>
        <v>0</v>
      </c>
      <c r="E4" s="5"/>
      <c r="F4" s="9">
        <v>13</v>
      </c>
      <c r="G4" s="3">
        <v>3.4249999999999998</v>
      </c>
      <c r="H4" s="10">
        <f t="shared" si="1"/>
        <v>445250</v>
      </c>
      <c r="J4" s="23">
        <f>F37</f>
        <v>3679.9999999994434</v>
      </c>
      <c r="K4" s="11"/>
      <c r="L4" s="5" t="s">
        <v>18</v>
      </c>
    </row>
    <row r="5" spans="1:14" x14ac:dyDescent="0.2">
      <c r="B5" s="8"/>
      <c r="C5" s="3"/>
      <c r="D5" s="4">
        <f t="shared" si="0"/>
        <v>0</v>
      </c>
      <c r="E5" s="5"/>
      <c r="F5" s="9">
        <v>13</v>
      </c>
      <c r="G5" s="3">
        <v>3.4289999999999998</v>
      </c>
      <c r="H5" s="10">
        <f t="shared" si="1"/>
        <v>445770</v>
      </c>
      <c r="J5" s="11"/>
      <c r="K5" s="14"/>
      <c r="L5" s="5"/>
    </row>
    <row r="6" spans="1:14" ht="12" thickBot="1" x14ac:dyDescent="0.25">
      <c r="B6" s="8"/>
      <c r="C6" s="3"/>
      <c r="D6" s="4">
        <f t="shared" si="0"/>
        <v>0</v>
      </c>
      <c r="E6" s="5"/>
      <c r="F6" s="9">
        <v>30</v>
      </c>
      <c r="G6" s="3">
        <v>3.43</v>
      </c>
      <c r="H6" s="10">
        <f t="shared" si="1"/>
        <v>1029000</v>
      </c>
      <c r="J6" s="42">
        <f>J2+J3+J4</f>
        <v>63839.999999999491</v>
      </c>
      <c r="K6" s="14"/>
      <c r="L6" s="5" t="s">
        <v>19</v>
      </c>
    </row>
    <row r="7" spans="1:14" ht="12" thickTop="1" x14ac:dyDescent="0.2">
      <c r="B7" s="8">
        <v>15</v>
      </c>
      <c r="C7" s="3">
        <v>3.47</v>
      </c>
      <c r="D7" s="4">
        <f t="shared" si="0"/>
        <v>520500.00000000006</v>
      </c>
      <c r="E7" s="5"/>
      <c r="F7" s="9"/>
      <c r="G7" s="3"/>
      <c r="H7" s="10">
        <f t="shared" si="1"/>
        <v>0</v>
      </c>
      <c r="J7" s="11"/>
    </row>
    <row r="8" spans="1:14" x14ac:dyDescent="0.2">
      <c r="B8" s="9">
        <v>25</v>
      </c>
      <c r="C8" s="3">
        <v>3.47</v>
      </c>
      <c r="D8" s="4">
        <f t="shared" si="0"/>
        <v>867500</v>
      </c>
      <c r="E8" s="5"/>
      <c r="F8" s="9"/>
      <c r="G8" s="3"/>
      <c r="H8" s="10">
        <f>F8*G8*10000</f>
        <v>0</v>
      </c>
      <c r="J8" s="11"/>
      <c r="L8" s="5"/>
    </row>
    <row r="9" spans="1:14" x14ac:dyDescent="0.2">
      <c r="B9" s="9"/>
      <c r="C9" s="3"/>
      <c r="D9" s="4">
        <f t="shared" si="0"/>
        <v>0</v>
      </c>
      <c r="E9" s="5"/>
      <c r="F9" s="9">
        <v>15</v>
      </c>
      <c r="G9" s="3">
        <v>3.4950000000000001</v>
      </c>
      <c r="H9" s="10">
        <f t="shared" si="1"/>
        <v>524250.00000000006</v>
      </c>
      <c r="J9" s="39">
        <f>F30-B2+F2</f>
        <v>158</v>
      </c>
      <c r="L9" s="6" t="s">
        <v>8</v>
      </c>
      <c r="N9" s="3"/>
    </row>
    <row r="10" spans="1:14" x14ac:dyDescent="0.2">
      <c r="B10" s="9"/>
      <c r="C10" s="3"/>
      <c r="D10" s="4">
        <f t="shared" si="0"/>
        <v>0</v>
      </c>
      <c r="E10" s="5"/>
      <c r="F10" s="9">
        <v>15</v>
      </c>
      <c r="G10" s="3">
        <v>3.49</v>
      </c>
      <c r="H10" s="10">
        <f t="shared" si="1"/>
        <v>523500</v>
      </c>
      <c r="J10" s="40"/>
      <c r="L10" s="6" t="s">
        <v>20</v>
      </c>
      <c r="M10" s="8">
        <f>POSTION!G15</f>
        <v>14711.45454545437</v>
      </c>
      <c r="N10" s="3"/>
    </row>
    <row r="11" spans="1:14" x14ac:dyDescent="0.2">
      <c r="B11" s="9"/>
      <c r="C11" s="3"/>
      <c r="D11" s="4">
        <f t="shared" si="0"/>
        <v>0</v>
      </c>
      <c r="E11" s="5"/>
      <c r="F11" s="9">
        <v>15</v>
      </c>
      <c r="G11" s="3">
        <v>3.48</v>
      </c>
      <c r="H11" s="10">
        <f t="shared" si="1"/>
        <v>522000</v>
      </c>
      <c r="J11" s="88">
        <f>J9-J10</f>
        <v>158</v>
      </c>
      <c r="L11" s="6" t="s">
        <v>21</v>
      </c>
      <c r="M11" s="8"/>
      <c r="N11" s="3"/>
    </row>
    <row r="12" spans="1:14" x14ac:dyDescent="0.2">
      <c r="B12" s="9"/>
      <c r="C12" s="3"/>
      <c r="D12" s="4">
        <f t="shared" si="0"/>
        <v>0</v>
      </c>
      <c r="E12" s="5"/>
      <c r="F12" s="9">
        <v>15</v>
      </c>
      <c r="G12" s="3">
        <v>3.4649999999999999</v>
      </c>
      <c r="H12" s="10">
        <f t="shared" si="1"/>
        <v>519749.99999999994</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102" t="s">
        <v>55</v>
      </c>
      <c r="M14" s="6">
        <v>50000</v>
      </c>
    </row>
    <row r="15" spans="1:14" ht="15.75" x14ac:dyDescent="0.25">
      <c r="B15" s="9"/>
      <c r="C15" s="3"/>
      <c r="D15" s="4">
        <f t="shared" si="0"/>
        <v>0</v>
      </c>
      <c r="E15" s="5"/>
      <c r="F15" s="9"/>
      <c r="G15" s="3"/>
      <c r="H15" s="10">
        <f t="shared" si="1"/>
        <v>0</v>
      </c>
      <c r="J15" s="103">
        <f>POSTION!D18</f>
        <v>60.699999999999989</v>
      </c>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M17" s="20"/>
      <c r="N17" s="101"/>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30</v>
      </c>
    </row>
    <row r="21" spans="2:14" x14ac:dyDescent="0.2">
      <c r="B21" s="9"/>
      <c r="C21" s="3"/>
      <c r="D21" s="4">
        <f t="shared" si="0"/>
        <v>0</v>
      </c>
      <c r="E21" s="5"/>
      <c r="F21" s="9"/>
      <c r="G21" s="3"/>
      <c r="H21" s="10">
        <f t="shared" si="1"/>
        <v>0</v>
      </c>
      <c r="J21" s="37"/>
      <c r="L21" s="6">
        <f>24.2-15</f>
        <v>9.1999999999999993</v>
      </c>
      <c r="M21" s="6">
        <v>2500</v>
      </c>
      <c r="N21" s="6">
        <f t="shared" ref="N21:N26" si="2">(M21*$M$20)/10000</f>
        <v>7.5</v>
      </c>
    </row>
    <row r="22" spans="2:14" x14ac:dyDescent="0.2">
      <c r="B22" s="9"/>
      <c r="C22" s="3"/>
      <c r="D22" s="4">
        <f t="shared" si="0"/>
        <v>0</v>
      </c>
      <c r="E22" s="5"/>
      <c r="F22" s="9"/>
      <c r="G22" s="3"/>
      <c r="H22" s="10">
        <f t="shared" si="1"/>
        <v>0</v>
      </c>
      <c r="J22" s="37"/>
      <c r="M22" s="6">
        <v>5000</v>
      </c>
      <c r="N22" s="6">
        <f t="shared" si="2"/>
        <v>15</v>
      </c>
    </row>
    <row r="23" spans="2:14" x14ac:dyDescent="0.2">
      <c r="B23" s="9"/>
      <c r="C23" s="3"/>
      <c r="D23" s="4">
        <f t="shared" si="0"/>
        <v>0</v>
      </c>
      <c r="E23" s="5"/>
      <c r="F23" s="9"/>
      <c r="G23" s="3"/>
      <c r="H23" s="10">
        <f t="shared" si="1"/>
        <v>0</v>
      </c>
      <c r="J23" s="37"/>
      <c r="M23" s="6">
        <v>7500</v>
      </c>
      <c r="N23" s="6">
        <f t="shared" si="2"/>
        <v>22.5</v>
      </c>
    </row>
    <row r="24" spans="2:14" x14ac:dyDescent="0.2">
      <c r="B24" s="9"/>
      <c r="C24" s="3"/>
      <c r="D24" s="4">
        <f t="shared" si="0"/>
        <v>0</v>
      </c>
      <c r="E24" s="5"/>
      <c r="F24" s="9"/>
      <c r="G24" s="3"/>
      <c r="H24" s="10">
        <f t="shared" si="1"/>
        <v>0</v>
      </c>
      <c r="J24" s="37"/>
      <c r="M24" s="6">
        <v>10000</v>
      </c>
      <c r="N24" s="6">
        <f t="shared" si="2"/>
        <v>30</v>
      </c>
    </row>
    <row r="25" spans="2:14" x14ac:dyDescent="0.2">
      <c r="B25" s="9"/>
      <c r="C25" s="3"/>
      <c r="D25" s="4">
        <f t="shared" si="0"/>
        <v>0</v>
      </c>
      <c r="E25" s="5"/>
      <c r="F25" s="9"/>
      <c r="G25" s="3"/>
      <c r="H25" s="10">
        <f t="shared" si="1"/>
        <v>0</v>
      </c>
      <c r="J25" s="37"/>
      <c r="M25" s="6">
        <v>12500</v>
      </c>
      <c r="N25" s="6">
        <f t="shared" si="2"/>
        <v>37.5</v>
      </c>
    </row>
    <row r="26" spans="2:14" x14ac:dyDescent="0.2">
      <c r="F26" s="15"/>
      <c r="H26" s="17"/>
      <c r="J26" s="38"/>
      <c r="K26" s="29"/>
      <c r="L26" s="29"/>
      <c r="M26" s="6">
        <v>15000</v>
      </c>
      <c r="N26" s="6">
        <f t="shared" si="2"/>
        <v>45</v>
      </c>
    </row>
    <row r="27" spans="2:14" x14ac:dyDescent="0.2">
      <c r="B27" s="9">
        <f>SUM(B3:B26)</f>
        <v>54</v>
      </c>
      <c r="C27" s="18">
        <f>IF(B27=0, 0, D27/B27/10000)</f>
        <v>3.459111111111111</v>
      </c>
      <c r="D27" s="4">
        <f>SUM(D2:D26)</f>
        <v>1867920</v>
      </c>
      <c r="F27" s="9">
        <f>SUM(F3:F26)</f>
        <v>118</v>
      </c>
      <c r="G27" s="3">
        <f>IF(F27=0, 0, H27/F27/10000)</f>
        <v>3.455932203389831</v>
      </c>
      <c r="H27" s="10">
        <f>SUM(H2:H26)</f>
        <v>4078000</v>
      </c>
      <c r="J27" s="28"/>
      <c r="K27" s="29"/>
      <c r="L27" s="29"/>
      <c r="M27" s="5"/>
      <c r="N27" s="5"/>
    </row>
    <row r="28" spans="2:14" x14ac:dyDescent="0.2">
      <c r="C28" s="74"/>
      <c r="J28" s="28"/>
      <c r="K28" s="29"/>
      <c r="L28" s="29">
        <v>31</v>
      </c>
      <c r="M28" s="5">
        <v>3.15</v>
      </c>
      <c r="N28" s="5">
        <f>L28*M28</f>
        <v>97.649999999999991</v>
      </c>
    </row>
    <row r="29" spans="2:14" x14ac:dyDescent="0.2">
      <c r="F29" s="22">
        <f>-B27+F27</f>
        <v>64</v>
      </c>
      <c r="G29" s="6">
        <f>IF(F29&lt;0,C27,G27)</f>
        <v>3.455932203389831</v>
      </c>
      <c r="H29" s="21">
        <f>IF(F29&lt;0, (G29-C31)*ABS(F29)*10000, -1*(G29-C31)*ABS(F29)*10000)</f>
        <v>1963.3898305082198</v>
      </c>
      <c r="J29" s="28"/>
      <c r="K29" s="29"/>
      <c r="L29" s="29">
        <v>15.5</v>
      </c>
      <c r="M29" s="5">
        <v>3.1150000000000002</v>
      </c>
      <c r="N29" s="5">
        <f>L29*M29</f>
        <v>48.282500000000006</v>
      </c>
    </row>
    <row r="30" spans="2:14" x14ac:dyDescent="0.2">
      <c r="F30" s="22">
        <f>-B27+F27</f>
        <v>64</v>
      </c>
      <c r="G30" s="6">
        <f>IF(F30&lt;0, (C27+(J26/(ABS(F30)*10000))), IF(F30 = 0, 0, (G27-(J26/(ABS(F30)*10000)))))</f>
        <v>3.455932203389831</v>
      </c>
      <c r="H30" s="21">
        <f>IF(F30&lt;0, (G30-C31)*ABS(F30)*10000, IF(F30 = 0, 0, -1*(G30-C31)*ABS(F30)*10000))</f>
        <v>1963.3898305082198</v>
      </c>
      <c r="J30" s="28"/>
      <c r="K30" s="29"/>
      <c r="L30" s="29"/>
      <c r="M30" s="5"/>
      <c r="N30" s="5"/>
    </row>
    <row r="31" spans="2:14" x14ac:dyDescent="0.2">
      <c r="C31" s="74">
        <f>POSTION!B4</f>
        <v>3.4590000000000001</v>
      </c>
      <c r="D31" s="16" t="s">
        <v>11</v>
      </c>
      <c r="J31" s="30"/>
      <c r="K31" s="31"/>
      <c r="L31" s="31"/>
      <c r="M31" s="5"/>
      <c r="N31" s="5"/>
    </row>
    <row r="32" spans="2:14" x14ac:dyDescent="0.2">
      <c r="F32" s="19">
        <f>MIN($B$27,$F$27)*($C$27-$G$27)*10000</f>
        <v>1716.6101694912238</v>
      </c>
      <c r="G32" s="1"/>
      <c r="H32" s="1" t="s">
        <v>0</v>
      </c>
      <c r="L32" s="6">
        <f>SUM(L28:L31)</f>
        <v>46.5</v>
      </c>
      <c r="M32" s="5"/>
      <c r="N32" s="5">
        <f>SUM(N28:N31)</f>
        <v>145.9325</v>
      </c>
    </row>
    <row r="33" spans="1:13" x14ac:dyDescent="0.2">
      <c r="F33" s="19"/>
      <c r="G33" s="1"/>
      <c r="H33" s="1"/>
      <c r="M33" s="6">
        <f>N32/L32</f>
        <v>3.1383333333333336</v>
      </c>
    </row>
    <row r="34" spans="1:13" x14ac:dyDescent="0.2">
      <c r="F34" s="19">
        <f>$H$29</f>
        <v>1963.3898305082198</v>
      </c>
      <c r="G34" s="1"/>
      <c r="H34" s="1" t="s">
        <v>1</v>
      </c>
    </row>
    <row r="35" spans="1:13" x14ac:dyDescent="0.2">
      <c r="A35" s="7"/>
      <c r="B35" s="26"/>
      <c r="F35" s="23">
        <f>$H$30</f>
        <v>1963.3898305082198</v>
      </c>
      <c r="G35" s="2"/>
      <c r="H35" s="2" t="s">
        <v>2</v>
      </c>
    </row>
    <row r="36" spans="1:13" x14ac:dyDescent="0.2">
      <c r="B36" s="26"/>
      <c r="F36" s="13"/>
      <c r="H36" s="6"/>
    </row>
    <row r="37" spans="1:13" x14ac:dyDescent="0.2">
      <c r="B37" s="26"/>
      <c r="F37" s="24">
        <f>F32+F34</f>
        <v>3679.9999999994434</v>
      </c>
      <c r="G37" s="25"/>
      <c r="H37" s="25" t="s">
        <v>3</v>
      </c>
    </row>
    <row r="38" spans="1:13" x14ac:dyDescent="0.2">
      <c r="B38" s="26"/>
    </row>
    <row r="39" spans="1:13" x14ac:dyDescent="0.2">
      <c r="B39" s="20"/>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3" sqref="C3"/>
    </sheetView>
  </sheetViews>
  <sheetFormatPr defaultRowHeight="11.25" x14ac:dyDescent="0.2"/>
  <cols>
    <col min="1" max="1" width="9.140625" style="6"/>
    <col min="2" max="2" width="7.5703125"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4" x14ac:dyDescent="0.2">
      <c r="B1" s="15" t="s">
        <v>10</v>
      </c>
      <c r="F1" s="20" t="s">
        <v>9</v>
      </c>
    </row>
    <row r="2" spans="1:14" x14ac:dyDescent="0.2">
      <c r="A2" s="6" t="s">
        <v>4</v>
      </c>
      <c r="B2" s="98">
        <v>107.5</v>
      </c>
      <c r="C2" s="27">
        <v>3.4729999999999999</v>
      </c>
      <c r="D2" s="32"/>
      <c r="E2" s="5"/>
      <c r="F2" s="33"/>
      <c r="G2" s="27"/>
      <c r="H2" s="34"/>
      <c r="J2" s="35">
        <f>IF(F2&lt;1,(C2-C31)*(B2*10000),(C31-G2)*(F2*10000))</f>
        <v>-68800.000000000058</v>
      </c>
      <c r="L2" s="7" t="s">
        <v>13</v>
      </c>
    </row>
    <row r="3" spans="1:14" x14ac:dyDescent="0.2">
      <c r="A3" s="6">
        <f>POSTION!$E$20</f>
        <v>11</v>
      </c>
      <c r="B3" s="8"/>
      <c r="C3" s="3"/>
      <c r="D3" s="4">
        <f t="shared" ref="D3:D25" si="0">B3*C3*10000</f>
        <v>0</v>
      </c>
      <c r="E3" s="5"/>
      <c r="F3" s="9"/>
      <c r="G3" s="3"/>
      <c r="H3" s="10">
        <f t="shared" ref="H3:H25" si="1">F3*G3*10000</f>
        <v>0</v>
      </c>
      <c r="J3" s="36"/>
      <c r="L3" s="12" t="s">
        <v>15</v>
      </c>
    </row>
    <row r="4" spans="1:14" x14ac:dyDescent="0.2">
      <c r="B4" s="8"/>
      <c r="C4" s="3"/>
      <c r="D4" s="4">
        <f t="shared" si="0"/>
        <v>0</v>
      </c>
      <c r="E4" s="5"/>
      <c r="F4" s="9"/>
      <c r="G4" s="3"/>
      <c r="H4" s="10">
        <f t="shared" si="1"/>
        <v>0</v>
      </c>
      <c r="J4" s="23">
        <f>F37</f>
        <v>0</v>
      </c>
      <c r="K4" s="11"/>
      <c r="L4" s="5" t="s">
        <v>18</v>
      </c>
    </row>
    <row r="5" spans="1:14" x14ac:dyDescent="0.2">
      <c r="B5" s="8"/>
      <c r="C5" s="3"/>
      <c r="D5" s="4">
        <f t="shared" si="0"/>
        <v>0</v>
      </c>
      <c r="E5" s="5"/>
      <c r="F5" s="9"/>
      <c r="G5" s="3"/>
      <c r="H5" s="10">
        <f t="shared" si="1"/>
        <v>0</v>
      </c>
      <c r="J5" s="11"/>
      <c r="K5" s="14"/>
      <c r="L5" s="5"/>
    </row>
    <row r="6" spans="1:14" ht="12" thickBot="1" x14ac:dyDescent="0.25">
      <c r="B6" s="8"/>
      <c r="C6" s="3"/>
      <c r="D6" s="4">
        <f t="shared" si="0"/>
        <v>0</v>
      </c>
      <c r="E6" s="5"/>
      <c r="F6" s="9"/>
      <c r="G6" s="3"/>
      <c r="H6" s="10">
        <f t="shared" si="1"/>
        <v>0</v>
      </c>
      <c r="J6" s="42">
        <f>J2+J3+J4</f>
        <v>-68800.000000000058</v>
      </c>
      <c r="K6" s="14"/>
      <c r="L6" s="5" t="s">
        <v>19</v>
      </c>
    </row>
    <row r="7" spans="1:14" ht="12" thickTop="1" x14ac:dyDescent="0.2">
      <c r="B7" s="8"/>
      <c r="C7" s="3"/>
      <c r="D7" s="4">
        <f t="shared" si="0"/>
        <v>0</v>
      </c>
      <c r="E7" s="5"/>
      <c r="F7" s="9"/>
      <c r="G7" s="3"/>
      <c r="H7" s="10">
        <f t="shared" si="1"/>
        <v>0</v>
      </c>
      <c r="J7" s="11"/>
    </row>
    <row r="8" spans="1:14" x14ac:dyDescent="0.2">
      <c r="B8" s="9"/>
      <c r="C8" s="3"/>
      <c r="D8" s="4">
        <f t="shared" si="0"/>
        <v>0</v>
      </c>
      <c r="E8" s="5"/>
      <c r="F8" s="9"/>
      <c r="G8" s="3"/>
      <c r="H8" s="10">
        <f>F8*G8*10000</f>
        <v>0</v>
      </c>
      <c r="J8" s="11"/>
      <c r="L8" s="5"/>
    </row>
    <row r="9" spans="1:14" x14ac:dyDescent="0.2">
      <c r="B9" s="9"/>
      <c r="C9" s="3"/>
      <c r="D9" s="4">
        <f t="shared" si="0"/>
        <v>0</v>
      </c>
      <c r="E9" s="5"/>
      <c r="F9" s="9"/>
      <c r="G9" s="3"/>
      <c r="H9" s="10">
        <f t="shared" si="1"/>
        <v>0</v>
      </c>
      <c r="J9" s="39">
        <f>F30-B2+F2</f>
        <v>-107.5</v>
      </c>
      <c r="L9" s="6" t="s">
        <v>8</v>
      </c>
    </row>
    <row r="10" spans="1:14" x14ac:dyDescent="0.2">
      <c r="B10" s="9"/>
      <c r="C10" s="3"/>
      <c r="D10" s="4">
        <f t="shared" si="0"/>
        <v>0</v>
      </c>
      <c r="E10" s="5"/>
      <c r="F10" s="9"/>
      <c r="G10" s="3"/>
      <c r="H10" s="10">
        <f t="shared" si="1"/>
        <v>0</v>
      </c>
      <c r="J10" s="40"/>
      <c r="L10" s="6" t="s">
        <v>20</v>
      </c>
    </row>
    <row r="11" spans="1:14" x14ac:dyDescent="0.2">
      <c r="B11" s="9"/>
      <c r="C11" s="3"/>
      <c r="D11" s="4">
        <f t="shared" si="0"/>
        <v>0</v>
      </c>
      <c r="E11" s="5"/>
      <c r="F11" s="9"/>
      <c r="G11" s="3"/>
      <c r="H11" s="10">
        <f t="shared" si="1"/>
        <v>0</v>
      </c>
      <c r="J11" s="41">
        <f>J9-J10</f>
        <v>-107.5</v>
      </c>
      <c r="L11" s="6" t="s">
        <v>21</v>
      </c>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37"/>
    </row>
    <row r="15" spans="1:14" x14ac:dyDescent="0.2">
      <c r="B15" s="9"/>
      <c r="C15" s="3"/>
      <c r="D15" s="4">
        <f t="shared" si="0"/>
        <v>0</v>
      </c>
      <c r="E15" s="5"/>
      <c r="F15" s="9"/>
      <c r="G15" s="3"/>
      <c r="H15" s="10">
        <f t="shared" si="1"/>
        <v>0</v>
      </c>
      <c r="J15" s="37"/>
      <c r="M15" s="6">
        <v>2500</v>
      </c>
      <c r="N15" s="6">
        <f>M15*31</f>
        <v>77500</v>
      </c>
    </row>
    <row r="16" spans="1:14" x14ac:dyDescent="0.2">
      <c r="B16" s="9"/>
      <c r="C16" s="3"/>
      <c r="D16" s="4">
        <f t="shared" si="0"/>
        <v>0</v>
      </c>
      <c r="E16" s="5"/>
      <c r="F16" s="9"/>
      <c r="G16" s="3"/>
      <c r="H16" s="10">
        <f t="shared" si="1"/>
        <v>0</v>
      </c>
      <c r="J16" s="37"/>
      <c r="M16" s="6">
        <v>12500</v>
      </c>
      <c r="N16" s="6">
        <f>M16*31</f>
        <v>387500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c r="M18" s="6">
        <v>7500</v>
      </c>
      <c r="N18" s="6">
        <f>M18*31</f>
        <v>232500</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POSTION!B5</f>
        <v>3.5369999999999999</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F2" sqref="F2:G3"/>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3" x14ac:dyDescent="0.2">
      <c r="B1" s="15" t="s">
        <v>10</v>
      </c>
      <c r="F1" s="20" t="s">
        <v>9</v>
      </c>
    </row>
    <row r="2" spans="1:13" x14ac:dyDescent="0.2">
      <c r="A2" s="6" t="s">
        <v>4</v>
      </c>
      <c r="B2" s="33"/>
      <c r="C2" s="27"/>
      <c r="D2" s="32"/>
      <c r="E2" s="5"/>
      <c r="F2" s="33"/>
      <c r="G2" s="27"/>
      <c r="H2" s="34"/>
      <c r="J2" s="35">
        <f>IF(F2&lt;1,(C2-C31)*(B2*10000),(C31-G2)*(F2*10000))</f>
        <v>0</v>
      </c>
      <c r="L2" s="7" t="s">
        <v>13</v>
      </c>
    </row>
    <row r="3" spans="1:13" x14ac:dyDescent="0.2">
      <c r="A3" s="6">
        <f>POSTION!$E$20</f>
        <v>11</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2" thickBot="1" x14ac:dyDescent="0.25">
      <c r="B6" s="8"/>
      <c r="C6" s="3"/>
      <c r="D6" s="4">
        <f t="shared" si="0"/>
        <v>0</v>
      </c>
      <c r="E6" s="5"/>
      <c r="F6" s="9"/>
      <c r="G6" s="3"/>
      <c r="H6" s="10">
        <f t="shared" si="1"/>
        <v>0</v>
      </c>
      <c r="J6" s="42">
        <f>J2+J3+J4</f>
        <v>0</v>
      </c>
      <c r="K6" s="14"/>
      <c r="L6" s="5" t="s">
        <v>19</v>
      </c>
    </row>
    <row r="7" spans="1:13" ht="12"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0</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0</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row>
    <row r="14" spans="1:13" x14ac:dyDescent="0.2">
      <c r="B14" s="9"/>
      <c r="C14" s="3"/>
      <c r="D14" s="4">
        <f t="shared" si="0"/>
        <v>0</v>
      </c>
      <c r="E14" s="5"/>
      <c r="F14" s="9"/>
      <c r="G14" s="3"/>
      <c r="H14" s="10">
        <f t="shared" si="1"/>
        <v>0</v>
      </c>
      <c r="J14" s="37"/>
    </row>
    <row r="15" spans="1:13" x14ac:dyDescent="0.2">
      <c r="B15" s="9"/>
      <c r="C15" s="3"/>
      <c r="D15" s="4">
        <f t="shared" si="0"/>
        <v>0</v>
      </c>
      <c r="E15" s="5"/>
      <c r="F15" s="9"/>
      <c r="G15" s="3"/>
      <c r="H15" s="10">
        <f t="shared" si="1"/>
        <v>0</v>
      </c>
      <c r="J15" s="37" t="s">
        <v>41</v>
      </c>
    </row>
    <row r="16" spans="1:13" x14ac:dyDescent="0.2">
      <c r="B16" s="9"/>
      <c r="C16" s="3"/>
      <c r="D16" s="4">
        <f t="shared" si="0"/>
        <v>0</v>
      </c>
      <c r="E16" s="5"/>
      <c r="F16" s="9"/>
      <c r="G16" s="3"/>
      <c r="H16" s="10">
        <f t="shared" si="1"/>
        <v>0</v>
      </c>
      <c r="J16" s="37"/>
      <c r="M16" s="6">
        <v>31</v>
      </c>
    </row>
    <row r="17" spans="2:14" x14ac:dyDescent="0.2">
      <c r="B17" s="9"/>
      <c r="C17" s="3"/>
      <c r="D17" s="4">
        <f t="shared" si="0"/>
        <v>0</v>
      </c>
      <c r="E17" s="5"/>
      <c r="F17" s="9"/>
      <c r="G17" s="3"/>
      <c r="H17" s="10">
        <f t="shared" si="1"/>
        <v>0</v>
      </c>
      <c r="J17" s="37"/>
      <c r="M17" s="6">
        <v>2500</v>
      </c>
      <c r="N17" s="6">
        <f t="shared" ref="N17:N22" si="2">(M17*$M$16)/10000</f>
        <v>7.75</v>
      </c>
    </row>
    <row r="18" spans="2:14" x14ac:dyDescent="0.2">
      <c r="B18" s="9"/>
      <c r="C18" s="3"/>
      <c r="D18" s="4">
        <f t="shared" si="0"/>
        <v>0</v>
      </c>
      <c r="E18" s="5"/>
      <c r="F18" s="9"/>
      <c r="G18" s="3"/>
      <c r="H18" s="10">
        <f t="shared" si="1"/>
        <v>0</v>
      </c>
      <c r="J18" s="37"/>
      <c r="M18" s="6">
        <v>5000</v>
      </c>
      <c r="N18" s="6">
        <f t="shared" si="2"/>
        <v>15.5</v>
      </c>
    </row>
    <row r="19" spans="2:14" x14ac:dyDescent="0.2">
      <c r="B19" s="9"/>
      <c r="C19" s="3"/>
      <c r="D19" s="4">
        <f t="shared" si="0"/>
        <v>0</v>
      </c>
      <c r="E19" s="5"/>
      <c r="F19" s="9"/>
      <c r="G19" s="3"/>
      <c r="H19" s="10">
        <f t="shared" si="1"/>
        <v>0</v>
      </c>
      <c r="J19" s="37"/>
      <c r="M19" s="6">
        <v>7500</v>
      </c>
      <c r="N19" s="6">
        <f t="shared" si="2"/>
        <v>23.25</v>
      </c>
    </row>
    <row r="20" spans="2:14" x14ac:dyDescent="0.2">
      <c r="B20" s="9"/>
      <c r="C20" s="3"/>
      <c r="D20" s="4">
        <f t="shared" si="0"/>
        <v>0</v>
      </c>
      <c r="E20" s="5"/>
      <c r="F20" s="9"/>
      <c r="G20" s="3"/>
      <c r="H20" s="10">
        <f t="shared" si="1"/>
        <v>0</v>
      </c>
      <c r="J20" s="37"/>
      <c r="M20" s="6">
        <v>10000</v>
      </c>
      <c r="N20" s="6">
        <f t="shared" si="2"/>
        <v>31</v>
      </c>
    </row>
    <row r="21" spans="2:14" x14ac:dyDescent="0.2">
      <c r="B21" s="9"/>
      <c r="C21" s="3"/>
      <c r="D21" s="4">
        <f t="shared" si="0"/>
        <v>0</v>
      </c>
      <c r="E21" s="5"/>
      <c r="F21" s="9"/>
      <c r="G21" s="3"/>
      <c r="H21" s="10">
        <f t="shared" si="1"/>
        <v>0</v>
      </c>
      <c r="J21" s="37"/>
      <c r="M21" s="6">
        <v>12500</v>
      </c>
      <c r="N21" s="6">
        <f t="shared" si="2"/>
        <v>38.75</v>
      </c>
    </row>
    <row r="22" spans="2:14" x14ac:dyDescent="0.2">
      <c r="B22" s="9"/>
      <c r="C22" s="3"/>
      <c r="D22" s="4">
        <f t="shared" si="0"/>
        <v>0</v>
      </c>
      <c r="E22" s="5"/>
      <c r="F22" s="9"/>
      <c r="G22" s="3"/>
      <c r="H22" s="10">
        <f t="shared" si="1"/>
        <v>0</v>
      </c>
      <c r="J22" s="37"/>
      <c r="M22" s="6">
        <v>15000</v>
      </c>
      <c r="N22" s="6">
        <f t="shared" si="2"/>
        <v>46.5</v>
      </c>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POSTION!B6</f>
        <v>3.5939999999999999</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B2" sqref="B2:C2"/>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c r="C2" s="27"/>
      <c r="D2" s="32"/>
      <c r="E2" s="5"/>
      <c r="F2" s="33"/>
      <c r="G2" s="27"/>
      <c r="H2" s="34"/>
      <c r="J2" s="35">
        <f>IF(F2&lt;1,(C2-C31)*(B2*10000),(C31-G2)*(F2*10000))</f>
        <v>0</v>
      </c>
      <c r="L2" s="7" t="s">
        <v>13</v>
      </c>
    </row>
    <row r="3" spans="1:12" x14ac:dyDescent="0.2">
      <c r="A3" s="6">
        <f>POSTION!$E$20</f>
        <v>11</v>
      </c>
      <c r="B3" s="8"/>
      <c r="C3" s="3"/>
      <c r="D3" s="4">
        <f t="shared" ref="D3:D25" si="0">B3*C3*10000</f>
        <v>0</v>
      </c>
      <c r="E3" s="5"/>
      <c r="F3" s="9"/>
      <c r="G3" s="3"/>
      <c r="H3" s="10">
        <f t="shared" ref="H3:H25" si="1">F3*G3*10000</f>
        <v>0</v>
      </c>
      <c r="J3" s="36"/>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2" thickBot="1" x14ac:dyDescent="0.25">
      <c r="B6" s="8"/>
      <c r="C6" s="3"/>
      <c r="D6" s="4">
        <f t="shared" si="0"/>
        <v>0</v>
      </c>
      <c r="E6" s="5"/>
      <c r="F6" s="9"/>
      <c r="G6" s="3"/>
      <c r="H6" s="10">
        <f t="shared" si="1"/>
        <v>0</v>
      </c>
      <c r="J6" s="42">
        <f>J2+J3+J4</f>
        <v>0</v>
      </c>
      <c r="K6" s="14"/>
      <c r="L6" s="5" t="s">
        <v>19</v>
      </c>
    </row>
    <row r="7" spans="1:12" ht="12" thickTop="1" x14ac:dyDescent="0.2">
      <c r="B7" s="8"/>
      <c r="C7" s="3"/>
      <c r="D7" s="4">
        <f t="shared" si="0"/>
        <v>0</v>
      </c>
      <c r="E7" s="5"/>
      <c r="F7" s="9"/>
      <c r="G7" s="3"/>
      <c r="H7" s="10">
        <f t="shared" si="1"/>
        <v>0</v>
      </c>
      <c r="J7" s="11"/>
    </row>
    <row r="8" spans="1:12" x14ac:dyDescent="0.2">
      <c r="B8" s="9"/>
      <c r="C8" s="3"/>
      <c r="D8" s="4">
        <f t="shared" si="0"/>
        <v>0</v>
      </c>
      <c r="E8" s="5"/>
      <c r="F8" s="9"/>
      <c r="G8" s="3"/>
      <c r="H8" s="10">
        <f>F8*G8*10000</f>
        <v>0</v>
      </c>
      <c r="J8" s="11"/>
      <c r="L8" s="5"/>
    </row>
    <row r="9" spans="1:12" x14ac:dyDescent="0.2">
      <c r="B9" s="9"/>
      <c r="C9" s="3"/>
      <c r="D9" s="4">
        <f t="shared" si="0"/>
        <v>0</v>
      </c>
      <c r="E9" s="5"/>
      <c r="F9" s="9"/>
      <c r="G9" s="3"/>
      <c r="H9" s="10">
        <f t="shared" si="1"/>
        <v>0</v>
      </c>
      <c r="J9" s="39">
        <f>F30-B2+F2</f>
        <v>0</v>
      </c>
      <c r="L9" s="6" t="s">
        <v>8</v>
      </c>
    </row>
    <row r="10" spans="1:12" x14ac:dyDescent="0.2">
      <c r="B10" s="9"/>
      <c r="C10" s="3"/>
      <c r="D10" s="4">
        <f t="shared" si="0"/>
        <v>0</v>
      </c>
      <c r="E10" s="5"/>
      <c r="F10" s="9"/>
      <c r="G10" s="3"/>
      <c r="H10" s="10">
        <f t="shared" si="1"/>
        <v>0</v>
      </c>
      <c r="J10" s="40"/>
      <c r="L10" s="6" t="s">
        <v>20</v>
      </c>
    </row>
    <row r="11" spans="1:12" x14ac:dyDescent="0.2">
      <c r="B11" s="9"/>
      <c r="C11" s="3"/>
      <c r="D11" s="4">
        <f t="shared" si="0"/>
        <v>0</v>
      </c>
      <c r="E11" s="5"/>
      <c r="F11" s="9"/>
      <c r="G11" s="3"/>
      <c r="H11" s="10">
        <f t="shared" si="1"/>
        <v>0</v>
      </c>
      <c r="J11" s="41">
        <f>J9-J10</f>
        <v>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v>15.5</v>
      </c>
    </row>
    <row r="17" spans="2:14" x14ac:dyDescent="0.2">
      <c r="B17" s="9"/>
      <c r="C17" s="3"/>
      <c r="D17" s="4">
        <f t="shared" si="0"/>
        <v>0</v>
      </c>
      <c r="E17" s="5"/>
      <c r="F17" s="9"/>
      <c r="G17" s="3"/>
      <c r="H17" s="10">
        <f t="shared" si="1"/>
        <v>0</v>
      </c>
      <c r="J17" s="37"/>
      <c r="L17" s="6">
        <v>15.5</v>
      </c>
    </row>
    <row r="18" spans="2:14" x14ac:dyDescent="0.2">
      <c r="B18" s="9"/>
      <c r="C18" s="3"/>
      <c r="D18" s="4">
        <f t="shared" si="0"/>
        <v>0</v>
      </c>
      <c r="E18" s="5"/>
      <c r="F18" s="9"/>
      <c r="G18" s="3"/>
      <c r="H18" s="10">
        <f t="shared" si="1"/>
        <v>0</v>
      </c>
      <c r="J18" s="37"/>
      <c r="L18" s="6">
        <v>15</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POSTION!B7</f>
        <v>3.6199999999999997</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G3" sqref="G3"/>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3" x14ac:dyDescent="0.2">
      <c r="B1" s="15" t="s">
        <v>10</v>
      </c>
      <c r="F1" s="20" t="s">
        <v>9</v>
      </c>
    </row>
    <row r="2" spans="1:13" x14ac:dyDescent="0.2">
      <c r="A2" s="6" t="s">
        <v>4</v>
      </c>
      <c r="B2" s="33"/>
      <c r="C2" s="27"/>
      <c r="D2" s="32"/>
      <c r="E2" s="5"/>
      <c r="F2" s="33">
        <v>38.200000000000003</v>
      </c>
      <c r="G2" s="27">
        <v>3.5089999999999999</v>
      </c>
      <c r="H2" s="34"/>
      <c r="J2" s="35">
        <f>IF(F2&lt;1,(C2-C31)*(B2*10000),(C31-G2)*(F2*10000))</f>
        <v>24066.000000000065</v>
      </c>
      <c r="L2" s="7" t="s">
        <v>13</v>
      </c>
    </row>
    <row r="3" spans="1:13" x14ac:dyDescent="0.2">
      <c r="A3" s="6">
        <f>POSTION!$E$20</f>
        <v>11</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2" thickBot="1" x14ac:dyDescent="0.25">
      <c r="B6" s="8"/>
      <c r="C6" s="3"/>
      <c r="D6" s="4">
        <f t="shared" si="0"/>
        <v>0</v>
      </c>
      <c r="E6" s="5"/>
      <c r="F6" s="9"/>
      <c r="G6" s="3"/>
      <c r="H6" s="10">
        <f t="shared" si="1"/>
        <v>0</v>
      </c>
      <c r="J6" s="42">
        <f>J2+J3+J4</f>
        <v>24066.000000000065</v>
      </c>
      <c r="K6" s="14"/>
      <c r="L6" s="5" t="s">
        <v>19</v>
      </c>
    </row>
    <row r="7" spans="1:13" ht="12"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38.200000000000003</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38.200000000000003</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c r="L13" s="6">
        <f>365-151</f>
        <v>214</v>
      </c>
    </row>
    <row r="14" spans="1:13" x14ac:dyDescent="0.2">
      <c r="B14" s="9"/>
      <c r="C14" s="3"/>
      <c r="D14" s="4">
        <f t="shared" si="0"/>
        <v>0</v>
      </c>
      <c r="E14" s="5"/>
      <c r="F14" s="9"/>
      <c r="G14" s="3"/>
      <c r="H14" s="10">
        <f t="shared" si="1"/>
        <v>0</v>
      </c>
      <c r="J14" s="37"/>
      <c r="L14" s="6">
        <f>L13-30-31</f>
        <v>153</v>
      </c>
    </row>
    <row r="15" spans="1:13" x14ac:dyDescent="0.2">
      <c r="B15" s="9"/>
      <c r="C15" s="3"/>
      <c r="D15" s="4">
        <f t="shared" si="0"/>
        <v>0</v>
      </c>
      <c r="E15" s="5"/>
      <c r="F15" s="9"/>
      <c r="G15" s="3"/>
      <c r="H15" s="10">
        <f t="shared" si="1"/>
        <v>0</v>
      </c>
      <c r="J15" s="37"/>
      <c r="M15" s="6">
        <v>153</v>
      </c>
    </row>
    <row r="16" spans="1:13"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L17" s="6">
        <v>0.25</v>
      </c>
      <c r="M17" s="87">
        <f>L17*M15</f>
        <v>38.25</v>
      </c>
      <c r="N17" s="87">
        <f>M17-7.75</f>
        <v>30.5</v>
      </c>
    </row>
    <row r="18" spans="2:14" x14ac:dyDescent="0.2">
      <c r="B18" s="9"/>
      <c r="C18" s="3"/>
      <c r="D18" s="4">
        <f t="shared" si="0"/>
        <v>0</v>
      </c>
      <c r="E18" s="5"/>
      <c r="F18" s="9"/>
      <c r="G18" s="3"/>
      <c r="H18" s="10">
        <f t="shared" si="1"/>
        <v>0</v>
      </c>
      <c r="J18" s="37"/>
      <c r="L18" s="6">
        <v>0.5</v>
      </c>
      <c r="M18" s="87">
        <f>L18*M15</f>
        <v>76.5</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POSTION!B8</f>
        <v>3.5720000000000001</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L19" sqref="L19"/>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3" x14ac:dyDescent="0.2">
      <c r="B1" s="15" t="s">
        <v>10</v>
      </c>
      <c r="F1" s="20" t="s">
        <v>9</v>
      </c>
    </row>
    <row r="2" spans="1:13" x14ac:dyDescent="0.2">
      <c r="A2" s="6" t="s">
        <v>4</v>
      </c>
      <c r="B2" s="33"/>
      <c r="C2" s="27"/>
      <c r="D2" s="32"/>
      <c r="E2" s="5"/>
      <c r="F2" s="33"/>
      <c r="G2" s="27"/>
      <c r="H2" s="34"/>
      <c r="J2" s="35">
        <f>IF(F2&lt;1,(C2-C31)*(B2*10000),(C31-G2)*(F2*10000))</f>
        <v>0</v>
      </c>
      <c r="L2" s="7" t="s">
        <v>13</v>
      </c>
    </row>
    <row r="3" spans="1:13" x14ac:dyDescent="0.2">
      <c r="A3" s="6">
        <f>POSTION!$E$20</f>
        <v>11</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2" thickBot="1" x14ac:dyDescent="0.25">
      <c r="B6" s="8"/>
      <c r="C6" s="3"/>
      <c r="D6" s="4">
        <f t="shared" si="0"/>
        <v>0</v>
      </c>
      <c r="E6" s="5"/>
      <c r="F6" s="9"/>
      <c r="G6" s="3"/>
      <c r="H6" s="10">
        <f t="shared" si="1"/>
        <v>0</v>
      </c>
      <c r="J6" s="42">
        <f>J2+J3+J4</f>
        <v>0</v>
      </c>
      <c r="K6" s="14"/>
      <c r="L6" s="5" t="s">
        <v>19</v>
      </c>
    </row>
    <row r="7" spans="1:13" ht="12"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0</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0</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row>
    <row r="14" spans="1:13" x14ac:dyDescent="0.2">
      <c r="B14" s="9"/>
      <c r="C14" s="3"/>
      <c r="D14" s="4">
        <f t="shared" si="0"/>
        <v>0</v>
      </c>
      <c r="E14" s="5"/>
      <c r="F14" s="9"/>
      <c r="G14" s="3"/>
      <c r="H14" s="10">
        <f t="shared" si="1"/>
        <v>0</v>
      </c>
      <c r="J14" s="37"/>
      <c r="L14" s="6">
        <f>151/3</f>
        <v>50.333333333333336</v>
      </c>
    </row>
    <row r="15" spans="1:13" x14ac:dyDescent="0.2">
      <c r="B15" s="9"/>
      <c r="C15" s="3"/>
      <c r="D15" s="4">
        <f t="shared" si="0"/>
        <v>0</v>
      </c>
      <c r="E15" s="5"/>
      <c r="F15" s="9"/>
      <c r="G15" s="3"/>
      <c r="H15" s="10">
        <f t="shared" si="1"/>
        <v>0</v>
      </c>
      <c r="J15" s="37"/>
      <c r="M15" s="6">
        <v>151</v>
      </c>
    </row>
    <row r="16" spans="1:13"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L17" s="6">
        <v>5000</v>
      </c>
      <c r="M17" s="6">
        <f>M15/2</f>
        <v>75.5</v>
      </c>
    </row>
    <row r="18" spans="2:14" x14ac:dyDescent="0.2">
      <c r="B18" s="9"/>
      <c r="C18" s="3"/>
      <c r="D18" s="4">
        <f t="shared" si="0"/>
        <v>0</v>
      </c>
      <c r="E18" s="5"/>
      <c r="F18" s="9"/>
      <c r="G18" s="3"/>
      <c r="H18" s="10">
        <f t="shared" si="1"/>
        <v>0</v>
      </c>
      <c r="J18" s="37"/>
      <c r="L18" s="6">
        <v>2500</v>
      </c>
      <c r="M18" s="6">
        <f>M15/4</f>
        <v>37.75</v>
      </c>
    </row>
    <row r="19" spans="2:14" x14ac:dyDescent="0.2">
      <c r="B19" s="9"/>
      <c r="C19" s="3"/>
      <c r="D19" s="4">
        <f t="shared" si="0"/>
        <v>0</v>
      </c>
      <c r="E19" s="5"/>
      <c r="F19" s="9"/>
      <c r="G19" s="3"/>
      <c r="H19" s="10">
        <f t="shared" si="1"/>
        <v>0</v>
      </c>
      <c r="J19" s="37"/>
      <c r="L19" s="6">
        <v>7.5</v>
      </c>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POSTION!B9</f>
        <v>4.093</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POSTION</vt:lpstr>
      <vt:lpstr>HH_SWAP</vt:lpstr>
      <vt:lpstr>HSC_SWAP</vt:lpstr>
      <vt:lpstr>JUN_SWAP</vt:lpstr>
      <vt:lpstr>JUL_SWAP</vt:lpstr>
      <vt:lpstr>AUG_SWAP</vt:lpstr>
      <vt:lpstr>SEP_SWAP</vt:lpstr>
      <vt:lpstr>M-V_SWAP</vt:lpstr>
      <vt:lpstr>X-H_SWAP</vt:lpstr>
      <vt:lpstr>OCT_nym</vt:lpstr>
      <vt:lpstr>JAN3_nym</vt:lpstr>
      <vt:lpstr>FOM</vt:lpstr>
      <vt:lpstr>PRIORday</vt:lpstr>
      <vt:lpstr>YTD</vt:lpstr>
      <vt:lpstr>MAY_SWAP (2)</vt:lpstr>
      <vt:lpstr>scale</vt:lpstr>
    </vt:vector>
  </TitlesOfParts>
  <Company>Dell Computer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H Parks Jr</dc:creator>
  <cp:lastModifiedBy>Felienne</cp:lastModifiedBy>
  <cp:lastPrinted>2002-05-03T11:51:08Z</cp:lastPrinted>
  <dcterms:created xsi:type="dcterms:W3CDTF">2001-06-05T02:27:59Z</dcterms:created>
  <dcterms:modified xsi:type="dcterms:W3CDTF">2014-09-04T18:12:11Z</dcterms:modified>
</cp:coreProperties>
</file>