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VolSkew" sheetId="4" r:id="rId1"/>
    <sheet name="Distribution" sheetId="8" r:id="rId2"/>
    <sheet name="St Dist" sheetId="9" r:id="rId3"/>
    <sheet name="Shimko" sheetId="5" r:id="rId4"/>
    <sheet name="expiry" sheetId="7" r:id="rId5"/>
  </sheets>
  <definedNames>
    <definedName name="_xlnm._FilterDatabase" localSheetId="4" hidden="1">expiry!#REF!</definedName>
    <definedName name="Alpha1">Shimko!$AQ$13</definedName>
    <definedName name="Alpha2">Shimko!$AR$13</definedName>
    <definedName name="AlphaA">Shimko!$AQ$27</definedName>
    <definedName name="AlphaB">Shimko!$AR$27</definedName>
    <definedName name="anscount" hidden="1">1</definedName>
    <definedName name="ATMImpVol">VolSkew!$K$2</definedName>
    <definedName name="Commodity">VolSkew!$K$4</definedName>
    <definedName name="Contract">VolSkew!$K$5</definedName>
    <definedName name="ENAEquFit">VolSkew!$AN$36</definedName>
    <definedName name="ENAVolCoef">VolSkew!$AO$29</definedName>
    <definedName name="ENAVolFit">VolSkew!$AN$28</definedName>
    <definedName name="ENAVolTable">VolSkew!$AG$30:$AK$49</definedName>
    <definedName name="equation_fit">VolSkew!$W$17</definedName>
    <definedName name="Expiry">VolSkew!$C$4</definedName>
    <definedName name="ExpiryTable">expiry!$A$3:$E$434</definedName>
    <definedName name="FixedATM">VolSkew!$Q$7</definedName>
    <definedName name="Gamma" localSheetId="3">Shimko!$AQ$28</definedName>
    <definedName name="Gamma2">Shimko!$AQ$14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Fit">ImpVolFitTop:OFFSET(ImpVolFitTop,NumToFit,0)</definedName>
    <definedName name="ImpVolFitTop">VolSkew!$AA$32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LTFactor">Shimko!$C$115</definedName>
    <definedName name="LTpdf">Shimko!$W$115:$W$136</definedName>
    <definedName name="LTStandard">Shimko!$AG$115:$AG$136</definedName>
    <definedName name="LTStrikes">Shimko!$D$115:$D$136</definedName>
    <definedName name="MaxMoneyness">VolSkew!$W$29</definedName>
    <definedName name="MaxPDF">Shimko!$W$113</definedName>
    <definedName name="MaxStandard">Shimko!$AG$113</definedName>
    <definedName name="MaxStrike">Shimko!$D$113</definedName>
    <definedName name="MinMoneyness">VolSkew!$Z$32</definedName>
    <definedName name="MinPDF">Shimko!$W$13</definedName>
    <definedName name="MinStandard">Shimko!$AG$13</definedName>
    <definedName name="MinStrike">Shimko!$D$13</definedName>
    <definedName name="MoneynessBot">OFFSET(MoneynessTop,NoDataPts-1,0)</definedName>
    <definedName name="MoneynessFit">MoneynessFitTop:OFFSET(MoneynessFitTop,NumToFit,0)</definedName>
    <definedName name="MoneynessFitTop">VolSkew!$Z$32</definedName>
    <definedName name="MoneynessRange">MoneynessTop:MoneynessBot</definedName>
    <definedName name="MoneynessTop">VolSkew!$M$9</definedName>
    <definedName name="NoDataPts">VolSkew!$W$30</definedName>
    <definedName name="NumStrikeToFit">VolSkew!$X$28</definedName>
    <definedName name="NumToFit">VolSkew!$X$29</definedName>
    <definedName name="NumToFit2">Shimko!$AQ$16</definedName>
    <definedName name="OldData">VolSkew!$B$55:$G$55</definedName>
    <definedName name="PastableRange">VolSkew!$A$20:$G$26,VolSkew!$I$8:$O$14,VolSkew!$A$47:$G$53</definedName>
    <definedName name="pdfCoef">VolSkew!$AD$10</definedName>
    <definedName name="PremiumTop">VolSkew!$J$9</definedName>
    <definedName name="_xlnm.Print_Area" localSheetId="0">VolSkew!$A$1:$O$27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StrikeRange">StrikeTop:OFFSET(StrikeTop,NoDataPts-1,0)</definedName>
    <definedName name="StrikeTop">VolSkew!$K$9</definedName>
    <definedName name="T">Shimko!$D$6</definedName>
    <definedName name="Target">Shimko!$AQ$31</definedName>
    <definedName name="Target2">Shimko!$AQ$17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UTFactor">Shimko!$C$141</definedName>
    <definedName name="UTpdf">Shimko!$W$141:$W$161</definedName>
    <definedName name="UTStandard">Shimko!$AG$141:$AG$161</definedName>
    <definedName name="UTStrikes">Shimko!$D$141:$D$161</definedName>
    <definedName name="VolSkewCoef">VolSkew!$X$10</definedName>
    <definedName name="VolSkewTableGasoline">VolSkew!$A$47:$G$53</definedName>
    <definedName name="Yield">VolSkew!$C$7</definedName>
  </definedNames>
  <calcPr calcId="92512" calcMode="manual" iterateDelta="9.9999999999999995E-8" calcCompleted="0" calcOnSave="0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8" i="7"/>
  <c r="B29" i="7"/>
  <c r="B30" i="7"/>
  <c r="B31" i="7"/>
  <c r="B32" i="7"/>
  <c r="B33" i="7"/>
  <c r="B34" i="7"/>
  <c r="B35" i="7"/>
  <c r="B36" i="7"/>
  <c r="B37" i="7"/>
  <c r="B38" i="7"/>
  <c r="B40" i="7"/>
  <c r="B41" i="7"/>
  <c r="B42" i="7"/>
  <c r="B43" i="7"/>
  <c r="B44" i="7"/>
  <c r="B45" i="7"/>
  <c r="B46" i="7"/>
  <c r="B47" i="7"/>
  <c r="B48" i="7"/>
  <c r="B49" i="7"/>
  <c r="B50" i="7"/>
  <c r="B52" i="7"/>
  <c r="B53" i="7"/>
  <c r="B54" i="7"/>
  <c r="B55" i="7"/>
  <c r="B56" i="7"/>
  <c r="B57" i="7"/>
  <c r="B58" i="7"/>
  <c r="B59" i="7"/>
  <c r="B60" i="7"/>
  <c r="B61" i="7"/>
  <c r="B62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112" i="7"/>
  <c r="B113" i="7"/>
  <c r="B114" i="7"/>
  <c r="B115" i="7"/>
  <c r="B116" i="7"/>
  <c r="B117" i="7"/>
  <c r="B118" i="7"/>
  <c r="B119" i="7"/>
  <c r="B120" i="7"/>
  <c r="B121" i="7"/>
  <c r="B122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60" i="7"/>
  <c r="B161" i="7"/>
  <c r="B162" i="7"/>
  <c r="B163" i="7"/>
  <c r="B164" i="7"/>
  <c r="B165" i="7"/>
  <c r="B166" i="7"/>
  <c r="B167" i="7"/>
  <c r="B168" i="7"/>
  <c r="B169" i="7"/>
  <c r="B170" i="7"/>
  <c r="B172" i="7"/>
  <c r="B173" i="7"/>
  <c r="B174" i="7"/>
  <c r="B175" i="7"/>
  <c r="B176" i="7"/>
  <c r="B177" i="7"/>
  <c r="B178" i="7"/>
  <c r="B179" i="7"/>
  <c r="B180" i="7"/>
  <c r="B181" i="7"/>
  <c r="B182" i="7"/>
  <c r="B184" i="7"/>
  <c r="B185" i="7"/>
  <c r="B186" i="7"/>
  <c r="B187" i="7"/>
  <c r="B188" i="7"/>
  <c r="B189" i="7"/>
  <c r="B190" i="7"/>
  <c r="B191" i="7"/>
  <c r="B192" i="7"/>
  <c r="B193" i="7"/>
  <c r="B194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20" i="7"/>
  <c r="B221" i="7"/>
  <c r="B222" i="7"/>
  <c r="B223" i="7"/>
  <c r="B224" i="7"/>
  <c r="B225" i="7"/>
  <c r="B226" i="7"/>
  <c r="B227" i="7"/>
  <c r="B228" i="7"/>
  <c r="B229" i="7"/>
  <c r="B230" i="7"/>
  <c r="B232" i="7"/>
  <c r="B233" i="7"/>
  <c r="B234" i="7"/>
  <c r="B235" i="7"/>
  <c r="B236" i="7"/>
  <c r="B237" i="7"/>
  <c r="B238" i="7"/>
  <c r="B239" i="7"/>
  <c r="B240" i="7"/>
  <c r="B241" i="7"/>
  <c r="B242" i="7"/>
  <c r="B244" i="7"/>
  <c r="B245" i="7"/>
  <c r="B246" i="7"/>
  <c r="B247" i="7"/>
  <c r="B248" i="7"/>
  <c r="B249" i="7"/>
  <c r="B250" i="7"/>
  <c r="B251" i="7"/>
  <c r="B252" i="7"/>
  <c r="B253" i="7"/>
  <c r="B254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2" i="7"/>
  <c r="B293" i="7"/>
  <c r="B294" i="7"/>
  <c r="B295" i="7"/>
  <c r="B296" i="7"/>
  <c r="B297" i="7"/>
  <c r="B298" i="7"/>
  <c r="B299" i="7"/>
  <c r="B300" i="7"/>
  <c r="B301" i="7"/>
  <c r="B302" i="7"/>
  <c r="B304" i="7"/>
  <c r="B305" i="7"/>
  <c r="B306" i="7"/>
  <c r="B307" i="7"/>
  <c r="B308" i="7"/>
  <c r="B309" i="7"/>
  <c r="B310" i="7"/>
  <c r="B311" i="7"/>
  <c r="B312" i="7"/>
  <c r="B313" i="7"/>
  <c r="B314" i="7"/>
  <c r="B316" i="7"/>
  <c r="B317" i="7"/>
  <c r="B318" i="7"/>
  <c r="B319" i="7"/>
  <c r="B320" i="7"/>
  <c r="B321" i="7"/>
  <c r="B322" i="7"/>
  <c r="B323" i="7"/>
  <c r="B324" i="7"/>
  <c r="B325" i="7"/>
  <c r="B326" i="7"/>
  <c r="B328" i="7"/>
  <c r="B329" i="7"/>
  <c r="B330" i="7"/>
  <c r="B331" i="7"/>
  <c r="B332" i="7"/>
  <c r="B333" i="7"/>
  <c r="B334" i="7"/>
  <c r="B335" i="7"/>
  <c r="B336" i="7"/>
  <c r="B337" i="7"/>
  <c r="B338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4" i="7"/>
  <c r="B365" i="7"/>
  <c r="B366" i="7"/>
  <c r="B367" i="7"/>
  <c r="B368" i="7"/>
  <c r="B369" i="7"/>
  <c r="B370" i="7"/>
  <c r="B371" i="7"/>
  <c r="B372" i="7"/>
  <c r="B373" i="7"/>
  <c r="B374" i="7"/>
  <c r="B376" i="7"/>
  <c r="B377" i="7"/>
  <c r="B378" i="7"/>
  <c r="B379" i="7"/>
  <c r="B380" i="7"/>
  <c r="B381" i="7"/>
  <c r="B382" i="7"/>
  <c r="B383" i="7"/>
  <c r="B384" i="7"/>
  <c r="B385" i="7"/>
  <c r="B386" i="7"/>
  <c r="B388" i="7"/>
  <c r="B389" i="7"/>
  <c r="B390" i="7"/>
  <c r="B391" i="7"/>
  <c r="B392" i="7"/>
  <c r="B393" i="7"/>
  <c r="B394" i="7"/>
  <c r="B395" i="7"/>
  <c r="B396" i="7"/>
  <c r="B397" i="7"/>
  <c r="B398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4" i="7"/>
  <c r="B425" i="7"/>
  <c r="B426" i="7"/>
  <c r="B427" i="7"/>
  <c r="B428" i="7"/>
  <c r="B429" i="7"/>
  <c r="B430" i="7"/>
  <c r="B431" i="7"/>
  <c r="B432" i="7"/>
  <c r="B433" i="7"/>
  <c r="B434" i="7"/>
  <c r="D4" i="5"/>
  <c r="AQ4" i="5"/>
  <c r="AR4" i="5"/>
  <c r="AQ5" i="5"/>
  <c r="AR5" i="5"/>
  <c r="D6" i="5"/>
  <c r="AQ6" i="5"/>
  <c r="AR6" i="5"/>
  <c r="D7" i="5"/>
  <c r="W7" i="5"/>
  <c r="AE7" i="5"/>
  <c r="AQ7" i="5"/>
  <c r="AR7" i="5"/>
  <c r="D8" i="5"/>
  <c r="AQ8" i="5"/>
  <c r="AR8" i="5"/>
  <c r="D9" i="5"/>
  <c r="AQ9" i="5"/>
  <c r="AR9" i="5"/>
  <c r="AQ10" i="5"/>
  <c r="AR10" i="5"/>
  <c r="AQ11" i="5"/>
  <c r="AR11" i="5"/>
  <c r="AQ12" i="5"/>
  <c r="AR12" i="5"/>
  <c r="D13" i="5"/>
  <c r="E13" i="5"/>
  <c r="F13" i="5"/>
  <c r="G13" i="5"/>
  <c r="H13" i="5"/>
  <c r="I13" i="5"/>
  <c r="J13" i="5"/>
  <c r="L13" i="5"/>
  <c r="M13" i="5"/>
  <c r="O13" i="5"/>
  <c r="P13" i="5"/>
  <c r="R13" i="5"/>
  <c r="S13" i="5"/>
  <c r="U13" i="5"/>
  <c r="W13" i="5"/>
  <c r="Z13" i="5"/>
  <c r="AA13" i="5"/>
  <c r="AB13" i="5"/>
  <c r="AC13" i="5"/>
  <c r="AD13" i="5"/>
  <c r="AE13" i="5"/>
  <c r="AG13" i="5"/>
  <c r="AH13" i="5"/>
  <c r="AI13" i="5"/>
  <c r="AK13" i="5"/>
  <c r="AN13" i="5"/>
  <c r="AQ13" i="5"/>
  <c r="AR13" i="5"/>
  <c r="AX13" i="5"/>
  <c r="AY13" i="5"/>
  <c r="AZ13" i="5"/>
  <c r="BB13" i="5"/>
  <c r="BC13" i="5"/>
  <c r="BD13" i="5"/>
  <c r="BF13" i="5"/>
  <c r="BG13" i="5"/>
  <c r="BI13" i="5"/>
  <c r="BJ13" i="5"/>
  <c r="D14" i="5"/>
  <c r="E14" i="5"/>
  <c r="F14" i="5"/>
  <c r="G14" i="5"/>
  <c r="H14" i="5"/>
  <c r="I14" i="5"/>
  <c r="J14" i="5"/>
  <c r="L14" i="5"/>
  <c r="M14" i="5"/>
  <c r="O14" i="5"/>
  <c r="P14" i="5"/>
  <c r="R14" i="5"/>
  <c r="S14" i="5"/>
  <c r="U14" i="5"/>
  <c r="W14" i="5"/>
  <c r="Z14" i="5"/>
  <c r="AA14" i="5"/>
  <c r="AB14" i="5"/>
  <c r="AC14" i="5"/>
  <c r="AD14" i="5"/>
  <c r="AE14" i="5"/>
  <c r="AG14" i="5"/>
  <c r="AH14" i="5"/>
  <c r="AI14" i="5"/>
  <c r="AK14" i="5"/>
  <c r="AN14" i="5"/>
  <c r="AX14" i="5"/>
  <c r="AY14" i="5"/>
  <c r="AZ14" i="5"/>
  <c r="BB14" i="5"/>
  <c r="BC14" i="5"/>
  <c r="BD14" i="5"/>
  <c r="BF14" i="5"/>
  <c r="BG14" i="5"/>
  <c r="BI14" i="5"/>
  <c r="BJ14" i="5"/>
  <c r="D15" i="5"/>
  <c r="E15" i="5"/>
  <c r="F15" i="5"/>
  <c r="G15" i="5"/>
  <c r="H15" i="5"/>
  <c r="I15" i="5"/>
  <c r="J15" i="5"/>
  <c r="L15" i="5"/>
  <c r="M15" i="5"/>
  <c r="O15" i="5"/>
  <c r="P15" i="5"/>
  <c r="R15" i="5"/>
  <c r="S15" i="5"/>
  <c r="U15" i="5"/>
  <c r="W15" i="5"/>
  <c r="Z15" i="5"/>
  <c r="AA15" i="5"/>
  <c r="AB15" i="5"/>
  <c r="AC15" i="5"/>
  <c r="AD15" i="5"/>
  <c r="AE15" i="5"/>
  <c r="AG15" i="5"/>
  <c r="AH15" i="5"/>
  <c r="AI15" i="5"/>
  <c r="AK15" i="5"/>
  <c r="AN15" i="5"/>
  <c r="AQ15" i="5"/>
  <c r="AX15" i="5"/>
  <c r="AY15" i="5"/>
  <c r="AZ15" i="5"/>
  <c r="BB15" i="5"/>
  <c r="BC15" i="5"/>
  <c r="BD15" i="5"/>
  <c r="BF15" i="5"/>
  <c r="BG15" i="5"/>
  <c r="BI15" i="5"/>
  <c r="BJ15" i="5"/>
  <c r="D16" i="5"/>
  <c r="E16" i="5"/>
  <c r="F16" i="5"/>
  <c r="G16" i="5"/>
  <c r="H16" i="5"/>
  <c r="I16" i="5"/>
  <c r="J16" i="5"/>
  <c r="L16" i="5"/>
  <c r="M16" i="5"/>
  <c r="O16" i="5"/>
  <c r="P16" i="5"/>
  <c r="R16" i="5"/>
  <c r="S16" i="5"/>
  <c r="U16" i="5"/>
  <c r="W16" i="5"/>
  <c r="Z16" i="5"/>
  <c r="AA16" i="5"/>
  <c r="AB16" i="5"/>
  <c r="AC16" i="5"/>
  <c r="AD16" i="5"/>
  <c r="AE16" i="5"/>
  <c r="AG16" i="5"/>
  <c r="AH16" i="5"/>
  <c r="AI16" i="5"/>
  <c r="AK16" i="5"/>
  <c r="AN16" i="5"/>
  <c r="AQ16" i="5"/>
  <c r="AX16" i="5"/>
  <c r="AY16" i="5"/>
  <c r="AZ16" i="5"/>
  <c r="BB16" i="5"/>
  <c r="BC16" i="5"/>
  <c r="BD16" i="5"/>
  <c r="BF16" i="5"/>
  <c r="BG16" i="5"/>
  <c r="BI16" i="5"/>
  <c r="BJ16" i="5"/>
  <c r="D17" i="5"/>
  <c r="E17" i="5"/>
  <c r="F17" i="5"/>
  <c r="G17" i="5"/>
  <c r="H17" i="5"/>
  <c r="I17" i="5"/>
  <c r="J17" i="5"/>
  <c r="L17" i="5"/>
  <c r="M17" i="5"/>
  <c r="O17" i="5"/>
  <c r="P17" i="5"/>
  <c r="R17" i="5"/>
  <c r="S17" i="5"/>
  <c r="U17" i="5"/>
  <c r="W17" i="5"/>
  <c r="Z17" i="5"/>
  <c r="AA17" i="5"/>
  <c r="AB17" i="5"/>
  <c r="AC17" i="5"/>
  <c r="AD17" i="5"/>
  <c r="AE17" i="5"/>
  <c r="AG17" i="5"/>
  <c r="AH17" i="5"/>
  <c r="AI17" i="5"/>
  <c r="AK17" i="5"/>
  <c r="AN17" i="5"/>
  <c r="AQ17" i="5"/>
  <c r="AX17" i="5"/>
  <c r="AY17" i="5"/>
  <c r="AZ17" i="5"/>
  <c r="BB17" i="5"/>
  <c r="BC17" i="5"/>
  <c r="BD17" i="5"/>
  <c r="BF17" i="5"/>
  <c r="BG17" i="5"/>
  <c r="BI17" i="5"/>
  <c r="BJ17" i="5"/>
  <c r="D18" i="5"/>
  <c r="E18" i="5"/>
  <c r="F18" i="5"/>
  <c r="G18" i="5"/>
  <c r="H18" i="5"/>
  <c r="I18" i="5"/>
  <c r="J18" i="5"/>
  <c r="L18" i="5"/>
  <c r="M18" i="5"/>
  <c r="O18" i="5"/>
  <c r="P18" i="5"/>
  <c r="R18" i="5"/>
  <c r="S18" i="5"/>
  <c r="U18" i="5"/>
  <c r="W18" i="5"/>
  <c r="Z18" i="5"/>
  <c r="AA18" i="5"/>
  <c r="AB18" i="5"/>
  <c r="AC18" i="5"/>
  <c r="AD18" i="5"/>
  <c r="AE18" i="5"/>
  <c r="AG18" i="5"/>
  <c r="AH18" i="5"/>
  <c r="AI18" i="5"/>
  <c r="AK18" i="5"/>
  <c r="AN18" i="5"/>
  <c r="AX18" i="5"/>
  <c r="AY18" i="5"/>
  <c r="AZ18" i="5"/>
  <c r="BB18" i="5"/>
  <c r="BC18" i="5"/>
  <c r="BD18" i="5"/>
  <c r="BF18" i="5"/>
  <c r="BG18" i="5"/>
  <c r="BI18" i="5"/>
  <c r="BJ18" i="5"/>
  <c r="D19" i="5"/>
  <c r="E19" i="5"/>
  <c r="F19" i="5"/>
  <c r="G19" i="5"/>
  <c r="H19" i="5"/>
  <c r="I19" i="5"/>
  <c r="J19" i="5"/>
  <c r="L19" i="5"/>
  <c r="M19" i="5"/>
  <c r="O19" i="5"/>
  <c r="P19" i="5"/>
  <c r="R19" i="5"/>
  <c r="S19" i="5"/>
  <c r="U19" i="5"/>
  <c r="W19" i="5"/>
  <c r="Z19" i="5"/>
  <c r="AA19" i="5"/>
  <c r="AB19" i="5"/>
  <c r="AC19" i="5"/>
  <c r="AD19" i="5"/>
  <c r="AE19" i="5"/>
  <c r="AG19" i="5"/>
  <c r="AH19" i="5"/>
  <c r="AI19" i="5"/>
  <c r="AK19" i="5"/>
  <c r="AN19" i="5"/>
  <c r="AX19" i="5"/>
  <c r="AY19" i="5"/>
  <c r="AZ19" i="5"/>
  <c r="BB19" i="5"/>
  <c r="BC19" i="5"/>
  <c r="BD19" i="5"/>
  <c r="BF19" i="5"/>
  <c r="BG19" i="5"/>
  <c r="BI19" i="5"/>
  <c r="BJ19" i="5"/>
  <c r="D20" i="5"/>
  <c r="E20" i="5"/>
  <c r="F20" i="5"/>
  <c r="G20" i="5"/>
  <c r="H20" i="5"/>
  <c r="I20" i="5"/>
  <c r="J20" i="5"/>
  <c r="L20" i="5"/>
  <c r="M20" i="5"/>
  <c r="O20" i="5"/>
  <c r="P20" i="5"/>
  <c r="R20" i="5"/>
  <c r="S20" i="5"/>
  <c r="U20" i="5"/>
  <c r="W20" i="5"/>
  <c r="Z20" i="5"/>
  <c r="AA20" i="5"/>
  <c r="AB20" i="5"/>
  <c r="AC20" i="5"/>
  <c r="AD20" i="5"/>
  <c r="AE20" i="5"/>
  <c r="AG20" i="5"/>
  <c r="AH20" i="5"/>
  <c r="AI20" i="5"/>
  <c r="AK20" i="5"/>
  <c r="AN20" i="5"/>
  <c r="AX20" i="5"/>
  <c r="AY20" i="5"/>
  <c r="AZ20" i="5"/>
  <c r="BB20" i="5"/>
  <c r="BC20" i="5"/>
  <c r="BD20" i="5"/>
  <c r="BF20" i="5"/>
  <c r="BG20" i="5"/>
  <c r="BI20" i="5"/>
  <c r="BJ20" i="5"/>
  <c r="D21" i="5"/>
  <c r="E21" i="5"/>
  <c r="F21" i="5"/>
  <c r="G21" i="5"/>
  <c r="H21" i="5"/>
  <c r="I21" i="5"/>
  <c r="J21" i="5"/>
  <c r="L21" i="5"/>
  <c r="M21" i="5"/>
  <c r="O21" i="5"/>
  <c r="P21" i="5"/>
  <c r="R21" i="5"/>
  <c r="S21" i="5"/>
  <c r="U21" i="5"/>
  <c r="W21" i="5"/>
  <c r="Z21" i="5"/>
  <c r="AA21" i="5"/>
  <c r="AB21" i="5"/>
  <c r="AC21" i="5"/>
  <c r="AD21" i="5"/>
  <c r="AE21" i="5"/>
  <c r="AG21" i="5"/>
  <c r="AH21" i="5"/>
  <c r="AI21" i="5"/>
  <c r="AK21" i="5"/>
  <c r="AN21" i="5"/>
  <c r="AX21" i="5"/>
  <c r="AY21" i="5"/>
  <c r="AZ21" i="5"/>
  <c r="BB21" i="5"/>
  <c r="BC21" i="5"/>
  <c r="BD21" i="5"/>
  <c r="BF21" i="5"/>
  <c r="BG21" i="5"/>
  <c r="BI21" i="5"/>
  <c r="BJ21" i="5"/>
  <c r="D22" i="5"/>
  <c r="E22" i="5"/>
  <c r="F22" i="5"/>
  <c r="G22" i="5"/>
  <c r="H22" i="5"/>
  <c r="I22" i="5"/>
  <c r="J22" i="5"/>
  <c r="L22" i="5"/>
  <c r="M22" i="5"/>
  <c r="O22" i="5"/>
  <c r="P22" i="5"/>
  <c r="R22" i="5"/>
  <c r="S22" i="5"/>
  <c r="U22" i="5"/>
  <c r="W22" i="5"/>
  <c r="Z22" i="5"/>
  <c r="AA22" i="5"/>
  <c r="AB22" i="5"/>
  <c r="AC22" i="5"/>
  <c r="AD22" i="5"/>
  <c r="AE22" i="5"/>
  <c r="AG22" i="5"/>
  <c r="AH22" i="5"/>
  <c r="AI22" i="5"/>
  <c r="AK22" i="5"/>
  <c r="AN22" i="5"/>
  <c r="AX22" i="5"/>
  <c r="AY22" i="5"/>
  <c r="AZ22" i="5"/>
  <c r="BB22" i="5"/>
  <c r="BC22" i="5"/>
  <c r="BD22" i="5"/>
  <c r="BF22" i="5"/>
  <c r="BG22" i="5"/>
  <c r="BI22" i="5"/>
  <c r="BJ22" i="5"/>
  <c r="D23" i="5"/>
  <c r="E23" i="5"/>
  <c r="F23" i="5"/>
  <c r="G23" i="5"/>
  <c r="H23" i="5"/>
  <c r="I23" i="5"/>
  <c r="J23" i="5"/>
  <c r="L23" i="5"/>
  <c r="M23" i="5"/>
  <c r="O23" i="5"/>
  <c r="P23" i="5"/>
  <c r="R23" i="5"/>
  <c r="S23" i="5"/>
  <c r="U23" i="5"/>
  <c r="W23" i="5"/>
  <c r="Z23" i="5"/>
  <c r="AA23" i="5"/>
  <c r="AB23" i="5"/>
  <c r="AC23" i="5"/>
  <c r="AD23" i="5"/>
  <c r="AE23" i="5"/>
  <c r="AG23" i="5"/>
  <c r="AH23" i="5"/>
  <c r="AI23" i="5"/>
  <c r="AK23" i="5"/>
  <c r="AN23" i="5"/>
  <c r="AQ23" i="5"/>
  <c r="AR23" i="5"/>
  <c r="AX23" i="5"/>
  <c r="AY23" i="5"/>
  <c r="AZ23" i="5"/>
  <c r="BB23" i="5"/>
  <c r="BC23" i="5"/>
  <c r="BD23" i="5"/>
  <c r="BF23" i="5"/>
  <c r="BG23" i="5"/>
  <c r="BI23" i="5"/>
  <c r="BJ23" i="5"/>
  <c r="D24" i="5"/>
  <c r="E24" i="5"/>
  <c r="F24" i="5"/>
  <c r="G24" i="5"/>
  <c r="H24" i="5"/>
  <c r="I24" i="5"/>
  <c r="J24" i="5"/>
  <c r="L24" i="5"/>
  <c r="M24" i="5"/>
  <c r="O24" i="5"/>
  <c r="P24" i="5"/>
  <c r="R24" i="5"/>
  <c r="S24" i="5"/>
  <c r="U24" i="5"/>
  <c r="W24" i="5"/>
  <c r="Z24" i="5"/>
  <c r="AA24" i="5"/>
  <c r="AB24" i="5"/>
  <c r="AC24" i="5"/>
  <c r="AD24" i="5"/>
  <c r="AE24" i="5"/>
  <c r="AG24" i="5"/>
  <c r="AH24" i="5"/>
  <c r="AI24" i="5"/>
  <c r="AK24" i="5"/>
  <c r="AN24" i="5"/>
  <c r="AQ24" i="5"/>
  <c r="AR24" i="5"/>
  <c r="AX24" i="5"/>
  <c r="AY24" i="5"/>
  <c r="AZ24" i="5"/>
  <c r="BB24" i="5"/>
  <c r="BC24" i="5"/>
  <c r="BD24" i="5"/>
  <c r="BF24" i="5"/>
  <c r="BG24" i="5"/>
  <c r="BI24" i="5"/>
  <c r="BJ24" i="5"/>
  <c r="D25" i="5"/>
  <c r="E25" i="5"/>
  <c r="F25" i="5"/>
  <c r="G25" i="5"/>
  <c r="H25" i="5"/>
  <c r="I25" i="5"/>
  <c r="J25" i="5"/>
  <c r="L25" i="5"/>
  <c r="M25" i="5"/>
  <c r="O25" i="5"/>
  <c r="P25" i="5"/>
  <c r="R25" i="5"/>
  <c r="S25" i="5"/>
  <c r="U25" i="5"/>
  <c r="W25" i="5"/>
  <c r="Z25" i="5"/>
  <c r="AA25" i="5"/>
  <c r="AB25" i="5"/>
  <c r="AC25" i="5"/>
  <c r="AD25" i="5"/>
  <c r="AE25" i="5"/>
  <c r="AG25" i="5"/>
  <c r="AH25" i="5"/>
  <c r="AI25" i="5"/>
  <c r="AK25" i="5"/>
  <c r="AN25" i="5"/>
  <c r="AQ25" i="5"/>
  <c r="AR25" i="5"/>
  <c r="AX25" i="5"/>
  <c r="AY25" i="5"/>
  <c r="AZ25" i="5"/>
  <c r="BB25" i="5"/>
  <c r="BC25" i="5"/>
  <c r="BD25" i="5"/>
  <c r="BF25" i="5"/>
  <c r="BG25" i="5"/>
  <c r="BI25" i="5"/>
  <c r="BJ25" i="5"/>
  <c r="D26" i="5"/>
  <c r="E26" i="5"/>
  <c r="F26" i="5"/>
  <c r="G26" i="5"/>
  <c r="H26" i="5"/>
  <c r="I26" i="5"/>
  <c r="J26" i="5"/>
  <c r="L26" i="5"/>
  <c r="M26" i="5"/>
  <c r="O26" i="5"/>
  <c r="P26" i="5"/>
  <c r="R26" i="5"/>
  <c r="S26" i="5"/>
  <c r="U26" i="5"/>
  <c r="W26" i="5"/>
  <c r="Z26" i="5"/>
  <c r="AA26" i="5"/>
  <c r="AB26" i="5"/>
  <c r="AC26" i="5"/>
  <c r="AD26" i="5"/>
  <c r="AE26" i="5"/>
  <c r="AG26" i="5"/>
  <c r="AH26" i="5"/>
  <c r="AI26" i="5"/>
  <c r="AK26" i="5"/>
  <c r="AN26" i="5"/>
  <c r="AQ26" i="5"/>
  <c r="AR26" i="5"/>
  <c r="AX26" i="5"/>
  <c r="AY26" i="5"/>
  <c r="AZ26" i="5"/>
  <c r="BB26" i="5"/>
  <c r="BC26" i="5"/>
  <c r="BD26" i="5"/>
  <c r="BF26" i="5"/>
  <c r="BG26" i="5"/>
  <c r="BI26" i="5"/>
  <c r="BJ26" i="5"/>
  <c r="D27" i="5"/>
  <c r="E27" i="5"/>
  <c r="F27" i="5"/>
  <c r="G27" i="5"/>
  <c r="H27" i="5"/>
  <c r="I27" i="5"/>
  <c r="J27" i="5"/>
  <c r="L27" i="5"/>
  <c r="M27" i="5"/>
  <c r="O27" i="5"/>
  <c r="P27" i="5"/>
  <c r="R27" i="5"/>
  <c r="S27" i="5"/>
  <c r="U27" i="5"/>
  <c r="W27" i="5"/>
  <c r="Z27" i="5"/>
  <c r="AA27" i="5"/>
  <c r="AB27" i="5"/>
  <c r="AC27" i="5"/>
  <c r="AD27" i="5"/>
  <c r="AE27" i="5"/>
  <c r="AG27" i="5"/>
  <c r="AH27" i="5"/>
  <c r="AI27" i="5"/>
  <c r="AK27" i="5"/>
  <c r="AN27" i="5"/>
  <c r="AQ27" i="5"/>
  <c r="AR27" i="5"/>
  <c r="AX27" i="5"/>
  <c r="AY27" i="5"/>
  <c r="AZ27" i="5"/>
  <c r="BB27" i="5"/>
  <c r="BC27" i="5"/>
  <c r="BD27" i="5"/>
  <c r="BF27" i="5"/>
  <c r="BG27" i="5"/>
  <c r="BI27" i="5"/>
  <c r="BJ27" i="5"/>
  <c r="D28" i="5"/>
  <c r="E28" i="5"/>
  <c r="F28" i="5"/>
  <c r="G28" i="5"/>
  <c r="H28" i="5"/>
  <c r="I28" i="5"/>
  <c r="J28" i="5"/>
  <c r="L28" i="5"/>
  <c r="M28" i="5"/>
  <c r="O28" i="5"/>
  <c r="P28" i="5"/>
  <c r="R28" i="5"/>
  <c r="S28" i="5"/>
  <c r="U28" i="5"/>
  <c r="W28" i="5"/>
  <c r="Z28" i="5"/>
  <c r="AA28" i="5"/>
  <c r="AB28" i="5"/>
  <c r="AC28" i="5"/>
  <c r="AD28" i="5"/>
  <c r="AE28" i="5"/>
  <c r="AG28" i="5"/>
  <c r="AH28" i="5"/>
  <c r="AI28" i="5"/>
  <c r="AK28" i="5"/>
  <c r="AN28" i="5"/>
  <c r="AX28" i="5"/>
  <c r="AY28" i="5"/>
  <c r="AZ28" i="5"/>
  <c r="BB28" i="5"/>
  <c r="BC28" i="5"/>
  <c r="BD28" i="5"/>
  <c r="BF28" i="5"/>
  <c r="BG28" i="5"/>
  <c r="BI28" i="5"/>
  <c r="BJ28" i="5"/>
  <c r="D29" i="5"/>
  <c r="E29" i="5"/>
  <c r="F29" i="5"/>
  <c r="G29" i="5"/>
  <c r="H29" i="5"/>
  <c r="I29" i="5"/>
  <c r="J29" i="5"/>
  <c r="L29" i="5"/>
  <c r="M29" i="5"/>
  <c r="O29" i="5"/>
  <c r="P29" i="5"/>
  <c r="R29" i="5"/>
  <c r="S29" i="5"/>
  <c r="U29" i="5"/>
  <c r="W29" i="5"/>
  <c r="Z29" i="5"/>
  <c r="AA29" i="5"/>
  <c r="AB29" i="5"/>
  <c r="AC29" i="5"/>
  <c r="AD29" i="5"/>
  <c r="AE29" i="5"/>
  <c r="AG29" i="5"/>
  <c r="AH29" i="5"/>
  <c r="AI29" i="5"/>
  <c r="AK29" i="5"/>
  <c r="AN29" i="5"/>
  <c r="AQ29" i="5"/>
  <c r="AX29" i="5"/>
  <c r="AY29" i="5"/>
  <c r="AZ29" i="5"/>
  <c r="BB29" i="5"/>
  <c r="BC29" i="5"/>
  <c r="BD29" i="5"/>
  <c r="BF29" i="5"/>
  <c r="BG29" i="5"/>
  <c r="BI29" i="5"/>
  <c r="BJ29" i="5"/>
  <c r="D30" i="5"/>
  <c r="E30" i="5"/>
  <c r="F30" i="5"/>
  <c r="G30" i="5"/>
  <c r="H30" i="5"/>
  <c r="I30" i="5"/>
  <c r="J30" i="5"/>
  <c r="L30" i="5"/>
  <c r="M30" i="5"/>
  <c r="O30" i="5"/>
  <c r="P30" i="5"/>
  <c r="R30" i="5"/>
  <c r="S30" i="5"/>
  <c r="U30" i="5"/>
  <c r="W30" i="5"/>
  <c r="Z30" i="5"/>
  <c r="AA30" i="5"/>
  <c r="AB30" i="5"/>
  <c r="AC30" i="5"/>
  <c r="AD30" i="5"/>
  <c r="AE30" i="5"/>
  <c r="AG30" i="5"/>
  <c r="AH30" i="5"/>
  <c r="AI30" i="5"/>
  <c r="AK30" i="5"/>
  <c r="AN30" i="5"/>
  <c r="AQ30" i="5"/>
  <c r="AX30" i="5"/>
  <c r="AY30" i="5"/>
  <c r="AZ30" i="5"/>
  <c r="BB30" i="5"/>
  <c r="BC30" i="5"/>
  <c r="BD30" i="5"/>
  <c r="BF30" i="5"/>
  <c r="BG30" i="5"/>
  <c r="BI30" i="5"/>
  <c r="BJ30" i="5"/>
  <c r="D31" i="5"/>
  <c r="E31" i="5"/>
  <c r="F31" i="5"/>
  <c r="G31" i="5"/>
  <c r="H31" i="5"/>
  <c r="I31" i="5"/>
  <c r="J31" i="5"/>
  <c r="L31" i="5"/>
  <c r="M31" i="5"/>
  <c r="O31" i="5"/>
  <c r="P31" i="5"/>
  <c r="R31" i="5"/>
  <c r="S31" i="5"/>
  <c r="U31" i="5"/>
  <c r="W31" i="5"/>
  <c r="Z31" i="5"/>
  <c r="AA31" i="5"/>
  <c r="AB31" i="5"/>
  <c r="AC31" i="5"/>
  <c r="AD31" i="5"/>
  <c r="AE31" i="5"/>
  <c r="AG31" i="5"/>
  <c r="AH31" i="5"/>
  <c r="AI31" i="5"/>
  <c r="AK31" i="5"/>
  <c r="AN31" i="5"/>
  <c r="AQ31" i="5"/>
  <c r="AX31" i="5"/>
  <c r="AY31" i="5"/>
  <c r="AZ31" i="5"/>
  <c r="BB31" i="5"/>
  <c r="BC31" i="5"/>
  <c r="BD31" i="5"/>
  <c r="BF31" i="5"/>
  <c r="BG31" i="5"/>
  <c r="BI31" i="5"/>
  <c r="BJ31" i="5"/>
  <c r="D32" i="5"/>
  <c r="E32" i="5"/>
  <c r="F32" i="5"/>
  <c r="G32" i="5"/>
  <c r="H32" i="5"/>
  <c r="I32" i="5"/>
  <c r="J32" i="5"/>
  <c r="L32" i="5"/>
  <c r="M32" i="5"/>
  <c r="O32" i="5"/>
  <c r="P32" i="5"/>
  <c r="R32" i="5"/>
  <c r="S32" i="5"/>
  <c r="U32" i="5"/>
  <c r="W32" i="5"/>
  <c r="Z32" i="5"/>
  <c r="AA32" i="5"/>
  <c r="AB32" i="5"/>
  <c r="AC32" i="5"/>
  <c r="AD32" i="5"/>
  <c r="AE32" i="5"/>
  <c r="AG32" i="5"/>
  <c r="AH32" i="5"/>
  <c r="AI32" i="5"/>
  <c r="AK32" i="5"/>
  <c r="AN32" i="5"/>
  <c r="AX32" i="5"/>
  <c r="AY32" i="5"/>
  <c r="AZ32" i="5"/>
  <c r="BB32" i="5"/>
  <c r="BC32" i="5"/>
  <c r="BD32" i="5"/>
  <c r="BF32" i="5"/>
  <c r="BG32" i="5"/>
  <c r="BI32" i="5"/>
  <c r="BJ32" i="5"/>
  <c r="D33" i="5"/>
  <c r="E33" i="5"/>
  <c r="F33" i="5"/>
  <c r="G33" i="5"/>
  <c r="H33" i="5"/>
  <c r="I33" i="5"/>
  <c r="J33" i="5"/>
  <c r="L33" i="5"/>
  <c r="M33" i="5"/>
  <c r="O33" i="5"/>
  <c r="P33" i="5"/>
  <c r="R33" i="5"/>
  <c r="S33" i="5"/>
  <c r="U33" i="5"/>
  <c r="W33" i="5"/>
  <c r="Z33" i="5"/>
  <c r="AA33" i="5"/>
  <c r="AB33" i="5"/>
  <c r="AC33" i="5"/>
  <c r="AD33" i="5"/>
  <c r="AE33" i="5"/>
  <c r="AG33" i="5"/>
  <c r="AH33" i="5"/>
  <c r="AI33" i="5"/>
  <c r="AK33" i="5"/>
  <c r="AN33" i="5"/>
  <c r="AX33" i="5"/>
  <c r="AY33" i="5"/>
  <c r="AZ33" i="5"/>
  <c r="BB33" i="5"/>
  <c r="BC33" i="5"/>
  <c r="BD33" i="5"/>
  <c r="BF33" i="5"/>
  <c r="BG33" i="5"/>
  <c r="BI33" i="5"/>
  <c r="BJ33" i="5"/>
  <c r="D34" i="5"/>
  <c r="E34" i="5"/>
  <c r="F34" i="5"/>
  <c r="G34" i="5"/>
  <c r="H34" i="5"/>
  <c r="I34" i="5"/>
  <c r="J34" i="5"/>
  <c r="L34" i="5"/>
  <c r="M34" i="5"/>
  <c r="O34" i="5"/>
  <c r="P34" i="5"/>
  <c r="R34" i="5"/>
  <c r="S34" i="5"/>
  <c r="U34" i="5"/>
  <c r="W34" i="5"/>
  <c r="Z34" i="5"/>
  <c r="AA34" i="5"/>
  <c r="AB34" i="5"/>
  <c r="AC34" i="5"/>
  <c r="AD34" i="5"/>
  <c r="AE34" i="5"/>
  <c r="AG34" i="5"/>
  <c r="AH34" i="5"/>
  <c r="AI34" i="5"/>
  <c r="AK34" i="5"/>
  <c r="AN34" i="5"/>
  <c r="AX34" i="5"/>
  <c r="AY34" i="5"/>
  <c r="AZ34" i="5"/>
  <c r="BB34" i="5"/>
  <c r="BC34" i="5"/>
  <c r="BD34" i="5"/>
  <c r="BF34" i="5"/>
  <c r="BG34" i="5"/>
  <c r="BI34" i="5"/>
  <c r="BJ34" i="5"/>
  <c r="D35" i="5"/>
  <c r="E35" i="5"/>
  <c r="F35" i="5"/>
  <c r="G35" i="5"/>
  <c r="H35" i="5"/>
  <c r="I35" i="5"/>
  <c r="J35" i="5"/>
  <c r="L35" i="5"/>
  <c r="M35" i="5"/>
  <c r="O35" i="5"/>
  <c r="P35" i="5"/>
  <c r="R35" i="5"/>
  <c r="S35" i="5"/>
  <c r="U35" i="5"/>
  <c r="W35" i="5"/>
  <c r="Z35" i="5"/>
  <c r="AA35" i="5"/>
  <c r="AB35" i="5"/>
  <c r="AC35" i="5"/>
  <c r="AD35" i="5"/>
  <c r="AE35" i="5"/>
  <c r="AG35" i="5"/>
  <c r="AH35" i="5"/>
  <c r="AI35" i="5"/>
  <c r="AK35" i="5"/>
  <c r="AN35" i="5"/>
  <c r="AX35" i="5"/>
  <c r="AY35" i="5"/>
  <c r="AZ35" i="5"/>
  <c r="BB35" i="5"/>
  <c r="BC35" i="5"/>
  <c r="BD35" i="5"/>
  <c r="BF35" i="5"/>
  <c r="BG35" i="5"/>
  <c r="BI35" i="5"/>
  <c r="BJ35" i="5"/>
  <c r="D36" i="5"/>
  <c r="E36" i="5"/>
  <c r="F36" i="5"/>
  <c r="G36" i="5"/>
  <c r="H36" i="5"/>
  <c r="I36" i="5"/>
  <c r="J36" i="5"/>
  <c r="L36" i="5"/>
  <c r="M36" i="5"/>
  <c r="O36" i="5"/>
  <c r="P36" i="5"/>
  <c r="R36" i="5"/>
  <c r="S36" i="5"/>
  <c r="U36" i="5"/>
  <c r="W36" i="5"/>
  <c r="Z36" i="5"/>
  <c r="AA36" i="5"/>
  <c r="AB36" i="5"/>
  <c r="AC36" i="5"/>
  <c r="AD36" i="5"/>
  <c r="AE36" i="5"/>
  <c r="AG36" i="5"/>
  <c r="AH36" i="5"/>
  <c r="AI36" i="5"/>
  <c r="AK36" i="5"/>
  <c r="AN36" i="5"/>
  <c r="AX36" i="5"/>
  <c r="AY36" i="5"/>
  <c r="AZ36" i="5"/>
  <c r="BB36" i="5"/>
  <c r="BC36" i="5"/>
  <c r="BD36" i="5"/>
  <c r="BF36" i="5"/>
  <c r="BG36" i="5"/>
  <c r="BI36" i="5"/>
  <c r="BJ36" i="5"/>
  <c r="D37" i="5"/>
  <c r="E37" i="5"/>
  <c r="F37" i="5"/>
  <c r="G37" i="5"/>
  <c r="H37" i="5"/>
  <c r="I37" i="5"/>
  <c r="J37" i="5"/>
  <c r="L37" i="5"/>
  <c r="M37" i="5"/>
  <c r="O37" i="5"/>
  <c r="P37" i="5"/>
  <c r="R37" i="5"/>
  <c r="S37" i="5"/>
  <c r="U37" i="5"/>
  <c r="W37" i="5"/>
  <c r="Z37" i="5"/>
  <c r="AA37" i="5"/>
  <c r="AB37" i="5"/>
  <c r="AC37" i="5"/>
  <c r="AD37" i="5"/>
  <c r="AE37" i="5"/>
  <c r="AG37" i="5"/>
  <c r="AH37" i="5"/>
  <c r="AI37" i="5"/>
  <c r="AK37" i="5"/>
  <c r="AN37" i="5"/>
  <c r="AX37" i="5"/>
  <c r="AY37" i="5"/>
  <c r="AZ37" i="5"/>
  <c r="BB37" i="5"/>
  <c r="BC37" i="5"/>
  <c r="BD37" i="5"/>
  <c r="BF37" i="5"/>
  <c r="BG37" i="5"/>
  <c r="BI37" i="5"/>
  <c r="BJ37" i="5"/>
  <c r="D38" i="5"/>
  <c r="E38" i="5"/>
  <c r="F38" i="5"/>
  <c r="G38" i="5"/>
  <c r="H38" i="5"/>
  <c r="I38" i="5"/>
  <c r="J38" i="5"/>
  <c r="L38" i="5"/>
  <c r="M38" i="5"/>
  <c r="O38" i="5"/>
  <c r="P38" i="5"/>
  <c r="R38" i="5"/>
  <c r="S38" i="5"/>
  <c r="U38" i="5"/>
  <c r="W38" i="5"/>
  <c r="Z38" i="5"/>
  <c r="AA38" i="5"/>
  <c r="AB38" i="5"/>
  <c r="AC38" i="5"/>
  <c r="AD38" i="5"/>
  <c r="AE38" i="5"/>
  <c r="AG38" i="5"/>
  <c r="AH38" i="5"/>
  <c r="AI38" i="5"/>
  <c r="AK38" i="5"/>
  <c r="AN38" i="5"/>
  <c r="AX38" i="5"/>
  <c r="AY38" i="5"/>
  <c r="AZ38" i="5"/>
  <c r="BB38" i="5"/>
  <c r="BC38" i="5"/>
  <c r="BD38" i="5"/>
  <c r="BF38" i="5"/>
  <c r="BG38" i="5"/>
  <c r="BI38" i="5"/>
  <c r="BJ38" i="5"/>
  <c r="D39" i="5"/>
  <c r="E39" i="5"/>
  <c r="F39" i="5"/>
  <c r="G39" i="5"/>
  <c r="H39" i="5"/>
  <c r="I39" i="5"/>
  <c r="J39" i="5"/>
  <c r="L39" i="5"/>
  <c r="M39" i="5"/>
  <c r="O39" i="5"/>
  <c r="P39" i="5"/>
  <c r="R39" i="5"/>
  <c r="S39" i="5"/>
  <c r="U39" i="5"/>
  <c r="W39" i="5"/>
  <c r="Z39" i="5"/>
  <c r="AA39" i="5"/>
  <c r="AB39" i="5"/>
  <c r="AC39" i="5"/>
  <c r="AD39" i="5"/>
  <c r="AE39" i="5"/>
  <c r="AG39" i="5"/>
  <c r="AH39" i="5"/>
  <c r="AI39" i="5"/>
  <c r="AK39" i="5"/>
  <c r="AN39" i="5"/>
  <c r="AX39" i="5"/>
  <c r="AY39" i="5"/>
  <c r="AZ39" i="5"/>
  <c r="BB39" i="5"/>
  <c r="BC39" i="5"/>
  <c r="BD39" i="5"/>
  <c r="BF39" i="5"/>
  <c r="BG39" i="5"/>
  <c r="BI39" i="5"/>
  <c r="BJ39" i="5"/>
  <c r="D40" i="5"/>
  <c r="E40" i="5"/>
  <c r="F40" i="5"/>
  <c r="G40" i="5"/>
  <c r="H40" i="5"/>
  <c r="I40" i="5"/>
  <c r="J40" i="5"/>
  <c r="L40" i="5"/>
  <c r="M40" i="5"/>
  <c r="O40" i="5"/>
  <c r="P40" i="5"/>
  <c r="R40" i="5"/>
  <c r="S40" i="5"/>
  <c r="U40" i="5"/>
  <c r="W40" i="5"/>
  <c r="Z40" i="5"/>
  <c r="AA40" i="5"/>
  <c r="AB40" i="5"/>
  <c r="AC40" i="5"/>
  <c r="AD40" i="5"/>
  <c r="AE40" i="5"/>
  <c r="AG40" i="5"/>
  <c r="AH40" i="5"/>
  <c r="AI40" i="5"/>
  <c r="AK40" i="5"/>
  <c r="AN40" i="5"/>
  <c r="AX40" i="5"/>
  <c r="AY40" i="5"/>
  <c r="AZ40" i="5"/>
  <c r="BB40" i="5"/>
  <c r="BC40" i="5"/>
  <c r="BD40" i="5"/>
  <c r="BF40" i="5"/>
  <c r="BG40" i="5"/>
  <c r="BI40" i="5"/>
  <c r="BJ40" i="5"/>
  <c r="D41" i="5"/>
  <c r="E41" i="5"/>
  <c r="F41" i="5"/>
  <c r="G41" i="5"/>
  <c r="H41" i="5"/>
  <c r="I41" i="5"/>
  <c r="J41" i="5"/>
  <c r="L41" i="5"/>
  <c r="M41" i="5"/>
  <c r="O41" i="5"/>
  <c r="P41" i="5"/>
  <c r="R41" i="5"/>
  <c r="S41" i="5"/>
  <c r="U41" i="5"/>
  <c r="W41" i="5"/>
  <c r="Z41" i="5"/>
  <c r="AA41" i="5"/>
  <c r="AB41" i="5"/>
  <c r="AC41" i="5"/>
  <c r="AD41" i="5"/>
  <c r="AE41" i="5"/>
  <c r="AG41" i="5"/>
  <c r="AH41" i="5"/>
  <c r="AI41" i="5"/>
  <c r="AK41" i="5"/>
  <c r="AN41" i="5"/>
  <c r="AX41" i="5"/>
  <c r="AY41" i="5"/>
  <c r="AZ41" i="5"/>
  <c r="BB41" i="5"/>
  <c r="BC41" i="5"/>
  <c r="BD41" i="5"/>
  <c r="BF41" i="5"/>
  <c r="BG41" i="5"/>
  <c r="BI41" i="5"/>
  <c r="BJ41" i="5"/>
  <c r="D42" i="5"/>
  <c r="E42" i="5"/>
  <c r="F42" i="5"/>
  <c r="G42" i="5"/>
  <c r="H42" i="5"/>
  <c r="I42" i="5"/>
  <c r="J42" i="5"/>
  <c r="L42" i="5"/>
  <c r="M42" i="5"/>
  <c r="O42" i="5"/>
  <c r="P42" i="5"/>
  <c r="R42" i="5"/>
  <c r="S42" i="5"/>
  <c r="U42" i="5"/>
  <c r="W42" i="5"/>
  <c r="Z42" i="5"/>
  <c r="AA42" i="5"/>
  <c r="AB42" i="5"/>
  <c r="AC42" i="5"/>
  <c r="AD42" i="5"/>
  <c r="AE42" i="5"/>
  <c r="AG42" i="5"/>
  <c r="AH42" i="5"/>
  <c r="AI42" i="5"/>
  <c r="AK42" i="5"/>
  <c r="AN42" i="5"/>
  <c r="AX42" i="5"/>
  <c r="AY42" i="5"/>
  <c r="AZ42" i="5"/>
  <c r="BB42" i="5"/>
  <c r="BC42" i="5"/>
  <c r="BD42" i="5"/>
  <c r="BF42" i="5"/>
  <c r="BG42" i="5"/>
  <c r="BI42" i="5"/>
  <c r="BJ42" i="5"/>
  <c r="D43" i="5"/>
  <c r="E43" i="5"/>
  <c r="F43" i="5"/>
  <c r="G43" i="5"/>
  <c r="H43" i="5"/>
  <c r="I43" i="5"/>
  <c r="J43" i="5"/>
  <c r="L43" i="5"/>
  <c r="M43" i="5"/>
  <c r="O43" i="5"/>
  <c r="P43" i="5"/>
  <c r="R43" i="5"/>
  <c r="S43" i="5"/>
  <c r="U43" i="5"/>
  <c r="W43" i="5"/>
  <c r="Z43" i="5"/>
  <c r="AA43" i="5"/>
  <c r="AB43" i="5"/>
  <c r="AC43" i="5"/>
  <c r="AD43" i="5"/>
  <c r="AE43" i="5"/>
  <c r="AG43" i="5"/>
  <c r="AH43" i="5"/>
  <c r="AI43" i="5"/>
  <c r="AK43" i="5"/>
  <c r="AN43" i="5"/>
  <c r="AX43" i="5"/>
  <c r="AY43" i="5"/>
  <c r="AZ43" i="5"/>
  <c r="BB43" i="5"/>
  <c r="BC43" i="5"/>
  <c r="BD43" i="5"/>
  <c r="BF43" i="5"/>
  <c r="BG43" i="5"/>
  <c r="BI43" i="5"/>
  <c r="BJ43" i="5"/>
  <c r="D44" i="5"/>
  <c r="E44" i="5"/>
  <c r="F44" i="5"/>
  <c r="G44" i="5"/>
  <c r="H44" i="5"/>
  <c r="I44" i="5"/>
  <c r="J44" i="5"/>
  <c r="L44" i="5"/>
  <c r="M44" i="5"/>
  <c r="O44" i="5"/>
  <c r="P44" i="5"/>
  <c r="R44" i="5"/>
  <c r="S44" i="5"/>
  <c r="U44" i="5"/>
  <c r="W44" i="5"/>
  <c r="Z44" i="5"/>
  <c r="AA44" i="5"/>
  <c r="AB44" i="5"/>
  <c r="AC44" i="5"/>
  <c r="AD44" i="5"/>
  <c r="AE44" i="5"/>
  <c r="AG44" i="5"/>
  <c r="AH44" i="5"/>
  <c r="AI44" i="5"/>
  <c r="AK44" i="5"/>
  <c r="AN44" i="5"/>
  <c r="AX44" i="5"/>
  <c r="AY44" i="5"/>
  <c r="AZ44" i="5"/>
  <c r="BB44" i="5"/>
  <c r="BC44" i="5"/>
  <c r="BD44" i="5"/>
  <c r="BF44" i="5"/>
  <c r="BG44" i="5"/>
  <c r="BI44" i="5"/>
  <c r="BJ44" i="5"/>
  <c r="D45" i="5"/>
  <c r="E45" i="5"/>
  <c r="F45" i="5"/>
  <c r="G45" i="5"/>
  <c r="H45" i="5"/>
  <c r="I45" i="5"/>
  <c r="J45" i="5"/>
  <c r="L45" i="5"/>
  <c r="M45" i="5"/>
  <c r="O45" i="5"/>
  <c r="P45" i="5"/>
  <c r="R45" i="5"/>
  <c r="S45" i="5"/>
  <c r="U45" i="5"/>
  <c r="W45" i="5"/>
  <c r="Z45" i="5"/>
  <c r="AA45" i="5"/>
  <c r="AB45" i="5"/>
  <c r="AC45" i="5"/>
  <c r="AD45" i="5"/>
  <c r="AE45" i="5"/>
  <c r="AG45" i="5"/>
  <c r="AH45" i="5"/>
  <c r="AI45" i="5"/>
  <c r="AK45" i="5"/>
  <c r="AN45" i="5"/>
  <c r="AX45" i="5"/>
  <c r="AY45" i="5"/>
  <c r="AZ45" i="5"/>
  <c r="BB45" i="5"/>
  <c r="BC45" i="5"/>
  <c r="BD45" i="5"/>
  <c r="BF45" i="5"/>
  <c r="BG45" i="5"/>
  <c r="BI45" i="5"/>
  <c r="BJ45" i="5"/>
  <c r="D46" i="5"/>
  <c r="E46" i="5"/>
  <c r="F46" i="5"/>
  <c r="G46" i="5"/>
  <c r="H46" i="5"/>
  <c r="I46" i="5"/>
  <c r="J46" i="5"/>
  <c r="L46" i="5"/>
  <c r="M46" i="5"/>
  <c r="O46" i="5"/>
  <c r="P46" i="5"/>
  <c r="R46" i="5"/>
  <c r="S46" i="5"/>
  <c r="U46" i="5"/>
  <c r="W46" i="5"/>
  <c r="Z46" i="5"/>
  <c r="AA46" i="5"/>
  <c r="AB46" i="5"/>
  <c r="AC46" i="5"/>
  <c r="AD46" i="5"/>
  <c r="AE46" i="5"/>
  <c r="AG46" i="5"/>
  <c r="AH46" i="5"/>
  <c r="AI46" i="5"/>
  <c r="AK46" i="5"/>
  <c r="AN46" i="5"/>
  <c r="AX46" i="5"/>
  <c r="AY46" i="5"/>
  <c r="AZ46" i="5"/>
  <c r="BB46" i="5"/>
  <c r="BC46" i="5"/>
  <c r="BD46" i="5"/>
  <c r="BF46" i="5"/>
  <c r="BG46" i="5"/>
  <c r="BI46" i="5"/>
  <c r="BJ46" i="5"/>
  <c r="D47" i="5"/>
  <c r="E47" i="5"/>
  <c r="F47" i="5"/>
  <c r="G47" i="5"/>
  <c r="H47" i="5"/>
  <c r="I47" i="5"/>
  <c r="J47" i="5"/>
  <c r="L47" i="5"/>
  <c r="M47" i="5"/>
  <c r="O47" i="5"/>
  <c r="P47" i="5"/>
  <c r="R47" i="5"/>
  <c r="S47" i="5"/>
  <c r="U47" i="5"/>
  <c r="W47" i="5"/>
  <c r="Z47" i="5"/>
  <c r="AA47" i="5"/>
  <c r="AB47" i="5"/>
  <c r="AC47" i="5"/>
  <c r="AD47" i="5"/>
  <c r="AE47" i="5"/>
  <c r="AG47" i="5"/>
  <c r="AH47" i="5"/>
  <c r="AI47" i="5"/>
  <c r="AK47" i="5"/>
  <c r="AN47" i="5"/>
  <c r="AX47" i="5"/>
  <c r="AY47" i="5"/>
  <c r="AZ47" i="5"/>
  <c r="BB47" i="5"/>
  <c r="BC47" i="5"/>
  <c r="BD47" i="5"/>
  <c r="BF47" i="5"/>
  <c r="BG47" i="5"/>
  <c r="BI47" i="5"/>
  <c r="BJ47" i="5"/>
  <c r="D48" i="5"/>
  <c r="E48" i="5"/>
  <c r="F48" i="5"/>
  <c r="G48" i="5"/>
  <c r="H48" i="5"/>
  <c r="I48" i="5"/>
  <c r="J48" i="5"/>
  <c r="L48" i="5"/>
  <c r="M48" i="5"/>
  <c r="O48" i="5"/>
  <c r="P48" i="5"/>
  <c r="R48" i="5"/>
  <c r="S48" i="5"/>
  <c r="U48" i="5"/>
  <c r="W48" i="5"/>
  <c r="Z48" i="5"/>
  <c r="AA48" i="5"/>
  <c r="AB48" i="5"/>
  <c r="AC48" i="5"/>
  <c r="AD48" i="5"/>
  <c r="AE48" i="5"/>
  <c r="AG48" i="5"/>
  <c r="AH48" i="5"/>
  <c r="AI48" i="5"/>
  <c r="AK48" i="5"/>
  <c r="AN48" i="5"/>
  <c r="AX48" i="5"/>
  <c r="AY48" i="5"/>
  <c r="AZ48" i="5"/>
  <c r="BB48" i="5"/>
  <c r="BC48" i="5"/>
  <c r="BD48" i="5"/>
  <c r="BF48" i="5"/>
  <c r="BG48" i="5"/>
  <c r="BI48" i="5"/>
  <c r="BJ48" i="5"/>
  <c r="D49" i="5"/>
  <c r="E49" i="5"/>
  <c r="F49" i="5"/>
  <c r="G49" i="5"/>
  <c r="H49" i="5"/>
  <c r="I49" i="5"/>
  <c r="J49" i="5"/>
  <c r="L49" i="5"/>
  <c r="M49" i="5"/>
  <c r="O49" i="5"/>
  <c r="P49" i="5"/>
  <c r="R49" i="5"/>
  <c r="S49" i="5"/>
  <c r="U49" i="5"/>
  <c r="W49" i="5"/>
  <c r="Z49" i="5"/>
  <c r="AA49" i="5"/>
  <c r="AB49" i="5"/>
  <c r="AC49" i="5"/>
  <c r="AD49" i="5"/>
  <c r="AE49" i="5"/>
  <c r="AG49" i="5"/>
  <c r="AH49" i="5"/>
  <c r="AI49" i="5"/>
  <c r="AK49" i="5"/>
  <c r="AN49" i="5"/>
  <c r="AX49" i="5"/>
  <c r="AY49" i="5"/>
  <c r="AZ49" i="5"/>
  <c r="BB49" i="5"/>
  <c r="BC49" i="5"/>
  <c r="BD49" i="5"/>
  <c r="BF49" i="5"/>
  <c r="BG49" i="5"/>
  <c r="BI49" i="5"/>
  <c r="BJ49" i="5"/>
  <c r="D50" i="5"/>
  <c r="E50" i="5"/>
  <c r="F50" i="5"/>
  <c r="G50" i="5"/>
  <c r="H50" i="5"/>
  <c r="I50" i="5"/>
  <c r="J50" i="5"/>
  <c r="L50" i="5"/>
  <c r="M50" i="5"/>
  <c r="O50" i="5"/>
  <c r="P50" i="5"/>
  <c r="R50" i="5"/>
  <c r="S50" i="5"/>
  <c r="U50" i="5"/>
  <c r="W50" i="5"/>
  <c r="Z50" i="5"/>
  <c r="AA50" i="5"/>
  <c r="AB50" i="5"/>
  <c r="AC50" i="5"/>
  <c r="AD50" i="5"/>
  <c r="AE50" i="5"/>
  <c r="AG50" i="5"/>
  <c r="AH50" i="5"/>
  <c r="AI50" i="5"/>
  <c r="AK50" i="5"/>
  <c r="AN50" i="5"/>
  <c r="AX50" i="5"/>
  <c r="AY50" i="5"/>
  <c r="AZ50" i="5"/>
  <c r="BB50" i="5"/>
  <c r="BC50" i="5"/>
  <c r="BD50" i="5"/>
  <c r="BF50" i="5"/>
  <c r="BG50" i="5"/>
  <c r="BI50" i="5"/>
  <c r="BJ50" i="5"/>
  <c r="D51" i="5"/>
  <c r="E51" i="5"/>
  <c r="F51" i="5"/>
  <c r="G51" i="5"/>
  <c r="H51" i="5"/>
  <c r="I51" i="5"/>
  <c r="J51" i="5"/>
  <c r="L51" i="5"/>
  <c r="M51" i="5"/>
  <c r="O51" i="5"/>
  <c r="P51" i="5"/>
  <c r="R51" i="5"/>
  <c r="S51" i="5"/>
  <c r="U51" i="5"/>
  <c r="W51" i="5"/>
  <c r="Z51" i="5"/>
  <c r="AA51" i="5"/>
  <c r="AB51" i="5"/>
  <c r="AC51" i="5"/>
  <c r="AD51" i="5"/>
  <c r="AE51" i="5"/>
  <c r="AG51" i="5"/>
  <c r="AH51" i="5"/>
  <c r="AI51" i="5"/>
  <c r="AK51" i="5"/>
  <c r="AN51" i="5"/>
  <c r="AX51" i="5"/>
  <c r="AY51" i="5"/>
  <c r="AZ51" i="5"/>
  <c r="BB51" i="5"/>
  <c r="BC51" i="5"/>
  <c r="BD51" i="5"/>
  <c r="BF51" i="5"/>
  <c r="BG51" i="5"/>
  <c r="BI51" i="5"/>
  <c r="BJ51" i="5"/>
  <c r="D52" i="5"/>
  <c r="E52" i="5"/>
  <c r="F52" i="5"/>
  <c r="G52" i="5"/>
  <c r="H52" i="5"/>
  <c r="I52" i="5"/>
  <c r="J52" i="5"/>
  <c r="L52" i="5"/>
  <c r="M52" i="5"/>
  <c r="O52" i="5"/>
  <c r="P52" i="5"/>
  <c r="R52" i="5"/>
  <c r="S52" i="5"/>
  <c r="U52" i="5"/>
  <c r="W52" i="5"/>
  <c r="Z52" i="5"/>
  <c r="AA52" i="5"/>
  <c r="AB52" i="5"/>
  <c r="AC52" i="5"/>
  <c r="AD52" i="5"/>
  <c r="AE52" i="5"/>
  <c r="AG52" i="5"/>
  <c r="AH52" i="5"/>
  <c r="AI52" i="5"/>
  <c r="AK52" i="5"/>
  <c r="AN52" i="5"/>
  <c r="AX52" i="5"/>
  <c r="AY52" i="5"/>
  <c r="AZ52" i="5"/>
  <c r="BB52" i="5"/>
  <c r="BC52" i="5"/>
  <c r="BD52" i="5"/>
  <c r="BF52" i="5"/>
  <c r="BG52" i="5"/>
  <c r="BI52" i="5"/>
  <c r="BJ52" i="5"/>
  <c r="D53" i="5"/>
  <c r="E53" i="5"/>
  <c r="F53" i="5"/>
  <c r="G53" i="5"/>
  <c r="H53" i="5"/>
  <c r="I53" i="5"/>
  <c r="J53" i="5"/>
  <c r="L53" i="5"/>
  <c r="M53" i="5"/>
  <c r="O53" i="5"/>
  <c r="P53" i="5"/>
  <c r="R53" i="5"/>
  <c r="S53" i="5"/>
  <c r="U53" i="5"/>
  <c r="W53" i="5"/>
  <c r="Z53" i="5"/>
  <c r="AA53" i="5"/>
  <c r="AB53" i="5"/>
  <c r="AC53" i="5"/>
  <c r="AD53" i="5"/>
  <c r="AE53" i="5"/>
  <c r="AG53" i="5"/>
  <c r="AH53" i="5"/>
  <c r="AI53" i="5"/>
  <c r="AK53" i="5"/>
  <c r="AN53" i="5"/>
  <c r="AX53" i="5"/>
  <c r="AY53" i="5"/>
  <c r="AZ53" i="5"/>
  <c r="BB53" i="5"/>
  <c r="BC53" i="5"/>
  <c r="BD53" i="5"/>
  <c r="BF53" i="5"/>
  <c r="BG53" i="5"/>
  <c r="BI53" i="5"/>
  <c r="BJ53" i="5"/>
  <c r="D54" i="5"/>
  <c r="E54" i="5"/>
  <c r="F54" i="5"/>
  <c r="G54" i="5"/>
  <c r="H54" i="5"/>
  <c r="I54" i="5"/>
  <c r="J54" i="5"/>
  <c r="L54" i="5"/>
  <c r="M54" i="5"/>
  <c r="O54" i="5"/>
  <c r="P54" i="5"/>
  <c r="R54" i="5"/>
  <c r="S54" i="5"/>
  <c r="U54" i="5"/>
  <c r="W54" i="5"/>
  <c r="Z54" i="5"/>
  <c r="AA54" i="5"/>
  <c r="AB54" i="5"/>
  <c r="AC54" i="5"/>
  <c r="AD54" i="5"/>
  <c r="AE54" i="5"/>
  <c r="AG54" i="5"/>
  <c r="AH54" i="5"/>
  <c r="AI54" i="5"/>
  <c r="AK54" i="5"/>
  <c r="AN54" i="5"/>
  <c r="AX54" i="5"/>
  <c r="AY54" i="5"/>
  <c r="AZ54" i="5"/>
  <c r="BB54" i="5"/>
  <c r="BC54" i="5"/>
  <c r="BD54" i="5"/>
  <c r="BF54" i="5"/>
  <c r="BG54" i="5"/>
  <c r="BI54" i="5"/>
  <c r="BJ54" i="5"/>
  <c r="D55" i="5"/>
  <c r="E55" i="5"/>
  <c r="F55" i="5"/>
  <c r="G55" i="5"/>
  <c r="H55" i="5"/>
  <c r="I55" i="5"/>
  <c r="J55" i="5"/>
  <c r="L55" i="5"/>
  <c r="M55" i="5"/>
  <c r="O55" i="5"/>
  <c r="P55" i="5"/>
  <c r="R55" i="5"/>
  <c r="S55" i="5"/>
  <c r="U55" i="5"/>
  <c r="W55" i="5"/>
  <c r="Z55" i="5"/>
  <c r="AA55" i="5"/>
  <c r="AB55" i="5"/>
  <c r="AC55" i="5"/>
  <c r="AD55" i="5"/>
  <c r="AE55" i="5"/>
  <c r="AG55" i="5"/>
  <c r="AH55" i="5"/>
  <c r="AI55" i="5"/>
  <c r="AK55" i="5"/>
  <c r="AN55" i="5"/>
  <c r="AX55" i="5"/>
  <c r="AY55" i="5"/>
  <c r="AZ55" i="5"/>
  <c r="BB55" i="5"/>
  <c r="BC55" i="5"/>
  <c r="BD55" i="5"/>
  <c r="BF55" i="5"/>
  <c r="BG55" i="5"/>
  <c r="BI55" i="5"/>
  <c r="BJ55" i="5"/>
  <c r="D56" i="5"/>
  <c r="E56" i="5"/>
  <c r="F56" i="5"/>
  <c r="G56" i="5"/>
  <c r="H56" i="5"/>
  <c r="I56" i="5"/>
  <c r="J56" i="5"/>
  <c r="L56" i="5"/>
  <c r="M56" i="5"/>
  <c r="O56" i="5"/>
  <c r="P56" i="5"/>
  <c r="R56" i="5"/>
  <c r="S56" i="5"/>
  <c r="U56" i="5"/>
  <c r="W56" i="5"/>
  <c r="Z56" i="5"/>
  <c r="AA56" i="5"/>
  <c r="AB56" i="5"/>
  <c r="AC56" i="5"/>
  <c r="AD56" i="5"/>
  <c r="AE56" i="5"/>
  <c r="AG56" i="5"/>
  <c r="AH56" i="5"/>
  <c r="AI56" i="5"/>
  <c r="AK56" i="5"/>
  <c r="AN56" i="5"/>
  <c r="AX56" i="5"/>
  <c r="AY56" i="5"/>
  <c r="AZ56" i="5"/>
  <c r="BB56" i="5"/>
  <c r="BC56" i="5"/>
  <c r="BD56" i="5"/>
  <c r="BF56" i="5"/>
  <c r="BG56" i="5"/>
  <c r="BI56" i="5"/>
  <c r="BJ56" i="5"/>
  <c r="D57" i="5"/>
  <c r="E57" i="5"/>
  <c r="F57" i="5"/>
  <c r="G57" i="5"/>
  <c r="H57" i="5"/>
  <c r="I57" i="5"/>
  <c r="J57" i="5"/>
  <c r="L57" i="5"/>
  <c r="M57" i="5"/>
  <c r="O57" i="5"/>
  <c r="P57" i="5"/>
  <c r="R57" i="5"/>
  <c r="S57" i="5"/>
  <c r="U57" i="5"/>
  <c r="W57" i="5"/>
  <c r="Z57" i="5"/>
  <c r="AA57" i="5"/>
  <c r="AB57" i="5"/>
  <c r="AC57" i="5"/>
  <c r="AD57" i="5"/>
  <c r="AE57" i="5"/>
  <c r="AG57" i="5"/>
  <c r="AH57" i="5"/>
  <c r="AI57" i="5"/>
  <c r="AK57" i="5"/>
  <c r="AN57" i="5"/>
  <c r="AX57" i="5"/>
  <c r="AY57" i="5"/>
  <c r="AZ57" i="5"/>
  <c r="BB57" i="5"/>
  <c r="BC57" i="5"/>
  <c r="BD57" i="5"/>
  <c r="BF57" i="5"/>
  <c r="BG57" i="5"/>
  <c r="BI57" i="5"/>
  <c r="BJ57" i="5"/>
  <c r="D58" i="5"/>
  <c r="E58" i="5"/>
  <c r="F58" i="5"/>
  <c r="G58" i="5"/>
  <c r="H58" i="5"/>
  <c r="I58" i="5"/>
  <c r="J58" i="5"/>
  <c r="L58" i="5"/>
  <c r="M58" i="5"/>
  <c r="O58" i="5"/>
  <c r="P58" i="5"/>
  <c r="R58" i="5"/>
  <c r="S58" i="5"/>
  <c r="U58" i="5"/>
  <c r="W58" i="5"/>
  <c r="Z58" i="5"/>
  <c r="AA58" i="5"/>
  <c r="AB58" i="5"/>
  <c r="AC58" i="5"/>
  <c r="AD58" i="5"/>
  <c r="AE58" i="5"/>
  <c r="AG58" i="5"/>
  <c r="AH58" i="5"/>
  <c r="AI58" i="5"/>
  <c r="AK58" i="5"/>
  <c r="AN58" i="5"/>
  <c r="AX58" i="5"/>
  <c r="AY58" i="5"/>
  <c r="AZ58" i="5"/>
  <c r="BB58" i="5"/>
  <c r="BC58" i="5"/>
  <c r="BD58" i="5"/>
  <c r="BF58" i="5"/>
  <c r="BG58" i="5"/>
  <c r="BI58" i="5"/>
  <c r="BJ58" i="5"/>
  <c r="D59" i="5"/>
  <c r="E59" i="5"/>
  <c r="F59" i="5"/>
  <c r="G59" i="5"/>
  <c r="H59" i="5"/>
  <c r="I59" i="5"/>
  <c r="J59" i="5"/>
  <c r="L59" i="5"/>
  <c r="M59" i="5"/>
  <c r="O59" i="5"/>
  <c r="P59" i="5"/>
  <c r="R59" i="5"/>
  <c r="S59" i="5"/>
  <c r="U59" i="5"/>
  <c r="W59" i="5"/>
  <c r="Z59" i="5"/>
  <c r="AA59" i="5"/>
  <c r="AB59" i="5"/>
  <c r="AC59" i="5"/>
  <c r="AD59" i="5"/>
  <c r="AE59" i="5"/>
  <c r="AG59" i="5"/>
  <c r="AH59" i="5"/>
  <c r="AI59" i="5"/>
  <c r="AK59" i="5"/>
  <c r="AN59" i="5"/>
  <c r="AX59" i="5"/>
  <c r="AY59" i="5"/>
  <c r="AZ59" i="5"/>
  <c r="BB59" i="5"/>
  <c r="BC59" i="5"/>
  <c r="BD59" i="5"/>
  <c r="BF59" i="5"/>
  <c r="BG59" i="5"/>
  <c r="BI59" i="5"/>
  <c r="BJ59" i="5"/>
  <c r="D60" i="5"/>
  <c r="E60" i="5"/>
  <c r="F60" i="5"/>
  <c r="G60" i="5"/>
  <c r="H60" i="5"/>
  <c r="I60" i="5"/>
  <c r="J60" i="5"/>
  <c r="L60" i="5"/>
  <c r="M60" i="5"/>
  <c r="O60" i="5"/>
  <c r="P60" i="5"/>
  <c r="R60" i="5"/>
  <c r="S60" i="5"/>
  <c r="U60" i="5"/>
  <c r="W60" i="5"/>
  <c r="Z60" i="5"/>
  <c r="AA60" i="5"/>
  <c r="AB60" i="5"/>
  <c r="AC60" i="5"/>
  <c r="AD60" i="5"/>
  <c r="AE60" i="5"/>
  <c r="AG60" i="5"/>
  <c r="AH60" i="5"/>
  <c r="AI60" i="5"/>
  <c r="AK60" i="5"/>
  <c r="AN60" i="5"/>
  <c r="AX60" i="5"/>
  <c r="AY60" i="5"/>
  <c r="AZ60" i="5"/>
  <c r="BB60" i="5"/>
  <c r="BC60" i="5"/>
  <c r="BD60" i="5"/>
  <c r="BF60" i="5"/>
  <c r="BG60" i="5"/>
  <c r="BI60" i="5"/>
  <c r="BJ60" i="5"/>
  <c r="D61" i="5"/>
  <c r="E61" i="5"/>
  <c r="F61" i="5"/>
  <c r="G61" i="5"/>
  <c r="H61" i="5"/>
  <c r="I61" i="5"/>
  <c r="J61" i="5"/>
  <c r="L61" i="5"/>
  <c r="M61" i="5"/>
  <c r="O61" i="5"/>
  <c r="P61" i="5"/>
  <c r="R61" i="5"/>
  <c r="S61" i="5"/>
  <c r="U61" i="5"/>
  <c r="W61" i="5"/>
  <c r="Z61" i="5"/>
  <c r="AA61" i="5"/>
  <c r="AB61" i="5"/>
  <c r="AC61" i="5"/>
  <c r="AD61" i="5"/>
  <c r="AE61" i="5"/>
  <c r="AG61" i="5"/>
  <c r="AH61" i="5"/>
  <c r="AI61" i="5"/>
  <c r="AK61" i="5"/>
  <c r="AN61" i="5"/>
  <c r="AX61" i="5"/>
  <c r="AY61" i="5"/>
  <c r="AZ61" i="5"/>
  <c r="BB61" i="5"/>
  <c r="BC61" i="5"/>
  <c r="BD61" i="5"/>
  <c r="BF61" i="5"/>
  <c r="BG61" i="5"/>
  <c r="BI61" i="5"/>
  <c r="BJ61" i="5"/>
  <c r="D62" i="5"/>
  <c r="E62" i="5"/>
  <c r="F62" i="5"/>
  <c r="G62" i="5"/>
  <c r="H62" i="5"/>
  <c r="I62" i="5"/>
  <c r="J62" i="5"/>
  <c r="L62" i="5"/>
  <c r="M62" i="5"/>
  <c r="O62" i="5"/>
  <c r="P62" i="5"/>
  <c r="R62" i="5"/>
  <c r="S62" i="5"/>
  <c r="U62" i="5"/>
  <c r="W62" i="5"/>
  <c r="Z62" i="5"/>
  <c r="AA62" i="5"/>
  <c r="AB62" i="5"/>
  <c r="AC62" i="5"/>
  <c r="AD62" i="5"/>
  <c r="AE62" i="5"/>
  <c r="AG62" i="5"/>
  <c r="AH62" i="5"/>
  <c r="AI62" i="5"/>
  <c r="AK62" i="5"/>
  <c r="AN62" i="5"/>
  <c r="AX62" i="5"/>
  <c r="AY62" i="5"/>
  <c r="AZ62" i="5"/>
  <c r="BB62" i="5"/>
  <c r="BC62" i="5"/>
  <c r="BD62" i="5"/>
  <c r="BF62" i="5"/>
  <c r="BG62" i="5"/>
  <c r="BI62" i="5"/>
  <c r="BJ62" i="5"/>
  <c r="D63" i="5"/>
  <c r="E63" i="5"/>
  <c r="F63" i="5"/>
  <c r="G63" i="5"/>
  <c r="H63" i="5"/>
  <c r="I63" i="5"/>
  <c r="J63" i="5"/>
  <c r="L63" i="5"/>
  <c r="M63" i="5"/>
  <c r="O63" i="5"/>
  <c r="P63" i="5"/>
  <c r="R63" i="5"/>
  <c r="S63" i="5"/>
  <c r="U63" i="5"/>
  <c r="W63" i="5"/>
  <c r="Z63" i="5"/>
  <c r="AA63" i="5"/>
  <c r="AB63" i="5"/>
  <c r="AC63" i="5"/>
  <c r="AD63" i="5"/>
  <c r="AE63" i="5"/>
  <c r="AG63" i="5"/>
  <c r="AH63" i="5"/>
  <c r="AI63" i="5"/>
  <c r="AK63" i="5"/>
  <c r="AN63" i="5"/>
  <c r="AX63" i="5"/>
  <c r="AY63" i="5"/>
  <c r="AZ63" i="5"/>
  <c r="BB63" i="5"/>
  <c r="BC63" i="5"/>
  <c r="BD63" i="5"/>
  <c r="BF63" i="5"/>
  <c r="BG63" i="5"/>
  <c r="BI63" i="5"/>
  <c r="BJ63" i="5"/>
  <c r="D64" i="5"/>
  <c r="E64" i="5"/>
  <c r="F64" i="5"/>
  <c r="G64" i="5"/>
  <c r="H64" i="5"/>
  <c r="I64" i="5"/>
  <c r="J64" i="5"/>
  <c r="L64" i="5"/>
  <c r="M64" i="5"/>
  <c r="O64" i="5"/>
  <c r="P64" i="5"/>
  <c r="R64" i="5"/>
  <c r="S64" i="5"/>
  <c r="U64" i="5"/>
  <c r="W64" i="5"/>
  <c r="Z64" i="5"/>
  <c r="AA64" i="5"/>
  <c r="AB64" i="5"/>
  <c r="AC64" i="5"/>
  <c r="AD64" i="5"/>
  <c r="AE64" i="5"/>
  <c r="AG64" i="5"/>
  <c r="AH64" i="5"/>
  <c r="AI64" i="5"/>
  <c r="AK64" i="5"/>
  <c r="AN64" i="5"/>
  <c r="AX64" i="5"/>
  <c r="AY64" i="5"/>
  <c r="AZ64" i="5"/>
  <c r="BB64" i="5"/>
  <c r="BC64" i="5"/>
  <c r="BD64" i="5"/>
  <c r="BF64" i="5"/>
  <c r="BG64" i="5"/>
  <c r="BI64" i="5"/>
  <c r="BJ64" i="5"/>
  <c r="D65" i="5"/>
  <c r="E65" i="5"/>
  <c r="F65" i="5"/>
  <c r="G65" i="5"/>
  <c r="H65" i="5"/>
  <c r="I65" i="5"/>
  <c r="J65" i="5"/>
  <c r="L65" i="5"/>
  <c r="M65" i="5"/>
  <c r="O65" i="5"/>
  <c r="P65" i="5"/>
  <c r="R65" i="5"/>
  <c r="S65" i="5"/>
  <c r="U65" i="5"/>
  <c r="W65" i="5"/>
  <c r="Z65" i="5"/>
  <c r="AA65" i="5"/>
  <c r="AB65" i="5"/>
  <c r="AC65" i="5"/>
  <c r="AD65" i="5"/>
  <c r="AE65" i="5"/>
  <c r="AG65" i="5"/>
  <c r="AH65" i="5"/>
  <c r="AI65" i="5"/>
  <c r="AK65" i="5"/>
  <c r="AN65" i="5"/>
  <c r="AX65" i="5"/>
  <c r="AY65" i="5"/>
  <c r="AZ65" i="5"/>
  <c r="BB65" i="5"/>
  <c r="BC65" i="5"/>
  <c r="BD65" i="5"/>
  <c r="BF65" i="5"/>
  <c r="BG65" i="5"/>
  <c r="BI65" i="5"/>
  <c r="BJ65" i="5"/>
  <c r="D66" i="5"/>
  <c r="E66" i="5"/>
  <c r="F66" i="5"/>
  <c r="G66" i="5"/>
  <c r="H66" i="5"/>
  <c r="I66" i="5"/>
  <c r="J66" i="5"/>
  <c r="L66" i="5"/>
  <c r="M66" i="5"/>
  <c r="O66" i="5"/>
  <c r="P66" i="5"/>
  <c r="R66" i="5"/>
  <c r="S66" i="5"/>
  <c r="U66" i="5"/>
  <c r="W66" i="5"/>
  <c r="Z66" i="5"/>
  <c r="AA66" i="5"/>
  <c r="AB66" i="5"/>
  <c r="AC66" i="5"/>
  <c r="AD66" i="5"/>
  <c r="AE66" i="5"/>
  <c r="AG66" i="5"/>
  <c r="AH66" i="5"/>
  <c r="AI66" i="5"/>
  <c r="AK66" i="5"/>
  <c r="AN66" i="5"/>
  <c r="AX66" i="5"/>
  <c r="AY66" i="5"/>
  <c r="AZ66" i="5"/>
  <c r="BB66" i="5"/>
  <c r="BC66" i="5"/>
  <c r="BD66" i="5"/>
  <c r="BF66" i="5"/>
  <c r="BG66" i="5"/>
  <c r="BI66" i="5"/>
  <c r="BJ66" i="5"/>
  <c r="D67" i="5"/>
  <c r="E67" i="5"/>
  <c r="F67" i="5"/>
  <c r="G67" i="5"/>
  <c r="H67" i="5"/>
  <c r="I67" i="5"/>
  <c r="J67" i="5"/>
  <c r="L67" i="5"/>
  <c r="M67" i="5"/>
  <c r="O67" i="5"/>
  <c r="P67" i="5"/>
  <c r="R67" i="5"/>
  <c r="S67" i="5"/>
  <c r="U67" i="5"/>
  <c r="W67" i="5"/>
  <c r="Z67" i="5"/>
  <c r="AA67" i="5"/>
  <c r="AB67" i="5"/>
  <c r="AC67" i="5"/>
  <c r="AD67" i="5"/>
  <c r="AE67" i="5"/>
  <c r="AG67" i="5"/>
  <c r="AH67" i="5"/>
  <c r="AI67" i="5"/>
  <c r="AK67" i="5"/>
  <c r="AN67" i="5"/>
  <c r="AX67" i="5"/>
  <c r="AY67" i="5"/>
  <c r="AZ67" i="5"/>
  <c r="BB67" i="5"/>
  <c r="BC67" i="5"/>
  <c r="BD67" i="5"/>
  <c r="BF67" i="5"/>
  <c r="BG67" i="5"/>
  <c r="BI67" i="5"/>
  <c r="BJ67" i="5"/>
  <c r="D68" i="5"/>
  <c r="E68" i="5"/>
  <c r="F68" i="5"/>
  <c r="G68" i="5"/>
  <c r="H68" i="5"/>
  <c r="I68" i="5"/>
  <c r="J68" i="5"/>
  <c r="L68" i="5"/>
  <c r="M68" i="5"/>
  <c r="O68" i="5"/>
  <c r="P68" i="5"/>
  <c r="R68" i="5"/>
  <c r="S68" i="5"/>
  <c r="U68" i="5"/>
  <c r="W68" i="5"/>
  <c r="Z68" i="5"/>
  <c r="AA68" i="5"/>
  <c r="AB68" i="5"/>
  <c r="AC68" i="5"/>
  <c r="AD68" i="5"/>
  <c r="AE68" i="5"/>
  <c r="AG68" i="5"/>
  <c r="AH68" i="5"/>
  <c r="AI68" i="5"/>
  <c r="AK68" i="5"/>
  <c r="AN68" i="5"/>
  <c r="AX68" i="5"/>
  <c r="AY68" i="5"/>
  <c r="AZ68" i="5"/>
  <c r="BB68" i="5"/>
  <c r="BC68" i="5"/>
  <c r="BD68" i="5"/>
  <c r="BF68" i="5"/>
  <c r="BG68" i="5"/>
  <c r="BI68" i="5"/>
  <c r="BJ68" i="5"/>
  <c r="D69" i="5"/>
  <c r="E69" i="5"/>
  <c r="F69" i="5"/>
  <c r="G69" i="5"/>
  <c r="H69" i="5"/>
  <c r="I69" i="5"/>
  <c r="J69" i="5"/>
  <c r="L69" i="5"/>
  <c r="M69" i="5"/>
  <c r="O69" i="5"/>
  <c r="P69" i="5"/>
  <c r="R69" i="5"/>
  <c r="S69" i="5"/>
  <c r="U69" i="5"/>
  <c r="W69" i="5"/>
  <c r="Z69" i="5"/>
  <c r="AA69" i="5"/>
  <c r="AB69" i="5"/>
  <c r="AC69" i="5"/>
  <c r="AD69" i="5"/>
  <c r="AE69" i="5"/>
  <c r="AG69" i="5"/>
  <c r="AH69" i="5"/>
  <c r="AI69" i="5"/>
  <c r="AK69" i="5"/>
  <c r="AN69" i="5"/>
  <c r="AX69" i="5"/>
  <c r="AY69" i="5"/>
  <c r="AZ69" i="5"/>
  <c r="BB69" i="5"/>
  <c r="BC69" i="5"/>
  <c r="BD69" i="5"/>
  <c r="BF69" i="5"/>
  <c r="BG69" i="5"/>
  <c r="BI69" i="5"/>
  <c r="BJ69" i="5"/>
  <c r="D70" i="5"/>
  <c r="E70" i="5"/>
  <c r="F70" i="5"/>
  <c r="G70" i="5"/>
  <c r="H70" i="5"/>
  <c r="I70" i="5"/>
  <c r="J70" i="5"/>
  <c r="L70" i="5"/>
  <c r="M70" i="5"/>
  <c r="O70" i="5"/>
  <c r="P70" i="5"/>
  <c r="R70" i="5"/>
  <c r="S70" i="5"/>
  <c r="U70" i="5"/>
  <c r="W70" i="5"/>
  <c r="Z70" i="5"/>
  <c r="AA70" i="5"/>
  <c r="AB70" i="5"/>
  <c r="AC70" i="5"/>
  <c r="AD70" i="5"/>
  <c r="AE70" i="5"/>
  <c r="AG70" i="5"/>
  <c r="AH70" i="5"/>
  <c r="AI70" i="5"/>
  <c r="AK70" i="5"/>
  <c r="AN70" i="5"/>
  <c r="AX70" i="5"/>
  <c r="AY70" i="5"/>
  <c r="AZ70" i="5"/>
  <c r="BB70" i="5"/>
  <c r="BC70" i="5"/>
  <c r="BD70" i="5"/>
  <c r="BF70" i="5"/>
  <c r="BG70" i="5"/>
  <c r="BI70" i="5"/>
  <c r="BJ70" i="5"/>
  <c r="D71" i="5"/>
  <c r="E71" i="5"/>
  <c r="F71" i="5"/>
  <c r="G71" i="5"/>
  <c r="H71" i="5"/>
  <c r="I71" i="5"/>
  <c r="J71" i="5"/>
  <c r="L71" i="5"/>
  <c r="M71" i="5"/>
  <c r="O71" i="5"/>
  <c r="P71" i="5"/>
  <c r="R71" i="5"/>
  <c r="S71" i="5"/>
  <c r="U71" i="5"/>
  <c r="W71" i="5"/>
  <c r="Z71" i="5"/>
  <c r="AA71" i="5"/>
  <c r="AB71" i="5"/>
  <c r="AC71" i="5"/>
  <c r="AD71" i="5"/>
  <c r="AE71" i="5"/>
  <c r="AG71" i="5"/>
  <c r="AH71" i="5"/>
  <c r="AI71" i="5"/>
  <c r="AK71" i="5"/>
  <c r="AN71" i="5"/>
  <c r="AX71" i="5"/>
  <c r="AY71" i="5"/>
  <c r="AZ71" i="5"/>
  <c r="BB71" i="5"/>
  <c r="BC71" i="5"/>
  <c r="BD71" i="5"/>
  <c r="BF71" i="5"/>
  <c r="BG71" i="5"/>
  <c r="BI71" i="5"/>
  <c r="BJ71" i="5"/>
  <c r="D72" i="5"/>
  <c r="E72" i="5"/>
  <c r="F72" i="5"/>
  <c r="G72" i="5"/>
  <c r="H72" i="5"/>
  <c r="I72" i="5"/>
  <c r="J72" i="5"/>
  <c r="L72" i="5"/>
  <c r="M72" i="5"/>
  <c r="O72" i="5"/>
  <c r="P72" i="5"/>
  <c r="R72" i="5"/>
  <c r="S72" i="5"/>
  <c r="U72" i="5"/>
  <c r="W72" i="5"/>
  <c r="Z72" i="5"/>
  <c r="AA72" i="5"/>
  <c r="AB72" i="5"/>
  <c r="AC72" i="5"/>
  <c r="AD72" i="5"/>
  <c r="AE72" i="5"/>
  <c r="AG72" i="5"/>
  <c r="AH72" i="5"/>
  <c r="AI72" i="5"/>
  <c r="AK72" i="5"/>
  <c r="AN72" i="5"/>
  <c r="AX72" i="5"/>
  <c r="AY72" i="5"/>
  <c r="AZ72" i="5"/>
  <c r="BB72" i="5"/>
  <c r="BC72" i="5"/>
  <c r="BD72" i="5"/>
  <c r="BF72" i="5"/>
  <c r="BG72" i="5"/>
  <c r="BI72" i="5"/>
  <c r="BJ72" i="5"/>
  <c r="D73" i="5"/>
  <c r="E73" i="5"/>
  <c r="F73" i="5"/>
  <c r="G73" i="5"/>
  <c r="H73" i="5"/>
  <c r="I73" i="5"/>
  <c r="J73" i="5"/>
  <c r="L73" i="5"/>
  <c r="M73" i="5"/>
  <c r="O73" i="5"/>
  <c r="P73" i="5"/>
  <c r="R73" i="5"/>
  <c r="S73" i="5"/>
  <c r="U73" i="5"/>
  <c r="W73" i="5"/>
  <c r="Z73" i="5"/>
  <c r="AA73" i="5"/>
  <c r="AB73" i="5"/>
  <c r="AC73" i="5"/>
  <c r="AD73" i="5"/>
  <c r="AE73" i="5"/>
  <c r="AG73" i="5"/>
  <c r="AH73" i="5"/>
  <c r="AI73" i="5"/>
  <c r="AK73" i="5"/>
  <c r="AN73" i="5"/>
  <c r="AX73" i="5"/>
  <c r="AY73" i="5"/>
  <c r="AZ73" i="5"/>
  <c r="BB73" i="5"/>
  <c r="BC73" i="5"/>
  <c r="BD73" i="5"/>
  <c r="BF73" i="5"/>
  <c r="BG73" i="5"/>
  <c r="BI73" i="5"/>
  <c r="BJ73" i="5"/>
  <c r="D74" i="5"/>
  <c r="E74" i="5"/>
  <c r="F74" i="5"/>
  <c r="G74" i="5"/>
  <c r="H74" i="5"/>
  <c r="I74" i="5"/>
  <c r="J74" i="5"/>
  <c r="L74" i="5"/>
  <c r="M74" i="5"/>
  <c r="O74" i="5"/>
  <c r="P74" i="5"/>
  <c r="R74" i="5"/>
  <c r="S74" i="5"/>
  <c r="U74" i="5"/>
  <c r="W74" i="5"/>
  <c r="Z74" i="5"/>
  <c r="AA74" i="5"/>
  <c r="AB74" i="5"/>
  <c r="AC74" i="5"/>
  <c r="AD74" i="5"/>
  <c r="AE74" i="5"/>
  <c r="AG74" i="5"/>
  <c r="AH74" i="5"/>
  <c r="AI74" i="5"/>
  <c r="AK74" i="5"/>
  <c r="AN74" i="5"/>
  <c r="AX74" i="5"/>
  <c r="AY74" i="5"/>
  <c r="AZ74" i="5"/>
  <c r="BB74" i="5"/>
  <c r="BC74" i="5"/>
  <c r="BD74" i="5"/>
  <c r="BF74" i="5"/>
  <c r="BG74" i="5"/>
  <c r="BI74" i="5"/>
  <c r="BJ74" i="5"/>
  <c r="D75" i="5"/>
  <c r="E75" i="5"/>
  <c r="F75" i="5"/>
  <c r="G75" i="5"/>
  <c r="H75" i="5"/>
  <c r="I75" i="5"/>
  <c r="J75" i="5"/>
  <c r="L75" i="5"/>
  <c r="M75" i="5"/>
  <c r="O75" i="5"/>
  <c r="P75" i="5"/>
  <c r="R75" i="5"/>
  <c r="S75" i="5"/>
  <c r="U75" i="5"/>
  <c r="W75" i="5"/>
  <c r="Z75" i="5"/>
  <c r="AA75" i="5"/>
  <c r="AB75" i="5"/>
  <c r="AC75" i="5"/>
  <c r="AD75" i="5"/>
  <c r="AE75" i="5"/>
  <c r="AG75" i="5"/>
  <c r="AH75" i="5"/>
  <c r="AI75" i="5"/>
  <c r="AK75" i="5"/>
  <c r="AN75" i="5"/>
  <c r="AX75" i="5"/>
  <c r="AY75" i="5"/>
  <c r="AZ75" i="5"/>
  <c r="BB75" i="5"/>
  <c r="BC75" i="5"/>
  <c r="BD75" i="5"/>
  <c r="BF75" i="5"/>
  <c r="BG75" i="5"/>
  <c r="BI75" i="5"/>
  <c r="BJ75" i="5"/>
  <c r="D76" i="5"/>
  <c r="E76" i="5"/>
  <c r="F76" i="5"/>
  <c r="G76" i="5"/>
  <c r="H76" i="5"/>
  <c r="I76" i="5"/>
  <c r="J76" i="5"/>
  <c r="L76" i="5"/>
  <c r="M76" i="5"/>
  <c r="O76" i="5"/>
  <c r="P76" i="5"/>
  <c r="R76" i="5"/>
  <c r="S76" i="5"/>
  <c r="U76" i="5"/>
  <c r="W76" i="5"/>
  <c r="Z76" i="5"/>
  <c r="AA76" i="5"/>
  <c r="AB76" i="5"/>
  <c r="AC76" i="5"/>
  <c r="AD76" i="5"/>
  <c r="AE76" i="5"/>
  <c r="AG76" i="5"/>
  <c r="AH76" i="5"/>
  <c r="AI76" i="5"/>
  <c r="AK76" i="5"/>
  <c r="AX76" i="5"/>
  <c r="AY76" i="5"/>
  <c r="AZ76" i="5"/>
  <c r="BB76" i="5"/>
  <c r="BC76" i="5"/>
  <c r="BD76" i="5"/>
  <c r="BF76" i="5"/>
  <c r="BG76" i="5"/>
  <c r="BI76" i="5"/>
  <c r="BJ76" i="5"/>
  <c r="D77" i="5"/>
  <c r="E77" i="5"/>
  <c r="F77" i="5"/>
  <c r="G77" i="5"/>
  <c r="H77" i="5"/>
  <c r="I77" i="5"/>
  <c r="J77" i="5"/>
  <c r="L77" i="5"/>
  <c r="M77" i="5"/>
  <c r="O77" i="5"/>
  <c r="P77" i="5"/>
  <c r="R77" i="5"/>
  <c r="S77" i="5"/>
  <c r="U77" i="5"/>
  <c r="W77" i="5"/>
  <c r="Z77" i="5"/>
  <c r="AA77" i="5"/>
  <c r="AB77" i="5"/>
  <c r="AC77" i="5"/>
  <c r="AD77" i="5"/>
  <c r="AE77" i="5"/>
  <c r="AG77" i="5"/>
  <c r="AH77" i="5"/>
  <c r="AI77" i="5"/>
  <c r="AK77" i="5"/>
  <c r="AX77" i="5"/>
  <c r="AY77" i="5"/>
  <c r="AZ77" i="5"/>
  <c r="BB77" i="5"/>
  <c r="BC77" i="5"/>
  <c r="BD77" i="5"/>
  <c r="BF77" i="5"/>
  <c r="BG77" i="5"/>
  <c r="BI77" i="5"/>
  <c r="BJ77" i="5"/>
  <c r="D78" i="5"/>
  <c r="E78" i="5"/>
  <c r="F78" i="5"/>
  <c r="G78" i="5"/>
  <c r="H78" i="5"/>
  <c r="I78" i="5"/>
  <c r="J78" i="5"/>
  <c r="L78" i="5"/>
  <c r="M78" i="5"/>
  <c r="O78" i="5"/>
  <c r="P78" i="5"/>
  <c r="R78" i="5"/>
  <c r="S78" i="5"/>
  <c r="U78" i="5"/>
  <c r="W78" i="5"/>
  <c r="Z78" i="5"/>
  <c r="AA78" i="5"/>
  <c r="AB78" i="5"/>
  <c r="AC78" i="5"/>
  <c r="AD78" i="5"/>
  <c r="AE78" i="5"/>
  <c r="AG78" i="5"/>
  <c r="AH78" i="5"/>
  <c r="AI78" i="5"/>
  <c r="AK78" i="5"/>
  <c r="AX78" i="5"/>
  <c r="AY78" i="5"/>
  <c r="AZ78" i="5"/>
  <c r="BB78" i="5"/>
  <c r="BC78" i="5"/>
  <c r="BD78" i="5"/>
  <c r="BF78" i="5"/>
  <c r="BG78" i="5"/>
  <c r="BI78" i="5"/>
  <c r="BJ78" i="5"/>
  <c r="D79" i="5"/>
  <c r="E79" i="5"/>
  <c r="F79" i="5"/>
  <c r="G79" i="5"/>
  <c r="H79" i="5"/>
  <c r="I79" i="5"/>
  <c r="J79" i="5"/>
  <c r="L79" i="5"/>
  <c r="M79" i="5"/>
  <c r="O79" i="5"/>
  <c r="P79" i="5"/>
  <c r="R79" i="5"/>
  <c r="S79" i="5"/>
  <c r="U79" i="5"/>
  <c r="W79" i="5"/>
  <c r="Z79" i="5"/>
  <c r="AA79" i="5"/>
  <c r="AB79" i="5"/>
  <c r="AC79" i="5"/>
  <c r="AD79" i="5"/>
  <c r="AE79" i="5"/>
  <c r="AG79" i="5"/>
  <c r="AH79" i="5"/>
  <c r="AI79" i="5"/>
  <c r="AK79" i="5"/>
  <c r="AX79" i="5"/>
  <c r="AY79" i="5"/>
  <c r="AZ79" i="5"/>
  <c r="BB79" i="5"/>
  <c r="BC79" i="5"/>
  <c r="BD79" i="5"/>
  <c r="BF79" i="5"/>
  <c r="BG79" i="5"/>
  <c r="BI79" i="5"/>
  <c r="BJ79" i="5"/>
  <c r="D80" i="5"/>
  <c r="E80" i="5"/>
  <c r="F80" i="5"/>
  <c r="G80" i="5"/>
  <c r="H80" i="5"/>
  <c r="I80" i="5"/>
  <c r="J80" i="5"/>
  <c r="L80" i="5"/>
  <c r="M80" i="5"/>
  <c r="O80" i="5"/>
  <c r="P80" i="5"/>
  <c r="R80" i="5"/>
  <c r="S80" i="5"/>
  <c r="U80" i="5"/>
  <c r="W80" i="5"/>
  <c r="Z80" i="5"/>
  <c r="AA80" i="5"/>
  <c r="AB80" i="5"/>
  <c r="AC80" i="5"/>
  <c r="AD80" i="5"/>
  <c r="AE80" i="5"/>
  <c r="AG80" i="5"/>
  <c r="AH80" i="5"/>
  <c r="AI80" i="5"/>
  <c r="AK80" i="5"/>
  <c r="AX80" i="5"/>
  <c r="AY80" i="5"/>
  <c r="AZ80" i="5"/>
  <c r="BB80" i="5"/>
  <c r="BC80" i="5"/>
  <c r="BD80" i="5"/>
  <c r="BF80" i="5"/>
  <c r="BG80" i="5"/>
  <c r="BI80" i="5"/>
  <c r="BJ80" i="5"/>
  <c r="D81" i="5"/>
  <c r="E81" i="5"/>
  <c r="F81" i="5"/>
  <c r="G81" i="5"/>
  <c r="H81" i="5"/>
  <c r="I81" i="5"/>
  <c r="J81" i="5"/>
  <c r="L81" i="5"/>
  <c r="M81" i="5"/>
  <c r="O81" i="5"/>
  <c r="P81" i="5"/>
  <c r="R81" i="5"/>
  <c r="S81" i="5"/>
  <c r="U81" i="5"/>
  <c r="W81" i="5"/>
  <c r="Z81" i="5"/>
  <c r="AA81" i="5"/>
  <c r="AB81" i="5"/>
  <c r="AC81" i="5"/>
  <c r="AD81" i="5"/>
  <c r="AE81" i="5"/>
  <c r="AG81" i="5"/>
  <c r="AH81" i="5"/>
  <c r="AI81" i="5"/>
  <c r="AK81" i="5"/>
  <c r="AX81" i="5"/>
  <c r="AY81" i="5"/>
  <c r="AZ81" i="5"/>
  <c r="BB81" i="5"/>
  <c r="BC81" i="5"/>
  <c r="BD81" i="5"/>
  <c r="BF81" i="5"/>
  <c r="BG81" i="5"/>
  <c r="BI81" i="5"/>
  <c r="BJ81" i="5"/>
  <c r="D82" i="5"/>
  <c r="E82" i="5"/>
  <c r="F82" i="5"/>
  <c r="G82" i="5"/>
  <c r="H82" i="5"/>
  <c r="I82" i="5"/>
  <c r="J82" i="5"/>
  <c r="L82" i="5"/>
  <c r="M82" i="5"/>
  <c r="O82" i="5"/>
  <c r="P82" i="5"/>
  <c r="R82" i="5"/>
  <c r="S82" i="5"/>
  <c r="U82" i="5"/>
  <c r="W82" i="5"/>
  <c r="Z82" i="5"/>
  <c r="AA82" i="5"/>
  <c r="AB82" i="5"/>
  <c r="AC82" i="5"/>
  <c r="AD82" i="5"/>
  <c r="AE82" i="5"/>
  <c r="AG82" i="5"/>
  <c r="AH82" i="5"/>
  <c r="AI82" i="5"/>
  <c r="AK82" i="5"/>
  <c r="AX82" i="5"/>
  <c r="AY82" i="5"/>
  <c r="AZ82" i="5"/>
  <c r="BB82" i="5"/>
  <c r="BC82" i="5"/>
  <c r="BD82" i="5"/>
  <c r="BF82" i="5"/>
  <c r="BG82" i="5"/>
  <c r="BI82" i="5"/>
  <c r="BJ82" i="5"/>
  <c r="D83" i="5"/>
  <c r="E83" i="5"/>
  <c r="F83" i="5"/>
  <c r="G83" i="5"/>
  <c r="H83" i="5"/>
  <c r="I83" i="5"/>
  <c r="J83" i="5"/>
  <c r="L83" i="5"/>
  <c r="M83" i="5"/>
  <c r="O83" i="5"/>
  <c r="P83" i="5"/>
  <c r="R83" i="5"/>
  <c r="S83" i="5"/>
  <c r="U83" i="5"/>
  <c r="W83" i="5"/>
  <c r="Z83" i="5"/>
  <c r="AA83" i="5"/>
  <c r="AB83" i="5"/>
  <c r="AC83" i="5"/>
  <c r="AD83" i="5"/>
  <c r="AE83" i="5"/>
  <c r="AG83" i="5"/>
  <c r="AH83" i="5"/>
  <c r="AI83" i="5"/>
  <c r="AK83" i="5"/>
  <c r="AX83" i="5"/>
  <c r="AY83" i="5"/>
  <c r="AZ83" i="5"/>
  <c r="BB83" i="5"/>
  <c r="BC83" i="5"/>
  <c r="BD83" i="5"/>
  <c r="BF83" i="5"/>
  <c r="BG83" i="5"/>
  <c r="BI83" i="5"/>
  <c r="BJ83" i="5"/>
  <c r="D84" i="5"/>
  <c r="E84" i="5"/>
  <c r="F84" i="5"/>
  <c r="G84" i="5"/>
  <c r="H84" i="5"/>
  <c r="I84" i="5"/>
  <c r="J84" i="5"/>
  <c r="L84" i="5"/>
  <c r="M84" i="5"/>
  <c r="O84" i="5"/>
  <c r="P84" i="5"/>
  <c r="R84" i="5"/>
  <c r="S84" i="5"/>
  <c r="U84" i="5"/>
  <c r="W84" i="5"/>
  <c r="Z84" i="5"/>
  <c r="AA84" i="5"/>
  <c r="AB84" i="5"/>
  <c r="AC84" i="5"/>
  <c r="AD84" i="5"/>
  <c r="AE84" i="5"/>
  <c r="AG84" i="5"/>
  <c r="AH84" i="5"/>
  <c r="AI84" i="5"/>
  <c r="AK84" i="5"/>
  <c r="AX84" i="5"/>
  <c r="AY84" i="5"/>
  <c r="AZ84" i="5"/>
  <c r="BB84" i="5"/>
  <c r="BC84" i="5"/>
  <c r="BD84" i="5"/>
  <c r="BF84" i="5"/>
  <c r="BG84" i="5"/>
  <c r="BI84" i="5"/>
  <c r="BJ84" i="5"/>
  <c r="D85" i="5"/>
  <c r="E85" i="5"/>
  <c r="F85" i="5"/>
  <c r="G85" i="5"/>
  <c r="H85" i="5"/>
  <c r="I85" i="5"/>
  <c r="J85" i="5"/>
  <c r="L85" i="5"/>
  <c r="M85" i="5"/>
  <c r="O85" i="5"/>
  <c r="P85" i="5"/>
  <c r="R85" i="5"/>
  <c r="S85" i="5"/>
  <c r="U85" i="5"/>
  <c r="W85" i="5"/>
  <c r="Z85" i="5"/>
  <c r="AA85" i="5"/>
  <c r="AB85" i="5"/>
  <c r="AC85" i="5"/>
  <c r="AD85" i="5"/>
  <c r="AE85" i="5"/>
  <c r="AG85" i="5"/>
  <c r="AH85" i="5"/>
  <c r="AI85" i="5"/>
  <c r="AK85" i="5"/>
  <c r="AX85" i="5"/>
  <c r="AY85" i="5"/>
  <c r="AZ85" i="5"/>
  <c r="BB85" i="5"/>
  <c r="BC85" i="5"/>
  <c r="BD85" i="5"/>
  <c r="BF85" i="5"/>
  <c r="BG85" i="5"/>
  <c r="BI85" i="5"/>
  <c r="BJ85" i="5"/>
  <c r="D86" i="5"/>
  <c r="E86" i="5"/>
  <c r="F86" i="5"/>
  <c r="G86" i="5"/>
  <c r="H86" i="5"/>
  <c r="I86" i="5"/>
  <c r="J86" i="5"/>
  <c r="L86" i="5"/>
  <c r="M86" i="5"/>
  <c r="O86" i="5"/>
  <c r="P86" i="5"/>
  <c r="R86" i="5"/>
  <c r="S86" i="5"/>
  <c r="U86" i="5"/>
  <c r="W86" i="5"/>
  <c r="Z86" i="5"/>
  <c r="AA86" i="5"/>
  <c r="AB86" i="5"/>
  <c r="AC86" i="5"/>
  <c r="AD86" i="5"/>
  <c r="AE86" i="5"/>
  <c r="AG86" i="5"/>
  <c r="AH86" i="5"/>
  <c r="AI86" i="5"/>
  <c r="AK86" i="5"/>
  <c r="AX86" i="5"/>
  <c r="AY86" i="5"/>
  <c r="AZ86" i="5"/>
  <c r="BB86" i="5"/>
  <c r="BC86" i="5"/>
  <c r="BD86" i="5"/>
  <c r="BF86" i="5"/>
  <c r="BG86" i="5"/>
  <c r="BI86" i="5"/>
  <c r="BJ86" i="5"/>
  <c r="D87" i="5"/>
  <c r="E87" i="5"/>
  <c r="F87" i="5"/>
  <c r="G87" i="5"/>
  <c r="H87" i="5"/>
  <c r="I87" i="5"/>
  <c r="J87" i="5"/>
  <c r="L87" i="5"/>
  <c r="M87" i="5"/>
  <c r="O87" i="5"/>
  <c r="P87" i="5"/>
  <c r="R87" i="5"/>
  <c r="S87" i="5"/>
  <c r="U87" i="5"/>
  <c r="W87" i="5"/>
  <c r="Z87" i="5"/>
  <c r="AA87" i="5"/>
  <c r="AB87" i="5"/>
  <c r="AC87" i="5"/>
  <c r="AD87" i="5"/>
  <c r="AE87" i="5"/>
  <c r="AG87" i="5"/>
  <c r="AH87" i="5"/>
  <c r="AI87" i="5"/>
  <c r="AK87" i="5"/>
  <c r="AX87" i="5"/>
  <c r="AY87" i="5"/>
  <c r="AZ87" i="5"/>
  <c r="BB87" i="5"/>
  <c r="BC87" i="5"/>
  <c r="BD87" i="5"/>
  <c r="BF87" i="5"/>
  <c r="BG87" i="5"/>
  <c r="BI87" i="5"/>
  <c r="BJ87" i="5"/>
  <c r="D88" i="5"/>
  <c r="E88" i="5"/>
  <c r="F88" i="5"/>
  <c r="G88" i="5"/>
  <c r="H88" i="5"/>
  <c r="I88" i="5"/>
  <c r="J88" i="5"/>
  <c r="L88" i="5"/>
  <c r="M88" i="5"/>
  <c r="O88" i="5"/>
  <c r="P88" i="5"/>
  <c r="R88" i="5"/>
  <c r="S88" i="5"/>
  <c r="U88" i="5"/>
  <c r="W88" i="5"/>
  <c r="Z88" i="5"/>
  <c r="AA88" i="5"/>
  <c r="AB88" i="5"/>
  <c r="AC88" i="5"/>
  <c r="AD88" i="5"/>
  <c r="AE88" i="5"/>
  <c r="AG88" i="5"/>
  <c r="AH88" i="5"/>
  <c r="AI88" i="5"/>
  <c r="AK88" i="5"/>
  <c r="AX88" i="5"/>
  <c r="AY88" i="5"/>
  <c r="AZ88" i="5"/>
  <c r="BB88" i="5"/>
  <c r="BC88" i="5"/>
  <c r="BD88" i="5"/>
  <c r="BF88" i="5"/>
  <c r="BG88" i="5"/>
  <c r="BI88" i="5"/>
  <c r="BJ88" i="5"/>
  <c r="D89" i="5"/>
  <c r="E89" i="5"/>
  <c r="F89" i="5"/>
  <c r="G89" i="5"/>
  <c r="H89" i="5"/>
  <c r="I89" i="5"/>
  <c r="J89" i="5"/>
  <c r="L89" i="5"/>
  <c r="M89" i="5"/>
  <c r="O89" i="5"/>
  <c r="P89" i="5"/>
  <c r="R89" i="5"/>
  <c r="S89" i="5"/>
  <c r="U89" i="5"/>
  <c r="W89" i="5"/>
  <c r="Z89" i="5"/>
  <c r="AA89" i="5"/>
  <c r="AB89" i="5"/>
  <c r="AC89" i="5"/>
  <c r="AD89" i="5"/>
  <c r="AE89" i="5"/>
  <c r="AG89" i="5"/>
  <c r="AH89" i="5"/>
  <c r="AI89" i="5"/>
  <c r="AK89" i="5"/>
  <c r="AX89" i="5"/>
  <c r="AY89" i="5"/>
  <c r="AZ89" i="5"/>
  <c r="BB89" i="5"/>
  <c r="BC89" i="5"/>
  <c r="BD89" i="5"/>
  <c r="BF89" i="5"/>
  <c r="BG89" i="5"/>
  <c r="BI89" i="5"/>
  <c r="BJ89" i="5"/>
  <c r="D90" i="5"/>
  <c r="E90" i="5"/>
  <c r="F90" i="5"/>
  <c r="G90" i="5"/>
  <c r="H90" i="5"/>
  <c r="I90" i="5"/>
  <c r="J90" i="5"/>
  <c r="L90" i="5"/>
  <c r="M90" i="5"/>
  <c r="O90" i="5"/>
  <c r="P90" i="5"/>
  <c r="R90" i="5"/>
  <c r="S90" i="5"/>
  <c r="U90" i="5"/>
  <c r="W90" i="5"/>
  <c r="Z90" i="5"/>
  <c r="AA90" i="5"/>
  <c r="AB90" i="5"/>
  <c r="AC90" i="5"/>
  <c r="AD90" i="5"/>
  <c r="AE90" i="5"/>
  <c r="AG90" i="5"/>
  <c r="AH90" i="5"/>
  <c r="AI90" i="5"/>
  <c r="AK90" i="5"/>
  <c r="AX90" i="5"/>
  <c r="AY90" i="5"/>
  <c r="AZ90" i="5"/>
  <c r="BB90" i="5"/>
  <c r="BC90" i="5"/>
  <c r="BD90" i="5"/>
  <c r="BF90" i="5"/>
  <c r="BG90" i="5"/>
  <c r="BI90" i="5"/>
  <c r="BJ90" i="5"/>
  <c r="D91" i="5"/>
  <c r="E91" i="5"/>
  <c r="F91" i="5"/>
  <c r="G91" i="5"/>
  <c r="H91" i="5"/>
  <c r="I91" i="5"/>
  <c r="J91" i="5"/>
  <c r="L91" i="5"/>
  <c r="M91" i="5"/>
  <c r="O91" i="5"/>
  <c r="P91" i="5"/>
  <c r="R91" i="5"/>
  <c r="S91" i="5"/>
  <c r="U91" i="5"/>
  <c r="W91" i="5"/>
  <c r="Z91" i="5"/>
  <c r="AA91" i="5"/>
  <c r="AB91" i="5"/>
  <c r="AC91" i="5"/>
  <c r="AD91" i="5"/>
  <c r="AE91" i="5"/>
  <c r="AG91" i="5"/>
  <c r="AH91" i="5"/>
  <c r="AI91" i="5"/>
  <c r="AK91" i="5"/>
  <c r="AX91" i="5"/>
  <c r="AY91" i="5"/>
  <c r="AZ91" i="5"/>
  <c r="BB91" i="5"/>
  <c r="BC91" i="5"/>
  <c r="BD91" i="5"/>
  <c r="BF91" i="5"/>
  <c r="BG91" i="5"/>
  <c r="BI91" i="5"/>
  <c r="BJ91" i="5"/>
  <c r="D92" i="5"/>
  <c r="E92" i="5"/>
  <c r="F92" i="5"/>
  <c r="G92" i="5"/>
  <c r="H92" i="5"/>
  <c r="I92" i="5"/>
  <c r="J92" i="5"/>
  <c r="L92" i="5"/>
  <c r="M92" i="5"/>
  <c r="O92" i="5"/>
  <c r="P92" i="5"/>
  <c r="R92" i="5"/>
  <c r="S92" i="5"/>
  <c r="U92" i="5"/>
  <c r="W92" i="5"/>
  <c r="Z92" i="5"/>
  <c r="AA92" i="5"/>
  <c r="AB92" i="5"/>
  <c r="AC92" i="5"/>
  <c r="AD92" i="5"/>
  <c r="AE92" i="5"/>
  <c r="AG92" i="5"/>
  <c r="AH92" i="5"/>
  <c r="AI92" i="5"/>
  <c r="AK92" i="5"/>
  <c r="AX92" i="5"/>
  <c r="AY92" i="5"/>
  <c r="AZ92" i="5"/>
  <c r="BB92" i="5"/>
  <c r="BC92" i="5"/>
  <c r="BD92" i="5"/>
  <c r="BF92" i="5"/>
  <c r="BG92" i="5"/>
  <c r="BI92" i="5"/>
  <c r="BJ92" i="5"/>
  <c r="D93" i="5"/>
  <c r="E93" i="5"/>
  <c r="F93" i="5"/>
  <c r="G93" i="5"/>
  <c r="H93" i="5"/>
  <c r="I93" i="5"/>
  <c r="J93" i="5"/>
  <c r="L93" i="5"/>
  <c r="M93" i="5"/>
  <c r="O93" i="5"/>
  <c r="P93" i="5"/>
  <c r="R93" i="5"/>
  <c r="S93" i="5"/>
  <c r="U93" i="5"/>
  <c r="W93" i="5"/>
  <c r="Z93" i="5"/>
  <c r="AA93" i="5"/>
  <c r="AB93" i="5"/>
  <c r="AC93" i="5"/>
  <c r="AD93" i="5"/>
  <c r="AE93" i="5"/>
  <c r="AG93" i="5"/>
  <c r="AH93" i="5"/>
  <c r="AI93" i="5"/>
  <c r="AK93" i="5"/>
  <c r="AX93" i="5"/>
  <c r="AY93" i="5"/>
  <c r="AZ93" i="5"/>
  <c r="BB93" i="5"/>
  <c r="BC93" i="5"/>
  <c r="BD93" i="5"/>
  <c r="BF93" i="5"/>
  <c r="BG93" i="5"/>
  <c r="BI93" i="5"/>
  <c r="BJ93" i="5"/>
  <c r="D94" i="5"/>
  <c r="E94" i="5"/>
  <c r="F94" i="5"/>
  <c r="G94" i="5"/>
  <c r="H94" i="5"/>
  <c r="I94" i="5"/>
  <c r="J94" i="5"/>
  <c r="L94" i="5"/>
  <c r="M94" i="5"/>
  <c r="O94" i="5"/>
  <c r="P94" i="5"/>
  <c r="R94" i="5"/>
  <c r="S94" i="5"/>
  <c r="U94" i="5"/>
  <c r="W94" i="5"/>
  <c r="Z94" i="5"/>
  <c r="AA94" i="5"/>
  <c r="AB94" i="5"/>
  <c r="AC94" i="5"/>
  <c r="AD94" i="5"/>
  <c r="AE94" i="5"/>
  <c r="AG94" i="5"/>
  <c r="AH94" i="5"/>
  <c r="AI94" i="5"/>
  <c r="AK94" i="5"/>
  <c r="AX94" i="5"/>
  <c r="AY94" i="5"/>
  <c r="AZ94" i="5"/>
  <c r="BB94" i="5"/>
  <c r="BC94" i="5"/>
  <c r="BD94" i="5"/>
  <c r="BF94" i="5"/>
  <c r="BG94" i="5"/>
  <c r="BI94" i="5"/>
  <c r="BJ94" i="5"/>
  <c r="D95" i="5"/>
  <c r="E95" i="5"/>
  <c r="F95" i="5"/>
  <c r="G95" i="5"/>
  <c r="H95" i="5"/>
  <c r="I95" i="5"/>
  <c r="J95" i="5"/>
  <c r="L95" i="5"/>
  <c r="M95" i="5"/>
  <c r="O95" i="5"/>
  <c r="P95" i="5"/>
  <c r="R95" i="5"/>
  <c r="S95" i="5"/>
  <c r="U95" i="5"/>
  <c r="W95" i="5"/>
  <c r="Z95" i="5"/>
  <c r="AA95" i="5"/>
  <c r="AB95" i="5"/>
  <c r="AC95" i="5"/>
  <c r="AD95" i="5"/>
  <c r="AE95" i="5"/>
  <c r="AG95" i="5"/>
  <c r="AH95" i="5"/>
  <c r="AI95" i="5"/>
  <c r="AK95" i="5"/>
  <c r="AX95" i="5"/>
  <c r="AY95" i="5"/>
  <c r="AZ95" i="5"/>
  <c r="BB95" i="5"/>
  <c r="BC95" i="5"/>
  <c r="BD95" i="5"/>
  <c r="BF95" i="5"/>
  <c r="BG95" i="5"/>
  <c r="BI95" i="5"/>
  <c r="BJ95" i="5"/>
  <c r="D96" i="5"/>
  <c r="E96" i="5"/>
  <c r="F96" i="5"/>
  <c r="G96" i="5"/>
  <c r="H96" i="5"/>
  <c r="I96" i="5"/>
  <c r="J96" i="5"/>
  <c r="L96" i="5"/>
  <c r="M96" i="5"/>
  <c r="O96" i="5"/>
  <c r="P96" i="5"/>
  <c r="R96" i="5"/>
  <c r="S96" i="5"/>
  <c r="U96" i="5"/>
  <c r="W96" i="5"/>
  <c r="Z96" i="5"/>
  <c r="AA96" i="5"/>
  <c r="AB96" i="5"/>
  <c r="AC96" i="5"/>
  <c r="AD96" i="5"/>
  <c r="AE96" i="5"/>
  <c r="AG96" i="5"/>
  <c r="AH96" i="5"/>
  <c r="AI96" i="5"/>
  <c r="AK96" i="5"/>
  <c r="AX96" i="5"/>
  <c r="AY96" i="5"/>
  <c r="AZ96" i="5"/>
  <c r="BB96" i="5"/>
  <c r="BC96" i="5"/>
  <c r="BD96" i="5"/>
  <c r="BF96" i="5"/>
  <c r="BG96" i="5"/>
  <c r="BI96" i="5"/>
  <c r="BJ96" i="5"/>
  <c r="D97" i="5"/>
  <c r="E97" i="5"/>
  <c r="F97" i="5"/>
  <c r="G97" i="5"/>
  <c r="H97" i="5"/>
  <c r="I97" i="5"/>
  <c r="J97" i="5"/>
  <c r="L97" i="5"/>
  <c r="M97" i="5"/>
  <c r="O97" i="5"/>
  <c r="P97" i="5"/>
  <c r="R97" i="5"/>
  <c r="S97" i="5"/>
  <c r="U97" i="5"/>
  <c r="W97" i="5"/>
  <c r="Z97" i="5"/>
  <c r="AA97" i="5"/>
  <c r="AB97" i="5"/>
  <c r="AC97" i="5"/>
  <c r="AD97" i="5"/>
  <c r="AE97" i="5"/>
  <c r="AG97" i="5"/>
  <c r="AH97" i="5"/>
  <c r="AI97" i="5"/>
  <c r="AK97" i="5"/>
  <c r="AX97" i="5"/>
  <c r="AY97" i="5"/>
  <c r="AZ97" i="5"/>
  <c r="BB97" i="5"/>
  <c r="BC97" i="5"/>
  <c r="BD97" i="5"/>
  <c r="BF97" i="5"/>
  <c r="BG97" i="5"/>
  <c r="BI97" i="5"/>
  <c r="BJ97" i="5"/>
  <c r="D98" i="5"/>
  <c r="E98" i="5"/>
  <c r="F98" i="5"/>
  <c r="G98" i="5"/>
  <c r="H98" i="5"/>
  <c r="I98" i="5"/>
  <c r="J98" i="5"/>
  <c r="L98" i="5"/>
  <c r="M98" i="5"/>
  <c r="O98" i="5"/>
  <c r="P98" i="5"/>
  <c r="R98" i="5"/>
  <c r="S98" i="5"/>
  <c r="U98" i="5"/>
  <c r="W98" i="5"/>
  <c r="Z98" i="5"/>
  <c r="AA98" i="5"/>
  <c r="AB98" i="5"/>
  <c r="AC98" i="5"/>
  <c r="AD98" i="5"/>
  <c r="AE98" i="5"/>
  <c r="AG98" i="5"/>
  <c r="AH98" i="5"/>
  <c r="AI98" i="5"/>
  <c r="AK98" i="5"/>
  <c r="AX98" i="5"/>
  <c r="AY98" i="5"/>
  <c r="AZ98" i="5"/>
  <c r="BB98" i="5"/>
  <c r="BC98" i="5"/>
  <c r="BD98" i="5"/>
  <c r="BF98" i="5"/>
  <c r="BG98" i="5"/>
  <c r="BI98" i="5"/>
  <c r="BJ98" i="5"/>
  <c r="D99" i="5"/>
  <c r="E99" i="5"/>
  <c r="F99" i="5"/>
  <c r="G99" i="5"/>
  <c r="H99" i="5"/>
  <c r="I99" i="5"/>
  <c r="J99" i="5"/>
  <c r="L99" i="5"/>
  <c r="M99" i="5"/>
  <c r="O99" i="5"/>
  <c r="P99" i="5"/>
  <c r="R99" i="5"/>
  <c r="S99" i="5"/>
  <c r="U99" i="5"/>
  <c r="W99" i="5"/>
  <c r="Z99" i="5"/>
  <c r="AA99" i="5"/>
  <c r="AB99" i="5"/>
  <c r="AC99" i="5"/>
  <c r="AD99" i="5"/>
  <c r="AE99" i="5"/>
  <c r="AG99" i="5"/>
  <c r="AH99" i="5"/>
  <c r="AI99" i="5"/>
  <c r="AK99" i="5"/>
  <c r="AX99" i="5"/>
  <c r="AY99" i="5"/>
  <c r="AZ99" i="5"/>
  <c r="BB99" i="5"/>
  <c r="BC99" i="5"/>
  <c r="BD99" i="5"/>
  <c r="BF99" i="5"/>
  <c r="BG99" i="5"/>
  <c r="BI99" i="5"/>
  <c r="BJ99" i="5"/>
  <c r="D100" i="5"/>
  <c r="E100" i="5"/>
  <c r="F100" i="5"/>
  <c r="G100" i="5"/>
  <c r="H100" i="5"/>
  <c r="I100" i="5"/>
  <c r="J100" i="5"/>
  <c r="L100" i="5"/>
  <c r="M100" i="5"/>
  <c r="O100" i="5"/>
  <c r="P100" i="5"/>
  <c r="R100" i="5"/>
  <c r="S100" i="5"/>
  <c r="U100" i="5"/>
  <c r="W100" i="5"/>
  <c r="Z100" i="5"/>
  <c r="AA100" i="5"/>
  <c r="AB100" i="5"/>
  <c r="AC100" i="5"/>
  <c r="AD100" i="5"/>
  <c r="AE100" i="5"/>
  <c r="AG100" i="5"/>
  <c r="AH100" i="5"/>
  <c r="AI100" i="5"/>
  <c r="AK100" i="5"/>
  <c r="AX100" i="5"/>
  <c r="AY100" i="5"/>
  <c r="AZ100" i="5"/>
  <c r="BB100" i="5"/>
  <c r="BC100" i="5"/>
  <c r="BD100" i="5"/>
  <c r="BF100" i="5"/>
  <c r="BG100" i="5"/>
  <c r="BI100" i="5"/>
  <c r="BJ100" i="5"/>
  <c r="D101" i="5"/>
  <c r="E101" i="5"/>
  <c r="F101" i="5"/>
  <c r="G101" i="5"/>
  <c r="H101" i="5"/>
  <c r="I101" i="5"/>
  <c r="J101" i="5"/>
  <c r="L101" i="5"/>
  <c r="M101" i="5"/>
  <c r="O101" i="5"/>
  <c r="P101" i="5"/>
  <c r="R101" i="5"/>
  <c r="S101" i="5"/>
  <c r="U101" i="5"/>
  <c r="W101" i="5"/>
  <c r="Z101" i="5"/>
  <c r="AA101" i="5"/>
  <c r="AB101" i="5"/>
  <c r="AC101" i="5"/>
  <c r="AD101" i="5"/>
  <c r="AE101" i="5"/>
  <c r="AG101" i="5"/>
  <c r="AH101" i="5"/>
  <c r="AI101" i="5"/>
  <c r="AK101" i="5"/>
  <c r="AX101" i="5"/>
  <c r="AY101" i="5"/>
  <c r="AZ101" i="5"/>
  <c r="BB101" i="5"/>
  <c r="BC101" i="5"/>
  <c r="BD101" i="5"/>
  <c r="BF101" i="5"/>
  <c r="BG101" i="5"/>
  <c r="BI101" i="5"/>
  <c r="BJ101" i="5"/>
  <c r="D102" i="5"/>
  <c r="E102" i="5"/>
  <c r="F102" i="5"/>
  <c r="G102" i="5"/>
  <c r="H102" i="5"/>
  <c r="I102" i="5"/>
  <c r="J102" i="5"/>
  <c r="L102" i="5"/>
  <c r="M102" i="5"/>
  <c r="O102" i="5"/>
  <c r="P102" i="5"/>
  <c r="R102" i="5"/>
  <c r="S102" i="5"/>
  <c r="U102" i="5"/>
  <c r="W102" i="5"/>
  <c r="Z102" i="5"/>
  <c r="AA102" i="5"/>
  <c r="AB102" i="5"/>
  <c r="AC102" i="5"/>
  <c r="AD102" i="5"/>
  <c r="AE102" i="5"/>
  <c r="AG102" i="5"/>
  <c r="AH102" i="5"/>
  <c r="AI102" i="5"/>
  <c r="AK102" i="5"/>
  <c r="AX102" i="5"/>
  <c r="AY102" i="5"/>
  <c r="AZ102" i="5"/>
  <c r="BB102" i="5"/>
  <c r="BC102" i="5"/>
  <c r="BD102" i="5"/>
  <c r="BF102" i="5"/>
  <c r="BG102" i="5"/>
  <c r="BI102" i="5"/>
  <c r="BJ102" i="5"/>
  <c r="D103" i="5"/>
  <c r="E103" i="5"/>
  <c r="F103" i="5"/>
  <c r="G103" i="5"/>
  <c r="H103" i="5"/>
  <c r="I103" i="5"/>
  <c r="J103" i="5"/>
  <c r="L103" i="5"/>
  <c r="M103" i="5"/>
  <c r="O103" i="5"/>
  <c r="P103" i="5"/>
  <c r="R103" i="5"/>
  <c r="S103" i="5"/>
  <c r="U103" i="5"/>
  <c r="W103" i="5"/>
  <c r="Z103" i="5"/>
  <c r="AA103" i="5"/>
  <c r="AB103" i="5"/>
  <c r="AC103" i="5"/>
  <c r="AD103" i="5"/>
  <c r="AE103" i="5"/>
  <c r="AG103" i="5"/>
  <c r="AH103" i="5"/>
  <c r="AI103" i="5"/>
  <c r="AK103" i="5"/>
  <c r="AX103" i="5"/>
  <c r="AY103" i="5"/>
  <c r="AZ103" i="5"/>
  <c r="BB103" i="5"/>
  <c r="BC103" i="5"/>
  <c r="BD103" i="5"/>
  <c r="BF103" i="5"/>
  <c r="BG103" i="5"/>
  <c r="BI103" i="5"/>
  <c r="BJ103" i="5"/>
  <c r="D104" i="5"/>
  <c r="E104" i="5"/>
  <c r="F104" i="5"/>
  <c r="G104" i="5"/>
  <c r="H104" i="5"/>
  <c r="I104" i="5"/>
  <c r="J104" i="5"/>
  <c r="L104" i="5"/>
  <c r="M104" i="5"/>
  <c r="O104" i="5"/>
  <c r="P104" i="5"/>
  <c r="R104" i="5"/>
  <c r="S104" i="5"/>
  <c r="U104" i="5"/>
  <c r="W104" i="5"/>
  <c r="Z104" i="5"/>
  <c r="AA104" i="5"/>
  <c r="AB104" i="5"/>
  <c r="AC104" i="5"/>
  <c r="AD104" i="5"/>
  <c r="AE104" i="5"/>
  <c r="AG104" i="5"/>
  <c r="AH104" i="5"/>
  <c r="AI104" i="5"/>
  <c r="AK104" i="5"/>
  <c r="AX104" i="5"/>
  <c r="AY104" i="5"/>
  <c r="AZ104" i="5"/>
  <c r="BB104" i="5"/>
  <c r="BC104" i="5"/>
  <c r="BD104" i="5"/>
  <c r="BF104" i="5"/>
  <c r="BG104" i="5"/>
  <c r="BI104" i="5"/>
  <c r="BJ104" i="5"/>
  <c r="D105" i="5"/>
  <c r="E105" i="5"/>
  <c r="F105" i="5"/>
  <c r="G105" i="5"/>
  <c r="H105" i="5"/>
  <c r="I105" i="5"/>
  <c r="J105" i="5"/>
  <c r="L105" i="5"/>
  <c r="M105" i="5"/>
  <c r="O105" i="5"/>
  <c r="P105" i="5"/>
  <c r="R105" i="5"/>
  <c r="S105" i="5"/>
  <c r="U105" i="5"/>
  <c r="W105" i="5"/>
  <c r="Z105" i="5"/>
  <c r="AA105" i="5"/>
  <c r="AB105" i="5"/>
  <c r="AC105" i="5"/>
  <c r="AD105" i="5"/>
  <c r="AE105" i="5"/>
  <c r="AG105" i="5"/>
  <c r="AH105" i="5"/>
  <c r="AI105" i="5"/>
  <c r="AK105" i="5"/>
  <c r="AX105" i="5"/>
  <c r="AY105" i="5"/>
  <c r="AZ105" i="5"/>
  <c r="BB105" i="5"/>
  <c r="BC105" i="5"/>
  <c r="BD105" i="5"/>
  <c r="BF105" i="5"/>
  <c r="BG105" i="5"/>
  <c r="BI105" i="5"/>
  <c r="BJ105" i="5"/>
  <c r="D106" i="5"/>
  <c r="E106" i="5"/>
  <c r="F106" i="5"/>
  <c r="G106" i="5"/>
  <c r="H106" i="5"/>
  <c r="I106" i="5"/>
  <c r="J106" i="5"/>
  <c r="L106" i="5"/>
  <c r="M106" i="5"/>
  <c r="O106" i="5"/>
  <c r="P106" i="5"/>
  <c r="R106" i="5"/>
  <c r="S106" i="5"/>
  <c r="U106" i="5"/>
  <c r="W106" i="5"/>
  <c r="Z106" i="5"/>
  <c r="AA106" i="5"/>
  <c r="AB106" i="5"/>
  <c r="AC106" i="5"/>
  <c r="AD106" i="5"/>
  <c r="AE106" i="5"/>
  <c r="AG106" i="5"/>
  <c r="AH106" i="5"/>
  <c r="AI106" i="5"/>
  <c r="AK106" i="5"/>
  <c r="AX106" i="5"/>
  <c r="AY106" i="5"/>
  <c r="AZ106" i="5"/>
  <c r="BB106" i="5"/>
  <c r="BC106" i="5"/>
  <c r="BD106" i="5"/>
  <c r="BF106" i="5"/>
  <c r="BG106" i="5"/>
  <c r="BI106" i="5"/>
  <c r="BJ106" i="5"/>
  <c r="D107" i="5"/>
  <c r="E107" i="5"/>
  <c r="F107" i="5"/>
  <c r="G107" i="5"/>
  <c r="H107" i="5"/>
  <c r="I107" i="5"/>
  <c r="J107" i="5"/>
  <c r="L107" i="5"/>
  <c r="M107" i="5"/>
  <c r="O107" i="5"/>
  <c r="P107" i="5"/>
  <c r="R107" i="5"/>
  <c r="S107" i="5"/>
  <c r="U107" i="5"/>
  <c r="W107" i="5"/>
  <c r="Z107" i="5"/>
  <c r="AA107" i="5"/>
  <c r="AB107" i="5"/>
  <c r="AC107" i="5"/>
  <c r="AD107" i="5"/>
  <c r="AE107" i="5"/>
  <c r="AG107" i="5"/>
  <c r="AH107" i="5"/>
  <c r="AI107" i="5"/>
  <c r="AK107" i="5"/>
  <c r="AX107" i="5"/>
  <c r="AY107" i="5"/>
  <c r="AZ107" i="5"/>
  <c r="BB107" i="5"/>
  <c r="BC107" i="5"/>
  <c r="BD107" i="5"/>
  <c r="BF107" i="5"/>
  <c r="BG107" i="5"/>
  <c r="BI107" i="5"/>
  <c r="BJ107" i="5"/>
  <c r="D108" i="5"/>
  <c r="E108" i="5"/>
  <c r="F108" i="5"/>
  <c r="G108" i="5"/>
  <c r="H108" i="5"/>
  <c r="I108" i="5"/>
  <c r="J108" i="5"/>
  <c r="L108" i="5"/>
  <c r="M108" i="5"/>
  <c r="O108" i="5"/>
  <c r="P108" i="5"/>
  <c r="R108" i="5"/>
  <c r="S108" i="5"/>
  <c r="U108" i="5"/>
  <c r="W108" i="5"/>
  <c r="Z108" i="5"/>
  <c r="AA108" i="5"/>
  <c r="AB108" i="5"/>
  <c r="AC108" i="5"/>
  <c r="AD108" i="5"/>
  <c r="AE108" i="5"/>
  <c r="AG108" i="5"/>
  <c r="AH108" i="5"/>
  <c r="AI108" i="5"/>
  <c r="AK108" i="5"/>
  <c r="AX108" i="5"/>
  <c r="AY108" i="5"/>
  <c r="AZ108" i="5"/>
  <c r="BB108" i="5"/>
  <c r="BC108" i="5"/>
  <c r="BD108" i="5"/>
  <c r="BF108" i="5"/>
  <c r="BG108" i="5"/>
  <c r="BI108" i="5"/>
  <c r="BJ108" i="5"/>
  <c r="D109" i="5"/>
  <c r="E109" i="5"/>
  <c r="F109" i="5"/>
  <c r="G109" i="5"/>
  <c r="H109" i="5"/>
  <c r="I109" i="5"/>
  <c r="J109" i="5"/>
  <c r="L109" i="5"/>
  <c r="M109" i="5"/>
  <c r="O109" i="5"/>
  <c r="P109" i="5"/>
  <c r="R109" i="5"/>
  <c r="S109" i="5"/>
  <c r="U109" i="5"/>
  <c r="W109" i="5"/>
  <c r="Z109" i="5"/>
  <c r="AA109" i="5"/>
  <c r="AB109" i="5"/>
  <c r="AC109" i="5"/>
  <c r="AD109" i="5"/>
  <c r="AE109" i="5"/>
  <c r="AG109" i="5"/>
  <c r="AH109" i="5"/>
  <c r="AI109" i="5"/>
  <c r="AK109" i="5"/>
  <c r="AX109" i="5"/>
  <c r="AY109" i="5"/>
  <c r="AZ109" i="5"/>
  <c r="BB109" i="5"/>
  <c r="BC109" i="5"/>
  <c r="BD109" i="5"/>
  <c r="BF109" i="5"/>
  <c r="BG109" i="5"/>
  <c r="BI109" i="5"/>
  <c r="BJ109" i="5"/>
  <c r="D110" i="5"/>
  <c r="E110" i="5"/>
  <c r="F110" i="5"/>
  <c r="G110" i="5"/>
  <c r="H110" i="5"/>
  <c r="I110" i="5"/>
  <c r="J110" i="5"/>
  <c r="L110" i="5"/>
  <c r="M110" i="5"/>
  <c r="O110" i="5"/>
  <c r="P110" i="5"/>
  <c r="R110" i="5"/>
  <c r="S110" i="5"/>
  <c r="U110" i="5"/>
  <c r="W110" i="5"/>
  <c r="Z110" i="5"/>
  <c r="AA110" i="5"/>
  <c r="AB110" i="5"/>
  <c r="AC110" i="5"/>
  <c r="AD110" i="5"/>
  <c r="AE110" i="5"/>
  <c r="AG110" i="5"/>
  <c r="AH110" i="5"/>
  <c r="AI110" i="5"/>
  <c r="AK110" i="5"/>
  <c r="AX110" i="5"/>
  <c r="AY110" i="5"/>
  <c r="AZ110" i="5"/>
  <c r="BB110" i="5"/>
  <c r="BC110" i="5"/>
  <c r="BD110" i="5"/>
  <c r="BF110" i="5"/>
  <c r="BG110" i="5"/>
  <c r="BI110" i="5"/>
  <c r="BJ110" i="5"/>
  <c r="D111" i="5"/>
  <c r="E111" i="5"/>
  <c r="F111" i="5"/>
  <c r="G111" i="5"/>
  <c r="H111" i="5"/>
  <c r="I111" i="5"/>
  <c r="J111" i="5"/>
  <c r="L111" i="5"/>
  <c r="M111" i="5"/>
  <c r="O111" i="5"/>
  <c r="P111" i="5"/>
  <c r="R111" i="5"/>
  <c r="S111" i="5"/>
  <c r="U111" i="5"/>
  <c r="W111" i="5"/>
  <c r="Z111" i="5"/>
  <c r="AA111" i="5"/>
  <c r="AB111" i="5"/>
  <c r="AC111" i="5"/>
  <c r="AD111" i="5"/>
  <c r="AE111" i="5"/>
  <c r="AG111" i="5"/>
  <c r="AH111" i="5"/>
  <c r="AI111" i="5"/>
  <c r="AK111" i="5"/>
  <c r="AX111" i="5"/>
  <c r="AY111" i="5"/>
  <c r="AZ111" i="5"/>
  <c r="BB111" i="5"/>
  <c r="BC111" i="5"/>
  <c r="BD111" i="5"/>
  <c r="BF111" i="5"/>
  <c r="BG111" i="5"/>
  <c r="BI111" i="5"/>
  <c r="BJ111" i="5"/>
  <c r="D112" i="5"/>
  <c r="E112" i="5"/>
  <c r="F112" i="5"/>
  <c r="G112" i="5"/>
  <c r="H112" i="5"/>
  <c r="I112" i="5"/>
  <c r="J112" i="5"/>
  <c r="L112" i="5"/>
  <c r="M112" i="5"/>
  <c r="O112" i="5"/>
  <c r="P112" i="5"/>
  <c r="R112" i="5"/>
  <c r="S112" i="5"/>
  <c r="U112" i="5"/>
  <c r="W112" i="5"/>
  <c r="Z112" i="5"/>
  <c r="AA112" i="5"/>
  <c r="AB112" i="5"/>
  <c r="AC112" i="5"/>
  <c r="AD112" i="5"/>
  <c r="AE112" i="5"/>
  <c r="AG112" i="5"/>
  <c r="AH112" i="5"/>
  <c r="AI112" i="5"/>
  <c r="AK112" i="5"/>
  <c r="AX112" i="5"/>
  <c r="AY112" i="5"/>
  <c r="AZ112" i="5"/>
  <c r="BB112" i="5"/>
  <c r="BC112" i="5"/>
  <c r="BD112" i="5"/>
  <c r="BF112" i="5"/>
  <c r="BG112" i="5"/>
  <c r="BI112" i="5"/>
  <c r="BJ112" i="5"/>
  <c r="D113" i="5"/>
  <c r="E113" i="5"/>
  <c r="F113" i="5"/>
  <c r="G113" i="5"/>
  <c r="H113" i="5"/>
  <c r="I113" i="5"/>
  <c r="J113" i="5"/>
  <c r="L113" i="5"/>
  <c r="M113" i="5"/>
  <c r="O113" i="5"/>
  <c r="P113" i="5"/>
  <c r="R113" i="5"/>
  <c r="S113" i="5"/>
  <c r="U113" i="5"/>
  <c r="W113" i="5"/>
  <c r="Z113" i="5"/>
  <c r="AA113" i="5"/>
  <c r="AB113" i="5"/>
  <c r="AC113" i="5"/>
  <c r="AD113" i="5"/>
  <c r="AE113" i="5"/>
  <c r="AG113" i="5"/>
  <c r="AH113" i="5"/>
  <c r="AI113" i="5"/>
  <c r="AK113" i="5"/>
  <c r="AX113" i="5"/>
  <c r="AY113" i="5"/>
  <c r="AZ113" i="5"/>
  <c r="BB113" i="5"/>
  <c r="BC113" i="5"/>
  <c r="BD113" i="5"/>
  <c r="BF113" i="5"/>
  <c r="BG113" i="5"/>
  <c r="BI113" i="5"/>
  <c r="BJ113" i="5"/>
  <c r="D114" i="5"/>
  <c r="E114" i="5"/>
  <c r="F114" i="5"/>
  <c r="G114" i="5"/>
  <c r="H114" i="5"/>
  <c r="I114" i="5"/>
  <c r="J114" i="5"/>
  <c r="R114" i="5"/>
  <c r="S114" i="5"/>
  <c r="T114" i="5"/>
  <c r="U114" i="5"/>
  <c r="W114" i="5"/>
  <c r="Z114" i="5"/>
  <c r="AA114" i="5"/>
  <c r="AB114" i="5"/>
  <c r="AC114" i="5"/>
  <c r="AD114" i="5"/>
  <c r="AE114" i="5"/>
  <c r="AG114" i="5"/>
  <c r="AH114" i="5"/>
  <c r="AI114" i="5"/>
  <c r="AK114" i="5"/>
  <c r="AX114" i="5"/>
  <c r="AY114" i="5"/>
  <c r="AZ114" i="5"/>
  <c r="BB114" i="5"/>
  <c r="BC114" i="5"/>
  <c r="BD114" i="5"/>
  <c r="BF114" i="5"/>
  <c r="BG114" i="5"/>
  <c r="D115" i="5"/>
  <c r="E115" i="5"/>
  <c r="F115" i="5"/>
  <c r="G115" i="5"/>
  <c r="H115" i="5"/>
  <c r="I115" i="5"/>
  <c r="J115" i="5"/>
  <c r="R115" i="5"/>
  <c r="S115" i="5"/>
  <c r="T115" i="5"/>
  <c r="U115" i="5"/>
  <c r="W115" i="5"/>
  <c r="Z115" i="5"/>
  <c r="AA115" i="5"/>
  <c r="AB115" i="5"/>
  <c r="AC115" i="5"/>
  <c r="AD115" i="5"/>
  <c r="AE115" i="5"/>
  <c r="AG115" i="5"/>
  <c r="AH115" i="5"/>
  <c r="AI115" i="5"/>
  <c r="AK115" i="5"/>
  <c r="AX115" i="5"/>
  <c r="AY115" i="5"/>
  <c r="AZ115" i="5"/>
  <c r="BB115" i="5"/>
  <c r="BC115" i="5"/>
  <c r="BD115" i="5"/>
  <c r="BF115" i="5"/>
  <c r="BG115" i="5"/>
  <c r="D116" i="5"/>
  <c r="E116" i="5"/>
  <c r="F116" i="5"/>
  <c r="G116" i="5"/>
  <c r="H116" i="5"/>
  <c r="I116" i="5"/>
  <c r="J116" i="5"/>
  <c r="R116" i="5"/>
  <c r="S116" i="5"/>
  <c r="T116" i="5"/>
  <c r="U116" i="5"/>
  <c r="W116" i="5"/>
  <c r="Z116" i="5"/>
  <c r="AA116" i="5"/>
  <c r="AB116" i="5"/>
  <c r="AC116" i="5"/>
  <c r="AD116" i="5"/>
  <c r="AE116" i="5"/>
  <c r="AG116" i="5"/>
  <c r="AH116" i="5"/>
  <c r="AI116" i="5"/>
  <c r="AK116" i="5"/>
  <c r="AX116" i="5"/>
  <c r="AY116" i="5"/>
  <c r="AZ116" i="5"/>
  <c r="BB116" i="5"/>
  <c r="BC116" i="5"/>
  <c r="BD116" i="5"/>
  <c r="BF116" i="5"/>
  <c r="BG116" i="5"/>
  <c r="D117" i="5"/>
  <c r="E117" i="5"/>
  <c r="F117" i="5"/>
  <c r="G117" i="5"/>
  <c r="H117" i="5"/>
  <c r="I117" i="5"/>
  <c r="J117" i="5"/>
  <c r="R117" i="5"/>
  <c r="S117" i="5"/>
  <c r="T117" i="5"/>
  <c r="U117" i="5"/>
  <c r="W117" i="5"/>
  <c r="Z117" i="5"/>
  <c r="AA117" i="5"/>
  <c r="AB117" i="5"/>
  <c r="AC117" i="5"/>
  <c r="AD117" i="5"/>
  <c r="AE117" i="5"/>
  <c r="AG117" i="5"/>
  <c r="AH117" i="5"/>
  <c r="AI117" i="5"/>
  <c r="AK117" i="5"/>
  <c r="AX117" i="5"/>
  <c r="AY117" i="5"/>
  <c r="AZ117" i="5"/>
  <c r="BB117" i="5"/>
  <c r="BC117" i="5"/>
  <c r="BD117" i="5"/>
  <c r="BF117" i="5"/>
  <c r="BG117" i="5"/>
  <c r="D118" i="5"/>
  <c r="E118" i="5"/>
  <c r="F118" i="5"/>
  <c r="G118" i="5"/>
  <c r="H118" i="5"/>
  <c r="I118" i="5"/>
  <c r="J118" i="5"/>
  <c r="R118" i="5"/>
  <c r="S118" i="5"/>
  <c r="T118" i="5"/>
  <c r="U118" i="5"/>
  <c r="W118" i="5"/>
  <c r="Z118" i="5"/>
  <c r="AA118" i="5"/>
  <c r="AB118" i="5"/>
  <c r="AC118" i="5"/>
  <c r="AD118" i="5"/>
  <c r="AE118" i="5"/>
  <c r="AG118" i="5"/>
  <c r="AH118" i="5"/>
  <c r="AI118" i="5"/>
  <c r="AK118" i="5"/>
  <c r="AX118" i="5"/>
  <c r="AY118" i="5"/>
  <c r="AZ118" i="5"/>
  <c r="BB118" i="5"/>
  <c r="BC118" i="5"/>
  <c r="BD118" i="5"/>
  <c r="BF118" i="5"/>
  <c r="BG118" i="5"/>
  <c r="D119" i="5"/>
  <c r="E119" i="5"/>
  <c r="F119" i="5"/>
  <c r="G119" i="5"/>
  <c r="H119" i="5"/>
  <c r="I119" i="5"/>
  <c r="J119" i="5"/>
  <c r="R119" i="5"/>
  <c r="S119" i="5"/>
  <c r="T119" i="5"/>
  <c r="U119" i="5"/>
  <c r="W119" i="5"/>
  <c r="Z119" i="5"/>
  <c r="AA119" i="5"/>
  <c r="AB119" i="5"/>
  <c r="AC119" i="5"/>
  <c r="AD119" i="5"/>
  <c r="AE119" i="5"/>
  <c r="AG119" i="5"/>
  <c r="AH119" i="5"/>
  <c r="AI119" i="5"/>
  <c r="AK119" i="5"/>
  <c r="AX119" i="5"/>
  <c r="AY119" i="5"/>
  <c r="AZ119" i="5"/>
  <c r="BB119" i="5"/>
  <c r="BC119" i="5"/>
  <c r="BD119" i="5"/>
  <c r="BF119" i="5"/>
  <c r="BG119" i="5"/>
  <c r="D120" i="5"/>
  <c r="E120" i="5"/>
  <c r="F120" i="5"/>
  <c r="G120" i="5"/>
  <c r="H120" i="5"/>
  <c r="I120" i="5"/>
  <c r="J120" i="5"/>
  <c r="R120" i="5"/>
  <c r="S120" i="5"/>
  <c r="T120" i="5"/>
  <c r="U120" i="5"/>
  <c r="W120" i="5"/>
  <c r="Z120" i="5"/>
  <c r="AA120" i="5"/>
  <c r="AB120" i="5"/>
  <c r="AC120" i="5"/>
  <c r="AD120" i="5"/>
  <c r="AE120" i="5"/>
  <c r="AG120" i="5"/>
  <c r="AH120" i="5"/>
  <c r="AI120" i="5"/>
  <c r="AK120" i="5"/>
  <c r="AX120" i="5"/>
  <c r="AY120" i="5"/>
  <c r="AZ120" i="5"/>
  <c r="BB120" i="5"/>
  <c r="BC120" i="5"/>
  <c r="BD120" i="5"/>
  <c r="BF120" i="5"/>
  <c r="BG120" i="5"/>
  <c r="D121" i="5"/>
  <c r="E121" i="5"/>
  <c r="F121" i="5"/>
  <c r="G121" i="5"/>
  <c r="H121" i="5"/>
  <c r="I121" i="5"/>
  <c r="J121" i="5"/>
  <c r="R121" i="5"/>
  <c r="S121" i="5"/>
  <c r="T121" i="5"/>
  <c r="U121" i="5"/>
  <c r="W121" i="5"/>
  <c r="Z121" i="5"/>
  <c r="AA121" i="5"/>
  <c r="AB121" i="5"/>
  <c r="AC121" i="5"/>
  <c r="AD121" i="5"/>
  <c r="AE121" i="5"/>
  <c r="AG121" i="5"/>
  <c r="AH121" i="5"/>
  <c r="AI121" i="5"/>
  <c r="AK121" i="5"/>
  <c r="AX121" i="5"/>
  <c r="AY121" i="5"/>
  <c r="AZ121" i="5"/>
  <c r="BB121" i="5"/>
  <c r="BC121" i="5"/>
  <c r="BD121" i="5"/>
  <c r="BF121" i="5"/>
  <c r="BG121" i="5"/>
  <c r="D122" i="5"/>
  <c r="E122" i="5"/>
  <c r="F122" i="5"/>
  <c r="G122" i="5"/>
  <c r="H122" i="5"/>
  <c r="I122" i="5"/>
  <c r="J122" i="5"/>
  <c r="R122" i="5"/>
  <c r="S122" i="5"/>
  <c r="T122" i="5"/>
  <c r="U122" i="5"/>
  <c r="W122" i="5"/>
  <c r="Z122" i="5"/>
  <c r="AA122" i="5"/>
  <c r="AB122" i="5"/>
  <c r="AC122" i="5"/>
  <c r="AD122" i="5"/>
  <c r="AE122" i="5"/>
  <c r="AG122" i="5"/>
  <c r="AH122" i="5"/>
  <c r="AI122" i="5"/>
  <c r="AK122" i="5"/>
  <c r="AX122" i="5"/>
  <c r="AY122" i="5"/>
  <c r="AZ122" i="5"/>
  <c r="BB122" i="5"/>
  <c r="BC122" i="5"/>
  <c r="BD122" i="5"/>
  <c r="BF122" i="5"/>
  <c r="BG122" i="5"/>
  <c r="D123" i="5"/>
  <c r="E123" i="5"/>
  <c r="F123" i="5"/>
  <c r="G123" i="5"/>
  <c r="H123" i="5"/>
  <c r="I123" i="5"/>
  <c r="J123" i="5"/>
  <c r="R123" i="5"/>
  <c r="S123" i="5"/>
  <c r="T123" i="5"/>
  <c r="U123" i="5"/>
  <c r="W123" i="5"/>
  <c r="Z123" i="5"/>
  <c r="AA123" i="5"/>
  <c r="AB123" i="5"/>
  <c r="AC123" i="5"/>
  <c r="AD123" i="5"/>
  <c r="AE123" i="5"/>
  <c r="AG123" i="5"/>
  <c r="AH123" i="5"/>
  <c r="AI123" i="5"/>
  <c r="AK123" i="5"/>
  <c r="AX123" i="5"/>
  <c r="AY123" i="5"/>
  <c r="AZ123" i="5"/>
  <c r="BB123" i="5"/>
  <c r="BC123" i="5"/>
  <c r="BD123" i="5"/>
  <c r="BF123" i="5"/>
  <c r="BG123" i="5"/>
  <c r="D124" i="5"/>
  <c r="E124" i="5"/>
  <c r="F124" i="5"/>
  <c r="G124" i="5"/>
  <c r="H124" i="5"/>
  <c r="I124" i="5"/>
  <c r="J124" i="5"/>
  <c r="R124" i="5"/>
  <c r="S124" i="5"/>
  <c r="T124" i="5"/>
  <c r="U124" i="5"/>
  <c r="W124" i="5"/>
  <c r="Z124" i="5"/>
  <c r="AA124" i="5"/>
  <c r="AB124" i="5"/>
  <c r="AC124" i="5"/>
  <c r="AD124" i="5"/>
  <c r="AE124" i="5"/>
  <c r="AG124" i="5"/>
  <c r="AH124" i="5"/>
  <c r="AI124" i="5"/>
  <c r="AK124" i="5"/>
  <c r="AX124" i="5"/>
  <c r="AY124" i="5"/>
  <c r="AZ124" i="5"/>
  <c r="BB124" i="5"/>
  <c r="BC124" i="5"/>
  <c r="BD124" i="5"/>
  <c r="BF124" i="5"/>
  <c r="BG124" i="5"/>
  <c r="D125" i="5"/>
  <c r="E125" i="5"/>
  <c r="F125" i="5"/>
  <c r="G125" i="5"/>
  <c r="H125" i="5"/>
  <c r="I125" i="5"/>
  <c r="J125" i="5"/>
  <c r="R125" i="5"/>
  <c r="S125" i="5"/>
  <c r="T125" i="5"/>
  <c r="U125" i="5"/>
  <c r="W125" i="5"/>
  <c r="Z125" i="5"/>
  <c r="AA125" i="5"/>
  <c r="AB125" i="5"/>
  <c r="AC125" i="5"/>
  <c r="AD125" i="5"/>
  <c r="AE125" i="5"/>
  <c r="AG125" i="5"/>
  <c r="AH125" i="5"/>
  <c r="AI125" i="5"/>
  <c r="AK125" i="5"/>
  <c r="AX125" i="5"/>
  <c r="AY125" i="5"/>
  <c r="AZ125" i="5"/>
  <c r="BB125" i="5"/>
  <c r="BC125" i="5"/>
  <c r="BD125" i="5"/>
  <c r="BF125" i="5"/>
  <c r="BG125" i="5"/>
  <c r="D126" i="5"/>
  <c r="E126" i="5"/>
  <c r="F126" i="5"/>
  <c r="G126" i="5"/>
  <c r="H126" i="5"/>
  <c r="I126" i="5"/>
  <c r="J126" i="5"/>
  <c r="R126" i="5"/>
  <c r="S126" i="5"/>
  <c r="T126" i="5"/>
  <c r="U126" i="5"/>
  <c r="W126" i="5"/>
  <c r="Z126" i="5"/>
  <c r="AA126" i="5"/>
  <c r="AB126" i="5"/>
  <c r="AC126" i="5"/>
  <c r="AD126" i="5"/>
  <c r="AE126" i="5"/>
  <c r="AG126" i="5"/>
  <c r="AH126" i="5"/>
  <c r="AI126" i="5"/>
  <c r="AK126" i="5"/>
  <c r="AX126" i="5"/>
  <c r="AY126" i="5"/>
  <c r="AZ126" i="5"/>
  <c r="BB126" i="5"/>
  <c r="BC126" i="5"/>
  <c r="BD126" i="5"/>
  <c r="BF126" i="5"/>
  <c r="BG126" i="5"/>
  <c r="D127" i="5"/>
  <c r="E127" i="5"/>
  <c r="F127" i="5"/>
  <c r="G127" i="5"/>
  <c r="H127" i="5"/>
  <c r="I127" i="5"/>
  <c r="J127" i="5"/>
  <c r="R127" i="5"/>
  <c r="S127" i="5"/>
  <c r="T127" i="5"/>
  <c r="U127" i="5"/>
  <c r="W127" i="5"/>
  <c r="Z127" i="5"/>
  <c r="AA127" i="5"/>
  <c r="AB127" i="5"/>
  <c r="AC127" i="5"/>
  <c r="AD127" i="5"/>
  <c r="AE127" i="5"/>
  <c r="AG127" i="5"/>
  <c r="AH127" i="5"/>
  <c r="AI127" i="5"/>
  <c r="AK127" i="5"/>
  <c r="AX127" i="5"/>
  <c r="AY127" i="5"/>
  <c r="AZ127" i="5"/>
  <c r="BB127" i="5"/>
  <c r="BC127" i="5"/>
  <c r="BD127" i="5"/>
  <c r="BF127" i="5"/>
  <c r="BG127" i="5"/>
  <c r="D128" i="5"/>
  <c r="E128" i="5"/>
  <c r="F128" i="5"/>
  <c r="G128" i="5"/>
  <c r="H128" i="5"/>
  <c r="I128" i="5"/>
  <c r="J128" i="5"/>
  <c r="R128" i="5"/>
  <c r="S128" i="5"/>
  <c r="T128" i="5"/>
  <c r="U128" i="5"/>
  <c r="W128" i="5"/>
  <c r="Z128" i="5"/>
  <c r="AA128" i="5"/>
  <c r="AB128" i="5"/>
  <c r="AC128" i="5"/>
  <c r="AD128" i="5"/>
  <c r="AE128" i="5"/>
  <c r="AG128" i="5"/>
  <c r="AH128" i="5"/>
  <c r="AI128" i="5"/>
  <c r="AK128" i="5"/>
  <c r="AX128" i="5"/>
  <c r="AY128" i="5"/>
  <c r="AZ128" i="5"/>
  <c r="BB128" i="5"/>
  <c r="BC128" i="5"/>
  <c r="BD128" i="5"/>
  <c r="BF128" i="5"/>
  <c r="BG128" i="5"/>
  <c r="D129" i="5"/>
  <c r="E129" i="5"/>
  <c r="F129" i="5"/>
  <c r="G129" i="5"/>
  <c r="H129" i="5"/>
  <c r="I129" i="5"/>
  <c r="J129" i="5"/>
  <c r="R129" i="5"/>
  <c r="S129" i="5"/>
  <c r="T129" i="5"/>
  <c r="U129" i="5"/>
  <c r="W129" i="5"/>
  <c r="Z129" i="5"/>
  <c r="AA129" i="5"/>
  <c r="AB129" i="5"/>
  <c r="AC129" i="5"/>
  <c r="AD129" i="5"/>
  <c r="AE129" i="5"/>
  <c r="AG129" i="5"/>
  <c r="AH129" i="5"/>
  <c r="AI129" i="5"/>
  <c r="AK129" i="5"/>
  <c r="AX129" i="5"/>
  <c r="AY129" i="5"/>
  <c r="AZ129" i="5"/>
  <c r="BB129" i="5"/>
  <c r="BC129" i="5"/>
  <c r="BD129" i="5"/>
  <c r="BF129" i="5"/>
  <c r="BG129" i="5"/>
  <c r="D130" i="5"/>
  <c r="E130" i="5"/>
  <c r="F130" i="5"/>
  <c r="G130" i="5"/>
  <c r="H130" i="5"/>
  <c r="I130" i="5"/>
  <c r="J130" i="5"/>
  <c r="R130" i="5"/>
  <c r="S130" i="5"/>
  <c r="T130" i="5"/>
  <c r="U130" i="5"/>
  <c r="W130" i="5"/>
  <c r="Z130" i="5"/>
  <c r="AA130" i="5"/>
  <c r="AB130" i="5"/>
  <c r="AC130" i="5"/>
  <c r="AD130" i="5"/>
  <c r="AE130" i="5"/>
  <c r="AG130" i="5"/>
  <c r="AH130" i="5"/>
  <c r="AI130" i="5"/>
  <c r="AK130" i="5"/>
  <c r="AX130" i="5"/>
  <c r="AY130" i="5"/>
  <c r="AZ130" i="5"/>
  <c r="BB130" i="5"/>
  <c r="BC130" i="5"/>
  <c r="BD130" i="5"/>
  <c r="BF130" i="5"/>
  <c r="BG130" i="5"/>
  <c r="D131" i="5"/>
  <c r="E131" i="5"/>
  <c r="F131" i="5"/>
  <c r="G131" i="5"/>
  <c r="H131" i="5"/>
  <c r="I131" i="5"/>
  <c r="J131" i="5"/>
  <c r="R131" i="5"/>
  <c r="S131" i="5"/>
  <c r="T131" i="5"/>
  <c r="U131" i="5"/>
  <c r="W131" i="5"/>
  <c r="Z131" i="5"/>
  <c r="AA131" i="5"/>
  <c r="AB131" i="5"/>
  <c r="AC131" i="5"/>
  <c r="AD131" i="5"/>
  <c r="AE131" i="5"/>
  <c r="AG131" i="5"/>
  <c r="AH131" i="5"/>
  <c r="AI131" i="5"/>
  <c r="AK131" i="5"/>
  <c r="AX131" i="5"/>
  <c r="AY131" i="5"/>
  <c r="AZ131" i="5"/>
  <c r="BB131" i="5"/>
  <c r="BC131" i="5"/>
  <c r="BD131" i="5"/>
  <c r="BF131" i="5"/>
  <c r="BG131" i="5"/>
  <c r="D132" i="5"/>
  <c r="E132" i="5"/>
  <c r="F132" i="5"/>
  <c r="G132" i="5"/>
  <c r="H132" i="5"/>
  <c r="I132" i="5"/>
  <c r="J132" i="5"/>
  <c r="R132" i="5"/>
  <c r="S132" i="5"/>
  <c r="T132" i="5"/>
  <c r="U132" i="5"/>
  <c r="W132" i="5"/>
  <c r="Z132" i="5"/>
  <c r="AA132" i="5"/>
  <c r="AB132" i="5"/>
  <c r="AC132" i="5"/>
  <c r="AD132" i="5"/>
  <c r="AE132" i="5"/>
  <c r="AG132" i="5"/>
  <c r="AH132" i="5"/>
  <c r="AI132" i="5"/>
  <c r="AK132" i="5"/>
  <c r="AX132" i="5"/>
  <c r="AY132" i="5"/>
  <c r="AZ132" i="5"/>
  <c r="BB132" i="5"/>
  <c r="BC132" i="5"/>
  <c r="BD132" i="5"/>
  <c r="BF132" i="5"/>
  <c r="BG132" i="5"/>
  <c r="D133" i="5"/>
  <c r="E133" i="5"/>
  <c r="F133" i="5"/>
  <c r="G133" i="5"/>
  <c r="H133" i="5"/>
  <c r="I133" i="5"/>
  <c r="J133" i="5"/>
  <c r="R133" i="5"/>
  <c r="S133" i="5"/>
  <c r="T133" i="5"/>
  <c r="U133" i="5"/>
  <c r="W133" i="5"/>
  <c r="Z133" i="5"/>
  <c r="AA133" i="5"/>
  <c r="AB133" i="5"/>
  <c r="AC133" i="5"/>
  <c r="AD133" i="5"/>
  <c r="AE133" i="5"/>
  <c r="AG133" i="5"/>
  <c r="AH133" i="5"/>
  <c r="AI133" i="5"/>
  <c r="AK133" i="5"/>
  <c r="AX133" i="5"/>
  <c r="AY133" i="5"/>
  <c r="AZ133" i="5"/>
  <c r="BB133" i="5"/>
  <c r="BC133" i="5"/>
  <c r="BD133" i="5"/>
  <c r="BF133" i="5"/>
  <c r="BG133" i="5"/>
  <c r="D134" i="5"/>
  <c r="E134" i="5"/>
  <c r="F134" i="5"/>
  <c r="G134" i="5"/>
  <c r="H134" i="5"/>
  <c r="I134" i="5"/>
  <c r="J134" i="5"/>
  <c r="R134" i="5"/>
  <c r="S134" i="5"/>
  <c r="T134" i="5"/>
  <c r="U134" i="5"/>
  <c r="W134" i="5"/>
  <c r="Z134" i="5"/>
  <c r="AA134" i="5"/>
  <c r="AB134" i="5"/>
  <c r="AC134" i="5"/>
  <c r="AD134" i="5"/>
  <c r="AE134" i="5"/>
  <c r="AG134" i="5"/>
  <c r="AH134" i="5"/>
  <c r="AI134" i="5"/>
  <c r="AK134" i="5"/>
  <c r="AX134" i="5"/>
  <c r="AY134" i="5"/>
  <c r="AZ134" i="5"/>
  <c r="BB134" i="5"/>
  <c r="BC134" i="5"/>
  <c r="BD134" i="5"/>
  <c r="BF134" i="5"/>
  <c r="BG134" i="5"/>
  <c r="D135" i="5"/>
  <c r="E135" i="5"/>
  <c r="F135" i="5"/>
  <c r="G135" i="5"/>
  <c r="H135" i="5"/>
  <c r="I135" i="5"/>
  <c r="J135" i="5"/>
  <c r="R135" i="5"/>
  <c r="S135" i="5"/>
  <c r="T135" i="5"/>
  <c r="U135" i="5"/>
  <c r="W135" i="5"/>
  <c r="Z135" i="5"/>
  <c r="AA135" i="5"/>
  <c r="AB135" i="5"/>
  <c r="AC135" i="5"/>
  <c r="AD135" i="5"/>
  <c r="AE135" i="5"/>
  <c r="AG135" i="5"/>
  <c r="AH135" i="5"/>
  <c r="AI135" i="5"/>
  <c r="AK135" i="5"/>
  <c r="AX135" i="5"/>
  <c r="AY135" i="5"/>
  <c r="AZ135" i="5"/>
  <c r="BB135" i="5"/>
  <c r="BC135" i="5"/>
  <c r="BD135" i="5"/>
  <c r="BF135" i="5"/>
  <c r="BG135" i="5"/>
  <c r="D136" i="5"/>
  <c r="E136" i="5"/>
  <c r="F136" i="5"/>
  <c r="G136" i="5"/>
  <c r="H136" i="5"/>
  <c r="I136" i="5"/>
  <c r="J136" i="5"/>
  <c r="R136" i="5"/>
  <c r="S136" i="5"/>
  <c r="T136" i="5"/>
  <c r="U136" i="5"/>
  <c r="W136" i="5"/>
  <c r="Z136" i="5"/>
  <c r="AA136" i="5"/>
  <c r="AB136" i="5"/>
  <c r="AC136" i="5"/>
  <c r="AD136" i="5"/>
  <c r="AE136" i="5"/>
  <c r="AG136" i="5"/>
  <c r="AH136" i="5"/>
  <c r="AI136" i="5"/>
  <c r="AK136" i="5"/>
  <c r="AX136" i="5"/>
  <c r="AY136" i="5"/>
  <c r="AZ136" i="5"/>
  <c r="BB136" i="5"/>
  <c r="BC136" i="5"/>
  <c r="BD136" i="5"/>
  <c r="BF136" i="5"/>
  <c r="BG136" i="5"/>
  <c r="D137" i="5"/>
  <c r="E137" i="5"/>
  <c r="F137" i="5"/>
  <c r="G137" i="5"/>
  <c r="H137" i="5"/>
  <c r="I137" i="5"/>
  <c r="J137" i="5"/>
  <c r="R137" i="5"/>
  <c r="S137" i="5"/>
  <c r="T137" i="5"/>
  <c r="U137" i="5"/>
  <c r="W137" i="5"/>
  <c r="Z137" i="5"/>
  <c r="AA137" i="5"/>
  <c r="AB137" i="5"/>
  <c r="AC137" i="5"/>
  <c r="AD137" i="5"/>
  <c r="AE137" i="5"/>
  <c r="AG137" i="5"/>
  <c r="AH137" i="5"/>
  <c r="AI137" i="5"/>
  <c r="AK137" i="5"/>
  <c r="AX137" i="5"/>
  <c r="AY137" i="5"/>
  <c r="AZ137" i="5"/>
  <c r="BB137" i="5"/>
  <c r="BC137" i="5"/>
  <c r="BD137" i="5"/>
  <c r="BF137" i="5"/>
  <c r="BG137" i="5"/>
  <c r="D138" i="5"/>
  <c r="E138" i="5"/>
  <c r="F138" i="5"/>
  <c r="G138" i="5"/>
  <c r="H138" i="5"/>
  <c r="I138" i="5"/>
  <c r="J138" i="5"/>
  <c r="R138" i="5"/>
  <c r="S138" i="5"/>
  <c r="T138" i="5"/>
  <c r="U138" i="5"/>
  <c r="W138" i="5"/>
  <c r="Z138" i="5"/>
  <c r="AA138" i="5"/>
  <c r="AB138" i="5"/>
  <c r="AC138" i="5"/>
  <c r="AD138" i="5"/>
  <c r="AE138" i="5"/>
  <c r="AG138" i="5"/>
  <c r="AH138" i="5"/>
  <c r="AI138" i="5"/>
  <c r="AK138" i="5"/>
  <c r="AX138" i="5"/>
  <c r="AY138" i="5"/>
  <c r="AZ138" i="5"/>
  <c r="BB138" i="5"/>
  <c r="BC138" i="5"/>
  <c r="BD138" i="5"/>
  <c r="BF138" i="5"/>
  <c r="BG138" i="5"/>
  <c r="D139" i="5"/>
  <c r="E139" i="5"/>
  <c r="F139" i="5"/>
  <c r="G139" i="5"/>
  <c r="H139" i="5"/>
  <c r="I139" i="5"/>
  <c r="J139" i="5"/>
  <c r="R139" i="5"/>
  <c r="S139" i="5"/>
  <c r="T139" i="5"/>
  <c r="U139" i="5"/>
  <c r="W139" i="5"/>
  <c r="Z139" i="5"/>
  <c r="AA139" i="5"/>
  <c r="AB139" i="5"/>
  <c r="AC139" i="5"/>
  <c r="AD139" i="5"/>
  <c r="AE139" i="5"/>
  <c r="AG139" i="5"/>
  <c r="AH139" i="5"/>
  <c r="AI139" i="5"/>
  <c r="AK139" i="5"/>
  <c r="AX139" i="5"/>
  <c r="AY139" i="5"/>
  <c r="AZ139" i="5"/>
  <c r="BB139" i="5"/>
  <c r="BC139" i="5"/>
  <c r="BD139" i="5"/>
  <c r="BF139" i="5"/>
  <c r="BG139" i="5"/>
  <c r="D140" i="5"/>
  <c r="E140" i="5"/>
  <c r="F140" i="5"/>
  <c r="G140" i="5"/>
  <c r="H140" i="5"/>
  <c r="I140" i="5"/>
  <c r="J140" i="5"/>
  <c r="R140" i="5"/>
  <c r="S140" i="5"/>
  <c r="T140" i="5"/>
  <c r="U140" i="5"/>
  <c r="W140" i="5"/>
  <c r="Z140" i="5"/>
  <c r="AA140" i="5"/>
  <c r="AB140" i="5"/>
  <c r="AC140" i="5"/>
  <c r="AD140" i="5"/>
  <c r="AE140" i="5"/>
  <c r="AG140" i="5"/>
  <c r="AH140" i="5"/>
  <c r="AI140" i="5"/>
  <c r="AK140" i="5"/>
  <c r="AX140" i="5"/>
  <c r="AY140" i="5"/>
  <c r="AZ140" i="5"/>
  <c r="BB140" i="5"/>
  <c r="BC140" i="5"/>
  <c r="BD140" i="5"/>
  <c r="BF140" i="5"/>
  <c r="BG140" i="5"/>
  <c r="D141" i="5"/>
  <c r="E141" i="5"/>
  <c r="F141" i="5"/>
  <c r="G141" i="5"/>
  <c r="H141" i="5"/>
  <c r="I141" i="5"/>
  <c r="J141" i="5"/>
  <c r="R141" i="5"/>
  <c r="S141" i="5"/>
  <c r="T141" i="5"/>
  <c r="U141" i="5"/>
  <c r="W141" i="5"/>
  <c r="Z141" i="5"/>
  <c r="AA141" i="5"/>
  <c r="AB141" i="5"/>
  <c r="AC141" i="5"/>
  <c r="AD141" i="5"/>
  <c r="AE141" i="5"/>
  <c r="AG141" i="5"/>
  <c r="AH141" i="5"/>
  <c r="AI141" i="5"/>
  <c r="AK141" i="5"/>
  <c r="AX141" i="5"/>
  <c r="AY141" i="5"/>
  <c r="AZ141" i="5"/>
  <c r="BB141" i="5"/>
  <c r="BC141" i="5"/>
  <c r="BD141" i="5"/>
  <c r="BF141" i="5"/>
  <c r="BG141" i="5"/>
  <c r="D142" i="5"/>
  <c r="E142" i="5"/>
  <c r="F142" i="5"/>
  <c r="G142" i="5"/>
  <c r="H142" i="5"/>
  <c r="I142" i="5"/>
  <c r="J142" i="5"/>
  <c r="R142" i="5"/>
  <c r="S142" i="5"/>
  <c r="T142" i="5"/>
  <c r="U142" i="5"/>
  <c r="W142" i="5"/>
  <c r="Z142" i="5"/>
  <c r="AA142" i="5"/>
  <c r="AB142" i="5"/>
  <c r="AC142" i="5"/>
  <c r="AD142" i="5"/>
  <c r="AE142" i="5"/>
  <c r="AG142" i="5"/>
  <c r="AH142" i="5"/>
  <c r="AI142" i="5"/>
  <c r="AK142" i="5"/>
  <c r="AX142" i="5"/>
  <c r="AY142" i="5"/>
  <c r="AZ142" i="5"/>
  <c r="BB142" i="5"/>
  <c r="BC142" i="5"/>
  <c r="BD142" i="5"/>
  <c r="BF142" i="5"/>
  <c r="BG142" i="5"/>
  <c r="D143" i="5"/>
  <c r="E143" i="5"/>
  <c r="F143" i="5"/>
  <c r="G143" i="5"/>
  <c r="H143" i="5"/>
  <c r="I143" i="5"/>
  <c r="J143" i="5"/>
  <c r="R143" i="5"/>
  <c r="S143" i="5"/>
  <c r="T143" i="5"/>
  <c r="U143" i="5"/>
  <c r="W143" i="5"/>
  <c r="Z143" i="5"/>
  <c r="AA143" i="5"/>
  <c r="AB143" i="5"/>
  <c r="AC143" i="5"/>
  <c r="AD143" i="5"/>
  <c r="AE143" i="5"/>
  <c r="AG143" i="5"/>
  <c r="AH143" i="5"/>
  <c r="AI143" i="5"/>
  <c r="AK143" i="5"/>
  <c r="AX143" i="5"/>
  <c r="AY143" i="5"/>
  <c r="AZ143" i="5"/>
  <c r="BB143" i="5"/>
  <c r="BC143" i="5"/>
  <c r="BD143" i="5"/>
  <c r="BF143" i="5"/>
  <c r="BG143" i="5"/>
  <c r="D144" i="5"/>
  <c r="E144" i="5"/>
  <c r="F144" i="5"/>
  <c r="G144" i="5"/>
  <c r="H144" i="5"/>
  <c r="I144" i="5"/>
  <c r="J144" i="5"/>
  <c r="R144" i="5"/>
  <c r="S144" i="5"/>
  <c r="T144" i="5"/>
  <c r="U144" i="5"/>
  <c r="W144" i="5"/>
  <c r="Z144" i="5"/>
  <c r="AA144" i="5"/>
  <c r="AB144" i="5"/>
  <c r="AC144" i="5"/>
  <c r="AD144" i="5"/>
  <c r="AE144" i="5"/>
  <c r="AG144" i="5"/>
  <c r="AH144" i="5"/>
  <c r="AI144" i="5"/>
  <c r="AK144" i="5"/>
  <c r="AX144" i="5"/>
  <c r="AY144" i="5"/>
  <c r="AZ144" i="5"/>
  <c r="BB144" i="5"/>
  <c r="BC144" i="5"/>
  <c r="BD144" i="5"/>
  <c r="BF144" i="5"/>
  <c r="BG144" i="5"/>
  <c r="D145" i="5"/>
  <c r="E145" i="5"/>
  <c r="F145" i="5"/>
  <c r="G145" i="5"/>
  <c r="H145" i="5"/>
  <c r="I145" i="5"/>
  <c r="J145" i="5"/>
  <c r="R145" i="5"/>
  <c r="S145" i="5"/>
  <c r="T145" i="5"/>
  <c r="U145" i="5"/>
  <c r="W145" i="5"/>
  <c r="Z145" i="5"/>
  <c r="AA145" i="5"/>
  <c r="AB145" i="5"/>
  <c r="AC145" i="5"/>
  <c r="AD145" i="5"/>
  <c r="AE145" i="5"/>
  <c r="AG145" i="5"/>
  <c r="AH145" i="5"/>
  <c r="AI145" i="5"/>
  <c r="AK145" i="5"/>
  <c r="AX145" i="5"/>
  <c r="AY145" i="5"/>
  <c r="AZ145" i="5"/>
  <c r="BB145" i="5"/>
  <c r="BC145" i="5"/>
  <c r="BD145" i="5"/>
  <c r="BF145" i="5"/>
  <c r="BG145" i="5"/>
  <c r="D146" i="5"/>
  <c r="E146" i="5"/>
  <c r="F146" i="5"/>
  <c r="G146" i="5"/>
  <c r="H146" i="5"/>
  <c r="I146" i="5"/>
  <c r="J146" i="5"/>
  <c r="R146" i="5"/>
  <c r="S146" i="5"/>
  <c r="T146" i="5"/>
  <c r="U146" i="5"/>
  <c r="W146" i="5"/>
  <c r="Z146" i="5"/>
  <c r="AA146" i="5"/>
  <c r="AB146" i="5"/>
  <c r="AC146" i="5"/>
  <c r="AD146" i="5"/>
  <c r="AE146" i="5"/>
  <c r="AG146" i="5"/>
  <c r="AH146" i="5"/>
  <c r="AI146" i="5"/>
  <c r="AK146" i="5"/>
  <c r="AX146" i="5"/>
  <c r="AY146" i="5"/>
  <c r="AZ146" i="5"/>
  <c r="BB146" i="5"/>
  <c r="BC146" i="5"/>
  <c r="BD146" i="5"/>
  <c r="BF146" i="5"/>
  <c r="BG146" i="5"/>
  <c r="D147" i="5"/>
  <c r="E147" i="5"/>
  <c r="F147" i="5"/>
  <c r="G147" i="5"/>
  <c r="H147" i="5"/>
  <c r="I147" i="5"/>
  <c r="J147" i="5"/>
  <c r="R147" i="5"/>
  <c r="S147" i="5"/>
  <c r="T147" i="5"/>
  <c r="U147" i="5"/>
  <c r="W147" i="5"/>
  <c r="Z147" i="5"/>
  <c r="AA147" i="5"/>
  <c r="AB147" i="5"/>
  <c r="AC147" i="5"/>
  <c r="AD147" i="5"/>
  <c r="AE147" i="5"/>
  <c r="AG147" i="5"/>
  <c r="AH147" i="5"/>
  <c r="AI147" i="5"/>
  <c r="AK147" i="5"/>
  <c r="AX147" i="5"/>
  <c r="AY147" i="5"/>
  <c r="AZ147" i="5"/>
  <c r="BB147" i="5"/>
  <c r="BC147" i="5"/>
  <c r="BD147" i="5"/>
  <c r="BF147" i="5"/>
  <c r="BG147" i="5"/>
  <c r="D148" i="5"/>
  <c r="E148" i="5"/>
  <c r="F148" i="5"/>
  <c r="G148" i="5"/>
  <c r="H148" i="5"/>
  <c r="I148" i="5"/>
  <c r="J148" i="5"/>
  <c r="R148" i="5"/>
  <c r="S148" i="5"/>
  <c r="T148" i="5"/>
  <c r="U148" i="5"/>
  <c r="W148" i="5"/>
  <c r="Z148" i="5"/>
  <c r="AA148" i="5"/>
  <c r="AB148" i="5"/>
  <c r="AC148" i="5"/>
  <c r="AD148" i="5"/>
  <c r="AE148" i="5"/>
  <c r="AG148" i="5"/>
  <c r="AH148" i="5"/>
  <c r="AI148" i="5"/>
  <c r="AK148" i="5"/>
  <c r="AX148" i="5"/>
  <c r="AY148" i="5"/>
  <c r="AZ148" i="5"/>
  <c r="BB148" i="5"/>
  <c r="BC148" i="5"/>
  <c r="BD148" i="5"/>
  <c r="BF148" i="5"/>
  <c r="BG148" i="5"/>
  <c r="D149" i="5"/>
  <c r="E149" i="5"/>
  <c r="F149" i="5"/>
  <c r="G149" i="5"/>
  <c r="H149" i="5"/>
  <c r="I149" i="5"/>
  <c r="J149" i="5"/>
  <c r="R149" i="5"/>
  <c r="S149" i="5"/>
  <c r="T149" i="5"/>
  <c r="U149" i="5"/>
  <c r="W149" i="5"/>
  <c r="Z149" i="5"/>
  <c r="AA149" i="5"/>
  <c r="AB149" i="5"/>
  <c r="AC149" i="5"/>
  <c r="AD149" i="5"/>
  <c r="AE149" i="5"/>
  <c r="AG149" i="5"/>
  <c r="AH149" i="5"/>
  <c r="AI149" i="5"/>
  <c r="AK149" i="5"/>
  <c r="AX149" i="5"/>
  <c r="AY149" i="5"/>
  <c r="AZ149" i="5"/>
  <c r="BB149" i="5"/>
  <c r="BC149" i="5"/>
  <c r="BD149" i="5"/>
  <c r="BF149" i="5"/>
  <c r="BG149" i="5"/>
  <c r="D150" i="5"/>
  <c r="E150" i="5"/>
  <c r="F150" i="5"/>
  <c r="G150" i="5"/>
  <c r="H150" i="5"/>
  <c r="I150" i="5"/>
  <c r="J150" i="5"/>
  <c r="R150" i="5"/>
  <c r="S150" i="5"/>
  <c r="T150" i="5"/>
  <c r="U150" i="5"/>
  <c r="W150" i="5"/>
  <c r="Z150" i="5"/>
  <c r="AA150" i="5"/>
  <c r="AB150" i="5"/>
  <c r="AC150" i="5"/>
  <c r="AD150" i="5"/>
  <c r="AE150" i="5"/>
  <c r="AG150" i="5"/>
  <c r="AH150" i="5"/>
  <c r="AI150" i="5"/>
  <c r="AK150" i="5"/>
  <c r="AX150" i="5"/>
  <c r="AY150" i="5"/>
  <c r="AZ150" i="5"/>
  <c r="BB150" i="5"/>
  <c r="BC150" i="5"/>
  <c r="BD150" i="5"/>
  <c r="BF150" i="5"/>
  <c r="BG150" i="5"/>
  <c r="D151" i="5"/>
  <c r="E151" i="5"/>
  <c r="F151" i="5"/>
  <c r="G151" i="5"/>
  <c r="H151" i="5"/>
  <c r="I151" i="5"/>
  <c r="J151" i="5"/>
  <c r="R151" i="5"/>
  <c r="S151" i="5"/>
  <c r="T151" i="5"/>
  <c r="U151" i="5"/>
  <c r="W151" i="5"/>
  <c r="Z151" i="5"/>
  <c r="AA151" i="5"/>
  <c r="AB151" i="5"/>
  <c r="AC151" i="5"/>
  <c r="AD151" i="5"/>
  <c r="AE151" i="5"/>
  <c r="AG151" i="5"/>
  <c r="AH151" i="5"/>
  <c r="AI151" i="5"/>
  <c r="AK151" i="5"/>
  <c r="AX151" i="5"/>
  <c r="AY151" i="5"/>
  <c r="AZ151" i="5"/>
  <c r="BB151" i="5"/>
  <c r="BC151" i="5"/>
  <c r="BD151" i="5"/>
  <c r="BF151" i="5"/>
  <c r="BG151" i="5"/>
  <c r="D152" i="5"/>
  <c r="E152" i="5"/>
  <c r="F152" i="5"/>
  <c r="G152" i="5"/>
  <c r="H152" i="5"/>
  <c r="I152" i="5"/>
  <c r="J152" i="5"/>
  <c r="R152" i="5"/>
  <c r="S152" i="5"/>
  <c r="T152" i="5"/>
  <c r="U152" i="5"/>
  <c r="W152" i="5"/>
  <c r="Z152" i="5"/>
  <c r="AA152" i="5"/>
  <c r="AB152" i="5"/>
  <c r="AC152" i="5"/>
  <c r="AD152" i="5"/>
  <c r="AE152" i="5"/>
  <c r="AG152" i="5"/>
  <c r="AH152" i="5"/>
  <c r="AI152" i="5"/>
  <c r="AK152" i="5"/>
  <c r="AX152" i="5"/>
  <c r="AY152" i="5"/>
  <c r="AZ152" i="5"/>
  <c r="BB152" i="5"/>
  <c r="BC152" i="5"/>
  <c r="BD152" i="5"/>
  <c r="BF152" i="5"/>
  <c r="BG152" i="5"/>
  <c r="D153" i="5"/>
  <c r="E153" i="5"/>
  <c r="F153" i="5"/>
  <c r="G153" i="5"/>
  <c r="H153" i="5"/>
  <c r="I153" i="5"/>
  <c r="J153" i="5"/>
  <c r="R153" i="5"/>
  <c r="S153" i="5"/>
  <c r="T153" i="5"/>
  <c r="U153" i="5"/>
  <c r="W153" i="5"/>
  <c r="Z153" i="5"/>
  <c r="AA153" i="5"/>
  <c r="AB153" i="5"/>
  <c r="AC153" i="5"/>
  <c r="AD153" i="5"/>
  <c r="AE153" i="5"/>
  <c r="AG153" i="5"/>
  <c r="AH153" i="5"/>
  <c r="AI153" i="5"/>
  <c r="AK153" i="5"/>
  <c r="AX153" i="5"/>
  <c r="AY153" i="5"/>
  <c r="AZ153" i="5"/>
  <c r="BB153" i="5"/>
  <c r="BC153" i="5"/>
  <c r="BD153" i="5"/>
  <c r="BF153" i="5"/>
  <c r="BG153" i="5"/>
  <c r="D154" i="5"/>
  <c r="E154" i="5"/>
  <c r="F154" i="5"/>
  <c r="G154" i="5"/>
  <c r="H154" i="5"/>
  <c r="I154" i="5"/>
  <c r="J154" i="5"/>
  <c r="R154" i="5"/>
  <c r="S154" i="5"/>
  <c r="T154" i="5"/>
  <c r="U154" i="5"/>
  <c r="W154" i="5"/>
  <c r="Z154" i="5"/>
  <c r="AA154" i="5"/>
  <c r="AB154" i="5"/>
  <c r="AC154" i="5"/>
  <c r="AD154" i="5"/>
  <c r="AE154" i="5"/>
  <c r="AG154" i="5"/>
  <c r="AH154" i="5"/>
  <c r="AI154" i="5"/>
  <c r="AK154" i="5"/>
  <c r="AX154" i="5"/>
  <c r="AY154" i="5"/>
  <c r="AZ154" i="5"/>
  <c r="BB154" i="5"/>
  <c r="BC154" i="5"/>
  <c r="BD154" i="5"/>
  <c r="BF154" i="5"/>
  <c r="BG154" i="5"/>
  <c r="D155" i="5"/>
  <c r="E155" i="5"/>
  <c r="F155" i="5"/>
  <c r="G155" i="5"/>
  <c r="H155" i="5"/>
  <c r="I155" i="5"/>
  <c r="J155" i="5"/>
  <c r="R155" i="5"/>
  <c r="S155" i="5"/>
  <c r="T155" i="5"/>
  <c r="U155" i="5"/>
  <c r="W155" i="5"/>
  <c r="Z155" i="5"/>
  <c r="AA155" i="5"/>
  <c r="AB155" i="5"/>
  <c r="AC155" i="5"/>
  <c r="AD155" i="5"/>
  <c r="AE155" i="5"/>
  <c r="AG155" i="5"/>
  <c r="AH155" i="5"/>
  <c r="AI155" i="5"/>
  <c r="AK155" i="5"/>
  <c r="AX155" i="5"/>
  <c r="AY155" i="5"/>
  <c r="AZ155" i="5"/>
  <c r="BB155" i="5"/>
  <c r="BC155" i="5"/>
  <c r="BD155" i="5"/>
  <c r="BF155" i="5"/>
  <c r="BG155" i="5"/>
  <c r="D156" i="5"/>
  <c r="E156" i="5"/>
  <c r="F156" i="5"/>
  <c r="G156" i="5"/>
  <c r="H156" i="5"/>
  <c r="I156" i="5"/>
  <c r="J156" i="5"/>
  <c r="R156" i="5"/>
  <c r="S156" i="5"/>
  <c r="T156" i="5"/>
  <c r="U156" i="5"/>
  <c r="W156" i="5"/>
  <c r="Z156" i="5"/>
  <c r="AA156" i="5"/>
  <c r="AB156" i="5"/>
  <c r="AC156" i="5"/>
  <c r="AD156" i="5"/>
  <c r="AE156" i="5"/>
  <c r="AG156" i="5"/>
  <c r="AH156" i="5"/>
  <c r="AI156" i="5"/>
  <c r="AK156" i="5"/>
  <c r="AX156" i="5"/>
  <c r="AY156" i="5"/>
  <c r="AZ156" i="5"/>
  <c r="BB156" i="5"/>
  <c r="BC156" i="5"/>
  <c r="BD156" i="5"/>
  <c r="BF156" i="5"/>
  <c r="BG156" i="5"/>
  <c r="D157" i="5"/>
  <c r="E157" i="5"/>
  <c r="F157" i="5"/>
  <c r="G157" i="5"/>
  <c r="H157" i="5"/>
  <c r="I157" i="5"/>
  <c r="J157" i="5"/>
  <c r="R157" i="5"/>
  <c r="S157" i="5"/>
  <c r="T157" i="5"/>
  <c r="U157" i="5"/>
  <c r="W157" i="5"/>
  <c r="Z157" i="5"/>
  <c r="AA157" i="5"/>
  <c r="AB157" i="5"/>
  <c r="AC157" i="5"/>
  <c r="AD157" i="5"/>
  <c r="AE157" i="5"/>
  <c r="AG157" i="5"/>
  <c r="AH157" i="5"/>
  <c r="AI157" i="5"/>
  <c r="AK157" i="5"/>
  <c r="AX157" i="5"/>
  <c r="AY157" i="5"/>
  <c r="AZ157" i="5"/>
  <c r="BB157" i="5"/>
  <c r="BC157" i="5"/>
  <c r="BD157" i="5"/>
  <c r="BF157" i="5"/>
  <c r="BG157" i="5"/>
  <c r="D158" i="5"/>
  <c r="E158" i="5"/>
  <c r="F158" i="5"/>
  <c r="G158" i="5"/>
  <c r="H158" i="5"/>
  <c r="I158" i="5"/>
  <c r="J158" i="5"/>
  <c r="R158" i="5"/>
  <c r="S158" i="5"/>
  <c r="T158" i="5"/>
  <c r="U158" i="5"/>
  <c r="W158" i="5"/>
  <c r="Z158" i="5"/>
  <c r="AA158" i="5"/>
  <c r="AB158" i="5"/>
  <c r="AC158" i="5"/>
  <c r="AD158" i="5"/>
  <c r="AE158" i="5"/>
  <c r="AG158" i="5"/>
  <c r="AH158" i="5"/>
  <c r="AI158" i="5"/>
  <c r="AK158" i="5"/>
  <c r="AX158" i="5"/>
  <c r="AY158" i="5"/>
  <c r="AZ158" i="5"/>
  <c r="BB158" i="5"/>
  <c r="BC158" i="5"/>
  <c r="BD158" i="5"/>
  <c r="BF158" i="5"/>
  <c r="BG158" i="5"/>
  <c r="D159" i="5"/>
  <c r="E159" i="5"/>
  <c r="F159" i="5"/>
  <c r="G159" i="5"/>
  <c r="H159" i="5"/>
  <c r="I159" i="5"/>
  <c r="J159" i="5"/>
  <c r="R159" i="5"/>
  <c r="S159" i="5"/>
  <c r="T159" i="5"/>
  <c r="U159" i="5"/>
  <c r="W159" i="5"/>
  <c r="Z159" i="5"/>
  <c r="AA159" i="5"/>
  <c r="AB159" i="5"/>
  <c r="AC159" i="5"/>
  <c r="AD159" i="5"/>
  <c r="AE159" i="5"/>
  <c r="AG159" i="5"/>
  <c r="AH159" i="5"/>
  <c r="AI159" i="5"/>
  <c r="AK159" i="5"/>
  <c r="AX159" i="5"/>
  <c r="AY159" i="5"/>
  <c r="AZ159" i="5"/>
  <c r="BB159" i="5"/>
  <c r="BC159" i="5"/>
  <c r="BD159" i="5"/>
  <c r="BF159" i="5"/>
  <c r="BG159" i="5"/>
  <c r="D160" i="5"/>
  <c r="E160" i="5"/>
  <c r="F160" i="5"/>
  <c r="G160" i="5"/>
  <c r="H160" i="5"/>
  <c r="I160" i="5"/>
  <c r="J160" i="5"/>
  <c r="R160" i="5"/>
  <c r="S160" i="5"/>
  <c r="T160" i="5"/>
  <c r="U160" i="5"/>
  <c r="W160" i="5"/>
  <c r="Z160" i="5"/>
  <c r="AA160" i="5"/>
  <c r="AB160" i="5"/>
  <c r="AC160" i="5"/>
  <c r="AD160" i="5"/>
  <c r="AE160" i="5"/>
  <c r="AG160" i="5"/>
  <c r="AH160" i="5"/>
  <c r="AI160" i="5"/>
  <c r="AK160" i="5"/>
  <c r="AX160" i="5"/>
  <c r="AY160" i="5"/>
  <c r="AZ160" i="5"/>
  <c r="BB160" i="5"/>
  <c r="BC160" i="5"/>
  <c r="BD160" i="5"/>
  <c r="BF160" i="5"/>
  <c r="BG160" i="5"/>
  <c r="D161" i="5"/>
  <c r="E161" i="5"/>
  <c r="F161" i="5"/>
  <c r="G161" i="5"/>
  <c r="H161" i="5"/>
  <c r="I161" i="5"/>
  <c r="J161" i="5"/>
  <c r="R161" i="5"/>
  <c r="S161" i="5"/>
  <c r="T161" i="5"/>
  <c r="U161" i="5"/>
  <c r="W161" i="5"/>
  <c r="Z161" i="5"/>
  <c r="AA161" i="5"/>
  <c r="AB161" i="5"/>
  <c r="AC161" i="5"/>
  <c r="AD161" i="5"/>
  <c r="AE161" i="5"/>
  <c r="AG161" i="5"/>
  <c r="AH161" i="5"/>
  <c r="AI161" i="5"/>
  <c r="AK161" i="5"/>
  <c r="AX161" i="5"/>
  <c r="AY161" i="5"/>
  <c r="AZ161" i="5"/>
  <c r="BB161" i="5"/>
  <c r="BC161" i="5"/>
  <c r="BD161" i="5"/>
  <c r="BF161" i="5"/>
  <c r="BG161" i="5"/>
  <c r="D162" i="5"/>
  <c r="E162" i="5"/>
  <c r="F162" i="5"/>
  <c r="G162" i="5"/>
  <c r="H162" i="5"/>
  <c r="I162" i="5"/>
  <c r="J162" i="5"/>
  <c r="R162" i="5"/>
  <c r="S162" i="5"/>
  <c r="T162" i="5"/>
  <c r="U162" i="5"/>
  <c r="W162" i="5"/>
  <c r="Z162" i="5"/>
  <c r="AA162" i="5"/>
  <c r="AB162" i="5"/>
  <c r="AC162" i="5"/>
  <c r="AD162" i="5"/>
  <c r="AE162" i="5"/>
  <c r="AG162" i="5"/>
  <c r="AH162" i="5"/>
  <c r="AI162" i="5"/>
  <c r="AK162" i="5"/>
  <c r="AX162" i="5"/>
  <c r="AY162" i="5"/>
  <c r="AZ162" i="5"/>
  <c r="BB162" i="5"/>
  <c r="BC162" i="5"/>
  <c r="BD162" i="5"/>
  <c r="BF162" i="5"/>
  <c r="BG162" i="5"/>
  <c r="D163" i="5"/>
  <c r="E163" i="5"/>
  <c r="F163" i="5"/>
  <c r="G163" i="5"/>
  <c r="H163" i="5"/>
  <c r="I163" i="5"/>
  <c r="J163" i="5"/>
  <c r="R163" i="5"/>
  <c r="S163" i="5"/>
  <c r="T163" i="5"/>
  <c r="U163" i="5"/>
  <c r="W163" i="5"/>
  <c r="Z163" i="5"/>
  <c r="AA163" i="5"/>
  <c r="AB163" i="5"/>
  <c r="AC163" i="5"/>
  <c r="AD163" i="5"/>
  <c r="AE163" i="5"/>
  <c r="AG163" i="5"/>
  <c r="AH163" i="5"/>
  <c r="AI163" i="5"/>
  <c r="AK163" i="5"/>
  <c r="AX163" i="5"/>
  <c r="AY163" i="5"/>
  <c r="AZ163" i="5"/>
  <c r="BB163" i="5"/>
  <c r="BC163" i="5"/>
  <c r="BD163" i="5"/>
  <c r="BF163" i="5"/>
  <c r="BG163" i="5"/>
  <c r="D164" i="5"/>
  <c r="E164" i="5"/>
  <c r="F164" i="5"/>
  <c r="G164" i="5"/>
  <c r="H164" i="5"/>
  <c r="I164" i="5"/>
  <c r="J164" i="5"/>
  <c r="R164" i="5"/>
  <c r="S164" i="5"/>
  <c r="T164" i="5"/>
  <c r="U164" i="5"/>
  <c r="W164" i="5"/>
  <c r="Z164" i="5"/>
  <c r="AA164" i="5"/>
  <c r="AB164" i="5"/>
  <c r="AC164" i="5"/>
  <c r="AD164" i="5"/>
  <c r="AE164" i="5"/>
  <c r="AG164" i="5"/>
  <c r="AH164" i="5"/>
  <c r="AI164" i="5"/>
  <c r="AK164" i="5"/>
  <c r="AX164" i="5"/>
  <c r="AY164" i="5"/>
  <c r="AZ164" i="5"/>
  <c r="BB164" i="5"/>
  <c r="BC164" i="5"/>
  <c r="BD164" i="5"/>
  <c r="BF164" i="5"/>
  <c r="BG164" i="5"/>
  <c r="R1" i="4"/>
  <c r="K2" i="4"/>
  <c r="R2" i="4"/>
  <c r="C4" i="4"/>
  <c r="W7" i="4"/>
  <c r="M9" i="4"/>
  <c r="N9" i="4"/>
  <c r="B10" i="4"/>
  <c r="C10" i="4"/>
  <c r="D10" i="4"/>
  <c r="E10" i="4"/>
  <c r="F10" i="4"/>
  <c r="G10" i="4"/>
  <c r="M10" i="4"/>
  <c r="N10" i="4"/>
  <c r="X10" i="4"/>
  <c r="Y10" i="4"/>
  <c r="Z10" i="4"/>
  <c r="AA10" i="4"/>
  <c r="AD10" i="4"/>
  <c r="AE10" i="4"/>
  <c r="AF10" i="4"/>
  <c r="AG10" i="4"/>
  <c r="M11" i="4"/>
  <c r="N11" i="4"/>
  <c r="X11" i="4"/>
  <c r="Y11" i="4"/>
  <c r="Z11" i="4"/>
  <c r="AA11" i="4"/>
  <c r="AE11" i="4"/>
  <c r="AF11" i="4"/>
  <c r="AG11" i="4"/>
  <c r="M12" i="4"/>
  <c r="N12" i="4"/>
  <c r="X12" i="4"/>
  <c r="Y12" i="4"/>
  <c r="Z12" i="4"/>
  <c r="AA12" i="4"/>
  <c r="AF12" i="4"/>
  <c r="AG12" i="4"/>
  <c r="M13" i="4"/>
  <c r="N13" i="4"/>
  <c r="Y13" i="4"/>
  <c r="Z13" i="4"/>
  <c r="AA13" i="4"/>
  <c r="AG13" i="4"/>
  <c r="M14" i="4"/>
  <c r="N14" i="4"/>
  <c r="Z14" i="4"/>
  <c r="AA14" i="4"/>
  <c r="M15" i="4"/>
  <c r="N15" i="4"/>
  <c r="AA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X28" i="4"/>
  <c r="W29" i="4"/>
  <c r="X29" i="4"/>
  <c r="AO29" i="4"/>
  <c r="AP29" i="4"/>
  <c r="AQ29" i="4"/>
  <c r="AR29" i="4"/>
  <c r="AG30" i="4"/>
  <c r="AI30" i="4"/>
  <c r="AJ30" i="4"/>
  <c r="AK30" i="4"/>
  <c r="AO30" i="4"/>
  <c r="AP30" i="4"/>
  <c r="AQ30" i="4"/>
  <c r="AR30" i="4"/>
  <c r="AG31" i="4"/>
  <c r="AI31" i="4"/>
  <c r="AJ31" i="4"/>
  <c r="AK31" i="4"/>
  <c r="AO31" i="4"/>
  <c r="AP31" i="4"/>
  <c r="AQ31" i="4"/>
  <c r="AR31" i="4"/>
  <c r="W32" i="4"/>
  <c r="X32" i="4"/>
  <c r="Z32" i="4"/>
  <c r="AA32" i="4"/>
  <c r="AG32" i="4"/>
  <c r="AI32" i="4"/>
  <c r="AJ32" i="4"/>
  <c r="AK32" i="4"/>
  <c r="AP32" i="4"/>
  <c r="AQ32" i="4"/>
  <c r="AR32" i="4"/>
  <c r="W33" i="4"/>
  <c r="X33" i="4"/>
  <c r="Z33" i="4"/>
  <c r="AA33" i="4"/>
  <c r="AG33" i="4"/>
  <c r="AI33" i="4"/>
  <c r="AJ33" i="4"/>
  <c r="AK33" i="4"/>
  <c r="AQ33" i="4"/>
  <c r="AR33" i="4"/>
  <c r="W34" i="4"/>
  <c r="X34" i="4"/>
  <c r="Z34" i="4"/>
  <c r="AA34" i="4"/>
  <c r="AG34" i="4"/>
  <c r="AI34" i="4"/>
  <c r="AJ34" i="4"/>
  <c r="AK34" i="4"/>
  <c r="AR34" i="4"/>
  <c r="W35" i="4"/>
  <c r="X35" i="4"/>
  <c r="Z35" i="4"/>
  <c r="AA35" i="4"/>
  <c r="AG35" i="4"/>
  <c r="AI35" i="4"/>
  <c r="AJ35" i="4"/>
  <c r="AK35" i="4"/>
  <c r="W36" i="4"/>
  <c r="X36" i="4"/>
  <c r="Z36" i="4"/>
  <c r="AA36" i="4"/>
  <c r="AG36" i="4"/>
  <c r="AI36" i="4"/>
  <c r="AJ36" i="4"/>
  <c r="AK36" i="4"/>
  <c r="W37" i="4"/>
  <c r="X37" i="4"/>
  <c r="Z37" i="4"/>
  <c r="AA37" i="4"/>
  <c r="AG37" i="4"/>
  <c r="AI37" i="4"/>
  <c r="AJ37" i="4"/>
  <c r="AK37" i="4"/>
  <c r="W38" i="4"/>
  <c r="X38" i="4"/>
  <c r="Z38" i="4"/>
  <c r="AA38" i="4"/>
  <c r="AG38" i="4"/>
  <c r="AI38" i="4"/>
  <c r="AJ38" i="4"/>
  <c r="AK38" i="4"/>
  <c r="W39" i="4"/>
  <c r="X39" i="4"/>
  <c r="Z39" i="4"/>
  <c r="AA39" i="4"/>
  <c r="AG39" i="4"/>
  <c r="AI39" i="4"/>
  <c r="AJ39" i="4"/>
  <c r="AK39" i="4"/>
  <c r="W40" i="4"/>
  <c r="X40" i="4"/>
  <c r="Z40" i="4"/>
  <c r="AA40" i="4"/>
  <c r="AG40" i="4"/>
  <c r="AI40" i="4"/>
  <c r="AJ40" i="4"/>
  <c r="AK40" i="4"/>
  <c r="W41" i="4"/>
  <c r="X41" i="4"/>
  <c r="Z41" i="4"/>
  <c r="AA41" i="4"/>
  <c r="AG41" i="4"/>
  <c r="AI41" i="4"/>
  <c r="AJ41" i="4"/>
  <c r="AK41" i="4"/>
  <c r="W42" i="4"/>
  <c r="X42" i="4"/>
  <c r="Z42" i="4"/>
  <c r="AA42" i="4"/>
  <c r="AG42" i="4"/>
  <c r="AI42" i="4"/>
  <c r="AJ42" i="4"/>
  <c r="AK42" i="4"/>
  <c r="W43" i="4"/>
  <c r="X43" i="4"/>
  <c r="Z43" i="4"/>
  <c r="AA43" i="4"/>
  <c r="AG43" i="4"/>
  <c r="AI43" i="4"/>
  <c r="AJ43" i="4"/>
  <c r="AK43" i="4"/>
  <c r="W44" i="4"/>
  <c r="X44" i="4"/>
  <c r="Z44" i="4"/>
  <c r="AA44" i="4"/>
  <c r="AG44" i="4"/>
  <c r="AI44" i="4"/>
  <c r="AJ44" i="4"/>
  <c r="AK44" i="4"/>
  <c r="Z45" i="4"/>
  <c r="AA45" i="4"/>
  <c r="AG45" i="4"/>
  <c r="AI45" i="4"/>
  <c r="AJ45" i="4"/>
  <c r="AK45" i="4"/>
  <c r="Z46" i="4"/>
  <c r="AA46" i="4"/>
  <c r="AG46" i="4"/>
  <c r="AI46" i="4"/>
  <c r="AJ46" i="4"/>
  <c r="AK46" i="4"/>
  <c r="Z47" i="4"/>
  <c r="AA47" i="4"/>
  <c r="AG47" i="4"/>
  <c r="AI47" i="4"/>
  <c r="AJ47" i="4"/>
  <c r="AK47" i="4"/>
  <c r="Z48" i="4"/>
  <c r="AA48" i="4"/>
  <c r="AG48" i="4"/>
  <c r="AI48" i="4"/>
  <c r="AJ48" i="4"/>
  <c r="AK48" i="4"/>
  <c r="Z49" i="4"/>
  <c r="AA49" i="4"/>
  <c r="AG49" i="4"/>
  <c r="AI49" i="4"/>
  <c r="AJ49" i="4"/>
  <c r="AK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67" i="4"/>
  <c r="AA67" i="4"/>
  <c r="Z68" i="4"/>
  <c r="AA68" i="4"/>
  <c r="Z69" i="4"/>
  <c r="AA69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77" i="4"/>
  <c r="AA77" i="4"/>
  <c r="Z78" i="4"/>
  <c r="AA78" i="4"/>
  <c r="Z79" i="4"/>
  <c r="AA79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88" i="4"/>
  <c r="AA88" i="4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Z105" i="4"/>
  <c r="AA105" i="4"/>
  <c r="Z106" i="4"/>
  <c r="AA106" i="4"/>
  <c r="Z107" i="4"/>
  <c r="AA107" i="4"/>
  <c r="Z108" i="4"/>
  <c r="AA108" i="4"/>
  <c r="Z109" i="4"/>
  <c r="AA109" i="4"/>
  <c r="Z110" i="4"/>
  <c r="AA110" i="4"/>
  <c r="Z111" i="4"/>
  <c r="AA111" i="4"/>
  <c r="Z112" i="4"/>
  <c r="AA112" i="4"/>
  <c r="Z113" i="4"/>
  <c r="AA113" i="4"/>
  <c r="Z114" i="4"/>
  <c r="AA114" i="4"/>
  <c r="Z115" i="4"/>
  <c r="AA115" i="4"/>
  <c r="Z116" i="4"/>
  <c r="AA116" i="4"/>
  <c r="Z117" i="4"/>
  <c r="AA117" i="4"/>
  <c r="Z118" i="4"/>
  <c r="AA118" i="4"/>
  <c r="Z119" i="4"/>
  <c r="AA119" i="4"/>
  <c r="Z120" i="4"/>
  <c r="AA120" i="4"/>
  <c r="Z121" i="4"/>
  <c r="AA121" i="4"/>
  <c r="Z122" i="4"/>
  <c r="AA122" i="4"/>
  <c r="Z123" i="4"/>
  <c r="AA123" i="4"/>
  <c r="Z124" i="4"/>
  <c r="AA124" i="4"/>
  <c r="Z125" i="4"/>
  <c r="AA125" i="4"/>
  <c r="Z126" i="4"/>
  <c r="AA126" i="4"/>
  <c r="Z127" i="4"/>
  <c r="AA127" i="4"/>
  <c r="Z128" i="4"/>
  <c r="AA128" i="4"/>
  <c r="Z129" i="4"/>
  <c r="AA129" i="4"/>
  <c r="Z130" i="4"/>
  <c r="AA130" i="4"/>
  <c r="Z131" i="4"/>
  <c r="AA131" i="4"/>
  <c r="Z132" i="4"/>
  <c r="AA132" i="4"/>
  <c r="Z133" i="4"/>
  <c r="AA133" i="4"/>
  <c r="Z134" i="4"/>
  <c r="AA134" i="4"/>
  <c r="Z135" i="4"/>
  <c r="AA135" i="4"/>
  <c r="Z136" i="4"/>
  <c r="AA136" i="4"/>
  <c r="Z137" i="4"/>
  <c r="AA137" i="4"/>
  <c r="Z138" i="4"/>
  <c r="AA138" i="4"/>
  <c r="Z139" i="4"/>
  <c r="AA139" i="4"/>
  <c r="Z140" i="4"/>
  <c r="AA140" i="4"/>
  <c r="Z141" i="4"/>
  <c r="AA141" i="4"/>
  <c r="Z142" i="4"/>
  <c r="AA142" i="4"/>
  <c r="Z143" i="4"/>
  <c r="AA143" i="4"/>
  <c r="Z144" i="4"/>
  <c r="AA144" i="4"/>
  <c r="Z145" i="4"/>
  <c r="AA145" i="4"/>
  <c r="Z146" i="4"/>
  <c r="AA146" i="4"/>
  <c r="Z147" i="4"/>
  <c r="AA147" i="4"/>
  <c r="Z148" i="4"/>
  <c r="AA148" i="4"/>
  <c r="Z149" i="4"/>
  <c r="AA149" i="4"/>
  <c r="Z150" i="4"/>
  <c r="AA150" i="4"/>
  <c r="Z151" i="4"/>
  <c r="AA151" i="4"/>
  <c r="Z152" i="4"/>
  <c r="AA152" i="4"/>
  <c r="Z153" i="4"/>
  <c r="AA153" i="4"/>
  <c r="Z154" i="4"/>
  <c r="AA154" i="4"/>
  <c r="Z155" i="4"/>
  <c r="AA155" i="4"/>
  <c r="Z156" i="4"/>
  <c r="AA156" i="4"/>
  <c r="Z157" i="4"/>
  <c r="AA157" i="4"/>
  <c r="Z158" i="4"/>
  <c r="AA158" i="4"/>
  <c r="Z159" i="4"/>
  <c r="AA159" i="4"/>
  <c r="Z160" i="4"/>
  <c r="AA160" i="4"/>
  <c r="Z161" i="4"/>
  <c r="AA161" i="4"/>
  <c r="Z162" i="4"/>
  <c r="AA162" i="4"/>
  <c r="Z163" i="4"/>
  <c r="AA163" i="4"/>
  <c r="Z164" i="4"/>
  <c r="AA164" i="4"/>
  <c r="Z165" i="4"/>
  <c r="AA165" i="4"/>
  <c r="Z166" i="4"/>
  <c r="AA166" i="4"/>
  <c r="Z167" i="4"/>
  <c r="AA167" i="4"/>
  <c r="Z168" i="4"/>
  <c r="AA168" i="4"/>
  <c r="Z169" i="4"/>
  <c r="AA169" i="4"/>
  <c r="Z170" i="4"/>
  <c r="AA170" i="4"/>
  <c r="Z171" i="4"/>
  <c r="AA171" i="4"/>
  <c r="Z172" i="4"/>
  <c r="AA172" i="4"/>
  <c r="Z173" i="4"/>
  <c r="AA173" i="4"/>
  <c r="Z174" i="4"/>
  <c r="AA174" i="4"/>
  <c r="Z175" i="4"/>
  <c r="AA175" i="4"/>
  <c r="Z176" i="4"/>
  <c r="AA176" i="4"/>
  <c r="Z177" i="4"/>
  <c r="AA177" i="4"/>
  <c r="Z178" i="4"/>
  <c r="AA178" i="4"/>
  <c r="Z179" i="4"/>
  <c r="AA179" i="4"/>
  <c r="Z180" i="4"/>
  <c r="AA180" i="4"/>
  <c r="Z181" i="4"/>
  <c r="AA181" i="4"/>
  <c r="Z182" i="4"/>
  <c r="AA182" i="4"/>
  <c r="Z183" i="4"/>
  <c r="AA183" i="4"/>
  <c r="Z184" i="4"/>
  <c r="AA184" i="4"/>
  <c r="Z185" i="4"/>
  <c r="AA185" i="4"/>
  <c r="Z186" i="4"/>
  <c r="AA186" i="4"/>
  <c r="Z187" i="4"/>
  <c r="AA187" i="4"/>
  <c r="Z188" i="4"/>
  <c r="AA188" i="4"/>
  <c r="Z189" i="4"/>
  <c r="AA189" i="4"/>
  <c r="Z190" i="4"/>
  <c r="AA190" i="4"/>
  <c r="Z191" i="4"/>
  <c r="AA191" i="4"/>
  <c r="Z192" i="4"/>
  <c r="AA192" i="4"/>
  <c r="Z193" i="4"/>
  <c r="AA193" i="4"/>
  <c r="Z194" i="4"/>
  <c r="AA194" i="4"/>
  <c r="Z195" i="4"/>
  <c r="AA195" i="4"/>
  <c r="Z196" i="4"/>
  <c r="AA196" i="4"/>
  <c r="Z197" i="4"/>
  <c r="AA197" i="4"/>
  <c r="Z198" i="4"/>
  <c r="AA198" i="4"/>
  <c r="Z199" i="4"/>
  <c r="AA199" i="4"/>
  <c r="Z200" i="4"/>
  <c r="AA200" i="4"/>
</calcChain>
</file>

<file path=xl/sharedStrings.xml><?xml version="1.0" encoding="utf-8"?>
<sst xmlns="http://schemas.openxmlformats.org/spreadsheetml/2006/main" count="199" uniqueCount="124">
  <si>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</si>
  <si>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</si>
  <si>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</si>
  <si>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</si>
  <si>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</si>
  <si>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</si>
  <si>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</si>
  <si>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</si>
  <si>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</si>
  <si>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</si>
  <si>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</si>
  <si>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</si>
  <si>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</si>
  <si>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</si>
  <si>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</si>
  <si>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</si>
  <si>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</si>
  <si>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</si>
  <si>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</si>
  <si>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</si>
  <si>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</si>
  <si>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</si>
  <si>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</si>
  <si>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</si>
  <si>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</si>
  <si>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</si>
  <si>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</si>
  <si>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</si>
  <si>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</si>
  <si>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</si>
  <si>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</si>
  <si>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</si>
  <si>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</si>
  <si>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</si>
  <si>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</si>
  <si>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</si>
  <si>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</si>
  <si>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</si>
  <si>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</si>
  <si>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</si>
  <si>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</si>
  <si>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</si>
  <si>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</si>
  <si>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</si>
  <si>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</si>
  <si>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</si>
  <si>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</si>
  <si>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</si>
  <si>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</si>
  <si>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</si>
  <si>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 +e</t>
  </si>
  <si>
    <t>m-e</t>
  </si>
  <si>
    <t>pdf Fit</t>
  </si>
  <si>
    <t>Expiration Dates</t>
  </si>
  <si>
    <t>Contract</t>
  </si>
  <si>
    <t>Last BD</t>
  </si>
  <si>
    <t>NG</t>
  </si>
  <si>
    <t>WTI</t>
  </si>
  <si>
    <t>BRENT</t>
  </si>
  <si>
    <t>Commodity</t>
  </si>
  <si>
    <t>$ from ATM</t>
  </si>
  <si>
    <t>ENA ATM</t>
  </si>
  <si>
    <t>At a</t>
  </si>
  <si>
    <t>At b</t>
  </si>
  <si>
    <t>Descriptions</t>
  </si>
  <si>
    <r>
      <t>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</t>
    </r>
  </si>
  <si>
    <t>Square root of pi</t>
  </si>
  <si>
    <t>x</t>
  </si>
  <si>
    <t>Upper and lower boundaries</t>
  </si>
  <si>
    <t>s</t>
  </si>
  <si>
    <t>Volatilities</t>
  </si>
  <si>
    <t>T</t>
  </si>
  <si>
    <t>Time to expiration (in years)</t>
  </si>
  <si>
    <r>
      <t>s</t>
    </r>
    <r>
      <rPr>
        <sz val="8"/>
        <rFont val="Arial"/>
        <family val="2"/>
      </rPr>
      <t>'</t>
    </r>
  </si>
  <si>
    <r>
      <t xml:space="preserve">= </t>
    </r>
    <r>
      <rPr>
        <sz val="8"/>
        <rFont val="Symbol"/>
        <family val="1"/>
        <charset val="2"/>
      </rPr>
      <t xml:space="preserve">s </t>
    </r>
    <r>
      <rPr>
        <sz val="8"/>
        <rFont val="Arial"/>
        <family val="2"/>
      </rPr>
      <t>√T</t>
    </r>
  </si>
  <si>
    <t>w</t>
  </si>
  <si>
    <r>
      <t>= [(ln(x/S</t>
    </r>
    <r>
      <rPr>
        <vertAlign val="subscript"/>
        <sz val="8"/>
        <rFont val="Arial"/>
        <family val="2"/>
      </rPr>
      <t>0</t>
    </r>
    <r>
      <rPr>
        <sz val="8"/>
        <rFont val="Arial"/>
        <family val="2"/>
      </rPr>
      <t>) + ½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 ²) /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'] </t>
    </r>
    <r>
      <rPr>
        <sz val="8"/>
        <rFont val="Symbol"/>
        <family val="1"/>
        <charset val="2"/>
      </rPr>
      <t>g</t>
    </r>
  </si>
  <si>
    <r>
      <t>w</t>
    </r>
    <r>
      <rPr>
        <vertAlign val="superscript"/>
        <sz val="8"/>
        <rFont val="Arial"/>
        <family val="2"/>
      </rPr>
      <t>2</t>
    </r>
  </si>
  <si>
    <t>f(x)</t>
  </si>
  <si>
    <t>Lognormal pdf values of x</t>
  </si>
  <si>
    <t>N(w)</t>
  </si>
  <si>
    <t>Cumulative normal values of w</t>
  </si>
  <si>
    <t>Alpha</t>
  </si>
  <si>
    <r>
      <t xml:space="preserve">= f(x) x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>'</t>
    </r>
    <r>
      <rPr>
        <sz val="8"/>
        <rFont val="Arial"/>
      </rPr>
      <t xml:space="preserve"> 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 exp(w²/2)</t>
    </r>
  </si>
  <si>
    <t>Gamma</t>
  </si>
  <si>
    <t>Value used in goal seeking</t>
  </si>
  <si>
    <t>Area A</t>
  </si>
  <si>
    <t>Area under lognormal pdf</t>
  </si>
  <si>
    <t>1 - A</t>
  </si>
  <si>
    <t>TARGET</t>
  </si>
  <si>
    <t>Untransformed variables</t>
  </si>
  <si>
    <t>Transformed variables</t>
  </si>
  <si>
    <t>Converted</t>
  </si>
  <si>
    <t>Theoretical</t>
  </si>
  <si>
    <t>N(x)</t>
  </si>
  <si>
    <t>lower tail</t>
  </si>
  <si>
    <t>upper tail</t>
  </si>
  <si>
    <r>
      <t>2</t>
    </r>
    <r>
      <rPr>
        <sz val="8"/>
        <rFont val="Symbol"/>
        <family val="1"/>
        <charset val="2"/>
      </rPr>
      <t>p</t>
    </r>
  </si>
  <si>
    <r>
      <t>N(y</t>
    </r>
    <r>
      <rPr>
        <sz val="8"/>
        <rFont val="Arial"/>
        <family val="2"/>
      </rPr>
      <t>/</t>
    </r>
    <r>
      <rPr>
        <sz val="8"/>
        <rFont val="Symbol"/>
        <family val="1"/>
        <charset val="2"/>
      </rPr>
      <t>g</t>
    </r>
    <r>
      <rPr>
        <sz val="8"/>
        <rFont val="Arial"/>
        <family val="2"/>
      </rPr>
      <t>)</t>
    </r>
  </si>
  <si>
    <r>
      <t>exp(</t>
    </r>
    <r>
      <rPr>
        <sz val="8"/>
        <rFont val="Symbol"/>
        <family val="1"/>
        <charset val="2"/>
      </rPr>
      <t>g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y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/2)</t>
    </r>
  </si>
  <si>
    <t>Premium K(1+Epsilon)</t>
  </si>
  <si>
    <t>Premium K(1-Epsilon)</t>
  </si>
  <si>
    <t>x+</t>
  </si>
  <si>
    <t>x-</t>
  </si>
  <si>
    <t>ENA vol</t>
  </si>
  <si>
    <t>slope</t>
  </si>
  <si>
    <t>ENA Vol</t>
  </si>
  <si>
    <t>vol+e</t>
  </si>
  <si>
    <t>vol-e</t>
  </si>
  <si>
    <t>call at vol</t>
  </si>
  <si>
    <t>call at vol-e</t>
  </si>
  <si>
    <t>call at vol+e</t>
  </si>
  <si>
    <t>2nd d</t>
  </si>
  <si>
    <t>ENA Vol Fit</t>
  </si>
  <si>
    <t>premium difference</t>
  </si>
  <si>
    <t>0.054</t>
  </si>
  <si>
    <t>ENA Skew</t>
  </si>
  <si>
    <t>ENA to Market</t>
  </si>
  <si>
    <t>0.006</t>
  </si>
  <si>
    <t>0.261</t>
  </si>
  <si>
    <t>0.446</t>
  </si>
  <si>
    <t>0.694</t>
  </si>
  <si>
    <t>0.965</t>
  </si>
  <si>
    <t>1.307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</si>
</sst>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0.000"/>
    <numFmt numFmtId="165" formatCode="0.0000"/>
    <numFmt numFmtId="166" formatCode="0.0%"/>
    <numFmt numFmtId="167" formatCode="0.000000"/>
    <numFmt numFmtId="168" formatCode="#,##0.0000"/>
    <numFmt numFmtId="169" formatCode="#,##0.000"/>
    <numFmt numFmtId="170" formatCode="#,##0.000000"/>
    <numFmt numFmtId="171" formatCode="0.00000E+00"/>
    <numFmt numFmtId="172" formatCode="&quot;$&quot;#,##0.00"/>
    <numFmt numFmtId="173" formatCode="0.000E+00"/>
    <numFmt numFmtId="174" formatCode="m/d/yy"/>
    <numFmt numFmtId="178" formatCode="0.00000000"/>
    <numFmt numFmtId="179" formatCode="0.0000%"/>
    <numFmt numFmtId="180" formatCode="&quot;$&quot;#,##0.000"/>
  </numFmts>
  <fonts count="26" x14ac:knownFonts="1">
    <font>
      <sz val="10"/>
      <name val="Arial"/>
    </font>
    <font>
      <sz val="10"/>
      <name val="Arial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8.75"/>
      <name val="Arial"/>
    </font>
    <font>
      <sz val="8.75"/>
      <name val="Arial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color indexed="48"/>
      <name val="Arial"/>
      <family val="2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2" borderId="0" xfId="2" applyFill="1"/>
    <xf numFmtId="167" fontId="4" fillId="2" borderId="0" xfId="2" applyNumberFormat="1" applyFont="1" applyFill="1" applyBorder="1" applyAlignment="1" applyProtection="1">
      <alignment horizontal="right"/>
      <protection locked="0"/>
    </xf>
    <xf numFmtId="165" fontId="4" fillId="2" borderId="0" xfId="2" applyNumberFormat="1" applyFont="1" applyFill="1" applyBorder="1" applyAlignment="1" applyProtection="1">
      <alignment horizontal="right"/>
      <protection locked="0"/>
    </xf>
    <xf numFmtId="0" fontId="5" fillId="2" borderId="1" xfId="2" applyFont="1" applyFill="1" applyBorder="1"/>
    <xf numFmtId="0" fontId="5" fillId="2" borderId="2" xfId="2" applyFont="1" applyFill="1" applyBorder="1"/>
    <xf numFmtId="0" fontId="5" fillId="2" borderId="3" xfId="2" applyFont="1" applyFill="1" applyBorder="1"/>
    <xf numFmtId="9" fontId="5" fillId="2" borderId="4" xfId="2" applyNumberFormat="1" applyFont="1" applyFill="1" applyBorder="1" applyAlignment="1">
      <alignment horizontal="center"/>
    </xf>
    <xf numFmtId="165" fontId="6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5" fillId="2" borderId="0" xfId="2" applyFont="1" applyFill="1" applyAlignment="1">
      <alignment horizontal="center"/>
    </xf>
    <xf numFmtId="10" fontId="5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8" fillId="2" borderId="4" xfId="2" applyFont="1" applyFill="1" applyBorder="1" applyAlignment="1">
      <alignment horizontal="center" wrapText="1"/>
    </xf>
    <xf numFmtId="0" fontId="5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6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9" fillId="2" borderId="0" xfId="2" applyFont="1" applyFill="1"/>
    <xf numFmtId="14" fontId="1" fillId="0" borderId="0" xfId="2" applyNumberFormat="1" applyFill="1" applyAlignment="1">
      <alignment horizontal="center"/>
    </xf>
    <xf numFmtId="0" fontId="7" fillId="2" borderId="0" xfId="0" applyFont="1" applyFill="1"/>
    <xf numFmtId="0" fontId="11" fillId="2" borderId="0" xfId="2" applyFont="1" applyFill="1" applyBorder="1" applyAlignment="1">
      <alignment horizontal="centerContinuous"/>
    </xf>
    <xf numFmtId="0" fontId="12" fillId="2" borderId="0" xfId="2" applyFont="1" applyFill="1" applyBorder="1" applyAlignment="1">
      <alignment horizontal="centerContinuous"/>
    </xf>
    <xf numFmtId="9" fontId="13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4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4" fillId="0" borderId="0" xfId="1"/>
    <xf numFmtId="0" fontId="15" fillId="0" borderId="0" xfId="1" applyFont="1"/>
    <xf numFmtId="4" fontId="16" fillId="0" borderId="0" xfId="1" applyNumberFormat="1" applyFont="1"/>
    <xf numFmtId="9" fontId="16" fillId="0" borderId="0" xfId="1" applyNumberFormat="1" applyFont="1"/>
    <xf numFmtId="166" fontId="16" fillId="0" borderId="0" xfId="1" applyNumberFormat="1" applyFont="1"/>
    <xf numFmtId="168" fontId="14" fillId="0" borderId="0" xfId="1" applyNumberFormat="1"/>
    <xf numFmtId="166" fontId="14" fillId="0" borderId="0" xfId="1" applyNumberFormat="1"/>
    <xf numFmtId="10" fontId="14" fillId="0" borderId="0" xfId="1" applyNumberFormat="1"/>
    <xf numFmtId="4" fontId="3" fillId="0" borderId="0" xfId="1" applyNumberFormat="1" applyFont="1"/>
    <xf numFmtId="0" fontId="14" fillId="0" borderId="5" xfId="1" applyBorder="1" applyAlignment="1">
      <alignment horizontal="centerContinuous"/>
    </xf>
    <xf numFmtId="0" fontId="14" fillId="0" borderId="2" xfId="1" applyBorder="1" applyAlignment="1">
      <alignment horizontal="center"/>
    </xf>
    <xf numFmtId="0" fontId="14" fillId="0" borderId="0" xfId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5" xfId="1" applyBorder="1"/>
    <xf numFmtId="0" fontId="14" fillId="0" borderId="0" xfId="1" applyBorder="1"/>
    <xf numFmtId="0" fontId="14" fillId="0" borderId="6" xfId="1" applyBorder="1" applyAlignment="1">
      <alignment horizontal="centerContinuous"/>
    </xf>
    <xf numFmtId="0" fontId="14" fillId="0" borderId="7" xfId="1" applyBorder="1" applyAlignment="1">
      <alignment horizontal="center"/>
    </xf>
    <xf numFmtId="0" fontId="14" fillId="0" borderId="0" xfId="1" applyAlignment="1">
      <alignment horizontal="center"/>
    </xf>
    <xf numFmtId="4" fontId="14" fillId="0" borderId="0" xfId="1" applyNumberFormat="1"/>
    <xf numFmtId="169" fontId="14" fillId="0" borderId="0" xfId="1" applyNumberFormat="1"/>
    <xf numFmtId="170" fontId="14" fillId="0" borderId="0" xfId="1" applyNumberFormat="1"/>
    <xf numFmtId="171" fontId="14" fillId="0" borderId="0" xfId="1" applyNumberFormat="1"/>
    <xf numFmtId="172" fontId="16" fillId="0" borderId="0" xfId="1" applyNumberFormat="1" applyFont="1"/>
    <xf numFmtId="173" fontId="14" fillId="0" borderId="0" xfId="1" applyNumberFormat="1"/>
    <xf numFmtId="172" fontId="14" fillId="0" borderId="0" xfId="1" applyNumberFormat="1"/>
    <xf numFmtId="0" fontId="14" fillId="0" borderId="0" xfId="1" applyFont="1"/>
    <xf numFmtId="14" fontId="0" fillId="0" borderId="0" xfId="0" applyNumberFormat="1"/>
    <xf numFmtId="174" fontId="0" fillId="0" borderId="0" xfId="0" applyNumberFormat="1"/>
    <xf numFmtId="0" fontId="5" fillId="0" borderId="0" xfId="0" applyFont="1"/>
    <xf numFmtId="0" fontId="5" fillId="2" borderId="0" xfId="2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2" applyFont="1" applyFill="1" applyBorder="1" applyAlignment="1">
      <alignment horizontal="right"/>
    </xf>
    <xf numFmtId="2" fontId="0" fillId="0" borderId="0" xfId="0" applyNumberFormat="1"/>
    <xf numFmtId="0" fontId="5" fillId="0" borderId="0" xfId="2" applyFont="1" applyFill="1" applyAlignment="1">
      <alignment horizontal="right"/>
    </xf>
    <xf numFmtId="17" fontId="5" fillId="0" borderId="0" xfId="0" applyNumberFormat="1" applyFont="1" applyFill="1"/>
    <xf numFmtId="0" fontId="14" fillId="0" borderId="4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165" fontId="14" fillId="0" borderId="4" xfId="1" applyNumberFormat="1" applyBorder="1" applyAlignment="1">
      <alignment horizontal="center"/>
    </xf>
    <xf numFmtId="0" fontId="14" fillId="0" borderId="4" xfId="1" applyFont="1" applyBorder="1" applyAlignment="1">
      <alignment horizontal="left"/>
    </xf>
    <xf numFmtId="172" fontId="14" fillId="0" borderId="4" xfId="1" applyNumberFormat="1" applyBorder="1" applyAlignment="1">
      <alignment horizontal="center"/>
    </xf>
    <xf numFmtId="0" fontId="19" fillId="0" borderId="1" xfId="1" applyFont="1" applyBorder="1" applyAlignment="1">
      <alignment horizontal="center"/>
    </xf>
    <xf numFmtId="166" fontId="14" fillId="0" borderId="4" xfId="3" applyNumberFormat="1" applyFont="1" applyBorder="1" applyAlignment="1">
      <alignment horizontal="center"/>
    </xf>
    <xf numFmtId="0" fontId="14" fillId="0" borderId="4" xfId="1" quotePrefix="1" applyFont="1" applyBorder="1" applyAlignment="1">
      <alignment horizontal="left"/>
    </xf>
    <xf numFmtId="0" fontId="14" fillId="0" borderId="4" xfId="1" applyBorder="1" applyAlignment="1">
      <alignment horizontal="left"/>
    </xf>
    <xf numFmtId="0" fontId="3" fillId="0" borderId="1" xfId="1" applyFont="1" applyBorder="1" applyAlignment="1">
      <alignment horizontal="center"/>
    </xf>
    <xf numFmtId="165" fontId="14" fillId="3" borderId="4" xfId="1" applyNumberFormat="1" applyFill="1" applyBorder="1" applyAlignment="1">
      <alignment horizontal="center"/>
    </xf>
    <xf numFmtId="0" fontId="14" fillId="0" borderId="4" xfId="1" applyBorder="1"/>
    <xf numFmtId="164" fontId="22" fillId="0" borderId="1" xfId="1" applyNumberFormat="1" applyFont="1" applyBorder="1" applyAlignment="1">
      <alignment horizontal="center"/>
    </xf>
    <xf numFmtId="165" fontId="22" fillId="4" borderId="4" xfId="1" applyNumberFormat="1" applyFont="1" applyFill="1" applyBorder="1" applyAlignment="1">
      <alignment horizontal="center"/>
    </xf>
    <xf numFmtId="165" fontId="14" fillId="0" borderId="0" xfId="1" applyNumberFormat="1"/>
    <xf numFmtId="164" fontId="14" fillId="0" borderId="0" xfId="1" applyNumberFormat="1"/>
    <xf numFmtId="0" fontId="14" fillId="0" borderId="0" xfId="1" applyFont="1" applyFill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164" fontId="23" fillId="0" borderId="0" xfId="1" applyNumberFormat="1" applyFont="1" applyAlignment="1">
      <alignment horizontal="center"/>
    </xf>
    <xf numFmtId="164" fontId="2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14" fillId="0" borderId="0" xfId="1" applyNumberFormat="1" applyBorder="1" applyAlignment="1">
      <alignment horizontal="center"/>
    </xf>
    <xf numFmtId="164" fontId="14" fillId="0" borderId="0" xfId="1" applyNumberFormat="1" applyAlignment="1">
      <alignment horizontal="center"/>
    </xf>
    <xf numFmtId="0" fontId="14" fillId="0" borderId="0" xfId="1" applyFont="1" applyAlignment="1">
      <alignment horizontal="center"/>
    </xf>
    <xf numFmtId="165" fontId="14" fillId="0" borderId="1" xfId="1" applyNumberFormat="1" applyBorder="1" applyAlignment="1">
      <alignment horizontal="center"/>
    </xf>
    <xf numFmtId="165" fontId="14" fillId="3" borderId="1" xfId="1" applyNumberFormat="1" applyFill="1" applyBorder="1" applyAlignment="1">
      <alignment horizontal="center"/>
    </xf>
    <xf numFmtId="0" fontId="14" fillId="0" borderId="4" xfId="1" applyBorder="1" applyAlignment="1">
      <alignment horizontal="center"/>
    </xf>
    <xf numFmtId="164" fontId="22" fillId="0" borderId="4" xfId="1" applyNumberFormat="1" applyFont="1" applyBorder="1" applyAlignment="1">
      <alignment horizontal="center"/>
    </xf>
    <xf numFmtId="165" fontId="22" fillId="4" borderId="1" xfId="1" applyNumberFormat="1" applyFont="1" applyFill="1" applyBorder="1" applyAlignment="1">
      <alignment horizontal="center"/>
    </xf>
    <xf numFmtId="0" fontId="14" fillId="0" borderId="5" xfId="1" applyFont="1" applyBorder="1" applyAlignment="1">
      <alignment horizontal="centerContinuous"/>
    </xf>
    <xf numFmtId="173" fontId="23" fillId="0" borderId="0" xfId="1" applyNumberFormat="1" applyFont="1" applyBorder="1" applyAlignment="1"/>
    <xf numFmtId="178" fontId="14" fillId="0" borderId="0" xfId="1" applyNumberFormat="1"/>
    <xf numFmtId="166" fontId="14" fillId="0" borderId="0" xfId="1" applyNumberFormat="1" applyFont="1"/>
    <xf numFmtId="179" fontId="14" fillId="0" borderId="0" xfId="1" applyNumberFormat="1"/>
    <xf numFmtId="180" fontId="10" fillId="0" borderId="0" xfId="2" applyNumberFormat="1" applyFont="1" applyFill="1" applyAlignment="1">
      <alignment horizontal="center"/>
    </xf>
    <xf numFmtId="0" fontId="1" fillId="0" borderId="0" xfId="2" applyAlignment="1">
      <alignment horizontal="center"/>
    </xf>
    <xf numFmtId="0" fontId="14" fillId="0" borderId="0" xfId="1" applyFont="1" applyFill="1" applyBorder="1" applyAlignment="1">
      <alignment horizontal="center"/>
    </xf>
  </cellXfs>
  <cellStyles count="4">
    <cellStyle name="Normal" xfId="0" builtinId="0"/>
    <cellStyle name="Normal_Shimko" xfId="1"/>
    <cellStyle name="Normal_VolSkew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1409331175"/>
          <c:y val="9.961723096724949E-2"/>
          <c:w val="0.79138497241924521"/>
          <c:h val="0.72414064049269822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[0]!MoneynessFit</c:f>
              <c:numCache>
                <c:formatCode>0%</c:formatCode>
                <c:ptCount val="75"/>
                <c:pt idx="0">
                  <c:v>-0.57999999999999996</c:v>
                </c:pt>
                <c:pt idx="1">
                  <c:v>-0.56999999999999995</c:v>
                </c:pt>
                <c:pt idx="2">
                  <c:v>-0.55999999999999994</c:v>
                </c:pt>
                <c:pt idx="3">
                  <c:v>-0.54999999999999993</c:v>
                </c:pt>
                <c:pt idx="4">
                  <c:v>-0.53999999999999992</c:v>
                </c:pt>
                <c:pt idx="5">
                  <c:v>-0.52999999999999992</c:v>
                </c:pt>
                <c:pt idx="6">
                  <c:v>-0.51999999999999991</c:v>
                </c:pt>
                <c:pt idx="7">
                  <c:v>-0.5099999999999999</c:v>
                </c:pt>
                <c:pt idx="8">
                  <c:v>-0.49999999999999989</c:v>
                </c:pt>
                <c:pt idx="9">
                  <c:v>-0.48999999999999988</c:v>
                </c:pt>
                <c:pt idx="10">
                  <c:v>-0.47999999999999987</c:v>
                </c:pt>
                <c:pt idx="11">
                  <c:v>-0.46999999999999986</c:v>
                </c:pt>
                <c:pt idx="12">
                  <c:v>-0.45999999999999985</c:v>
                </c:pt>
                <c:pt idx="13">
                  <c:v>-0.44999999999999984</c:v>
                </c:pt>
                <c:pt idx="14">
                  <c:v>-0.43999999999999984</c:v>
                </c:pt>
                <c:pt idx="15">
                  <c:v>-0.42999999999999983</c:v>
                </c:pt>
                <c:pt idx="16">
                  <c:v>-0.41999999999999982</c:v>
                </c:pt>
                <c:pt idx="17">
                  <c:v>-0.40999999999999981</c:v>
                </c:pt>
                <c:pt idx="18">
                  <c:v>-0.3999999999999998</c:v>
                </c:pt>
                <c:pt idx="19">
                  <c:v>-0.38999999999999979</c:v>
                </c:pt>
                <c:pt idx="20">
                  <c:v>-0.37999999999999978</c:v>
                </c:pt>
                <c:pt idx="21">
                  <c:v>-0.36999999999999977</c:v>
                </c:pt>
                <c:pt idx="22">
                  <c:v>-0.35999999999999976</c:v>
                </c:pt>
                <c:pt idx="23">
                  <c:v>-0.34999999999999976</c:v>
                </c:pt>
                <c:pt idx="24">
                  <c:v>-0.33999999999999975</c:v>
                </c:pt>
                <c:pt idx="25">
                  <c:v>-0.32999999999999974</c:v>
                </c:pt>
                <c:pt idx="26">
                  <c:v>-0.31999999999999973</c:v>
                </c:pt>
                <c:pt idx="27">
                  <c:v>-0.30999999999999972</c:v>
                </c:pt>
                <c:pt idx="28">
                  <c:v>-0.29999999999999971</c:v>
                </c:pt>
                <c:pt idx="29">
                  <c:v>-0.2899999999999997</c:v>
                </c:pt>
                <c:pt idx="30">
                  <c:v>-0.27999999999999969</c:v>
                </c:pt>
                <c:pt idx="31">
                  <c:v>-0.26999999999999968</c:v>
                </c:pt>
                <c:pt idx="32">
                  <c:v>-0.25999999999999968</c:v>
                </c:pt>
                <c:pt idx="33">
                  <c:v>-0.24999999999999967</c:v>
                </c:pt>
                <c:pt idx="34">
                  <c:v>-0.23999999999999966</c:v>
                </c:pt>
                <c:pt idx="35">
                  <c:v>-0.22999999999999965</c:v>
                </c:pt>
                <c:pt idx="36">
                  <c:v>-0.21999999999999964</c:v>
                </c:pt>
                <c:pt idx="37">
                  <c:v>-0.20999999999999963</c:v>
                </c:pt>
                <c:pt idx="38">
                  <c:v>-0.19999999999999962</c:v>
                </c:pt>
                <c:pt idx="39">
                  <c:v>-0.18999999999999961</c:v>
                </c:pt>
                <c:pt idx="40">
                  <c:v>-0.1799999999999996</c:v>
                </c:pt>
                <c:pt idx="41">
                  <c:v>-0.1699999999999996</c:v>
                </c:pt>
                <c:pt idx="42">
                  <c:v>-0.15999999999999959</c:v>
                </c:pt>
                <c:pt idx="43">
                  <c:v>-0.14999999999999958</c:v>
                </c:pt>
                <c:pt idx="44">
                  <c:v>-0.13999999999999957</c:v>
                </c:pt>
                <c:pt idx="45">
                  <c:v>-0.12999999999999956</c:v>
                </c:pt>
                <c:pt idx="46">
                  <c:v>-0.11999999999999957</c:v>
                </c:pt>
                <c:pt idx="47">
                  <c:v>-0.10999999999999957</c:v>
                </c:pt>
                <c:pt idx="48">
                  <c:v>-9.9999999999999575E-2</c:v>
                </c:pt>
                <c:pt idx="49">
                  <c:v>-8.999999999999958E-2</c:v>
                </c:pt>
                <c:pt idx="50">
                  <c:v>-7.9999999999999585E-2</c:v>
                </c:pt>
                <c:pt idx="51">
                  <c:v>-6.999999999999959E-2</c:v>
                </c:pt>
                <c:pt idx="52">
                  <c:v>-5.9999999999999588E-2</c:v>
                </c:pt>
                <c:pt idx="53">
                  <c:v>-4.9999999999999586E-2</c:v>
                </c:pt>
                <c:pt idx="54">
                  <c:v>-3.9999999999999584E-2</c:v>
                </c:pt>
                <c:pt idx="55">
                  <c:v>-2.9999999999999583E-2</c:v>
                </c:pt>
                <c:pt idx="56">
                  <c:v>-1.9999999999999581E-2</c:v>
                </c:pt>
                <c:pt idx="57">
                  <c:v>-9.9999999999995804E-3</c:v>
                </c:pt>
                <c:pt idx="58">
                  <c:v>4.1980308118638732E-16</c:v>
                </c:pt>
                <c:pt idx="59">
                  <c:v>1.000000000000042E-2</c:v>
                </c:pt>
                <c:pt idx="60">
                  <c:v>2.000000000000042E-2</c:v>
                </c:pt>
                <c:pt idx="61">
                  <c:v>3.0000000000000422E-2</c:v>
                </c:pt>
                <c:pt idx="62">
                  <c:v>4.0000000000000424E-2</c:v>
                </c:pt>
                <c:pt idx="63">
                  <c:v>5.0000000000000426E-2</c:v>
                </c:pt>
                <c:pt idx="64">
                  <c:v>6.0000000000000428E-2</c:v>
                </c:pt>
                <c:pt idx="65">
                  <c:v>7.0000000000000423E-2</c:v>
                </c:pt>
                <c:pt idx="66">
                  <c:v>8.0000000000000418E-2</c:v>
                </c:pt>
                <c:pt idx="67">
                  <c:v>9.0000000000000413E-2</c:v>
                </c:pt>
                <c:pt idx="68">
                  <c:v>0.10000000000000041</c:v>
                </c:pt>
                <c:pt idx="69">
                  <c:v>0.1100000000000004</c:v>
                </c:pt>
                <c:pt idx="70">
                  <c:v>0.1200000000000004</c:v>
                </c:pt>
                <c:pt idx="71">
                  <c:v>0.13000000000000039</c:v>
                </c:pt>
                <c:pt idx="72">
                  <c:v>0.1400000000000004</c:v>
                </c:pt>
                <c:pt idx="73">
                  <c:v>0.15000000000000041</c:v>
                </c:pt>
                <c:pt idx="74">
                  <c:v>0.16000000000000042</c:v>
                </c:pt>
              </c:numCache>
            </c:numRef>
          </c:xVal>
          <c:yVal>
            <c:numRef>
              <c:f>[0]!ImpVolFit</c:f>
              <c:numCache>
                <c:formatCode>General</c:formatCode>
                <c:ptCount val="75"/>
                <c:pt idx="0">
                  <c:v>0.51595647708000003</c:v>
                </c:pt>
                <c:pt idx="1">
                  <c:v>0.51554141049500002</c:v>
                </c:pt>
                <c:pt idx="2">
                  <c:v>0.51513359743999998</c:v>
                </c:pt>
                <c:pt idx="3">
                  <c:v>0.51473357062500003</c:v>
                </c:pt>
                <c:pt idx="4">
                  <c:v>0.51434186276000005</c:v>
                </c:pt>
                <c:pt idx="5">
                  <c:v>0.51395900655500004</c:v>
                </c:pt>
                <c:pt idx="6">
                  <c:v>0.51358553472000013</c:v>
                </c:pt>
                <c:pt idx="7">
                  <c:v>0.51322197996500007</c:v>
                </c:pt>
                <c:pt idx="8">
                  <c:v>0.51286887500000011</c:v>
                </c:pt>
                <c:pt idx="9">
                  <c:v>0.51252675253500002</c:v>
                </c:pt>
                <c:pt idx="10">
                  <c:v>0.51219614528000013</c:v>
                </c:pt>
                <c:pt idx="11">
                  <c:v>0.5118775859450001</c:v>
                </c:pt>
                <c:pt idx="12">
                  <c:v>0.51157160724000006</c:v>
                </c:pt>
                <c:pt idx="13">
                  <c:v>0.51127874187500011</c:v>
                </c:pt>
                <c:pt idx="14">
                  <c:v>0.51099952256000003</c:v>
                </c:pt>
                <c:pt idx="15">
                  <c:v>0.51073448200500005</c:v>
                </c:pt>
                <c:pt idx="16">
                  <c:v>0.51048415292000004</c:v>
                </c:pt>
                <c:pt idx="17">
                  <c:v>0.51024906801500003</c:v>
                </c:pt>
                <c:pt idx="18">
                  <c:v>0.51002976000000011</c:v>
                </c:pt>
                <c:pt idx="19">
                  <c:v>0.50982676158500007</c:v>
                </c:pt>
                <c:pt idx="20">
                  <c:v>0.50964060548000012</c:v>
                </c:pt>
                <c:pt idx="21">
                  <c:v>0.50947182439500005</c:v>
                </c:pt>
                <c:pt idx="22">
                  <c:v>0.50932095104000008</c:v>
                </c:pt>
                <c:pt idx="23">
                  <c:v>0.50918851812499999</c:v>
                </c:pt>
                <c:pt idx="24">
                  <c:v>0.50907505836</c:v>
                </c:pt>
                <c:pt idx="25">
                  <c:v>0.508981104455</c:v>
                </c:pt>
                <c:pt idx="26">
                  <c:v>0.50890718911999999</c:v>
                </c:pt>
                <c:pt idx="27">
                  <c:v>0.50885384506500009</c:v>
                </c:pt>
                <c:pt idx="28">
                  <c:v>0.50882160500000007</c:v>
                </c:pt>
                <c:pt idx="29">
                  <c:v>0.50881100163500004</c:v>
                </c:pt>
                <c:pt idx="30">
                  <c:v>0.50882256768000012</c:v>
                </c:pt>
                <c:pt idx="31">
                  <c:v>0.50885683584499997</c:v>
                </c:pt>
                <c:pt idx="32">
                  <c:v>0.50891433884000004</c:v>
                </c:pt>
                <c:pt idx="33">
                  <c:v>0.50899560937499999</c:v>
                </c:pt>
                <c:pt idx="34">
                  <c:v>0.50910118016000006</c:v>
                </c:pt>
                <c:pt idx="35">
                  <c:v>0.50923158390500012</c:v>
                </c:pt>
                <c:pt idx="36">
                  <c:v>0.50938735332000007</c:v>
                </c:pt>
                <c:pt idx="37">
                  <c:v>0.50956902111500002</c:v>
                </c:pt>
                <c:pt idx="38">
                  <c:v>0.50977712000000008</c:v>
                </c:pt>
                <c:pt idx="39">
                  <c:v>0.51001218268500015</c:v>
                </c:pt>
                <c:pt idx="40">
                  <c:v>0.5102747418800001</c:v>
                </c:pt>
                <c:pt idx="41">
                  <c:v>0.51056533029500006</c:v>
                </c:pt>
                <c:pt idx="42">
                  <c:v>0.51088448064000003</c:v>
                </c:pt>
                <c:pt idx="43">
                  <c:v>0.511232725625</c:v>
                </c:pt>
                <c:pt idx="44">
                  <c:v>0.51161059796000019</c:v>
                </c:pt>
                <c:pt idx="45">
                  <c:v>0.51201863035500006</c:v>
                </c:pt>
                <c:pt idx="46">
                  <c:v>0.51245735552000005</c:v>
                </c:pt>
                <c:pt idx="47">
                  <c:v>0.51292730616500004</c:v>
                </c:pt>
                <c:pt idx="48">
                  <c:v>0.51342901500000004</c:v>
                </c:pt>
                <c:pt idx="49">
                  <c:v>0.51396301473500006</c:v>
                </c:pt>
                <c:pt idx="50">
                  <c:v>0.51452983808000008</c:v>
                </c:pt>
                <c:pt idx="51">
                  <c:v>0.51513001774500011</c:v>
                </c:pt>
                <c:pt idx="52">
                  <c:v>0.51576408644000005</c:v>
                </c:pt>
                <c:pt idx="53">
                  <c:v>0.5164325768750001</c:v>
                </c:pt>
                <c:pt idx="54">
                  <c:v>0.51713602176000018</c:v>
                </c:pt>
                <c:pt idx="55">
                  <c:v>0.51787495380500015</c:v>
                </c:pt>
                <c:pt idx="56">
                  <c:v>0.51864990572000014</c:v>
                </c:pt>
                <c:pt idx="57">
                  <c:v>0.51946141021500003</c:v>
                </c:pt>
                <c:pt idx="58">
                  <c:v>0.52031000000000005</c:v>
                </c:pt>
                <c:pt idx="59">
                  <c:v>0.52119620778500009</c:v>
                </c:pt>
                <c:pt idx="60">
                  <c:v>0.52212056628000014</c:v>
                </c:pt>
                <c:pt idx="61">
                  <c:v>0.5230836081950001</c:v>
                </c:pt>
                <c:pt idx="62">
                  <c:v>0.52408586624000009</c:v>
                </c:pt>
                <c:pt idx="63">
                  <c:v>0.52512787312500009</c:v>
                </c:pt>
                <c:pt idx="64">
                  <c:v>0.52621016156000011</c:v>
                </c:pt>
                <c:pt idx="65">
                  <c:v>0.52733326425500004</c:v>
                </c:pt>
                <c:pt idx="66">
                  <c:v>0.52849771392000011</c:v>
                </c:pt>
                <c:pt idx="67">
                  <c:v>0.52970404326500009</c:v>
                </c:pt>
                <c:pt idx="68">
                  <c:v>0.53095278499999998</c:v>
                </c:pt>
                <c:pt idx="69">
                  <c:v>0.53224447183500012</c:v>
                </c:pt>
                <c:pt idx="70">
                  <c:v>0.53357963648000006</c:v>
                </c:pt>
                <c:pt idx="71">
                  <c:v>0.53495881164500014</c:v>
                </c:pt>
                <c:pt idx="72">
                  <c:v>0.53638253004000014</c:v>
                </c:pt>
                <c:pt idx="73">
                  <c:v>0.53785132437500005</c:v>
                </c:pt>
                <c:pt idx="74">
                  <c:v>0.53936572736000021</c:v>
                </c:pt>
              </c:numCache>
            </c:numRef>
          </c:yVal>
          <c:smooth val="1"/>
        </c:ser>
        <c:ser>
          <c:idx val="1"/>
          <c:order val="1"/>
          <c:tx>
            <c:v>4/10/01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13"/>
                <c:pt idx="0">
                  <c:v>-0.24695887236918335</c:v>
                </c:pt>
                <c:pt idx="1">
                  <c:v>-0.20834137864452607</c:v>
                </c:pt>
                <c:pt idx="2">
                  <c:v>-8.2834524039389845E-2</c:v>
                </c:pt>
                <c:pt idx="3">
                  <c:v>5.232670399691064E-2</c:v>
                </c:pt>
                <c:pt idx="4">
                  <c:v>7.1635450859239169E-2</c:v>
                </c:pt>
                <c:pt idx="5">
                  <c:v>0.158524811739718</c:v>
                </c:pt>
                <c:pt idx="6">
                  <c:v>-0.57520756902877002</c:v>
                </c:pt>
                <c:pt idx="7">
                  <c:v>-0.420737594130141</c:v>
                </c:pt>
                <c:pt idx="8">
                  <c:v>-0.22765012550685459</c:v>
                </c:pt>
                <c:pt idx="9">
                  <c:v>-0.1311063911952115</c:v>
                </c:pt>
                <c:pt idx="10">
                  <c:v>-3.4562656883568299E-2</c:v>
                </c:pt>
                <c:pt idx="11">
                  <c:v>5.232670399691064E-2</c:v>
                </c:pt>
                <c:pt idx="12">
                  <c:v>0.14887043830855373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13"/>
                <c:pt idx="0">
                  <c:v>0.50259537111141617</c:v>
                </c:pt>
                <c:pt idx="1">
                  <c:v>0.50689865730997674</c:v>
                </c:pt>
                <c:pt idx="2">
                  <c:v>0.51241672743255673</c:v>
                </c:pt>
                <c:pt idx="3">
                  <c:v>0.5273011798530417</c:v>
                </c:pt>
                <c:pt idx="4">
                  <c:v>0.53016496510590727</c:v>
                </c:pt>
                <c:pt idx="5">
                  <c:v>0.53961855213740617</c:v>
                </c:pt>
                <c:pt idx="6">
                  <c:v>0.51421064133658556</c:v>
                </c:pt>
                <c:pt idx="7">
                  <c:v>0.51535334415746925</c:v>
                </c:pt>
                <c:pt idx="8">
                  <c:v>0.51293260694835452</c:v>
                </c:pt>
                <c:pt idx="9">
                  <c:v>0.51343559756985069</c:v>
                </c:pt>
                <c:pt idx="10">
                  <c:v>0.51803939219606721</c:v>
                </c:pt>
                <c:pt idx="11">
                  <c:v>0.52578619530615178</c:v>
                </c:pt>
                <c:pt idx="12">
                  <c:v>0.53432564671671445</c:v>
                </c:pt>
              </c:numCache>
            </c:numRef>
          </c:yVal>
          <c:smooth val="1"/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VolSkew!$AG$34:$AG$41</c:f>
              <c:numCache>
                <c:formatCode>General</c:formatCode>
                <c:ptCount val="8"/>
                <c:pt idx="0">
                  <c:v>-0.579262405869859</c:v>
                </c:pt>
                <c:pt idx="1">
                  <c:v>-0.48271867155821585</c:v>
                </c:pt>
                <c:pt idx="2">
                  <c:v>-0.3861749372465727</c:v>
                </c:pt>
                <c:pt idx="3">
                  <c:v>-0.2896312029349295</c:v>
                </c:pt>
                <c:pt idx="4">
                  <c:v>-9.6543734311643176E-2</c:v>
                </c:pt>
                <c:pt idx="5">
                  <c:v>0</c:v>
                </c:pt>
                <c:pt idx="6">
                  <c:v>9.6543734311643176E-2</c:v>
                </c:pt>
                <c:pt idx="7">
                  <c:v>0.19308746862328635</c:v>
                </c:pt>
              </c:numCache>
            </c:numRef>
          </c:xVal>
          <c:yVal>
            <c:numRef>
              <c:f>VolSkew!$AJ$34:$AJ$41</c:f>
              <c:numCache>
                <c:formatCode>0.00</c:formatCode>
                <c:ptCount val="8"/>
                <c:pt idx="0">
                  <c:v>0.54</c:v>
                </c:pt>
                <c:pt idx="1">
                  <c:v>0.54</c:v>
                </c:pt>
                <c:pt idx="2">
                  <c:v>0.53250000000000008</c:v>
                </c:pt>
                <c:pt idx="3">
                  <c:v>0.53</c:v>
                </c:pt>
                <c:pt idx="4">
                  <c:v>0.52750000000000008</c:v>
                </c:pt>
                <c:pt idx="5">
                  <c:v>0.53500000000000003</c:v>
                </c:pt>
                <c:pt idx="6">
                  <c:v>0.54449999999999998</c:v>
                </c:pt>
                <c:pt idx="7">
                  <c:v>0.55377371000000009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02224"/>
        <c:axId val="249602784"/>
      </c:scatterChart>
      <c:valAx>
        <c:axId val="249602224"/>
        <c:scaling>
          <c:orientation val="minMax"/>
          <c:max val="0.3"/>
          <c:min val="-0.6"/>
        </c:scaling>
        <c:delete val="0"/>
        <c:axPos val="b"/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Put Option Moneyness</a:t>
                </a:r>
              </a:p>
            </c:rich>
          </c:tx>
          <c:layout>
            <c:manualLayout>
              <c:xMode val="edge"/>
              <c:yMode val="edge"/>
              <c:x val="0.38548838198072116"/>
              <c:y val="0.9042179426258030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602784"/>
        <c:crosses val="autoZero"/>
        <c:crossBetween val="midCat"/>
        <c:majorUnit val="0.2"/>
      </c:valAx>
      <c:valAx>
        <c:axId val="24960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1.3605472305201923E-2"/>
              <c:y val="0.429120379551228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602224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VolSkew!$R$1</c:f>
          <c:strCache>
            <c:ptCount val="1"/>
            <c:pt idx="0">
              <c:v>Dec-01 Natural Gas Price Distributions</c:v>
            </c:pt>
          </c:strCache>
        </c:strRef>
      </c:tx>
      <c:layout>
        <c:manualLayout>
          <c:xMode val="edge"/>
          <c:yMode val="edge"/>
          <c:x val="0.34961154273029965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79134295227528E-2"/>
          <c:y val="0.11582381729200653"/>
          <c:w val="0.86015538290788018"/>
          <c:h val="0.72104404567699842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2.2000000000000002</c:v>
                </c:pt>
                <c:pt idx="1">
                  <c:v>2.238</c:v>
                </c:pt>
                <c:pt idx="2">
                  <c:v>2.2759999999999998</c:v>
                </c:pt>
                <c:pt idx="3">
                  <c:v>2.3139999999999996</c:v>
                </c:pt>
                <c:pt idx="4">
                  <c:v>2.3519999999999994</c:v>
                </c:pt>
                <c:pt idx="5">
                  <c:v>2.3899999999999992</c:v>
                </c:pt>
                <c:pt idx="6">
                  <c:v>2.427999999999999</c:v>
                </c:pt>
                <c:pt idx="7">
                  <c:v>2.4659999999999989</c:v>
                </c:pt>
                <c:pt idx="8">
                  <c:v>2.5039999999999987</c:v>
                </c:pt>
                <c:pt idx="9">
                  <c:v>2.5419999999999985</c:v>
                </c:pt>
                <c:pt idx="10">
                  <c:v>2.5799999999999983</c:v>
                </c:pt>
                <c:pt idx="11">
                  <c:v>2.6179999999999981</c:v>
                </c:pt>
                <c:pt idx="12">
                  <c:v>2.6559999999999979</c:v>
                </c:pt>
                <c:pt idx="13">
                  <c:v>2.6939999999999977</c:v>
                </c:pt>
                <c:pt idx="14">
                  <c:v>2.7319999999999975</c:v>
                </c:pt>
                <c:pt idx="15">
                  <c:v>2.7699999999999974</c:v>
                </c:pt>
                <c:pt idx="16">
                  <c:v>2.8079999999999972</c:v>
                </c:pt>
                <c:pt idx="17">
                  <c:v>2.845999999999997</c:v>
                </c:pt>
                <c:pt idx="18">
                  <c:v>2.8839999999999968</c:v>
                </c:pt>
                <c:pt idx="19">
                  <c:v>2.9219999999999966</c:v>
                </c:pt>
                <c:pt idx="20">
                  <c:v>2.9599999999999964</c:v>
                </c:pt>
                <c:pt idx="21">
                  <c:v>2.9979999999999962</c:v>
                </c:pt>
                <c:pt idx="22">
                  <c:v>3.035999999999996</c:v>
                </c:pt>
                <c:pt idx="23">
                  <c:v>3.0739999999999958</c:v>
                </c:pt>
                <c:pt idx="24">
                  <c:v>3.1119999999999957</c:v>
                </c:pt>
                <c:pt idx="25">
                  <c:v>3.1499999999999955</c:v>
                </c:pt>
                <c:pt idx="26">
                  <c:v>3.1879999999999953</c:v>
                </c:pt>
                <c:pt idx="27">
                  <c:v>3.2259999999999951</c:v>
                </c:pt>
                <c:pt idx="28">
                  <c:v>3.2639999999999949</c:v>
                </c:pt>
                <c:pt idx="29">
                  <c:v>3.3019999999999947</c:v>
                </c:pt>
                <c:pt idx="30">
                  <c:v>3.3399999999999945</c:v>
                </c:pt>
                <c:pt idx="31">
                  <c:v>3.3779999999999943</c:v>
                </c:pt>
                <c:pt idx="32">
                  <c:v>3.4159999999999942</c:v>
                </c:pt>
                <c:pt idx="33">
                  <c:v>3.453999999999994</c:v>
                </c:pt>
                <c:pt idx="34">
                  <c:v>3.4919999999999938</c:v>
                </c:pt>
                <c:pt idx="35">
                  <c:v>3.5299999999999936</c:v>
                </c:pt>
                <c:pt idx="36">
                  <c:v>3.5679999999999934</c:v>
                </c:pt>
                <c:pt idx="37">
                  <c:v>3.6059999999999932</c:v>
                </c:pt>
                <c:pt idx="38">
                  <c:v>3.643999999999993</c:v>
                </c:pt>
                <c:pt idx="39">
                  <c:v>3.6819999999999928</c:v>
                </c:pt>
                <c:pt idx="40">
                  <c:v>3.7199999999999926</c:v>
                </c:pt>
                <c:pt idx="41">
                  <c:v>3.7579999999999925</c:v>
                </c:pt>
                <c:pt idx="42">
                  <c:v>3.7959999999999923</c:v>
                </c:pt>
                <c:pt idx="43">
                  <c:v>3.8339999999999921</c:v>
                </c:pt>
                <c:pt idx="44">
                  <c:v>3.8719999999999919</c:v>
                </c:pt>
                <c:pt idx="45">
                  <c:v>3.9099999999999917</c:v>
                </c:pt>
                <c:pt idx="46">
                  <c:v>3.9479999999999915</c:v>
                </c:pt>
                <c:pt idx="47">
                  <c:v>3.9859999999999913</c:v>
                </c:pt>
                <c:pt idx="48">
                  <c:v>4.0239999999999911</c:v>
                </c:pt>
                <c:pt idx="49">
                  <c:v>4.0619999999999914</c:v>
                </c:pt>
                <c:pt idx="50">
                  <c:v>4.0999999999999917</c:v>
                </c:pt>
                <c:pt idx="51">
                  <c:v>4.1379999999999919</c:v>
                </c:pt>
                <c:pt idx="52">
                  <c:v>4.1759999999999922</c:v>
                </c:pt>
                <c:pt idx="53">
                  <c:v>4.2139999999999924</c:v>
                </c:pt>
                <c:pt idx="54">
                  <c:v>4.2519999999999927</c:v>
                </c:pt>
                <c:pt idx="55">
                  <c:v>4.2899999999999929</c:v>
                </c:pt>
                <c:pt idx="56">
                  <c:v>4.3279999999999932</c:v>
                </c:pt>
                <c:pt idx="57">
                  <c:v>4.3659999999999934</c:v>
                </c:pt>
                <c:pt idx="58">
                  <c:v>4.4039999999999937</c:v>
                </c:pt>
                <c:pt idx="59">
                  <c:v>4.441999999999994</c:v>
                </c:pt>
                <c:pt idx="60">
                  <c:v>4.4799999999999942</c:v>
                </c:pt>
                <c:pt idx="61">
                  <c:v>4.5179999999999945</c:v>
                </c:pt>
                <c:pt idx="62">
                  <c:v>4.5559999999999947</c:v>
                </c:pt>
                <c:pt idx="63">
                  <c:v>4.593999999999995</c:v>
                </c:pt>
                <c:pt idx="64">
                  <c:v>4.6319999999999952</c:v>
                </c:pt>
                <c:pt idx="65">
                  <c:v>4.6699999999999955</c:v>
                </c:pt>
                <c:pt idx="66">
                  <c:v>4.7079999999999957</c:v>
                </c:pt>
                <c:pt idx="67">
                  <c:v>4.745999999999996</c:v>
                </c:pt>
                <c:pt idx="68">
                  <c:v>4.7839999999999963</c:v>
                </c:pt>
                <c:pt idx="69">
                  <c:v>4.8219999999999965</c:v>
                </c:pt>
                <c:pt idx="70">
                  <c:v>4.8599999999999968</c:v>
                </c:pt>
                <c:pt idx="71">
                  <c:v>4.897999999999997</c:v>
                </c:pt>
                <c:pt idx="72">
                  <c:v>4.9359999999999973</c:v>
                </c:pt>
                <c:pt idx="73">
                  <c:v>4.9739999999999975</c:v>
                </c:pt>
                <c:pt idx="74">
                  <c:v>5.0119999999999978</c:v>
                </c:pt>
                <c:pt idx="75">
                  <c:v>5.049999999999998</c:v>
                </c:pt>
                <c:pt idx="76">
                  <c:v>5.0879999999999983</c:v>
                </c:pt>
                <c:pt idx="77">
                  <c:v>5.1259999999999986</c:v>
                </c:pt>
                <c:pt idx="78">
                  <c:v>5.1639999999999988</c:v>
                </c:pt>
                <c:pt idx="79">
                  <c:v>5.2019999999999991</c:v>
                </c:pt>
                <c:pt idx="80">
                  <c:v>5.2399999999999993</c:v>
                </c:pt>
                <c:pt idx="81">
                  <c:v>5.2779999999999996</c:v>
                </c:pt>
                <c:pt idx="82">
                  <c:v>5.3159999999999998</c:v>
                </c:pt>
                <c:pt idx="83">
                  <c:v>5.3540000000000001</c:v>
                </c:pt>
                <c:pt idx="84">
                  <c:v>5.3920000000000003</c:v>
                </c:pt>
                <c:pt idx="85">
                  <c:v>5.4300000000000006</c:v>
                </c:pt>
                <c:pt idx="86">
                  <c:v>5.4680000000000009</c:v>
                </c:pt>
                <c:pt idx="87">
                  <c:v>5.5060000000000011</c:v>
                </c:pt>
                <c:pt idx="88">
                  <c:v>5.5440000000000014</c:v>
                </c:pt>
                <c:pt idx="89">
                  <c:v>5.5820000000000016</c:v>
                </c:pt>
                <c:pt idx="90">
                  <c:v>5.6200000000000019</c:v>
                </c:pt>
                <c:pt idx="91">
                  <c:v>5.6580000000000021</c:v>
                </c:pt>
                <c:pt idx="92">
                  <c:v>5.6960000000000024</c:v>
                </c:pt>
                <c:pt idx="93">
                  <c:v>5.7340000000000027</c:v>
                </c:pt>
                <c:pt idx="94">
                  <c:v>5.7720000000000029</c:v>
                </c:pt>
                <c:pt idx="95">
                  <c:v>5.8100000000000032</c:v>
                </c:pt>
                <c:pt idx="96">
                  <c:v>5.8480000000000034</c:v>
                </c:pt>
                <c:pt idx="97">
                  <c:v>5.8860000000000037</c:v>
                </c:pt>
                <c:pt idx="98">
                  <c:v>5.9240000000000039</c:v>
                </c:pt>
                <c:pt idx="99">
                  <c:v>5.9620000000000042</c:v>
                </c:pt>
                <c:pt idx="100">
                  <c:v>6.0000000000000044</c:v>
                </c:pt>
              </c:numCache>
            </c:numRef>
          </c:xVal>
          <c:yVal>
            <c:numRef>
              <c:f>Shimko!$W$13:$W$113</c:f>
              <c:numCache>
                <c:formatCode>0.000E+00</c:formatCode>
                <c:ptCount val="101"/>
                <c:pt idx="0">
                  <c:v>5.9787750502843164E-2</c:v>
                </c:pt>
                <c:pt idx="1">
                  <c:v>6.401862383788394E-2</c:v>
                </c:pt>
                <c:pt idx="2">
                  <c:v>6.8362940543939807E-2</c:v>
                </c:pt>
                <c:pt idx="3">
                  <c:v>7.2812501285194606E-2</c:v>
                </c:pt>
                <c:pt idx="4">
                  <c:v>7.7358765177549527E-2</c:v>
                </c:pt>
                <c:pt idx="5">
                  <c:v>8.1992903679820234E-2</c:v>
                </c:pt>
                <c:pt idx="6">
                  <c:v>8.6705838304968405E-2</c:v>
                </c:pt>
                <c:pt idx="7">
                  <c:v>9.1488295616680593E-2</c:v>
                </c:pt>
                <c:pt idx="8">
                  <c:v>9.6330848786562243E-2</c:v>
                </c:pt>
                <c:pt idx="9">
                  <c:v>0.10122396151223972</c:v>
                </c:pt>
                <c:pt idx="10">
                  <c:v>0.10615803234038075</c:v>
                </c:pt>
                <c:pt idx="11">
                  <c:v>0.11112342936108341</c:v>
                </c:pt>
                <c:pt idx="12">
                  <c:v>0.11611052816375604</c:v>
                </c:pt>
                <c:pt idx="13">
                  <c:v>0.12110974961635271</c:v>
                </c:pt>
                <c:pt idx="14">
                  <c:v>0.12611158938766906</c:v>
                </c:pt>
                <c:pt idx="15">
                  <c:v>0.13110665140443692</c:v>
                </c:pt>
                <c:pt idx="16">
                  <c:v>0.13608567134458729</c:v>
                </c:pt>
                <c:pt idx="17">
                  <c:v>0.14103955514417529</c:v>
                </c:pt>
                <c:pt idx="18">
                  <c:v>0.14595938187454449</c:v>
                </c:pt>
                <c:pt idx="19">
                  <c:v>0.15083644966482271</c:v>
                </c:pt>
                <c:pt idx="20">
                  <c:v>0.15566228049023428</c:v>
                </c:pt>
                <c:pt idx="21">
                  <c:v>0.16042864222266162</c:v>
                </c:pt>
                <c:pt idx="22">
                  <c:v>0.16512756949846738</c:v>
                </c:pt>
                <c:pt idx="23">
                  <c:v>0.16975137460224185</c:v>
                </c:pt>
                <c:pt idx="24">
                  <c:v>0.17429266196430779</c:v>
                </c:pt>
                <c:pt idx="25">
                  <c:v>0.17874433862605521</c:v>
                </c:pt>
                <c:pt idx="26">
                  <c:v>0.18309963021272699</c:v>
                </c:pt>
                <c:pt idx="27">
                  <c:v>0.18735208045580284</c:v>
                </c:pt>
                <c:pt idx="28">
                  <c:v>0.19149556828529085</c:v>
                </c:pt>
                <c:pt idx="29">
                  <c:v>0.19552430828615705</c:v>
                </c:pt>
                <c:pt idx="30">
                  <c:v>0.19943285860452578</c:v>
                </c:pt>
                <c:pt idx="31">
                  <c:v>0.20321612300803243</c:v>
                </c:pt>
                <c:pt idx="32">
                  <c:v>0.20686935498591724</c:v>
                </c:pt>
                <c:pt idx="33">
                  <c:v>0.21038816219240758</c:v>
                </c:pt>
                <c:pt idx="34">
                  <c:v>0.21376850309815273</c:v>
                </c:pt>
                <c:pt idx="35">
                  <c:v>0.21700668985413488</c:v>
                </c:pt>
                <c:pt idx="36">
                  <c:v>0.22009938402002396</c:v>
                </c:pt>
                <c:pt idx="37">
                  <c:v>0.22304360327326089</c:v>
                </c:pt>
                <c:pt idx="38">
                  <c:v>0.22583671092328358</c:v>
                </c:pt>
                <c:pt idx="39">
                  <c:v>0.22847641269761981</c:v>
                </c:pt>
                <c:pt idx="40">
                  <c:v>0.23096076138999749</c:v>
                </c:pt>
                <c:pt idx="41">
                  <c:v>0.23328814571548176</c:v>
                </c:pt>
                <c:pt idx="42">
                  <c:v>0.23545728463483362</c:v>
                </c:pt>
                <c:pt idx="43">
                  <c:v>0.23746722445714047</c:v>
                </c:pt>
                <c:pt idx="44">
                  <c:v>0.23931733423477264</c:v>
                </c:pt>
                <c:pt idx="45">
                  <c:v>0.24100729302413321</c:v>
                </c:pt>
                <c:pt idx="46">
                  <c:v>0.24253709184799971</c:v>
                </c:pt>
                <c:pt idx="47">
                  <c:v>0.24390701762906322</c:v>
                </c:pt>
                <c:pt idx="48">
                  <c:v>0.24511764687135096</c:v>
                </c:pt>
                <c:pt idx="49">
                  <c:v>0.246169842801893</c:v>
                </c:pt>
                <c:pt idx="50">
                  <c:v>0.24706473865193379</c:v>
                </c:pt>
                <c:pt idx="51">
                  <c:v>0.24780373267980765</c:v>
                </c:pt>
                <c:pt idx="52">
                  <c:v>0.24838847888790846</c:v>
                </c:pt>
                <c:pt idx="53">
                  <c:v>0.24882087368430766</c:v>
                </c:pt>
                <c:pt idx="54">
                  <c:v>0.24910305161355378</c:v>
                </c:pt>
                <c:pt idx="55">
                  <c:v>0.24923736612918251</c:v>
                </c:pt>
                <c:pt idx="56">
                  <c:v>0.24922638650966855</c:v>
                </c:pt>
                <c:pt idx="57">
                  <c:v>0.24907288399535155</c:v>
                </c:pt>
                <c:pt idx="58">
                  <c:v>0.24877981877865415</c:v>
                </c:pt>
                <c:pt idx="59">
                  <c:v>0.24835033267903303</c:v>
                </c:pt>
                <c:pt idx="60">
                  <c:v>0.24778773308086943</c:v>
                </c:pt>
                <c:pt idx="61">
                  <c:v>0.24709548425481487</c:v>
                </c:pt>
                <c:pt idx="62">
                  <c:v>0.24627719402341131</c:v>
                </c:pt>
                <c:pt idx="63">
                  <c:v>0.24533660539120558</c:v>
                </c:pt>
                <c:pt idx="64">
                  <c:v>0.24427757996499783</c:v>
                </c:pt>
                <c:pt idx="65">
                  <c:v>0.24310408756003879</c:v>
                </c:pt>
                <c:pt idx="66">
                  <c:v>0.24182019649492911</c:v>
                </c:pt>
                <c:pt idx="67">
                  <c:v>0.24043005911053217</c:v>
                </c:pt>
                <c:pt idx="68">
                  <c:v>0.23893790444378063</c:v>
                </c:pt>
                <c:pt idx="69">
                  <c:v>0.23717985965176555</c:v>
                </c:pt>
                <c:pt idx="70">
                  <c:v>0.23548968331980036</c:v>
                </c:pt>
                <c:pt idx="71">
                  <c:v>0.23370411672685124</c:v>
                </c:pt>
                <c:pt idx="72">
                  <c:v>0.2318277740295934</c:v>
                </c:pt>
                <c:pt idx="73">
                  <c:v>0.22986523387248586</c:v>
                </c:pt>
                <c:pt idx="74">
                  <c:v>0.22782104176639209</c:v>
                </c:pt>
                <c:pt idx="75">
                  <c:v>0.22569970160450648</c:v>
                </c:pt>
                <c:pt idx="76">
                  <c:v>0.22350567439138885</c:v>
                </c:pt>
                <c:pt idx="77">
                  <c:v>0.22124337569811922</c:v>
                </c:pt>
                <c:pt idx="78">
                  <c:v>0.21891716917788759</c:v>
                </c:pt>
                <c:pt idx="79">
                  <c:v>0.21653136240271428</c:v>
                </c:pt>
                <c:pt idx="80">
                  <c:v>0.21409020632595227</c:v>
                </c:pt>
                <c:pt idx="81">
                  <c:v>0.21159788925742251</c:v>
                </c:pt>
                <c:pt idx="82">
                  <c:v>0.20905853021617302</c:v>
                </c:pt>
                <c:pt idx="83">
                  <c:v>0.20647618329520787</c:v>
                </c:pt>
                <c:pt idx="84">
                  <c:v>0.20385482316223799</c:v>
                </c:pt>
                <c:pt idx="85">
                  <c:v>0.20119835317320317</c:v>
                </c:pt>
                <c:pt idx="86">
                  <c:v>0.19851059127825138</c:v>
                </c:pt>
                <c:pt idx="87">
                  <c:v>0.1957952759609182</c:v>
                </c:pt>
                <c:pt idx="88">
                  <c:v>0.19305605709036394</c:v>
                </c:pt>
                <c:pt idx="89">
                  <c:v>0.1902964982345359</c:v>
                </c:pt>
                <c:pt idx="90">
                  <c:v>0.18763094800698335</c:v>
                </c:pt>
                <c:pt idx="91">
                  <c:v>0.18483908366388771</c:v>
                </c:pt>
                <c:pt idx="92">
                  <c:v>0.18203953850936411</c:v>
                </c:pt>
                <c:pt idx="93">
                  <c:v>0.17923522146057771</c:v>
                </c:pt>
                <c:pt idx="94">
                  <c:v>0.17642896981060258</c:v>
                </c:pt>
                <c:pt idx="95">
                  <c:v>0.17362354186199791</c:v>
                </c:pt>
                <c:pt idx="96">
                  <c:v>0.17082161562737341</c:v>
                </c:pt>
                <c:pt idx="97">
                  <c:v>0.16802578155403125</c:v>
                </c:pt>
                <c:pt idx="98">
                  <c:v>0.16523854252082862</c:v>
                </c:pt>
                <c:pt idx="99">
                  <c:v>0.16246230905027642</c:v>
                </c:pt>
                <c:pt idx="100">
                  <c:v>0.15969940009686009</c:v>
                </c:pt>
              </c:numCache>
            </c:numRef>
          </c:yVal>
          <c:smooth val="0"/>
        </c:ser>
        <c:ser>
          <c:idx val="1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2.2000000000000002</c:v>
                </c:pt>
                <c:pt idx="1">
                  <c:v>2.238</c:v>
                </c:pt>
                <c:pt idx="2">
                  <c:v>2.2759999999999998</c:v>
                </c:pt>
                <c:pt idx="3">
                  <c:v>2.3139999999999996</c:v>
                </c:pt>
                <c:pt idx="4">
                  <c:v>2.3519999999999994</c:v>
                </c:pt>
                <c:pt idx="5">
                  <c:v>2.3899999999999992</c:v>
                </c:pt>
                <c:pt idx="6">
                  <c:v>2.427999999999999</c:v>
                </c:pt>
                <c:pt idx="7">
                  <c:v>2.4659999999999989</c:v>
                </c:pt>
                <c:pt idx="8">
                  <c:v>2.5039999999999987</c:v>
                </c:pt>
                <c:pt idx="9">
                  <c:v>2.5419999999999985</c:v>
                </c:pt>
                <c:pt idx="10">
                  <c:v>2.5799999999999983</c:v>
                </c:pt>
                <c:pt idx="11">
                  <c:v>2.6179999999999981</c:v>
                </c:pt>
                <c:pt idx="12">
                  <c:v>2.6559999999999979</c:v>
                </c:pt>
                <c:pt idx="13">
                  <c:v>2.6939999999999977</c:v>
                </c:pt>
                <c:pt idx="14">
                  <c:v>2.7319999999999975</c:v>
                </c:pt>
                <c:pt idx="15">
                  <c:v>2.7699999999999974</c:v>
                </c:pt>
                <c:pt idx="16">
                  <c:v>2.8079999999999972</c:v>
                </c:pt>
                <c:pt idx="17">
                  <c:v>2.845999999999997</c:v>
                </c:pt>
                <c:pt idx="18">
                  <c:v>2.8839999999999968</c:v>
                </c:pt>
                <c:pt idx="19">
                  <c:v>2.9219999999999966</c:v>
                </c:pt>
                <c:pt idx="20">
                  <c:v>2.9599999999999964</c:v>
                </c:pt>
                <c:pt idx="21">
                  <c:v>2.9979999999999962</c:v>
                </c:pt>
                <c:pt idx="22">
                  <c:v>3.035999999999996</c:v>
                </c:pt>
                <c:pt idx="23">
                  <c:v>3.0739999999999958</c:v>
                </c:pt>
                <c:pt idx="24">
                  <c:v>3.1119999999999957</c:v>
                </c:pt>
                <c:pt idx="25">
                  <c:v>3.1499999999999955</c:v>
                </c:pt>
                <c:pt idx="26">
                  <c:v>3.1879999999999953</c:v>
                </c:pt>
                <c:pt idx="27">
                  <c:v>3.2259999999999951</c:v>
                </c:pt>
                <c:pt idx="28">
                  <c:v>3.2639999999999949</c:v>
                </c:pt>
                <c:pt idx="29">
                  <c:v>3.3019999999999947</c:v>
                </c:pt>
                <c:pt idx="30">
                  <c:v>3.3399999999999945</c:v>
                </c:pt>
                <c:pt idx="31">
                  <c:v>3.3779999999999943</c:v>
                </c:pt>
                <c:pt idx="32">
                  <c:v>3.4159999999999942</c:v>
                </c:pt>
                <c:pt idx="33">
                  <c:v>3.453999999999994</c:v>
                </c:pt>
                <c:pt idx="34">
                  <c:v>3.4919999999999938</c:v>
                </c:pt>
                <c:pt idx="35">
                  <c:v>3.5299999999999936</c:v>
                </c:pt>
                <c:pt idx="36">
                  <c:v>3.5679999999999934</c:v>
                </c:pt>
                <c:pt idx="37">
                  <c:v>3.6059999999999932</c:v>
                </c:pt>
                <c:pt idx="38">
                  <c:v>3.643999999999993</c:v>
                </c:pt>
                <c:pt idx="39">
                  <c:v>3.6819999999999928</c:v>
                </c:pt>
                <c:pt idx="40">
                  <c:v>3.7199999999999926</c:v>
                </c:pt>
                <c:pt idx="41">
                  <c:v>3.7579999999999925</c:v>
                </c:pt>
                <c:pt idx="42">
                  <c:v>3.7959999999999923</c:v>
                </c:pt>
                <c:pt idx="43">
                  <c:v>3.8339999999999921</c:v>
                </c:pt>
                <c:pt idx="44">
                  <c:v>3.8719999999999919</c:v>
                </c:pt>
                <c:pt idx="45">
                  <c:v>3.9099999999999917</c:v>
                </c:pt>
                <c:pt idx="46">
                  <c:v>3.9479999999999915</c:v>
                </c:pt>
                <c:pt idx="47">
                  <c:v>3.9859999999999913</c:v>
                </c:pt>
                <c:pt idx="48">
                  <c:v>4.0239999999999911</c:v>
                </c:pt>
                <c:pt idx="49">
                  <c:v>4.0619999999999914</c:v>
                </c:pt>
                <c:pt idx="50">
                  <c:v>4.0999999999999917</c:v>
                </c:pt>
                <c:pt idx="51">
                  <c:v>4.1379999999999919</c:v>
                </c:pt>
                <c:pt idx="52">
                  <c:v>4.1759999999999922</c:v>
                </c:pt>
                <c:pt idx="53">
                  <c:v>4.2139999999999924</c:v>
                </c:pt>
                <c:pt idx="54">
                  <c:v>4.2519999999999927</c:v>
                </c:pt>
                <c:pt idx="55">
                  <c:v>4.2899999999999929</c:v>
                </c:pt>
                <c:pt idx="56">
                  <c:v>4.3279999999999932</c:v>
                </c:pt>
                <c:pt idx="57">
                  <c:v>4.3659999999999934</c:v>
                </c:pt>
                <c:pt idx="58">
                  <c:v>4.4039999999999937</c:v>
                </c:pt>
                <c:pt idx="59">
                  <c:v>4.441999999999994</c:v>
                </c:pt>
                <c:pt idx="60">
                  <c:v>4.4799999999999942</c:v>
                </c:pt>
                <c:pt idx="61">
                  <c:v>4.5179999999999945</c:v>
                </c:pt>
                <c:pt idx="62">
                  <c:v>4.5559999999999947</c:v>
                </c:pt>
                <c:pt idx="63">
                  <c:v>4.593999999999995</c:v>
                </c:pt>
                <c:pt idx="64">
                  <c:v>4.6319999999999952</c:v>
                </c:pt>
                <c:pt idx="65">
                  <c:v>4.6699999999999955</c:v>
                </c:pt>
                <c:pt idx="66">
                  <c:v>4.7079999999999957</c:v>
                </c:pt>
                <c:pt idx="67">
                  <c:v>4.745999999999996</c:v>
                </c:pt>
                <c:pt idx="68">
                  <c:v>4.7839999999999963</c:v>
                </c:pt>
                <c:pt idx="69">
                  <c:v>4.8219999999999965</c:v>
                </c:pt>
                <c:pt idx="70">
                  <c:v>4.8599999999999968</c:v>
                </c:pt>
                <c:pt idx="71">
                  <c:v>4.897999999999997</c:v>
                </c:pt>
                <c:pt idx="72">
                  <c:v>4.9359999999999973</c:v>
                </c:pt>
                <c:pt idx="73">
                  <c:v>4.9739999999999975</c:v>
                </c:pt>
                <c:pt idx="74">
                  <c:v>5.0119999999999978</c:v>
                </c:pt>
                <c:pt idx="75">
                  <c:v>5.049999999999998</c:v>
                </c:pt>
                <c:pt idx="76">
                  <c:v>5.0879999999999983</c:v>
                </c:pt>
                <c:pt idx="77">
                  <c:v>5.1259999999999986</c:v>
                </c:pt>
                <c:pt idx="78">
                  <c:v>5.1639999999999988</c:v>
                </c:pt>
                <c:pt idx="79">
                  <c:v>5.2019999999999991</c:v>
                </c:pt>
                <c:pt idx="80">
                  <c:v>5.2399999999999993</c:v>
                </c:pt>
                <c:pt idx="81">
                  <c:v>5.2779999999999996</c:v>
                </c:pt>
                <c:pt idx="82">
                  <c:v>5.3159999999999998</c:v>
                </c:pt>
                <c:pt idx="83">
                  <c:v>5.3540000000000001</c:v>
                </c:pt>
                <c:pt idx="84">
                  <c:v>5.3920000000000003</c:v>
                </c:pt>
                <c:pt idx="85">
                  <c:v>5.4300000000000006</c:v>
                </c:pt>
                <c:pt idx="86">
                  <c:v>5.4680000000000009</c:v>
                </c:pt>
                <c:pt idx="87">
                  <c:v>5.5060000000000011</c:v>
                </c:pt>
                <c:pt idx="88">
                  <c:v>5.5440000000000014</c:v>
                </c:pt>
                <c:pt idx="89">
                  <c:v>5.5820000000000016</c:v>
                </c:pt>
                <c:pt idx="90">
                  <c:v>5.6200000000000019</c:v>
                </c:pt>
                <c:pt idx="91">
                  <c:v>5.6580000000000021</c:v>
                </c:pt>
                <c:pt idx="92">
                  <c:v>5.6960000000000024</c:v>
                </c:pt>
                <c:pt idx="93">
                  <c:v>5.7340000000000027</c:v>
                </c:pt>
                <c:pt idx="94">
                  <c:v>5.7720000000000029</c:v>
                </c:pt>
                <c:pt idx="95">
                  <c:v>5.8100000000000032</c:v>
                </c:pt>
                <c:pt idx="96">
                  <c:v>5.8480000000000034</c:v>
                </c:pt>
                <c:pt idx="97">
                  <c:v>5.8860000000000037</c:v>
                </c:pt>
                <c:pt idx="98">
                  <c:v>5.9240000000000039</c:v>
                </c:pt>
                <c:pt idx="99">
                  <c:v>5.9620000000000042</c:v>
                </c:pt>
                <c:pt idx="100">
                  <c:v>6.0000000000000044</c:v>
                </c:pt>
              </c:numCache>
            </c:numRef>
          </c:xVal>
          <c:yVal>
            <c:numRef>
              <c:f>Shimko!$AE$13:$AE$113</c:f>
              <c:numCache>
                <c:formatCode>0.00000E+00</c:formatCode>
                <c:ptCount val="101"/>
                <c:pt idx="0">
                  <c:v>6.5262881689566093E-2</c:v>
                </c:pt>
                <c:pt idx="1">
                  <c:v>6.9846160709665872E-2</c:v>
                </c:pt>
                <c:pt idx="2">
                  <c:v>7.4528466791818931E-2</c:v>
                </c:pt>
                <c:pt idx="3">
                  <c:v>7.9297824987463905E-2</c:v>
                </c:pt>
                <c:pt idx="4">
                  <c:v>8.4141979323174923E-2</c:v>
                </c:pt>
                <c:pt idx="5">
                  <c:v>8.9048479791466517E-2</c:v>
                </c:pt>
                <c:pt idx="6">
                  <c:v>9.4004765853767894E-2</c:v>
                </c:pt>
                <c:pt idx="7">
                  <c:v>9.8998245886288402E-2</c:v>
                </c:pt>
                <c:pt idx="8">
                  <c:v>0.10401637210896887</c:v>
                </c:pt>
                <c:pt idx="9">
                  <c:v>0.10904671064014</c:v>
                </c:pt>
                <c:pt idx="10">
                  <c:v>0.11407700641417101</c:v>
                </c:pt>
                <c:pt idx="11">
                  <c:v>0.11909524278586192</c:v>
                </c:pt>
                <c:pt idx="12">
                  <c:v>0.12408969572339507</c:v>
                </c:pt>
                <c:pt idx="13">
                  <c:v>0.12904898256130362</c:v>
                </c:pt>
                <c:pt idx="14">
                  <c:v>0.1339621053462734</c:v>
                </c:pt>
                <c:pt idx="15">
                  <c:v>0.13881848886193107</c:v>
                </c:pt>
                <c:pt idx="16">
                  <c:v>0.14360801346445351</c:v>
                </c:pt>
                <c:pt idx="17">
                  <c:v>0.14832104289927653</c:v>
                </c:pt>
                <c:pt idx="18">
                  <c:v>0.15294844730088694</c:v>
                </c:pt>
                <c:pt idx="19">
                  <c:v>0.15748162160315204</c:v>
                </c:pt>
                <c:pt idx="20">
                  <c:v>0.16191249960740536</c:v>
                </c:pt>
                <c:pt idx="21">
                  <c:v>0.16623356397011529</c:v>
                </c:pt>
                <c:pt idx="22">
                  <c:v>0.17043785238193143</c:v>
                </c:pt>
                <c:pt idx="23">
                  <c:v>0.1745189602157565</c:v>
                </c:pt>
                <c:pt idx="24">
                  <c:v>0.17847103992371932</c:v>
                </c:pt>
                <c:pt idx="25">
                  <c:v>0.1822887974620078</c:v>
                </c:pt>
                <c:pt idx="26">
                  <c:v>0.18596748601888866</c:v>
                </c:pt>
                <c:pt idx="27">
                  <c:v>0.18950289731532011</c:v>
                </c:pt>
                <c:pt idx="28">
                  <c:v>0.19289135073971958</c:v>
                </c:pt>
                <c:pt idx="29">
                  <c:v>0.1961296805690442</c:v>
                </c:pt>
                <c:pt idx="30">
                  <c:v>0.19921522151767784</c:v>
                </c:pt>
                <c:pt idx="31">
                  <c:v>0.20214579284399309</c:v>
                </c:pt>
                <c:pt idx="32">
                  <c:v>0.20491968123210999</c:v>
                </c:pt>
                <c:pt idx="33">
                  <c:v>0.20753562265354136</c:v>
                </c:pt>
                <c:pt idx="34">
                  <c:v>0.20999278340029015</c:v>
                </c:pt>
                <c:pt idx="35">
                  <c:v>0.2122907404677154</c:v>
                </c:pt>
                <c:pt idx="36">
                  <c:v>0.21442946145226777</c:v>
                </c:pt>
                <c:pt idx="37">
                  <c:v>0.21640928411612639</c:v>
                </c:pt>
                <c:pt idx="38">
                  <c:v>0.21823089575796709</c:v>
                </c:pt>
                <c:pt idx="39">
                  <c:v>0.21989531251662936</c:v>
                </c:pt>
                <c:pt idx="40">
                  <c:v>0.22140385872241297</c:v>
                </c:pt>
                <c:pt idx="41">
                  <c:v>0.22275814639916774</c:v>
                </c:pt>
                <c:pt idx="42">
                  <c:v>0.22396005500929766</c:v>
                </c:pt>
                <c:pt idx="43">
                  <c:v>0.22501171152330393</c:v>
                </c:pt>
                <c:pt idx="44">
                  <c:v>0.22591547088557032</c:v>
                </c:pt>
                <c:pt idx="45">
                  <c:v>0.22667389693876352</c:v>
                </c:pt>
                <c:pt idx="46">
                  <c:v>0.22728974386047018</c:v>
                </c:pt>
                <c:pt idx="47">
                  <c:v>0.22776593815754764</c:v>
                </c:pt>
                <c:pt idx="48">
                  <c:v>0.22810556125609011</c:v>
                </c:pt>
                <c:pt idx="49">
                  <c:v>0.22831183271792166</c:v>
                </c:pt>
                <c:pt idx="50">
                  <c:v>0.22838809410808308</c:v>
                </c:pt>
                <c:pt idx="51">
                  <c:v>0.22833779353188885</c:v>
                </c:pt>
                <c:pt idx="52">
                  <c:v>0.22816447085474389</c:v>
                </c:pt>
                <c:pt idx="53">
                  <c:v>0.22787174361303505</c:v>
                </c:pt>
                <c:pt idx="54">
                  <c:v>0.22746329361999887</c:v>
                </c:pt>
                <c:pt idx="55">
                  <c:v>0.22694285426651073</c:v>
                </c:pt>
                <c:pt idx="56">
                  <c:v>0.22631419851320431</c:v>
                </c:pt>
                <c:pt idx="57">
                  <c:v>0.22558112756719226</c:v>
                </c:pt>
                <c:pt idx="58">
                  <c:v>0.22474746023389724</c:v>
                </c:pt>
                <c:pt idx="59">
                  <c:v>0.22381702293208369</c:v>
                </c:pt>
                <c:pt idx="60">
                  <c:v>0.22279364035809268</c:v>
                </c:pt>
                <c:pt idx="61">
                  <c:v>0.22168112678348634</c:v>
                </c:pt>
                <c:pt idx="62">
                  <c:v>0.22048327796879535</c:v>
                </c:pt>
                <c:pt idx="63">
                  <c:v>0.21920386367480094</c:v>
                </c:pt>
                <c:pt idx="64">
                  <c:v>0.21784662075175473</c:v>
                </c:pt>
                <c:pt idx="65">
                  <c:v>0.21641524678612506</c:v>
                </c:pt>
                <c:pt idx="66">
                  <c:v>0.21491339428383563</c:v>
                </c:pt>
                <c:pt idx="67">
                  <c:v>0.21334466536851632</c:v>
                </c:pt>
                <c:pt idx="68">
                  <c:v>0.21171260697299554</c:v>
                </c:pt>
                <c:pt idx="69">
                  <c:v>0.21002070650211815</c:v>
                </c:pt>
                <c:pt idx="70">
                  <c:v>0.20827238794494843</c:v>
                </c:pt>
                <c:pt idx="71">
                  <c:v>0.20647100841451319</c:v>
                </c:pt>
                <c:pt idx="72">
                  <c:v>0.20461985509342573</c:v>
                </c:pt>
                <c:pt idx="73">
                  <c:v>0.20272214256401208</c:v>
                </c:pt>
                <c:pt idx="74">
                  <c:v>0.20078101050191174</c:v>
                </c:pt>
                <c:pt idx="75">
                  <c:v>0.19879952171254384</c:v>
                </c:pt>
                <c:pt idx="76">
                  <c:v>0.19678066049030304</c:v>
                </c:pt>
                <c:pt idx="77">
                  <c:v>0.19472733128086997</c:v>
                </c:pt>
                <c:pt idx="78">
                  <c:v>0.19264235762758072</c:v>
                </c:pt>
                <c:pt idx="79">
                  <c:v>0.19052848138339049</c:v>
                </c:pt>
                <c:pt idx="80">
                  <c:v>0.18838836217058308</c:v>
                </c:pt>
                <c:pt idx="81">
                  <c:v>0.18622457707101309</c:v>
                </c:pt>
                <c:pt idx="82">
                  <c:v>0.18403962053031553</c:v>
                </c:pt>
                <c:pt idx="83">
                  <c:v>0.18183590446017805</c:v>
                </c:pt>
                <c:pt idx="84">
                  <c:v>0.17961575852342987</c:v>
                </c:pt>
                <c:pt idx="85">
                  <c:v>0.17738143058736797</c:v>
                </c:pt>
                <c:pt idx="86">
                  <c:v>0.1751350873313996</c:v>
                </c:pt>
                <c:pt idx="87">
                  <c:v>0.17287881499573693</c:v>
                </c:pt>
                <c:pt idx="88">
                  <c:v>0.17061462025852522</c:v>
                </c:pt>
                <c:pt idx="89">
                  <c:v>0.16834443122942386</c:v>
                </c:pt>
                <c:pt idx="90">
                  <c:v>0.16607009854828297</c:v>
                </c:pt>
                <c:pt idx="91">
                  <c:v>0.16379339657816963</c:v>
                </c:pt>
                <c:pt idx="92">
                  <c:v>0.1615160246825918</c:v>
                </c:pt>
                <c:pt idx="93">
                  <c:v>0.15923960857734804</c:v>
                </c:pt>
                <c:pt idx="94">
                  <c:v>0.15696570174799093</c:v>
                </c:pt>
                <c:pt idx="95">
                  <c:v>0.15469578692443656</c:v>
                </c:pt>
                <c:pt idx="96">
                  <c:v>0.15243127760477629</c:v>
                </c:pt>
                <c:pt idx="97">
                  <c:v>0.15017351962085301</c:v>
                </c:pt>
                <c:pt idx="98">
                  <c:v>0.14792379273864903</c:v>
                </c:pt>
                <c:pt idx="99">
                  <c:v>0.14568331228700229</c:v>
                </c:pt>
                <c:pt idx="100">
                  <c:v>0.14345323080861097</c:v>
                </c:pt>
              </c:numCache>
            </c:numRef>
          </c:yVal>
          <c:smooth val="1"/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2.2000000000000002</c:v>
                </c:pt>
                <c:pt idx="1">
                  <c:v>2.1620000000000004</c:v>
                </c:pt>
                <c:pt idx="2">
                  <c:v>2.1240000000000006</c:v>
                </c:pt>
                <c:pt idx="3">
                  <c:v>2.0860000000000007</c:v>
                </c:pt>
                <c:pt idx="4">
                  <c:v>2.0480000000000009</c:v>
                </c:pt>
                <c:pt idx="5">
                  <c:v>2.0100000000000011</c:v>
                </c:pt>
                <c:pt idx="6">
                  <c:v>1.9720000000000011</c:v>
                </c:pt>
                <c:pt idx="7">
                  <c:v>1.9340000000000011</c:v>
                </c:pt>
                <c:pt idx="8">
                  <c:v>1.896000000000001</c:v>
                </c:pt>
                <c:pt idx="9">
                  <c:v>1.858000000000001</c:v>
                </c:pt>
                <c:pt idx="10">
                  <c:v>1.820000000000001</c:v>
                </c:pt>
                <c:pt idx="11">
                  <c:v>1.7820000000000009</c:v>
                </c:pt>
                <c:pt idx="12">
                  <c:v>1.7440000000000009</c:v>
                </c:pt>
                <c:pt idx="13">
                  <c:v>1.7060000000000008</c:v>
                </c:pt>
                <c:pt idx="14">
                  <c:v>1.6680000000000008</c:v>
                </c:pt>
                <c:pt idx="15">
                  <c:v>1.6300000000000008</c:v>
                </c:pt>
                <c:pt idx="16">
                  <c:v>1.5920000000000007</c:v>
                </c:pt>
                <c:pt idx="17">
                  <c:v>1.5540000000000007</c:v>
                </c:pt>
                <c:pt idx="18">
                  <c:v>1.5160000000000007</c:v>
                </c:pt>
                <c:pt idx="19">
                  <c:v>1.4780000000000006</c:v>
                </c:pt>
                <c:pt idx="20">
                  <c:v>1.4400000000000006</c:v>
                </c:pt>
                <c:pt idx="21">
                  <c:v>1.4020000000000006</c:v>
                </c:pt>
                <c:pt idx="22">
                  <c:v>1.3640000000000005</c:v>
                </c:pt>
                <c:pt idx="23">
                  <c:v>1.3260000000000005</c:v>
                </c:pt>
                <c:pt idx="24">
                  <c:v>1.2880000000000005</c:v>
                </c:pt>
                <c:pt idx="25">
                  <c:v>1.2500000000000004</c:v>
                </c:pt>
              </c:numCache>
            </c:numRef>
          </c:xVal>
          <c:yVal>
            <c:numRef>
              <c:f>Shimko!$W$114:$W$139</c:f>
              <c:numCache>
                <c:formatCode>0.000E+00</c:formatCode>
                <c:ptCount val="26"/>
                <c:pt idx="0">
                  <c:v>5.9787750502843136E-2</c:v>
                </c:pt>
                <c:pt idx="1">
                  <c:v>5.3116767985786309E-2</c:v>
                </c:pt>
                <c:pt idx="2">
                  <c:v>4.6946403833682142E-2</c:v>
                </c:pt>
                <c:pt idx="3">
                  <c:v>4.1268503160298509E-2</c:v>
                </c:pt>
                <c:pt idx="4">
                  <c:v>3.6071857935158623E-2</c:v>
                </c:pt>
                <c:pt idx="5">
                  <c:v>3.1342392353373667E-2</c:v>
                </c:pt>
                <c:pt idx="6">
                  <c:v>2.7063386730364132E-2</c:v>
                </c:pt>
                <c:pt idx="7">
                  <c:v>2.3215737064300749E-2</c:v>
                </c:pt>
                <c:pt idx="8">
                  <c:v>1.9778246487558573E-2</c:v>
                </c:pt>
                <c:pt idx="9">
                  <c:v>1.6727943932073563E-2</c:v>
                </c:pt>
                <c:pt idx="10">
                  <c:v>1.4040424493618824E-2</c:v>
                </c:pt>
                <c:pt idx="11">
                  <c:v>1.1690205230391038E-2</c:v>
                </c:pt>
                <c:pt idx="12">
                  <c:v>9.6510895068173883E-3</c:v>
                </c:pt>
                <c:pt idx="13">
                  <c:v>7.8965325288725581E-3</c:v>
                </c:pt>
                <c:pt idx="14">
                  <c:v>6.4000004452455933E-3</c:v>
                </c:pt>
                <c:pt idx="15">
                  <c:v>5.1353153384202871E-3</c:v>
                </c:pt>
                <c:pt idx="16">
                  <c:v>4.0769786241992992E-3</c:v>
                </c:pt>
                <c:pt idx="17">
                  <c:v>3.2004658323635123E-3</c:v>
                </c:pt>
                <c:pt idx="18">
                  <c:v>2.482486459695254E-3</c:v>
                </c:pt>
                <c:pt idx="19">
                  <c:v>1.9012035619914919E-3</c:v>
                </c:pt>
                <c:pt idx="20">
                  <c:v>1.4364089627057132E-3</c:v>
                </c:pt>
                <c:pt idx="21">
                  <c:v>1.0696513666072715E-3</c:v>
                </c:pt>
                <c:pt idx="22">
                  <c:v>7.8431622676048264E-4</c:v>
                </c:pt>
                <c:pt idx="23">
                  <c:v>5.6565785791574789E-4</c:v>
                </c:pt>
                <c:pt idx="24">
                  <c:v>4.0078594327780452E-4</c:v>
                </c:pt>
                <c:pt idx="25">
                  <c:v>2.7861016077855859E-4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6.0000000000000044</c:v>
                </c:pt>
                <c:pt idx="1">
                  <c:v>6.3800000000000043</c:v>
                </c:pt>
                <c:pt idx="2">
                  <c:v>6.7600000000000042</c:v>
                </c:pt>
                <c:pt idx="3">
                  <c:v>7.1400000000000041</c:v>
                </c:pt>
                <c:pt idx="4">
                  <c:v>7.520000000000004</c:v>
                </c:pt>
                <c:pt idx="5">
                  <c:v>7.9000000000000039</c:v>
                </c:pt>
                <c:pt idx="6">
                  <c:v>8.2800000000000047</c:v>
                </c:pt>
                <c:pt idx="7">
                  <c:v>8.6600000000000055</c:v>
                </c:pt>
                <c:pt idx="8">
                  <c:v>9.0400000000000063</c:v>
                </c:pt>
                <c:pt idx="9">
                  <c:v>9.420000000000007</c:v>
                </c:pt>
                <c:pt idx="10">
                  <c:v>9.8000000000000078</c:v>
                </c:pt>
                <c:pt idx="11">
                  <c:v>10.180000000000009</c:v>
                </c:pt>
                <c:pt idx="12">
                  <c:v>10.560000000000009</c:v>
                </c:pt>
                <c:pt idx="13">
                  <c:v>10.94000000000001</c:v>
                </c:pt>
                <c:pt idx="14">
                  <c:v>11.320000000000011</c:v>
                </c:pt>
                <c:pt idx="15">
                  <c:v>11.700000000000012</c:v>
                </c:pt>
                <c:pt idx="16">
                  <c:v>12.080000000000013</c:v>
                </c:pt>
                <c:pt idx="17">
                  <c:v>12.460000000000013</c:v>
                </c:pt>
                <c:pt idx="18">
                  <c:v>12.840000000000014</c:v>
                </c:pt>
                <c:pt idx="19">
                  <c:v>13.220000000000015</c:v>
                </c:pt>
                <c:pt idx="20">
                  <c:v>13.600000000000016</c:v>
                </c:pt>
                <c:pt idx="21">
                  <c:v>13.980000000000016</c:v>
                </c:pt>
                <c:pt idx="22">
                  <c:v>14.360000000000017</c:v>
                </c:pt>
                <c:pt idx="23">
                  <c:v>14.740000000000018</c:v>
                </c:pt>
                <c:pt idx="24">
                  <c:v>15.120000000000019</c:v>
                </c:pt>
              </c:numCache>
            </c:numRef>
          </c:xVal>
          <c:yVal>
            <c:numRef>
              <c:f>Shimko!$W$140:$W$164</c:f>
              <c:numCache>
                <c:formatCode>0.000E+00</c:formatCode>
                <c:ptCount val="25"/>
                <c:pt idx="0">
                  <c:v>0.15969940009686004</c:v>
                </c:pt>
                <c:pt idx="1">
                  <c:v>0.12989503999649582</c:v>
                </c:pt>
                <c:pt idx="2">
                  <c:v>0.10363948334709429</c:v>
                </c:pt>
                <c:pt idx="3">
                  <c:v>8.1421091899059495E-2</c:v>
                </c:pt>
                <c:pt idx="4">
                  <c:v>6.3173610195123089E-2</c:v>
                </c:pt>
                <c:pt idx="5">
                  <c:v>4.8526310958802492E-2</c:v>
                </c:pt>
                <c:pt idx="6">
                  <c:v>3.6976055416716572E-2</c:v>
                </c:pt>
                <c:pt idx="7">
                  <c:v>2.7994285048336894E-2</c:v>
                </c:pt>
                <c:pt idx="8">
                  <c:v>2.1086474128147809E-2</c:v>
                </c:pt>
                <c:pt idx="9">
                  <c:v>1.5819962733234418E-2</c:v>
                </c:pt>
                <c:pt idx="10">
                  <c:v>1.1832450200670671E-2</c:v>
                </c:pt>
                <c:pt idx="11">
                  <c:v>8.8297220975939259E-3</c:v>
                </c:pt>
                <c:pt idx="12">
                  <c:v>6.5781557819348116E-3</c:v>
                </c:pt>
                <c:pt idx="13">
                  <c:v>4.895345157309181E-3</c:v>
                </c:pt>
                <c:pt idx="14">
                  <c:v>3.6407004924860044E-3</c:v>
                </c:pt>
                <c:pt idx="15">
                  <c:v>2.7069405849774685E-3</c:v>
                </c:pt>
                <c:pt idx="16">
                  <c:v>2.0128365082448503E-3</c:v>
                </c:pt>
                <c:pt idx="17">
                  <c:v>1.4972572589399989E-3</c:v>
                </c:pt>
                <c:pt idx="18">
                  <c:v>1.1144132607219233E-3</c:v>
                </c:pt>
                <c:pt idx="19">
                  <c:v>8.3013018746889511E-4</c:v>
                </c:pt>
                <c:pt idx="20">
                  <c:v>6.1897217922256926E-4</c:v>
                </c:pt>
                <c:pt idx="21">
                  <c:v>4.6204533308405574E-4</c:v>
                </c:pt>
                <c:pt idx="22">
                  <c:v>3.4533485587066534E-4</c:v>
                </c:pt>
                <c:pt idx="23">
                  <c:v>2.5845449984266544E-4</c:v>
                </c:pt>
                <c:pt idx="24">
                  <c:v>1.9371084542029021E-4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2.2000000000000002</c:v>
                </c:pt>
                <c:pt idx="1">
                  <c:v>2.1620000000000004</c:v>
                </c:pt>
                <c:pt idx="2">
                  <c:v>2.1240000000000006</c:v>
                </c:pt>
                <c:pt idx="3">
                  <c:v>2.0860000000000007</c:v>
                </c:pt>
                <c:pt idx="4">
                  <c:v>2.0480000000000009</c:v>
                </c:pt>
                <c:pt idx="5">
                  <c:v>2.0100000000000011</c:v>
                </c:pt>
                <c:pt idx="6">
                  <c:v>1.9720000000000011</c:v>
                </c:pt>
                <c:pt idx="7">
                  <c:v>1.9340000000000011</c:v>
                </c:pt>
                <c:pt idx="8">
                  <c:v>1.896000000000001</c:v>
                </c:pt>
                <c:pt idx="9">
                  <c:v>1.858000000000001</c:v>
                </c:pt>
                <c:pt idx="10">
                  <c:v>1.820000000000001</c:v>
                </c:pt>
                <c:pt idx="11">
                  <c:v>1.7820000000000009</c:v>
                </c:pt>
                <c:pt idx="12">
                  <c:v>1.7440000000000009</c:v>
                </c:pt>
                <c:pt idx="13">
                  <c:v>1.7060000000000008</c:v>
                </c:pt>
                <c:pt idx="14">
                  <c:v>1.6680000000000008</c:v>
                </c:pt>
                <c:pt idx="15">
                  <c:v>1.6300000000000008</c:v>
                </c:pt>
                <c:pt idx="16">
                  <c:v>1.5920000000000007</c:v>
                </c:pt>
                <c:pt idx="17">
                  <c:v>1.5540000000000007</c:v>
                </c:pt>
                <c:pt idx="18">
                  <c:v>1.5160000000000007</c:v>
                </c:pt>
                <c:pt idx="19">
                  <c:v>1.4780000000000006</c:v>
                </c:pt>
                <c:pt idx="20">
                  <c:v>1.4400000000000006</c:v>
                </c:pt>
                <c:pt idx="21">
                  <c:v>1.4020000000000006</c:v>
                </c:pt>
                <c:pt idx="22">
                  <c:v>1.3640000000000005</c:v>
                </c:pt>
                <c:pt idx="23">
                  <c:v>1.3260000000000005</c:v>
                </c:pt>
                <c:pt idx="24">
                  <c:v>1.2880000000000005</c:v>
                </c:pt>
                <c:pt idx="25">
                  <c:v>1.2500000000000004</c:v>
                </c:pt>
              </c:numCache>
            </c:numRef>
          </c:xVal>
          <c:yVal>
            <c:numRef>
              <c:f>Shimko!$AE$114:$AE$139</c:f>
              <c:numCache>
                <c:formatCode>0.00000E+00</c:formatCode>
                <c:ptCount val="26"/>
                <c:pt idx="0">
                  <c:v>6.5262881689566093E-2</c:v>
                </c:pt>
                <c:pt idx="1">
                  <c:v>6.0790233861370044E-2</c:v>
                </c:pt>
                <c:pt idx="2">
                  <c:v>5.6439358744280389E-2</c:v>
                </c:pt>
                <c:pt idx="3">
                  <c:v>5.2220842384820901E-2</c:v>
                </c:pt>
                <c:pt idx="4">
                  <c:v>4.8144622476412123E-2</c:v>
                </c:pt>
                <c:pt idx="5">
                  <c:v>4.4219896633926128E-2</c:v>
                </c:pt>
                <c:pt idx="6">
                  <c:v>4.0455033113025625E-2</c:v>
                </c:pt>
                <c:pt idx="7">
                  <c:v>3.6857485371559202E-2</c:v>
                </c:pt>
                <c:pt idx="8">
                  <c:v>3.3433711964526353E-2</c:v>
                </c:pt>
                <c:pt idx="9">
                  <c:v>3.0189103340375018E-2</c:v>
                </c:pt>
                <c:pt idx="10">
                  <c:v>2.7127917159416003E-2</c:v>
                </c:pt>
                <c:pt idx="11">
                  <c:v>2.4253223779308011E-2</c:v>
                </c:pt>
                <c:pt idx="12">
                  <c:v>2.1566863541980879E-2</c:v>
                </c:pt>
                <c:pt idx="13">
                  <c:v>1.9069417445012594E-2</c:v>
                </c:pt>
                <c:pt idx="14">
                  <c:v>1.6760192682443564E-2</c:v>
                </c:pt>
                <c:pt idx="15">
                  <c:v>1.4637224389765608E-2</c:v>
                </c:pt>
                <c:pt idx="16">
                  <c:v>1.2697294720540925E-2</c:v>
                </c:pt>
                <c:pt idx="17">
                  <c:v>1.0935970114089333E-2</c:v>
                </c:pt>
                <c:pt idx="18">
                  <c:v>9.3476572828141494E-3</c:v>
                </c:pt>
                <c:pt idx="19">
                  <c:v>7.9256780540219469E-3</c:v>
                </c:pt>
                <c:pt idx="20">
                  <c:v>6.6623627472136302E-3</c:v>
                </c:pt>
                <c:pt idx="21">
                  <c:v>5.5491612597446767E-3</c:v>
                </c:pt>
                <c:pt idx="22">
                  <c:v>4.576770481282931E-3</c:v>
                </c:pt>
                <c:pt idx="23">
                  <c:v>3.735276074808658E-3</c:v>
                </c:pt>
                <c:pt idx="24">
                  <c:v>3.0143060679361871E-3</c:v>
                </c:pt>
                <c:pt idx="25">
                  <c:v>2.4031931169609558E-3</c:v>
                </c:pt>
              </c:numCache>
            </c:numRef>
          </c:yVal>
          <c:smooth val="0"/>
        </c:ser>
        <c:ser>
          <c:idx val="5"/>
          <c:order val="5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6.0000000000000044</c:v>
                </c:pt>
                <c:pt idx="1">
                  <c:v>6.3800000000000043</c:v>
                </c:pt>
                <c:pt idx="2">
                  <c:v>6.7600000000000042</c:v>
                </c:pt>
                <c:pt idx="3">
                  <c:v>7.1400000000000041</c:v>
                </c:pt>
                <c:pt idx="4">
                  <c:v>7.520000000000004</c:v>
                </c:pt>
                <c:pt idx="5">
                  <c:v>7.9000000000000039</c:v>
                </c:pt>
                <c:pt idx="6">
                  <c:v>8.2800000000000047</c:v>
                </c:pt>
                <c:pt idx="7">
                  <c:v>8.6600000000000055</c:v>
                </c:pt>
                <c:pt idx="8">
                  <c:v>9.0400000000000063</c:v>
                </c:pt>
                <c:pt idx="9">
                  <c:v>9.420000000000007</c:v>
                </c:pt>
                <c:pt idx="10">
                  <c:v>9.8000000000000078</c:v>
                </c:pt>
                <c:pt idx="11">
                  <c:v>10.180000000000009</c:v>
                </c:pt>
                <c:pt idx="12">
                  <c:v>10.560000000000009</c:v>
                </c:pt>
                <c:pt idx="13">
                  <c:v>10.94000000000001</c:v>
                </c:pt>
                <c:pt idx="14">
                  <c:v>11.320000000000011</c:v>
                </c:pt>
                <c:pt idx="15">
                  <c:v>11.700000000000012</c:v>
                </c:pt>
                <c:pt idx="16">
                  <c:v>12.080000000000013</c:v>
                </c:pt>
                <c:pt idx="17">
                  <c:v>12.460000000000013</c:v>
                </c:pt>
                <c:pt idx="18">
                  <c:v>12.840000000000014</c:v>
                </c:pt>
                <c:pt idx="19">
                  <c:v>13.220000000000015</c:v>
                </c:pt>
                <c:pt idx="20">
                  <c:v>13.600000000000016</c:v>
                </c:pt>
                <c:pt idx="21">
                  <c:v>13.980000000000016</c:v>
                </c:pt>
                <c:pt idx="22">
                  <c:v>14.360000000000017</c:v>
                </c:pt>
                <c:pt idx="23">
                  <c:v>14.740000000000018</c:v>
                </c:pt>
                <c:pt idx="24">
                  <c:v>15.120000000000019</c:v>
                </c:pt>
              </c:numCache>
            </c:numRef>
          </c:xVal>
          <c:yVal>
            <c:numRef>
              <c:f>Shimko!$AE$140:$AE$164</c:f>
              <c:numCache>
                <c:formatCode>0.00000E+00</c:formatCode>
                <c:ptCount val="25"/>
                <c:pt idx="0">
                  <c:v>0.14345323080861097</c:v>
                </c:pt>
                <c:pt idx="1">
                  <c:v>0.12193638460115615</c:v>
                </c:pt>
                <c:pt idx="2">
                  <c:v>0.10232534322811199</c:v>
                </c:pt>
                <c:pt idx="3">
                  <c:v>8.4993152218550416E-2</c:v>
                </c:pt>
                <c:pt idx="4">
                  <c:v>7.002167025874563E-2</c:v>
                </c:pt>
                <c:pt idx="5">
                  <c:v>5.7312734066891531E-2</c:v>
                </c:pt>
                <c:pt idx="6">
                  <c:v>4.6668755974788013E-2</c:v>
                </c:pt>
                <c:pt idx="7">
                  <c:v>3.7847480500077718E-2</c:v>
                </c:pt>
                <c:pt idx="8">
                  <c:v>3.059690214850937E-2</c:v>
                </c:pt>
                <c:pt idx="9">
                  <c:v>2.4675927417808385E-2</c:v>
                </c:pt>
                <c:pt idx="10">
                  <c:v>1.986532494109702E-2</c:v>
                </c:pt>
                <c:pt idx="11">
                  <c:v>1.5972382769906614E-2</c:v>
                </c:pt>
                <c:pt idx="12">
                  <c:v>1.2831707389811571E-2</c:v>
                </c:pt>
                <c:pt idx="13">
                  <c:v>1.0303822692513247E-2</c:v>
                </c:pt>
                <c:pt idx="14">
                  <c:v>8.2726530204082476E-3</c:v>
                </c:pt>
                <c:pt idx="15">
                  <c:v>6.6425690497678826E-3</c:v>
                </c:pt>
                <c:pt idx="16">
                  <c:v>5.3353996132383119E-3</c:v>
                </c:pt>
                <c:pt idx="17">
                  <c:v>4.2876313858443834E-3</c:v>
                </c:pt>
                <c:pt idx="18">
                  <c:v>3.4479033879172729E-3</c:v>
                </c:pt>
                <c:pt idx="19">
                  <c:v>2.7748332190689643E-3</c:v>
                </c:pt>
                <c:pt idx="20">
                  <c:v>2.2351715227488305E-3</c:v>
                </c:pt>
                <c:pt idx="21">
                  <c:v>1.8022597382729095E-3</c:v>
                </c:pt>
                <c:pt idx="22">
                  <c:v>1.4547565129134435E-3</c:v>
                </c:pt>
                <c:pt idx="23">
                  <c:v>1.1755954552199618E-3</c:v>
                </c:pt>
                <c:pt idx="24">
                  <c:v>9.5113814049023969E-4</c:v>
                </c:pt>
              </c:numCache>
            </c:numRef>
          </c:yVal>
          <c:smooth val="0"/>
        </c:ser>
        <c:ser>
          <c:idx val="6"/>
          <c:order val="6"/>
          <c:tx>
            <c:v>ENA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2.2000000000000002</c:v>
                </c:pt>
                <c:pt idx="1">
                  <c:v>2.238</c:v>
                </c:pt>
                <c:pt idx="2">
                  <c:v>2.2759999999999998</c:v>
                </c:pt>
                <c:pt idx="3">
                  <c:v>2.3139999999999996</c:v>
                </c:pt>
                <c:pt idx="4">
                  <c:v>2.3519999999999994</c:v>
                </c:pt>
                <c:pt idx="5">
                  <c:v>2.3899999999999992</c:v>
                </c:pt>
                <c:pt idx="6">
                  <c:v>2.427999999999999</c:v>
                </c:pt>
                <c:pt idx="7">
                  <c:v>2.4659999999999989</c:v>
                </c:pt>
                <c:pt idx="8">
                  <c:v>2.5039999999999987</c:v>
                </c:pt>
                <c:pt idx="9">
                  <c:v>2.5419999999999985</c:v>
                </c:pt>
                <c:pt idx="10">
                  <c:v>2.5799999999999983</c:v>
                </c:pt>
                <c:pt idx="11">
                  <c:v>2.6179999999999981</c:v>
                </c:pt>
                <c:pt idx="12">
                  <c:v>2.6559999999999979</c:v>
                </c:pt>
                <c:pt idx="13">
                  <c:v>2.6939999999999977</c:v>
                </c:pt>
                <c:pt idx="14">
                  <c:v>2.7319999999999975</c:v>
                </c:pt>
                <c:pt idx="15">
                  <c:v>2.7699999999999974</c:v>
                </c:pt>
                <c:pt idx="16">
                  <c:v>2.8079999999999972</c:v>
                </c:pt>
                <c:pt idx="17">
                  <c:v>2.845999999999997</c:v>
                </c:pt>
                <c:pt idx="18">
                  <c:v>2.8839999999999968</c:v>
                </c:pt>
                <c:pt idx="19">
                  <c:v>2.9219999999999966</c:v>
                </c:pt>
                <c:pt idx="20">
                  <c:v>2.9599999999999964</c:v>
                </c:pt>
                <c:pt idx="21">
                  <c:v>2.9979999999999962</c:v>
                </c:pt>
                <c:pt idx="22">
                  <c:v>3.035999999999996</c:v>
                </c:pt>
                <c:pt idx="23">
                  <c:v>3.0739999999999958</c:v>
                </c:pt>
                <c:pt idx="24">
                  <c:v>3.1119999999999957</c:v>
                </c:pt>
                <c:pt idx="25">
                  <c:v>3.1499999999999955</c:v>
                </c:pt>
                <c:pt idx="26">
                  <c:v>3.1879999999999953</c:v>
                </c:pt>
                <c:pt idx="27">
                  <c:v>3.2259999999999951</c:v>
                </c:pt>
                <c:pt idx="28">
                  <c:v>3.2639999999999949</c:v>
                </c:pt>
                <c:pt idx="29">
                  <c:v>3.3019999999999947</c:v>
                </c:pt>
                <c:pt idx="30">
                  <c:v>3.3399999999999945</c:v>
                </c:pt>
                <c:pt idx="31">
                  <c:v>3.3779999999999943</c:v>
                </c:pt>
                <c:pt idx="32">
                  <c:v>3.4159999999999942</c:v>
                </c:pt>
                <c:pt idx="33">
                  <c:v>3.453999999999994</c:v>
                </c:pt>
                <c:pt idx="34">
                  <c:v>3.4919999999999938</c:v>
                </c:pt>
                <c:pt idx="35">
                  <c:v>3.5299999999999936</c:v>
                </c:pt>
                <c:pt idx="36">
                  <c:v>3.5679999999999934</c:v>
                </c:pt>
                <c:pt idx="37">
                  <c:v>3.6059999999999932</c:v>
                </c:pt>
                <c:pt idx="38">
                  <c:v>3.643999999999993</c:v>
                </c:pt>
                <c:pt idx="39">
                  <c:v>3.6819999999999928</c:v>
                </c:pt>
                <c:pt idx="40">
                  <c:v>3.7199999999999926</c:v>
                </c:pt>
                <c:pt idx="41">
                  <c:v>3.7579999999999925</c:v>
                </c:pt>
                <c:pt idx="42">
                  <c:v>3.7959999999999923</c:v>
                </c:pt>
                <c:pt idx="43">
                  <c:v>3.8339999999999921</c:v>
                </c:pt>
                <c:pt idx="44">
                  <c:v>3.8719999999999919</c:v>
                </c:pt>
                <c:pt idx="45">
                  <c:v>3.9099999999999917</c:v>
                </c:pt>
                <c:pt idx="46">
                  <c:v>3.9479999999999915</c:v>
                </c:pt>
                <c:pt idx="47">
                  <c:v>3.9859999999999913</c:v>
                </c:pt>
                <c:pt idx="48">
                  <c:v>4.0239999999999911</c:v>
                </c:pt>
                <c:pt idx="49">
                  <c:v>4.0619999999999914</c:v>
                </c:pt>
                <c:pt idx="50">
                  <c:v>4.0999999999999917</c:v>
                </c:pt>
                <c:pt idx="51">
                  <c:v>4.1379999999999919</c:v>
                </c:pt>
                <c:pt idx="52">
                  <c:v>4.1759999999999922</c:v>
                </c:pt>
                <c:pt idx="53">
                  <c:v>4.2139999999999924</c:v>
                </c:pt>
                <c:pt idx="54">
                  <c:v>4.2519999999999927</c:v>
                </c:pt>
                <c:pt idx="55">
                  <c:v>4.2899999999999929</c:v>
                </c:pt>
                <c:pt idx="56">
                  <c:v>4.3279999999999932</c:v>
                </c:pt>
                <c:pt idx="57">
                  <c:v>4.3659999999999934</c:v>
                </c:pt>
                <c:pt idx="58">
                  <c:v>4.4039999999999937</c:v>
                </c:pt>
                <c:pt idx="59">
                  <c:v>4.441999999999994</c:v>
                </c:pt>
                <c:pt idx="60">
                  <c:v>4.4799999999999942</c:v>
                </c:pt>
                <c:pt idx="61">
                  <c:v>4.5179999999999945</c:v>
                </c:pt>
                <c:pt idx="62">
                  <c:v>4.5559999999999947</c:v>
                </c:pt>
                <c:pt idx="63">
                  <c:v>4.593999999999995</c:v>
                </c:pt>
                <c:pt idx="64">
                  <c:v>4.6319999999999952</c:v>
                </c:pt>
                <c:pt idx="65">
                  <c:v>4.6699999999999955</c:v>
                </c:pt>
                <c:pt idx="66">
                  <c:v>4.7079999999999957</c:v>
                </c:pt>
                <c:pt idx="67">
                  <c:v>4.745999999999996</c:v>
                </c:pt>
                <c:pt idx="68">
                  <c:v>4.7839999999999963</c:v>
                </c:pt>
                <c:pt idx="69">
                  <c:v>4.8219999999999965</c:v>
                </c:pt>
                <c:pt idx="70">
                  <c:v>4.8599999999999968</c:v>
                </c:pt>
                <c:pt idx="71">
                  <c:v>4.897999999999997</c:v>
                </c:pt>
                <c:pt idx="72">
                  <c:v>4.9359999999999973</c:v>
                </c:pt>
                <c:pt idx="73">
                  <c:v>4.9739999999999975</c:v>
                </c:pt>
                <c:pt idx="74">
                  <c:v>5.0119999999999978</c:v>
                </c:pt>
                <c:pt idx="75">
                  <c:v>5.049999999999998</c:v>
                </c:pt>
                <c:pt idx="76">
                  <c:v>5.0879999999999983</c:v>
                </c:pt>
                <c:pt idx="77">
                  <c:v>5.1259999999999986</c:v>
                </c:pt>
                <c:pt idx="78">
                  <c:v>5.1639999999999988</c:v>
                </c:pt>
                <c:pt idx="79">
                  <c:v>5.2019999999999991</c:v>
                </c:pt>
                <c:pt idx="80">
                  <c:v>5.2399999999999993</c:v>
                </c:pt>
                <c:pt idx="81">
                  <c:v>5.2779999999999996</c:v>
                </c:pt>
                <c:pt idx="82">
                  <c:v>5.3159999999999998</c:v>
                </c:pt>
                <c:pt idx="83">
                  <c:v>5.3540000000000001</c:v>
                </c:pt>
                <c:pt idx="84">
                  <c:v>5.3920000000000003</c:v>
                </c:pt>
                <c:pt idx="85">
                  <c:v>5.4300000000000006</c:v>
                </c:pt>
                <c:pt idx="86">
                  <c:v>5.4680000000000009</c:v>
                </c:pt>
                <c:pt idx="87">
                  <c:v>5.5060000000000011</c:v>
                </c:pt>
                <c:pt idx="88">
                  <c:v>5.5440000000000014</c:v>
                </c:pt>
                <c:pt idx="89">
                  <c:v>5.5820000000000016</c:v>
                </c:pt>
                <c:pt idx="90">
                  <c:v>5.6200000000000019</c:v>
                </c:pt>
                <c:pt idx="91">
                  <c:v>5.6580000000000021</c:v>
                </c:pt>
                <c:pt idx="92">
                  <c:v>5.6960000000000024</c:v>
                </c:pt>
                <c:pt idx="93">
                  <c:v>5.7340000000000027</c:v>
                </c:pt>
                <c:pt idx="94">
                  <c:v>5.7720000000000029</c:v>
                </c:pt>
                <c:pt idx="95">
                  <c:v>5.8100000000000032</c:v>
                </c:pt>
                <c:pt idx="96">
                  <c:v>5.8480000000000034</c:v>
                </c:pt>
                <c:pt idx="97">
                  <c:v>5.8860000000000037</c:v>
                </c:pt>
                <c:pt idx="98">
                  <c:v>5.9240000000000039</c:v>
                </c:pt>
                <c:pt idx="99">
                  <c:v>5.9620000000000042</c:v>
                </c:pt>
                <c:pt idx="100">
                  <c:v>6.0000000000000044</c:v>
                </c:pt>
              </c:numCache>
            </c:numRef>
          </c:xVal>
          <c:yVal>
            <c:numRef>
              <c:f>Shimko!$BG$13:$BG$113</c:f>
              <c:numCache>
                <c:formatCode>General</c:formatCode>
                <c:ptCount val="101"/>
                <c:pt idx="0">
                  <c:v>5.3021631183158356E-2</c:v>
                </c:pt>
                <c:pt idx="1">
                  <c:v>5.6254803527388562E-2</c:v>
                </c:pt>
                <c:pt idx="2">
                  <c:v>5.9598353561038542E-2</c:v>
                </c:pt>
                <c:pt idx="3">
                  <c:v>6.3050863031150331E-2</c:v>
                </c:pt>
                <c:pt idx="4">
                  <c:v>6.6610535836625809E-2</c:v>
                </c:pt>
                <c:pt idx="5">
                  <c:v>7.0275192123131977E-2</c:v>
                </c:pt>
                <c:pt idx="6">
                  <c:v>7.4042244635562499E-2</c:v>
                </c:pt>
                <c:pt idx="7">
                  <c:v>7.7908707891964413E-2</c:v>
                </c:pt>
                <c:pt idx="8">
                  <c:v>8.1871187025792061E-2</c:v>
                </c:pt>
                <c:pt idx="9">
                  <c:v>8.5925871848016519E-2</c:v>
                </c:pt>
                <c:pt idx="10">
                  <c:v>9.0068545009366022E-2</c:v>
                </c:pt>
                <c:pt idx="11">
                  <c:v>9.4294581812979061E-2</c:v>
                </c:pt>
                <c:pt idx="12">
                  <c:v>9.8598945332556434E-2</c:v>
                </c:pt>
                <c:pt idx="13">
                  <c:v>0.1029762058554204</c:v>
                </c:pt>
                <c:pt idx="14">
                  <c:v>0.10742054729852861</c:v>
                </c:pt>
                <c:pt idx="15">
                  <c:v>0.11192577004729749</c:v>
                </c:pt>
                <c:pt idx="16">
                  <c:v>0.11648531762691482</c:v>
                </c:pt>
                <c:pt idx="17">
                  <c:v>0.12109228409616857</c:v>
                </c:pt>
                <c:pt idx="18">
                  <c:v>0.12573943571054116</c:v>
                </c:pt>
                <c:pt idx="19">
                  <c:v>0.13041923398514893</c:v>
                </c:pt>
                <c:pt idx="20">
                  <c:v>0.13512385767953242</c:v>
                </c:pt>
                <c:pt idx="21">
                  <c:v>0.13984522697993204</c:v>
                </c:pt>
                <c:pt idx="22">
                  <c:v>0.14457503290732251</c:v>
                </c:pt>
                <c:pt idx="23">
                  <c:v>0.14930476396075243</c:v>
                </c:pt>
                <c:pt idx="24">
                  <c:v>0.15402573968168029</c:v>
                </c:pt>
                <c:pt idx="25">
                  <c:v>0.15872914063994531</c:v>
                </c:pt>
                <c:pt idx="26">
                  <c:v>0.16340604490851712</c:v>
                </c:pt>
                <c:pt idx="27">
                  <c:v>0.16804745981637681</c:v>
                </c:pt>
                <c:pt idx="28">
                  <c:v>0.17264435927832514</c:v>
                </c:pt>
                <c:pt idx="29">
                  <c:v>0.17718771811723386</c:v>
                </c:pt>
                <c:pt idx="30">
                  <c:v>0.18166854903807836</c:v>
                </c:pt>
                <c:pt idx="31">
                  <c:v>0.18607794181561224</c:v>
                </c:pt>
                <c:pt idx="32">
                  <c:v>0.1904070952670103</c:v>
                </c:pt>
                <c:pt idx="33">
                  <c:v>0.19464735481942158</c:v>
                </c:pt>
                <c:pt idx="34">
                  <c:v>0.19879025332187245</c:v>
                </c:pt>
                <c:pt idx="35">
                  <c:v>0.2028275382136675</c:v>
                </c:pt>
                <c:pt idx="36">
                  <c:v>0.20675120575677347</c:v>
                </c:pt>
                <c:pt idx="37">
                  <c:v>0.21055354116879971</c:v>
                </c:pt>
                <c:pt idx="38">
                  <c:v>0.21422714005946125</c:v>
                </c:pt>
                <c:pt idx="39">
                  <c:v>0.21776494295575435</c:v>
                </c:pt>
                <c:pt idx="40">
                  <c:v>0.22116026175043604</c:v>
                </c:pt>
                <c:pt idx="41">
                  <c:v>0.22440680460680215</c:v>
                </c:pt>
                <c:pt idx="42">
                  <c:v>0.22749869891829333</c:v>
                </c:pt>
                <c:pt idx="43">
                  <c:v>0.23043051162171263</c:v>
                </c:pt>
                <c:pt idx="44">
                  <c:v>0.23319726883319689</c:v>
                </c:pt>
                <c:pt idx="45">
                  <c:v>0.23579447076887317</c:v>
                </c:pt>
                <c:pt idx="46">
                  <c:v>0.23821810752905753</c:v>
                </c:pt>
                <c:pt idx="47">
                  <c:v>0.2404646650315479</c:v>
                </c:pt>
                <c:pt idx="48">
                  <c:v>0.2425311372858078</c:v>
                </c:pt>
                <c:pt idx="49">
                  <c:v>0.2444150308076059</c:v>
                </c:pt>
                <c:pt idx="50">
                  <c:v>0.24611436712725415</c:v>
                </c:pt>
                <c:pt idx="51">
                  <c:v>0.24762768308812139</c:v>
                </c:pt>
                <c:pt idx="52">
                  <c:v>0.24895402722323248</c:v>
                </c:pt>
                <c:pt idx="53">
                  <c:v>0.25009295813594129</c:v>
                </c:pt>
                <c:pt idx="54">
                  <c:v>0.25104453497942747</c:v>
                </c:pt>
                <c:pt idx="55">
                  <c:v>0.2518093093259422</c:v>
                </c:pt>
                <c:pt idx="56">
                  <c:v>0.252388311093728</c:v>
                </c:pt>
                <c:pt idx="57">
                  <c:v>0.252783038447913</c:v>
                </c:pt>
                <c:pt idx="58">
                  <c:v>0.25299544194782797</c:v>
                </c:pt>
                <c:pt idx="59">
                  <c:v>0.25302790153559401</c:v>
                </c:pt>
                <c:pt idx="60">
                  <c:v>0.25288321885089737</c:v>
                </c:pt>
                <c:pt idx="61">
                  <c:v>0.25256458461017639</c:v>
                </c:pt>
                <c:pt idx="62">
                  <c:v>0.25207556642638357</c:v>
                </c:pt>
                <c:pt idx="63">
                  <c:v>0.25142008228195117</c:v>
                </c:pt>
                <c:pt idx="64">
                  <c:v>0.2506023755020913</c:v>
                </c:pt>
                <c:pt idx="65">
                  <c:v>0.24962699655850507</c:v>
                </c:pt>
                <c:pt idx="66">
                  <c:v>0.2484987716175695</c:v>
                </c:pt>
                <c:pt idx="67">
                  <c:v>0.24722278183339269</c:v>
                </c:pt>
                <c:pt idx="68">
                  <c:v>0.24580433278831834</c:v>
                </c:pt>
                <c:pt idx="69">
                  <c:v>0.24424893722123941</c:v>
                </c:pt>
                <c:pt idx="70">
                  <c:v>0.24238143288755767</c:v>
                </c:pt>
                <c:pt idx="71">
                  <c:v>0.24056019943540713</c:v>
                </c:pt>
                <c:pt idx="72">
                  <c:v>0.23861213942793208</c:v>
                </c:pt>
                <c:pt idx="73">
                  <c:v>0.23654345780060917</c:v>
                </c:pt>
                <c:pt idx="74">
                  <c:v>0.23436037892607975</c:v>
                </c:pt>
                <c:pt idx="75">
                  <c:v>0.23206913306140273</c:v>
                </c:pt>
                <c:pt idx="76">
                  <c:v>0.22967593947168055</c:v>
                </c:pt>
                <c:pt idx="77">
                  <c:v>0.22718698875306723</c:v>
                </c:pt>
                <c:pt idx="78">
                  <c:v>0.22460843027919677</c:v>
                </c:pt>
                <c:pt idx="79">
                  <c:v>0.22194635722394865</c:v>
                </c:pt>
                <c:pt idx="80">
                  <c:v>0.21920679162168358</c:v>
                </c:pt>
                <c:pt idx="81">
                  <c:v>0.21639567406890536</c:v>
                </c:pt>
                <c:pt idx="82">
                  <c:v>0.2135188463617379</c:v>
                </c:pt>
                <c:pt idx="83">
                  <c:v>0.2105820502117188</c:v>
                </c:pt>
                <c:pt idx="84">
                  <c:v>0.20759090692876328</c:v>
                </c:pt>
                <c:pt idx="85">
                  <c:v>0.20455091145592272</c:v>
                </c:pt>
                <c:pt idx="86">
                  <c:v>0.20146742546059876</c:v>
                </c:pt>
                <c:pt idx="87">
                  <c:v>0.19834566988528668</c:v>
                </c:pt>
                <c:pt idx="88">
                  <c:v>0.1951907142390116</c:v>
                </c:pt>
                <c:pt idx="89">
                  <c:v>0.19214152853587582</c:v>
                </c:pt>
                <c:pt idx="90">
                  <c:v>0.18893557839724681</c:v>
                </c:pt>
                <c:pt idx="91">
                  <c:v>0.18571437156929319</c:v>
                </c:pt>
                <c:pt idx="92">
                  <c:v>0.18248203248916803</c:v>
                </c:pt>
                <c:pt idx="93">
                  <c:v>0.1792425493169017</c:v>
                </c:pt>
                <c:pt idx="94">
                  <c:v>0.17599977099562064</c:v>
                </c:pt>
                <c:pt idx="95">
                  <c:v>0.17275739988923197</c:v>
                </c:pt>
                <c:pt idx="96">
                  <c:v>0.16951898357150749</c:v>
                </c:pt>
                <c:pt idx="97">
                  <c:v>0.16628791831108786</c:v>
                </c:pt>
                <c:pt idx="98">
                  <c:v>0.16306744000267423</c:v>
                </c:pt>
                <c:pt idx="99">
                  <c:v>0.15986062452813848</c:v>
                </c:pt>
                <c:pt idx="100">
                  <c:v>0.15667039073616909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20000"/>
        <c:axId val="141020560"/>
      </c:scatterChart>
      <c:valAx>
        <c:axId val="1410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4983351831298557"/>
              <c:y val="0.8955954323001631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0560"/>
        <c:crosses val="autoZero"/>
        <c:crossBetween val="midCat"/>
      </c:valAx>
      <c:valAx>
        <c:axId val="14102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1098779134295228E-3"/>
              <c:y val="0.44698205546492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0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5305216426193117"/>
          <c:y val="0.9363784665579119"/>
          <c:w val="0.44395116537180912"/>
          <c:h val="5.872756933115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Normal Probability Function</a:t>
            </a:r>
          </a:p>
        </c:rich>
      </c:tx>
      <c:layout>
        <c:manualLayout>
          <c:xMode val="edge"/>
          <c:yMode val="edge"/>
          <c:x val="0.34517203107658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234910277324633"/>
          <c:w val="0.88013318534961149"/>
          <c:h val="0.72593800978792822"/>
        </c:manualLayout>
      </c:layout>
      <c:scatterChart>
        <c:scatterStyle val="smoothMarker"/>
        <c:varyColors val="0"/>
        <c:ser>
          <c:idx val="1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-1.976682044171318</c:v>
                </c:pt>
                <c:pt idx="1">
                  <c:v>-1.9332040917559516</c:v>
                </c:pt>
                <c:pt idx="2">
                  <c:v>-1.890458191144252</c:v>
                </c:pt>
                <c:pt idx="3">
                  <c:v>-1.8484200984078745</c:v>
                </c:pt>
                <c:pt idx="4">
                  <c:v>-1.8070667543842136</c:v>
                </c:pt>
                <c:pt idx="5">
                  <c:v>-1.766376208715071</c:v>
                </c:pt>
                <c:pt idx="6">
                  <c:v>-1.7263275498772417</c:v>
                </c:pt>
                <c:pt idx="7">
                  <c:v>-1.6869008406466293</c:v>
                </c:pt>
                <c:pt idx="8">
                  <c:v>-1.6480770584972997</c:v>
                </c:pt>
                <c:pt idx="9">
                  <c:v>-1.6098380404894395</c:v>
                </c:pt>
                <c:pt idx="10">
                  <c:v>-1.5721664322465343</c:v>
                </c:pt>
                <c:pt idx="11">
                  <c:v>-1.5350456406629835</c:v>
                </c:pt>
                <c:pt idx="12">
                  <c:v>-1.4984597900195784</c:v>
                </c:pt>
                <c:pt idx="13">
                  <c:v>-1.4623936812163314</c:v>
                </c:pt>
                <c:pt idx="14">
                  <c:v>-1.4268327538606549</c:v>
                </c:pt>
                <c:pt idx="15">
                  <c:v>-1.3917630509742089</c:v>
                </c:pt>
                <c:pt idx="16">
                  <c:v>-1.3571711861043139</c:v>
                </c:pt>
                <c:pt idx="17">
                  <c:v>-1.3230443126459845</c:v>
                </c:pt>
                <c:pt idx="18">
                  <c:v>-1.2893700951986411</c:v>
                </c:pt>
                <c:pt idx="19">
                  <c:v>-1.2561366827976694</c:v>
                </c:pt>
                <c:pt idx="20">
                  <c:v>-1.2233326838754821</c:v>
                </c:pt>
                <c:pt idx="21">
                  <c:v>-1.1909471428196885</c:v>
                </c:pt>
                <c:pt idx="22">
                  <c:v>-1.1589695180076733</c:v>
                </c:pt>
                <c:pt idx="23">
                  <c:v>-1.1273896612073746</c:v>
                </c:pt>
                <c:pt idx="24">
                  <c:v>-1.0961977982435605</c:v>
                </c:pt>
                <c:pt idx="25">
                  <c:v>-1.0653845108374247</c:v>
                </c:pt>
                <c:pt idx="26">
                  <c:v>-1.0349407195350921</c:v>
                </c:pt>
                <c:pt idx="27">
                  <c:v>-1.0048576676475967</c:v>
                </c:pt>
                <c:pt idx="28">
                  <c:v>-0.97512690613127284</c:v>
                </c:pt>
                <c:pt idx="29">
                  <c:v>-0.94574027934323524</c:v>
                </c:pt>
                <c:pt idx="30">
                  <c:v>-0.91668991161186797</c:v>
                </c:pt>
                <c:pt idx="31">
                  <c:v>-0.8879681945669935</c:v>
                </c:pt>
                <c:pt idx="32">
                  <c:v>-0.85956777517873506</c:v>
                </c:pt>
                <c:pt idx="33">
                  <c:v>-0.83148154445802813</c:v>
                </c:pt>
                <c:pt idx="34">
                  <c:v>-0.80370262677533455</c:v>
                </c:pt>
                <c:pt idx="35">
                  <c:v>-0.77622436975742071</c:v>
                </c:pt>
                <c:pt idx="36">
                  <c:v>-0.74904033472505305</c:v>
                </c:pt>
                <c:pt idx="37">
                  <c:v>-0.72214428763723215</c:v>
                </c:pt>
                <c:pt idx="38">
                  <c:v>-0.69553019051009468</c:v>
                </c:pt>
                <c:pt idx="39">
                  <c:v>-0.66919219328094937</c:v>
                </c:pt>
                <c:pt idx="40">
                  <c:v>-0.64312462609000898</c:v>
                </c:pt>
                <c:pt idx="41">
                  <c:v>-0.61732199195435833</c:v>
                </c:pt>
                <c:pt idx="42">
                  <c:v>-0.59177895981046735</c:v>
                </c:pt>
                <c:pt idx="43">
                  <c:v>-0.56649035790323332</c:v>
                </c:pt>
                <c:pt idx="44">
                  <c:v>-0.54145116750103961</c:v>
                </c:pt>
                <c:pt idx="45">
                  <c:v>-0.51665651691772352</c:v>
                </c:pt>
                <c:pt idx="46">
                  <c:v>-0.49210167582365066</c:v>
                </c:pt>
                <c:pt idx="47">
                  <c:v>-0.46778204982927052</c:v>
                </c:pt>
                <c:pt idx="48">
                  <c:v>-0.44369317532564662</c:v>
                </c:pt>
                <c:pt idx="49">
                  <c:v>-0.41983071456746202</c:v>
                </c:pt>
                <c:pt idx="50">
                  <c:v>-0.39619045098496125</c:v>
                </c:pt>
                <c:pt idx="51">
                  <c:v>-0.37276828471214718</c:v>
                </c:pt>
                <c:pt idx="52">
                  <c:v>-0.34956022831937716</c:v>
                </c:pt>
                <c:pt idx="53">
                  <c:v>-0.32656240273924564</c:v>
                </c:pt>
                <c:pt idx="54">
                  <c:v>-0.30377103337534334</c:v>
                </c:pt>
                <c:pt idx="55">
                  <c:v>-0.2811824463841292</c:v>
                </c:pt>
                <c:pt idx="56">
                  <c:v>-0.25879306512075495</c:v>
                </c:pt>
                <c:pt idx="57">
                  <c:v>-0.23659940674024316</c:v>
                </c:pt>
                <c:pt idx="58">
                  <c:v>-0.21459807894593971</c:v>
                </c:pt>
                <c:pt idx="59">
                  <c:v>-0.19278577687764981</c:v>
                </c:pt>
                <c:pt idx="60">
                  <c:v>-0.1711592801323169</c:v>
                </c:pt>
                <c:pt idx="61">
                  <c:v>-0.14971544991052785</c:v>
                </c:pt>
                <c:pt idx="62">
                  <c:v>-0.12845122628252062</c:v>
                </c:pt>
                <c:pt idx="63">
                  <c:v>-0.10736362556773885</c:v>
                </c:pt>
                <c:pt idx="64">
                  <c:v>-8.6449737822322195E-2</c:v>
                </c:pt>
                <c:pt idx="65">
                  <c:v>-6.5706724429236613E-2</c:v>
                </c:pt>
                <c:pt idx="66">
                  <c:v>-4.5131815786060049E-2</c:v>
                </c:pt>
                <c:pt idx="67">
                  <c:v>-2.4722309085708147E-2</c:v>
                </c:pt>
                <c:pt idx="68">
                  <c:v>-4.4755661856546317E-3</c:v>
                </c:pt>
                <c:pt idx="69">
                  <c:v>1.5610988438554919E-2</c:v>
                </c:pt>
                <c:pt idx="70">
                  <c:v>3.5539869659466136E-2</c:v>
                </c:pt>
                <c:pt idx="71">
                  <c:v>5.5313533587309331E-2</c:v>
                </c:pt>
                <c:pt idx="72">
                  <c:v>7.4934379386574199E-2</c:v>
                </c:pt>
                <c:pt idx="73">
                  <c:v>9.4404751022925698E-2</c:v>
                </c:pt>
                <c:pt idx="74">
                  <c:v>0.11372693894364204</c:v>
                </c:pt>
                <c:pt idx="75">
                  <c:v>0.13290318169458767</c:v>
                </c:pt>
                <c:pt idx="76">
                  <c:v>0.15193566747657603</c:v>
                </c:pt>
                <c:pt idx="77">
                  <c:v>0.17082653564382783</c:v>
                </c:pt>
                <c:pt idx="78">
                  <c:v>0.18957787814709129</c:v>
                </c:pt>
                <c:pt idx="79">
                  <c:v>0.20819174092385867</c:v>
                </c:pt>
                <c:pt idx="80">
                  <c:v>0.2266701252379893</c:v>
                </c:pt>
                <c:pt idx="81">
                  <c:v>0.24501498897093138</c:v>
                </c:pt>
                <c:pt idx="82">
                  <c:v>0.26322824786663163</c:v>
                </c:pt>
                <c:pt idx="83">
                  <c:v>0.28131177673210034</c:v>
                </c:pt>
                <c:pt idx="84">
                  <c:v>0.29926741059552991</c:v>
                </c:pt>
                <c:pt idx="85">
                  <c:v>0.31709694582373743</c:v>
                </c:pt>
                <c:pt idx="86">
                  <c:v>0.3348021412006511</c:v>
                </c:pt>
                <c:pt idx="87">
                  <c:v>0.35238471896844276</c:v>
                </c:pt>
                <c:pt idx="88">
                  <c:v>0.36984636583286318</c:v>
                </c:pt>
                <c:pt idx="89">
                  <c:v>0.38718873393423314</c:v>
                </c:pt>
                <c:pt idx="90">
                  <c:v>0.40441344178550231</c:v>
                </c:pt>
                <c:pt idx="91">
                  <c:v>0.42152207517869295</c:v>
                </c:pt>
                <c:pt idx="92">
                  <c:v>0.43851618806101372</c:v>
                </c:pt>
                <c:pt idx="93">
                  <c:v>0.45539730338183781</c:v>
                </c:pt>
                <c:pt idx="94">
                  <c:v>0.47216691391171567</c:v>
                </c:pt>
                <c:pt idx="95">
                  <c:v>0.48882648303450771</c:v>
                </c:pt>
                <c:pt idx="96">
                  <c:v>0.50537744551370467</c:v>
                </c:pt>
                <c:pt idx="97">
                  <c:v>0.5218212082339222</c:v>
                </c:pt>
                <c:pt idx="98">
                  <c:v>0.53815915091854505</c:v>
                </c:pt>
                <c:pt idx="99">
                  <c:v>0.55439262682441848</c:v>
                </c:pt>
                <c:pt idx="100">
                  <c:v>0.57052296341447983</c:v>
                </c:pt>
              </c:numCache>
            </c:numRef>
          </c:xVal>
          <c:yVal>
            <c:numRef>
              <c:f>Shimko!$AK$13:$AK$113</c:f>
              <c:numCache>
                <c:formatCode>0.000</c:formatCode>
                <c:ptCount val="101"/>
                <c:pt idx="0">
                  <c:v>5.1808698620599856E-2</c:v>
                </c:pt>
                <c:pt idx="1">
                  <c:v>5.6433138687834478E-2</c:v>
                </c:pt>
                <c:pt idx="2">
                  <c:v>6.1285930148770491E-2</c:v>
                </c:pt>
                <c:pt idx="3">
                  <c:v>6.6364693663941474E-2</c:v>
                </c:pt>
                <c:pt idx="4">
                  <c:v>7.1666242582184153E-2</c:v>
                </c:pt>
                <c:pt idx="5">
                  <c:v>7.7186608111935187E-2</c:v>
                </c:pt>
                <c:pt idx="6">
                  <c:v>8.2921053858878602E-2</c:v>
                </c:pt>
                <c:pt idx="7">
                  <c:v>8.8864110539525074E-2</c:v>
                </c:pt>
                <c:pt idx="8">
                  <c:v>9.5009602378791483E-2</c:v>
                </c:pt>
                <c:pt idx="9">
                  <c:v>0.10135067960368674</c:v>
                </c:pt>
                <c:pt idx="10">
                  <c:v>0.10787985529226</c:v>
                </c:pt>
                <c:pt idx="11">
                  <c:v>0.11458903627437704</c:v>
                </c:pt>
                <c:pt idx="12">
                  <c:v>0.12146956056004435</c:v>
                </c:pt>
                <c:pt idx="13">
                  <c:v>0.12851223798906924</c:v>
                </c:pt>
                <c:pt idx="14">
                  <c:v>0.13570738538831095</c:v>
                </c:pt>
                <c:pt idx="15">
                  <c:v>0.14304486867304209</c:v>
                </c:pt>
                <c:pt idx="16">
                  <c:v>0.15051413693311896</c:v>
                </c:pt>
                <c:pt idx="17">
                  <c:v>0.15810427545864988</c:v>
                </c:pt>
                <c:pt idx="18">
                  <c:v>0.16580402175028552</c:v>
                </c:pt>
                <c:pt idx="19">
                  <c:v>0.17360183132986579</c:v>
                </c:pt>
                <c:pt idx="20">
                  <c:v>0.18148589971656032</c:v>
                </c:pt>
                <c:pt idx="21">
                  <c:v>0.18944420521806826</c:v>
                </c:pt>
                <c:pt idx="22">
                  <c:v>0.19746455228711465</c:v>
                </c:pt>
                <c:pt idx="23">
                  <c:v>0.20553460466372606</c:v>
                </c:pt>
                <c:pt idx="24">
                  <c:v>0.21364192392427372</c:v>
                </c:pt>
                <c:pt idx="25">
                  <c:v>0.2217740043298323</c:v>
                </c:pt>
                <c:pt idx="26">
                  <c:v>0.22991831552979575</c:v>
                </c:pt>
                <c:pt idx="27">
                  <c:v>0.23806232579732892</c:v>
                </c:pt>
                <c:pt idx="28">
                  <c:v>0.24619354781006561</c:v>
                </c:pt>
                <c:pt idx="29">
                  <c:v>0.25429956432929646</c:v>
                </c:pt>
                <c:pt idx="30">
                  <c:v>0.26236806372108157</c:v>
                </c:pt>
                <c:pt idx="31">
                  <c:v>0.27038686840855974</c:v>
                </c:pt>
                <c:pt idx="32">
                  <c:v>0.27834396625472096</c:v>
                </c:pt>
                <c:pt idx="33">
                  <c:v>0.28622754277946438</c:v>
                </c:pt>
                <c:pt idx="34">
                  <c:v>0.29402600305921306</c:v>
                </c:pt>
                <c:pt idx="35">
                  <c:v>0.30172800196295696</c:v>
                </c:pt>
                <c:pt idx="36">
                  <c:v>0.30932246461776997</c:v>
                </c:pt>
                <c:pt idx="37">
                  <c:v>0.31679862208726339</c:v>
                </c:pt>
                <c:pt idx="38">
                  <c:v>0.32414602297167511</c:v>
                </c:pt>
                <c:pt idx="39">
                  <c:v>0.33135455461403135</c:v>
                </c:pt>
                <c:pt idx="40">
                  <c:v>0.33841447553583531</c:v>
                </c:pt>
                <c:pt idx="41">
                  <c:v>0.34531642491460357</c:v>
                </c:pt>
                <c:pt idx="42">
                  <c:v>0.35205143923687743</c:v>
                </c:pt>
                <c:pt idx="43">
                  <c:v>0.35861097263785863</c:v>
                </c:pt>
                <c:pt idx="44">
                  <c:v>0.36498691437646891</c:v>
                </c:pt>
                <c:pt idx="45">
                  <c:v>0.37117159336869954</c:v>
                </c:pt>
                <c:pt idx="46">
                  <c:v>0.37715780443981095</c:v>
                </c:pt>
                <c:pt idx="47">
                  <c:v>0.38293880644606837</c:v>
                </c:pt>
                <c:pt idx="48">
                  <c:v>0.388508334404643</c:v>
                </c:pt>
                <c:pt idx="49">
                  <c:v>0.39386061659200877</c:v>
                </c:pt>
                <c:pt idx="50">
                  <c:v>0.39899036900204743</c:v>
                </c:pt>
                <c:pt idx="51">
                  <c:v>0.4038928074408058</c:v>
                </c:pt>
                <c:pt idx="52">
                  <c:v>0.40856365209072348</c:v>
                </c:pt>
                <c:pt idx="53">
                  <c:v>0.4129991245109183</c:v>
                </c:pt>
                <c:pt idx="54">
                  <c:v>0.41719595862827769</c:v>
                </c:pt>
                <c:pt idx="55">
                  <c:v>0.42115138606909208</c:v>
                </c:pt>
                <c:pt idx="56">
                  <c:v>0.42486314728460339</c:v>
                </c:pt>
                <c:pt idx="57">
                  <c:v>0.42832948386209901</c:v>
                </c:pt>
                <c:pt idx="58">
                  <c:v>0.43154913107229348</c:v>
                </c:pt>
                <c:pt idx="59">
                  <c:v>0.43452131919345777</c:v>
                </c:pt>
                <c:pt idx="60">
                  <c:v>0.43724575876112448</c:v>
                </c:pt>
                <c:pt idx="61">
                  <c:v>0.43972263751443796</c:v>
                </c:pt>
                <c:pt idx="62">
                  <c:v>0.44195260820791904</c:v>
                </c:pt>
                <c:pt idx="63">
                  <c:v>0.44393678420947086</c:v>
                </c:pt>
                <c:pt idx="64">
                  <c:v>0.44567671936780118</c:v>
                </c:pt>
                <c:pt idx="65">
                  <c:v>0.4471743977697582</c:v>
                </c:pt>
                <c:pt idx="66">
                  <c:v>0.44843222384112297</c:v>
                </c:pt>
                <c:pt idx="67">
                  <c:v>0.44945300264782906</c:v>
                </c:pt>
                <c:pt idx="68">
                  <c:v>0.45023993237904503</c:v>
                </c:pt>
                <c:pt idx="69">
                  <c:v>0.4504771874682274</c:v>
                </c:pt>
                <c:pt idx="70">
                  <c:v>0.45079173404567413</c:v>
                </c:pt>
                <c:pt idx="71">
                  <c:v>0.45087165410844149</c:v>
                </c:pt>
                <c:pt idx="72">
                  <c:v>0.45072163525918546</c:v>
                </c:pt>
                <c:pt idx="73">
                  <c:v>0.45034657177672938</c:v>
                </c:pt>
                <c:pt idx="74">
                  <c:v>0.44975156665426258</c:v>
                </c:pt>
                <c:pt idx="75">
                  <c:v>0.44894191224386965</c:v>
                </c:pt>
                <c:pt idx="76">
                  <c:v>0.44792308459469615</c:v>
                </c:pt>
                <c:pt idx="77">
                  <c:v>0.44670073510528396</c:v>
                </c:pt>
                <c:pt idx="78">
                  <c:v>0.44528067393391363</c:v>
                </c:pt>
                <c:pt idx="79">
                  <c:v>0.44366885758274155</c:v>
                </c:pt>
                <c:pt idx="80">
                  <c:v>0.4418713835917476</c:v>
                </c:pt>
                <c:pt idx="81">
                  <c:v>0.43989447377539442</c:v>
                </c:pt>
                <c:pt idx="82">
                  <c:v>0.43774445561725123</c:v>
                </c:pt>
                <c:pt idx="83">
                  <c:v>0.43542776628794444</c:v>
                </c:pt>
                <c:pt idx="84">
                  <c:v>0.43295091699281185</c:v>
                </c:pt>
                <c:pt idx="85">
                  <c:v>0.4303205043813737</c:v>
                </c:pt>
                <c:pt idx="86">
                  <c:v>0.42754317485439003</c:v>
                </c:pt>
                <c:pt idx="87">
                  <c:v>0.42462563105407403</c:v>
                </c:pt>
                <c:pt idx="88">
                  <c:v>0.42157460593994328</c:v>
                </c:pt>
                <c:pt idx="89">
                  <c:v>0.41839686124366421</c:v>
                </c:pt>
                <c:pt idx="90">
                  <c:v>0.41534460862537659</c:v>
                </c:pt>
                <c:pt idx="91">
                  <c:v>0.41193105963757481</c:v>
                </c:pt>
                <c:pt idx="92">
                  <c:v>0.40841670341820357</c:v>
                </c:pt>
                <c:pt idx="93">
                  <c:v>0.40480776494909732</c:v>
                </c:pt>
                <c:pt idx="94">
                  <c:v>0.401110480532334</c:v>
                </c:pt>
                <c:pt idx="95">
                  <c:v>0.39733107557274061</c:v>
                </c:pt>
                <c:pt idx="96">
                  <c:v>0.3934757556734309</c:v>
                </c:pt>
                <c:pt idx="97">
                  <c:v>0.38955068375919</c:v>
                </c:pt>
                <c:pt idx="98">
                  <c:v>0.38556197351701249</c:v>
                </c:pt>
                <c:pt idx="99">
                  <c:v>0.38151567159781374</c:v>
                </c:pt>
                <c:pt idx="100">
                  <c:v>0.37741775256898208</c:v>
                </c:pt>
              </c:numCache>
            </c:numRef>
          </c:yVal>
          <c:smooth val="1"/>
        </c:ser>
        <c:ser>
          <c:idx val="0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Shimko!$AM$13:$AM$75</c:f>
              <c:numCache>
                <c:formatCode>0.000</c:formatCode>
                <c:ptCount val="63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2.4000000000000101</c:v>
                </c:pt>
                <c:pt idx="56">
                  <c:v>2.5</c:v>
                </c:pt>
                <c:pt idx="57">
                  <c:v>2.6</c:v>
                </c:pt>
                <c:pt idx="58">
                  <c:v>2.7000000000000099</c:v>
                </c:pt>
                <c:pt idx="59">
                  <c:v>2.80000000000001</c:v>
                </c:pt>
                <c:pt idx="60">
                  <c:v>2.9000000000000101</c:v>
                </c:pt>
                <c:pt idx="61">
                  <c:v>3</c:v>
                </c:pt>
                <c:pt idx="62">
                  <c:v>3.1000000000000099</c:v>
                </c:pt>
              </c:numCache>
            </c:numRef>
          </c:xVal>
          <c:yVal>
            <c:numRef>
              <c:f>Shimko!$AN$13:$AN$75</c:f>
              <c:numCache>
                <c:formatCode>0.000</c:formatCode>
                <c:ptCount val="63"/>
                <c:pt idx="0">
                  <c:v>3.2668190561999178E-3</c:v>
                </c:pt>
                <c:pt idx="1">
                  <c:v>4.4318484119380067E-3</c:v>
                </c:pt>
                <c:pt idx="2">
                  <c:v>5.9525324197758529E-3</c:v>
                </c:pt>
                <c:pt idx="3">
                  <c:v>7.9154515829799668E-3</c:v>
                </c:pt>
                <c:pt idx="4">
                  <c:v>1.042093481442259E-2</c:v>
                </c:pt>
                <c:pt idx="5">
                  <c:v>1.3582969233685611E-2</c:v>
                </c:pt>
                <c:pt idx="6">
                  <c:v>1.7528300493568537E-2</c:v>
                </c:pt>
                <c:pt idx="7">
                  <c:v>2.2394530294842896E-2</c:v>
                </c:pt>
                <c:pt idx="8">
                  <c:v>2.8327037741601183E-2</c:v>
                </c:pt>
                <c:pt idx="9">
                  <c:v>3.5474592846231418E-2</c:v>
                </c:pt>
                <c:pt idx="10">
                  <c:v>4.3983595980427184E-2</c:v>
                </c:pt>
                <c:pt idx="11">
                  <c:v>5.3990966513188049E-2</c:v>
                </c:pt>
                <c:pt idx="12">
                  <c:v>6.5615814774676581E-2</c:v>
                </c:pt>
                <c:pt idx="13">
                  <c:v>7.8950158300894135E-2</c:v>
                </c:pt>
                <c:pt idx="14">
                  <c:v>9.4049077376886933E-2</c:v>
                </c:pt>
                <c:pt idx="15">
                  <c:v>0.11092083467945553</c:v>
                </c:pt>
                <c:pt idx="16">
                  <c:v>0.12951759566589172</c:v>
                </c:pt>
                <c:pt idx="17">
                  <c:v>0.14972746563574485</c:v>
                </c:pt>
                <c:pt idx="18">
                  <c:v>0.17136859204780733</c:v>
                </c:pt>
                <c:pt idx="19">
                  <c:v>0.19418605498321292</c:v>
                </c:pt>
                <c:pt idx="20">
                  <c:v>0.2178521770325505</c:v>
                </c:pt>
                <c:pt idx="21">
                  <c:v>0.24197072451914334</c:v>
                </c:pt>
                <c:pt idx="22">
                  <c:v>0.26608524989875482</c:v>
                </c:pt>
                <c:pt idx="23">
                  <c:v>0.28969155276148267</c:v>
                </c:pt>
                <c:pt idx="24">
                  <c:v>0.31225393336676122</c:v>
                </c:pt>
                <c:pt idx="25">
                  <c:v>0.33322460289179962</c:v>
                </c:pt>
                <c:pt idx="26">
                  <c:v>0.35206532676429947</c:v>
                </c:pt>
                <c:pt idx="27">
                  <c:v>0.36827014030332328</c:v>
                </c:pt>
                <c:pt idx="28">
                  <c:v>0.38138781546052408</c:v>
                </c:pt>
                <c:pt idx="29">
                  <c:v>0.39104269397545582</c:v>
                </c:pt>
                <c:pt idx="30">
                  <c:v>0.39695254747701175</c:v>
                </c:pt>
                <c:pt idx="31">
                  <c:v>0.39894228040143265</c:v>
                </c:pt>
                <c:pt idx="32">
                  <c:v>0.39695254747701175</c:v>
                </c:pt>
                <c:pt idx="33">
                  <c:v>0.39104269397545582</c:v>
                </c:pt>
                <c:pt idx="34">
                  <c:v>0.38138781546052408</c:v>
                </c:pt>
                <c:pt idx="35">
                  <c:v>0.36827014030332328</c:v>
                </c:pt>
                <c:pt idx="36">
                  <c:v>0.35206532676429947</c:v>
                </c:pt>
                <c:pt idx="37">
                  <c:v>0.33322460289179962</c:v>
                </c:pt>
                <c:pt idx="38">
                  <c:v>0.31225393336676122</c:v>
                </c:pt>
                <c:pt idx="39">
                  <c:v>0.28969155276148267</c:v>
                </c:pt>
                <c:pt idx="40">
                  <c:v>0.26608524989875482</c:v>
                </c:pt>
                <c:pt idx="41">
                  <c:v>0.24197072451914334</c:v>
                </c:pt>
                <c:pt idx="42">
                  <c:v>0.2178521770325505</c:v>
                </c:pt>
                <c:pt idx="43">
                  <c:v>0.19418605498321292</c:v>
                </c:pt>
                <c:pt idx="44">
                  <c:v>0.17136859204780733</c:v>
                </c:pt>
                <c:pt idx="45">
                  <c:v>0.14972746563574485</c:v>
                </c:pt>
                <c:pt idx="46">
                  <c:v>0.12951759566589172</c:v>
                </c:pt>
                <c:pt idx="47">
                  <c:v>0.11092083467945553</c:v>
                </c:pt>
                <c:pt idx="48">
                  <c:v>9.4049077376886933E-2</c:v>
                </c:pt>
                <c:pt idx="49">
                  <c:v>7.8950158300894135E-2</c:v>
                </c:pt>
                <c:pt idx="50">
                  <c:v>6.5615814774676581E-2</c:v>
                </c:pt>
                <c:pt idx="51">
                  <c:v>5.3990966513188049E-2</c:v>
                </c:pt>
                <c:pt idx="52">
                  <c:v>4.3983595980427184E-2</c:v>
                </c:pt>
                <c:pt idx="53">
                  <c:v>3.5474592846231418E-2</c:v>
                </c:pt>
                <c:pt idx="54">
                  <c:v>2.8327037741601183E-2</c:v>
                </c:pt>
                <c:pt idx="55">
                  <c:v>2.2394530294842351E-2</c:v>
                </c:pt>
                <c:pt idx="56">
                  <c:v>1.7528300493568537E-2</c:v>
                </c:pt>
                <c:pt idx="57">
                  <c:v>1.3582969233685611E-2</c:v>
                </c:pt>
                <c:pt idx="58">
                  <c:v>1.0420934814422318E-2</c:v>
                </c:pt>
                <c:pt idx="59">
                  <c:v>7.9154515829797413E-3</c:v>
                </c:pt>
                <c:pt idx="60">
                  <c:v>5.9525324197756786E-3</c:v>
                </c:pt>
                <c:pt idx="61">
                  <c:v>4.4318484119380067E-3</c:v>
                </c:pt>
                <c:pt idx="62">
                  <c:v>3.2668190561998198E-3</c:v>
                </c:pt>
              </c:numCache>
            </c:numRef>
          </c:yVal>
          <c:smooth val="1"/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Shimko!$AG$114:$AG$139</c:f>
              <c:numCache>
                <c:formatCode>0.000</c:formatCode>
                <c:ptCount val="26"/>
                <c:pt idx="0">
                  <c:v>-1.976682044171318</c:v>
                </c:pt>
                <c:pt idx="1">
                  <c:v>-2.0021540942471758</c:v>
                </c:pt>
                <c:pt idx="2">
                  <c:v>-2.0276261443230337</c:v>
                </c:pt>
                <c:pt idx="3">
                  <c:v>-2.0530981943988915</c:v>
                </c:pt>
                <c:pt idx="4">
                  <c:v>-2.0785702444747494</c:v>
                </c:pt>
                <c:pt idx="5">
                  <c:v>-2.1040422945506072</c:v>
                </c:pt>
                <c:pt idx="6">
                  <c:v>-2.129514344626465</c:v>
                </c:pt>
                <c:pt idx="7">
                  <c:v>-2.1549863947023229</c:v>
                </c:pt>
                <c:pt idx="8">
                  <c:v>-2.1804584447781807</c:v>
                </c:pt>
                <c:pt idx="9">
                  <c:v>-2.2059304948540386</c:v>
                </c:pt>
                <c:pt idx="10">
                  <c:v>-2.2314025449298964</c:v>
                </c:pt>
                <c:pt idx="11">
                  <c:v>-2.2568745950057543</c:v>
                </c:pt>
                <c:pt idx="12">
                  <c:v>-2.2823466450816121</c:v>
                </c:pt>
                <c:pt idx="13">
                  <c:v>-2.30781869515747</c:v>
                </c:pt>
                <c:pt idx="14">
                  <c:v>-2.3332907452333278</c:v>
                </c:pt>
                <c:pt idx="15">
                  <c:v>-2.3587627953091856</c:v>
                </c:pt>
                <c:pt idx="16">
                  <c:v>-2.3842348453850435</c:v>
                </c:pt>
                <c:pt idx="17">
                  <c:v>-2.4097068954609013</c:v>
                </c:pt>
                <c:pt idx="18">
                  <c:v>-2.4351789455367592</c:v>
                </c:pt>
                <c:pt idx="19">
                  <c:v>-2.460650995612617</c:v>
                </c:pt>
                <c:pt idx="20">
                  <c:v>-2.4861230456884749</c:v>
                </c:pt>
                <c:pt idx="21">
                  <c:v>-2.5115950957643327</c:v>
                </c:pt>
                <c:pt idx="22">
                  <c:v>-2.5370671458401906</c:v>
                </c:pt>
                <c:pt idx="23">
                  <c:v>-2.5625391959160484</c:v>
                </c:pt>
                <c:pt idx="24">
                  <c:v>-2.5880112459919062</c:v>
                </c:pt>
                <c:pt idx="25">
                  <c:v>-2.6134832960677641</c:v>
                </c:pt>
              </c:numCache>
            </c:numRef>
          </c:xVal>
          <c:yVal>
            <c:numRef>
              <c:f>Shimko!$AK$114:$AK$139</c:f>
              <c:numCache>
                <c:formatCode>0.000</c:formatCode>
                <c:ptCount val="26"/>
                <c:pt idx="0">
                  <c:v>5.1808698620599836E-2</c:v>
                </c:pt>
                <c:pt idx="1">
                  <c:v>4.5232971634490061E-2</c:v>
                </c:pt>
                <c:pt idx="2">
                  <c:v>3.9275763091388499E-2</c:v>
                </c:pt>
                <c:pt idx="3">
                  <c:v>3.3907893476793072E-2</c:v>
                </c:pt>
                <c:pt idx="4">
                  <c:v>2.9098208621305299E-2</c:v>
                </c:pt>
                <c:pt idx="5">
                  <c:v>2.4813954949833541E-2</c:v>
                </c:pt>
                <c:pt idx="6">
                  <c:v>2.1021168007347629E-2</c:v>
                </c:pt>
                <c:pt idx="7">
                  <c:v>1.7685068048199505E-2</c:v>
                </c:pt>
                <c:pt idx="8">
                  <c:v>1.4770456130215808E-2</c:v>
                </c:pt>
                <c:pt idx="9">
                  <c:v>1.2242103950933433E-2</c:v>
                </c:pt>
                <c:pt idx="10">
                  <c:v>1.006513062122983E-2</c:v>
                </c:pt>
                <c:pt idx="11">
                  <c:v>8.2053597057172144E-3</c:v>
                </c:pt>
                <c:pt idx="12">
                  <c:v>6.6296501804977426E-3</c:v>
                </c:pt>
                <c:pt idx="13">
                  <c:v>5.3061954715180534E-3</c:v>
                </c:pt>
                <c:pt idx="14">
                  <c:v>4.2047854386396384E-3</c:v>
                </c:pt>
                <c:pt idx="15">
                  <c:v>3.2970270513562709E-3</c:v>
                </c:pt>
                <c:pt idx="16">
                  <c:v>2.556520543203765E-3</c:v>
                </c:pt>
                <c:pt idx="17">
                  <c:v>1.958989005663477E-3</c:v>
                </c:pt>
                <c:pt idx="18">
                  <c:v>1.4823606528963226E-3</c:v>
                </c:pt>
                <c:pt idx="19">
                  <c:v>1.1068043119441149E-3</c:v>
                </c:pt>
                <c:pt idx="20">
                  <c:v>8.1472001845313443E-4</c:v>
                </c:pt>
                <c:pt idx="21">
                  <c:v>5.9068787070222148E-4</c:v>
                </c:pt>
                <c:pt idx="22">
                  <c:v>4.2137945745936888E-4</c:v>
                </c:pt>
                <c:pt idx="23">
                  <c:v>2.9543717214661999E-4</c:v>
                </c:pt>
                <c:pt idx="24">
                  <c:v>2.0332750580913462E-4</c:v>
                </c:pt>
                <c:pt idx="25">
                  <c:v>1.3717493180437013E-4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Shimko!$AG$140:$AG$164</c:f>
              <c:numCache>
                <c:formatCode>0.000</c:formatCode>
                <c:ptCount val="25"/>
                <c:pt idx="0">
                  <c:v>0.57052296341447983</c:v>
                </c:pt>
                <c:pt idx="1">
                  <c:v>0.8252434641730596</c:v>
                </c:pt>
                <c:pt idx="2">
                  <c:v>1.0799639649316393</c:v>
                </c:pt>
                <c:pt idx="3">
                  <c:v>1.334684465690219</c:v>
                </c:pt>
                <c:pt idx="4">
                  <c:v>1.5894049664487988</c:v>
                </c:pt>
                <c:pt idx="5">
                  <c:v>1.8441254672073786</c:v>
                </c:pt>
                <c:pt idx="6">
                  <c:v>2.0988459679659583</c:v>
                </c:pt>
                <c:pt idx="7">
                  <c:v>2.3535664687245381</c:v>
                </c:pt>
                <c:pt idx="8">
                  <c:v>2.6082869694831179</c:v>
                </c:pt>
                <c:pt idx="9">
                  <c:v>2.8630074702416977</c:v>
                </c:pt>
                <c:pt idx="10">
                  <c:v>3.1177279710002774</c:v>
                </c:pt>
                <c:pt idx="11">
                  <c:v>3.3724484717588572</c:v>
                </c:pt>
                <c:pt idx="12">
                  <c:v>3.627168972517437</c:v>
                </c:pt>
                <c:pt idx="13">
                  <c:v>3.8818894732760167</c:v>
                </c:pt>
                <c:pt idx="14">
                  <c:v>4.136609974034597</c:v>
                </c:pt>
                <c:pt idx="15">
                  <c:v>4.3913304747931772</c:v>
                </c:pt>
                <c:pt idx="16">
                  <c:v>4.6460509755517574</c:v>
                </c:pt>
                <c:pt idx="17">
                  <c:v>4.9007714763103376</c:v>
                </c:pt>
                <c:pt idx="18">
                  <c:v>5.1554919770689178</c:v>
                </c:pt>
                <c:pt idx="19">
                  <c:v>5.410212477827498</c:v>
                </c:pt>
                <c:pt idx="20">
                  <c:v>5.6649329785860782</c:v>
                </c:pt>
                <c:pt idx="21">
                  <c:v>5.9196534793446585</c:v>
                </c:pt>
                <c:pt idx="22">
                  <c:v>6.1743739801032387</c:v>
                </c:pt>
                <c:pt idx="23">
                  <c:v>6.4290944808618189</c:v>
                </c:pt>
                <c:pt idx="24">
                  <c:v>6.6838149816203991</c:v>
                </c:pt>
              </c:numCache>
            </c:numRef>
          </c:xVal>
          <c:yVal>
            <c:numRef>
              <c:f>Shimko!$AK$140:$AK$164</c:f>
              <c:numCache>
                <c:formatCode>0.000</c:formatCode>
                <c:ptCount val="25"/>
                <c:pt idx="0">
                  <c:v>0.37741775256898197</c:v>
                </c:pt>
                <c:pt idx="1">
                  <c:v>0.32642321339040975</c:v>
                </c:pt>
                <c:pt idx="2">
                  <c:v>0.27595592574107369</c:v>
                </c:pt>
                <c:pt idx="3">
                  <c:v>0.22898283238484332</c:v>
                </c:pt>
                <c:pt idx="4">
                  <c:v>0.18712048134623882</c:v>
                </c:pt>
                <c:pt idx="5">
                  <c:v>0.15099833454841785</c:v>
                </c:pt>
                <c:pt idx="6">
                  <c:v>0.1205920574628085</c:v>
                </c:pt>
                <c:pt idx="7">
                  <c:v>9.548937735911539E-2</c:v>
                </c:pt>
                <c:pt idx="8">
                  <c:v>7.5082752783044465E-2</c:v>
                </c:pt>
                <c:pt idx="9">
                  <c:v>5.8698114079975557E-2</c:v>
                </c:pt>
                <c:pt idx="10">
                  <c:v>4.5673947681549393E-2</c:v>
                </c:pt>
                <c:pt idx="11">
                  <c:v>3.5404837228394097E-2</c:v>
                </c:pt>
                <c:pt idx="12">
                  <c:v>2.7361245407172725E-2</c:v>
                </c:pt>
                <c:pt idx="13">
                  <c:v>2.1094460820594033E-2</c:v>
                </c:pt>
                <c:pt idx="14">
                  <c:v>1.6233014196227791E-2</c:v>
                </c:pt>
                <c:pt idx="15">
                  <c:v>1.2474765033778198E-2</c:v>
                </c:pt>
                <c:pt idx="16">
                  <c:v>9.5773029283989473E-3</c:v>
                </c:pt>
                <c:pt idx="17">
                  <c:v>7.3482218342987458E-3</c:v>
                </c:pt>
                <c:pt idx="18">
                  <c:v>5.6361051125115415E-3</c:v>
                </c:pt>
                <c:pt idx="19">
                  <c:v>4.3226040035686747E-3</c:v>
                </c:pt>
                <c:pt idx="20">
                  <c:v>3.3157198310772222E-3</c:v>
                </c:pt>
                <c:pt idx="21">
                  <c:v>2.5442486248776152E-3</c:v>
                </c:pt>
                <c:pt idx="22">
                  <c:v>1.9532716396577932E-3</c:v>
                </c:pt>
                <c:pt idx="23">
                  <c:v>1.5005461969223458E-3</c:v>
                </c:pt>
                <c:pt idx="24">
                  <c:v>1.1536485293224474E-3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26160"/>
        <c:axId val="141026720"/>
      </c:scatterChart>
      <c:valAx>
        <c:axId val="1410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Transformed Variable</a:t>
                </a:r>
              </a:p>
            </c:rich>
          </c:tx>
          <c:layout>
            <c:manualLayout>
              <c:xMode val="edge"/>
              <c:yMode val="edge"/>
              <c:x val="0.44728079911209767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6720"/>
        <c:crosses val="autoZero"/>
        <c:crossBetween val="midCat"/>
      </c:valAx>
      <c:valAx>
        <c:axId val="14102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4926590538336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26160"/>
        <c:crossesAt val="-4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2519422863485015"/>
          <c:y val="0.9559543230016313"/>
          <c:w val="0.40288568257491675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2" fmlaLink="$W$6" fmlaRange="$W$2:$W$5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76200</xdr:rowOff>
    </xdr:from>
    <xdr:to>
      <xdr:col>7</xdr:col>
      <xdr:colOff>323850</xdr:colOff>
      <xdr:row>25</xdr:row>
      <xdr:rowOff>133350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581025</xdr:colOff>
          <xdr:row>3</xdr:row>
          <xdr:rowOff>38100</xdr:rowOff>
        </xdr:from>
        <xdr:to>
          <xdr:col>13</xdr:col>
          <xdr:colOff>581025</xdr:colOff>
          <xdr:row>6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19050</xdr:rowOff>
        </xdr:from>
        <xdr:to>
          <xdr:col>5</xdr:col>
          <xdr:colOff>552450</xdr:colOff>
          <xdr:row>4</xdr:row>
          <xdr:rowOff>57150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0.46175</cdr:x>
      <cdr:y>0.15175</cdr:y>
    </cdr:from>
    <cdr:to>
      <cdr:x>0.62275</cdr:x>
      <cdr:y>0.186</cdr:y>
    </cdr:to>
    <cdr:sp macro="" textlink="VolSkew!$R$2">
      <cdr:nvSpPr>
        <cdr:cNvPr id="81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62750" y="886042"/>
          <a:ext cx="1381706" cy="199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C9884C03-2162-4DDB-B741-73B3A2E0DD2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Third-order polynomial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D200"/>
  <sheetViews>
    <sheetView tabSelected="1" workbookViewId="0">
      <selection activeCell="H14" sqref="H14"/>
    </sheetView>
  </sheetViews>
  <sheetFormatPr defaultRowHeight="12.75" x14ac:dyDescent="0.2"/>
  <cols>
    <col min="1" max="1" width="4.140625" customWidth="1"/>
    <col min="3" max="3" width="10.42578125" customWidth="1"/>
    <col min="15" max="15" width="2.28515625" customWidth="1"/>
  </cols>
  <sheetData>
    <row r="1" spans="1:33" ht="18" x14ac:dyDescent="0.25">
      <c r="A1" s="1"/>
      <c r="B1" s="24" t="s">
        <v>9</v>
      </c>
      <c r="C1" s="1"/>
      <c r="D1" s="1"/>
      <c r="E1" s="1"/>
      <c r="F1" s="1"/>
      <c r="G1" s="1"/>
      <c r="H1" s="1"/>
      <c r="I1" s="1"/>
      <c r="J1" s="13"/>
      <c r="K1" s="14"/>
      <c r="L1" s="1"/>
      <c r="M1" s="1"/>
      <c r="N1" s="1"/>
      <c r="O1" s="11"/>
      <c r="P1" s="1"/>
      <c r="R1" t="str">
        <f>TEXT(Contract,"mmm-yy") &amp; IF(Commodity="NG"," Natural Gas"," Nymex") &amp; " Price Distributions"</f>
        <v>Dec-01 Natural Gas Price Distributions</v>
      </c>
    </row>
    <row r="2" spans="1:33" x14ac:dyDescent="0.2">
      <c r="A2" s="1"/>
      <c r="B2" s="12"/>
      <c r="C2" s="12"/>
      <c r="D2" s="12"/>
      <c r="E2" s="12"/>
      <c r="F2" s="12"/>
      <c r="G2" s="12"/>
      <c r="H2" s="12"/>
      <c r="I2" s="1"/>
      <c r="J2" s="15" t="s">
        <v>12</v>
      </c>
      <c r="K2" s="16">
        <f ca="1">VLOOKUP(0,ImpVolTable,2)</f>
        <v>0.51946141021500003</v>
      </c>
      <c r="L2" s="1"/>
      <c r="M2" s="1"/>
      <c r="N2" s="1"/>
      <c r="O2" s="11"/>
      <c r="P2" s="1"/>
      <c r="Q2" s="65"/>
      <c r="R2" t="str">
        <f>INDEX(W2:W5,W6,0) &amp; "-order polynomial"</f>
        <v>Third-order polynomial</v>
      </c>
      <c r="W2" t="s">
        <v>13</v>
      </c>
    </row>
    <row r="3" spans="1:33" ht="14.25" x14ac:dyDescent="0.2">
      <c r="A3" s="1"/>
      <c r="B3" s="68" t="s">
        <v>2</v>
      </c>
      <c r="C3" s="25">
        <v>37012</v>
      </c>
      <c r="D3" s="11"/>
      <c r="E3" s="26" t="s">
        <v>11</v>
      </c>
      <c r="F3" s="11"/>
      <c r="G3" s="11"/>
      <c r="H3" s="27"/>
      <c r="I3" s="13"/>
      <c r="J3" s="15" t="s">
        <v>61</v>
      </c>
      <c r="K3" s="16">
        <v>0.53500000000000003</v>
      </c>
      <c r="L3" s="1"/>
      <c r="M3" s="1"/>
      <c r="N3" s="1"/>
      <c r="O3" s="11"/>
      <c r="P3" s="11"/>
      <c r="W3" t="s">
        <v>14</v>
      </c>
    </row>
    <row r="4" spans="1:33" x14ac:dyDescent="0.2">
      <c r="A4" s="1"/>
      <c r="B4" s="68" t="s">
        <v>3</v>
      </c>
      <c r="C4" s="25">
        <f>VLOOKUP(Contract,ExpiryTable,MATCH(Commodity,expiry!C2:E2)+2)</f>
        <v>37222</v>
      </c>
      <c r="D4" s="11"/>
      <c r="E4" s="11"/>
      <c r="F4" s="11"/>
      <c r="G4" s="11"/>
      <c r="H4" s="28"/>
      <c r="I4" s="13"/>
      <c r="J4" s="68" t="s">
        <v>59</v>
      </c>
      <c r="K4" s="72" t="s">
        <v>56</v>
      </c>
      <c r="L4" s="1"/>
      <c r="M4" s="1"/>
      <c r="N4" s="1"/>
      <c r="O4" s="11"/>
      <c r="P4" s="11"/>
      <c r="W4" t="s">
        <v>15</v>
      </c>
    </row>
    <row r="5" spans="1:33" x14ac:dyDescent="0.2">
      <c r="A5" s="1"/>
      <c r="B5" s="68" t="s">
        <v>4</v>
      </c>
      <c r="C5" s="109">
        <v>5.1790000000000003</v>
      </c>
      <c r="D5" s="11"/>
      <c r="E5" s="11"/>
      <c r="F5" s="11"/>
      <c r="G5" s="11"/>
      <c r="H5" s="29"/>
      <c r="I5" s="17"/>
      <c r="J5" s="69" t="s">
        <v>54</v>
      </c>
      <c r="K5" s="73">
        <v>37226</v>
      </c>
      <c r="L5" s="11"/>
      <c r="M5" s="11"/>
      <c r="N5" s="11"/>
      <c r="O5" s="1"/>
      <c r="P5" s="11"/>
      <c r="W5" t="s">
        <v>31</v>
      </c>
    </row>
    <row r="6" spans="1:33" x14ac:dyDescent="0.2">
      <c r="A6" s="1"/>
      <c r="B6" s="68" t="s">
        <v>5</v>
      </c>
      <c r="C6" s="30">
        <v>4.2900000000000001E-2</v>
      </c>
      <c r="D6" s="31"/>
      <c r="E6" s="31"/>
      <c r="F6" s="31"/>
      <c r="G6" s="31"/>
      <c r="H6" s="31"/>
      <c r="I6" s="17"/>
      <c r="J6" s="11"/>
      <c r="K6" s="11"/>
      <c r="L6" s="11"/>
      <c r="M6" s="11"/>
      <c r="N6" s="11"/>
      <c r="O6" s="22"/>
      <c r="P6" s="1"/>
      <c r="W6">
        <v>2</v>
      </c>
    </row>
    <row r="7" spans="1:33" x14ac:dyDescent="0.2">
      <c r="A7" s="1"/>
      <c r="B7" s="70" t="s">
        <v>33</v>
      </c>
      <c r="C7" s="30">
        <v>4.2900000000000001E-2</v>
      </c>
      <c r="D7" s="2"/>
      <c r="E7" s="3"/>
      <c r="F7" s="3"/>
      <c r="G7" s="3"/>
      <c r="H7" s="3"/>
      <c r="I7" s="17"/>
      <c r="J7" s="11"/>
      <c r="K7" s="11"/>
      <c r="L7" s="11"/>
      <c r="M7" s="11"/>
      <c r="N7" s="11"/>
      <c r="O7" s="11"/>
      <c r="P7" s="1"/>
      <c r="W7">
        <f>+W6+1</f>
        <v>3</v>
      </c>
    </row>
    <row r="8" spans="1:33" ht="25.5" x14ac:dyDescent="0.2">
      <c r="A8" s="1"/>
      <c r="B8" s="4" t="s">
        <v>10</v>
      </c>
      <c r="C8" s="5"/>
      <c r="D8" s="5"/>
      <c r="E8" s="5"/>
      <c r="F8" s="5"/>
      <c r="G8" s="6"/>
      <c r="H8" s="3"/>
      <c r="I8" s="17"/>
      <c r="J8" s="18" t="s">
        <v>1</v>
      </c>
      <c r="K8" s="18" t="s">
        <v>0</v>
      </c>
      <c r="L8" s="18" t="s">
        <v>6</v>
      </c>
      <c r="M8" s="19" t="s">
        <v>7</v>
      </c>
      <c r="N8" s="19" t="s">
        <v>8</v>
      </c>
      <c r="O8" s="11"/>
      <c r="P8" s="1"/>
    </row>
    <row r="9" spans="1:33" x14ac:dyDescent="0.2">
      <c r="A9" s="1"/>
      <c r="B9" s="7">
        <v>-0.3</v>
      </c>
      <c r="C9" s="7">
        <v>-0.2</v>
      </c>
      <c r="D9" s="7">
        <v>-0.1</v>
      </c>
      <c r="E9" s="7">
        <v>0.1</v>
      </c>
      <c r="F9" s="7">
        <v>0.2</v>
      </c>
      <c r="G9" s="7">
        <v>0.3</v>
      </c>
      <c r="H9" s="3"/>
      <c r="I9" s="17"/>
      <c r="J9" s="20">
        <v>1.48</v>
      </c>
      <c r="K9" s="20">
        <v>3.9</v>
      </c>
      <c r="L9" s="20">
        <v>1</v>
      </c>
      <c r="M9" s="21">
        <f>IF(J9,(K9/UnderlyingPrice-1),"")</f>
        <v>-0.24695887236918335</v>
      </c>
      <c r="N9" s="21">
        <f>IF(J9,_xll.IMPVOLAB(J9,UnderlyingPrice,K9,IntRate,Yield,100,Expiry-Today,L9,100,0.0001),"")</f>
        <v>0.50259537111141617</v>
      </c>
      <c r="O9" s="11"/>
      <c r="P9" s="11"/>
      <c r="Q9" t="s">
        <v>118</v>
      </c>
      <c r="R9">
        <v>2.2000000000000002</v>
      </c>
      <c r="W9" s="32" t="s">
        <v>20</v>
      </c>
      <c r="X9">
        <v>2</v>
      </c>
      <c r="Y9" s="23">
        <v>3</v>
      </c>
      <c r="Z9" s="23">
        <v>4</v>
      </c>
      <c r="AA9">
        <v>5</v>
      </c>
      <c r="AC9" s="32" t="s">
        <v>52</v>
      </c>
      <c r="AD9">
        <v>2</v>
      </c>
      <c r="AE9" s="23">
        <v>3</v>
      </c>
      <c r="AF9">
        <v>4</v>
      </c>
      <c r="AG9">
        <v>5</v>
      </c>
    </row>
    <row r="10" spans="1:33" x14ac:dyDescent="0.2">
      <c r="A10" s="1"/>
      <c r="B10" s="8">
        <f t="shared" ref="B10:G10" ca="1" si="0">VLOOKUP(B9,ImpVolTable,2)-ATMImpVol</f>
        <v>-1.0607565149999942E-2</v>
      </c>
      <c r="C10" s="8">
        <f t="shared" ca="1" si="0"/>
        <v>-9.8923891000000097E-3</v>
      </c>
      <c r="D10" s="8">
        <f t="shared" ca="1" si="0"/>
        <v>-6.5341040499999892E-3</v>
      </c>
      <c r="E10" s="8">
        <f t="shared" ca="1" si="0"/>
        <v>1.0242633050000061E-2</v>
      </c>
      <c r="F10" s="8">
        <f t="shared" ca="1" si="0"/>
        <v>2.4726505100000074E-2</v>
      </c>
      <c r="G10" s="8">
        <f t="shared" ca="1" si="0"/>
        <v>4.3984326150000141E-2</v>
      </c>
      <c r="H10" s="3"/>
      <c r="I10" s="17"/>
      <c r="J10" s="20">
        <v>1.347</v>
      </c>
      <c r="K10" s="20">
        <v>4.0999999999999996</v>
      </c>
      <c r="L10" s="20">
        <v>1</v>
      </c>
      <c r="M10" s="21">
        <f t="shared" ref="M10:M26" si="1">IF(J10,(K10/UnderlyingPrice-1),"")</f>
        <v>-0.20834137864452607</v>
      </c>
      <c r="N10" s="21">
        <f>IF(J10,_xll.IMPVOLAB(J10,UnderlyingPrice,K10,IntRate,Yield,100,Expiry-Today,L10,100,0.0001),"")</f>
        <v>0.50689865730997674</v>
      </c>
      <c r="O10" s="11"/>
      <c r="P10" s="11"/>
      <c r="Q10" t="s">
        <v>115</v>
      </c>
      <c r="R10">
        <v>3</v>
      </c>
      <c r="W10" s="33" t="s">
        <v>21</v>
      </c>
      <c r="X10" s="34">
        <f>+VALUE(CONCATENATE(AC17,AD17))</f>
        <v>0.52117999999999998</v>
      </c>
      <c r="Y10" s="34">
        <f>+VALUE(CONCATENATE(AF18,AG18))</f>
        <v>0.52031000000000005</v>
      </c>
      <c r="Z10" s="34">
        <f>+VALUE(CONCATENATE(AI19,AJ19))</f>
        <v>0.52139999999999997</v>
      </c>
      <c r="AA10" s="34">
        <f>+VALUE(CONCATENATE(AL20,AM20))</f>
        <v>0.52171999999999996</v>
      </c>
      <c r="AC10" s="33" t="s">
        <v>21</v>
      </c>
      <c r="AD10" s="34">
        <f>+X12*2</f>
        <v>0.27016000000000001</v>
      </c>
      <c r="AE10" s="34">
        <f>+Y12*2</f>
        <v>0.37618000000000001</v>
      </c>
      <c r="AF10" s="34">
        <f>+Z12*2</f>
        <v>0.20985999999999999</v>
      </c>
      <c r="AG10" s="34">
        <f>+AA12*2</f>
        <v>0.100552</v>
      </c>
    </row>
    <row r="11" spans="1:33" x14ac:dyDescent="0.2">
      <c r="A11" s="1"/>
      <c r="B11" s="9"/>
      <c r="C11" s="10"/>
      <c r="D11" s="3"/>
      <c r="E11" s="3"/>
      <c r="F11" s="3"/>
      <c r="G11" s="3"/>
      <c r="H11" s="3"/>
      <c r="I11" s="17"/>
      <c r="J11" s="20">
        <v>0.97899999999999998</v>
      </c>
      <c r="K11" s="20">
        <v>4.75</v>
      </c>
      <c r="L11" s="20">
        <v>1</v>
      </c>
      <c r="M11" s="21">
        <f t="shared" si="1"/>
        <v>-8.2834524039389845E-2</v>
      </c>
      <c r="N11" s="21">
        <f>IF(J11,_xll.IMPVOLAB(J11,UnderlyingPrice,K11,IntRate,Yield,100,Expiry-Today,L11,100,0.0001),"")</f>
        <v>0.51241672743255673</v>
      </c>
      <c r="O11" s="11"/>
      <c r="P11" s="11"/>
      <c r="Q11" t="s">
        <v>119</v>
      </c>
      <c r="R11">
        <v>4</v>
      </c>
      <c r="W11" s="33" t="s">
        <v>22</v>
      </c>
      <c r="X11" s="34">
        <f>+VALUE(CONCATENATE(AA17,AB17))</f>
        <v>8.5339999999999999E-2</v>
      </c>
      <c r="Y11" s="34">
        <f>+VALUE(CONCATENATE(AD18,AE18))</f>
        <v>8.6731000000000003E-2</v>
      </c>
      <c r="Z11" s="34">
        <f>+VALUE(CONCATENATE(AG19,AH19))</f>
        <v>0.10537000000000001</v>
      </c>
      <c r="AA11" s="34">
        <f>+VALUE(CONCATENATE(AJ20,AK20))</f>
        <v>9.2386999999999997E-2</v>
      </c>
      <c r="AC11" s="33" t="s">
        <v>22</v>
      </c>
      <c r="AE11" s="34">
        <f>+Y13*6</f>
        <v>0.53271000000000002</v>
      </c>
      <c r="AF11" s="34">
        <f>+Z13*6</f>
        <v>-4.0229999999999997</v>
      </c>
      <c r="AG11" s="34">
        <f>+AA13*6</f>
        <v>-1.17012</v>
      </c>
    </row>
    <row r="12" spans="1:33" x14ac:dyDescent="0.2">
      <c r="A12" s="1"/>
      <c r="B12" s="11"/>
      <c r="C12" s="12"/>
      <c r="D12" s="12"/>
      <c r="E12" s="12"/>
      <c r="F12" s="12"/>
      <c r="G12" s="12"/>
      <c r="H12" s="12"/>
      <c r="I12" s="17"/>
      <c r="J12" s="20">
        <v>0.70099999999999996</v>
      </c>
      <c r="K12" s="20">
        <v>5.45</v>
      </c>
      <c r="L12" s="20">
        <v>1</v>
      </c>
      <c r="M12" s="21">
        <f t="shared" si="1"/>
        <v>5.232670399691064E-2</v>
      </c>
      <c r="N12" s="21">
        <f>IF(J12,_xll.IMPVOLAB(J12,UnderlyingPrice,K12,IntRate,Yield,100,Expiry-Today,L12,100,0.0001),"")</f>
        <v>0.5273011798530417</v>
      </c>
      <c r="O12" s="11"/>
      <c r="P12" s="11"/>
      <c r="Q12" t="s">
        <v>120</v>
      </c>
      <c r="R12">
        <v>4.5</v>
      </c>
      <c r="W12" s="33" t="s">
        <v>23</v>
      </c>
      <c r="X12" s="34">
        <f>+Y17</f>
        <v>0.13508000000000001</v>
      </c>
      <c r="Y12" s="34">
        <f>+VALUE(CONCATENATE(AA18,AB18))</f>
        <v>0.18809000000000001</v>
      </c>
      <c r="Z12" s="34">
        <f>+VALUE(CONCATENATE(AD19,AE19))</f>
        <v>0.10493</v>
      </c>
      <c r="AA12" s="34">
        <f>+VALUE(CONCATENATE(AG20,AH20))</f>
        <v>5.0276000000000001E-2</v>
      </c>
      <c r="AC12" s="33" t="s">
        <v>23</v>
      </c>
      <c r="AE12" s="34"/>
      <c r="AF12" s="34">
        <f>12*Z14</f>
        <v>-11.91816</v>
      </c>
      <c r="AG12" s="34">
        <f>12*AA14</f>
        <v>14.961599999999999</v>
      </c>
    </row>
    <row r="13" spans="1:33" x14ac:dyDescent="0.2">
      <c r="A13" s="1"/>
      <c r="B13" s="9"/>
      <c r="C13" s="1"/>
      <c r="D13" s="1"/>
      <c r="E13" s="1"/>
      <c r="F13" s="1"/>
      <c r="G13" s="1"/>
      <c r="H13" s="1"/>
      <c r="I13" s="17"/>
      <c r="J13" s="20">
        <v>0.66800000000000004</v>
      </c>
      <c r="K13" s="20">
        <v>5.55</v>
      </c>
      <c r="L13" s="20">
        <v>1</v>
      </c>
      <c r="M13" s="21">
        <f t="shared" si="1"/>
        <v>7.1635450859239169E-2</v>
      </c>
      <c r="N13" s="21">
        <f>IF(J13,_xll.IMPVOLAB(J13,UnderlyingPrice,K13,IntRate,Yield,100,Expiry-Today,L13,100,0.0001),"")</f>
        <v>0.53016496510590727</v>
      </c>
      <c r="O13" s="11"/>
      <c r="P13" s="11"/>
      <c r="Q13" t="s">
        <v>121</v>
      </c>
      <c r="R13">
        <v>5</v>
      </c>
      <c r="W13" s="33" t="s">
        <v>24</v>
      </c>
      <c r="X13" s="34"/>
      <c r="Y13" s="34">
        <f>+Y18</f>
        <v>8.8785000000000003E-2</v>
      </c>
      <c r="Z13" s="34">
        <f>+VALUE(CONCATENATE(AA19,AB19))</f>
        <v>-0.67049999999999998</v>
      </c>
      <c r="AA13" s="34">
        <f>VALUE(CONCATENATE(AD20,AE20))</f>
        <v>-0.19502</v>
      </c>
      <c r="AC13" s="33" t="s">
        <v>24</v>
      </c>
      <c r="AE13" s="34"/>
      <c r="AF13" s="34"/>
      <c r="AG13">
        <f>+AA15*20</f>
        <v>45.919999999999995</v>
      </c>
    </row>
    <row r="14" spans="1:33" x14ac:dyDescent="0.2">
      <c r="A14" s="1"/>
      <c r="B14" s="11"/>
      <c r="C14" s="1"/>
      <c r="D14" s="1"/>
      <c r="E14" s="1"/>
      <c r="F14" s="1"/>
      <c r="G14" s="1"/>
      <c r="H14" s="1"/>
      <c r="I14" s="17"/>
      <c r="J14" s="20">
        <v>0.54200000000000004</v>
      </c>
      <c r="K14" s="20">
        <v>6</v>
      </c>
      <c r="L14" s="20">
        <v>1</v>
      </c>
      <c r="M14" s="21">
        <f t="shared" si="1"/>
        <v>0.158524811739718</v>
      </c>
      <c r="N14" s="21">
        <f>IF(J14,_xll.IMPVOLAB(J14,UnderlyingPrice,K14,IntRate,Yield,100,Expiry-Today,L14,100,0.0001),"")</f>
        <v>0.53961855213740617</v>
      </c>
      <c r="O14" s="11"/>
      <c r="P14" s="11"/>
      <c r="Q14" t="s">
        <v>122</v>
      </c>
      <c r="R14">
        <v>5.45</v>
      </c>
      <c r="W14" s="33" t="s">
        <v>25</v>
      </c>
      <c r="X14" s="23"/>
      <c r="Z14" s="34">
        <f>+Y19</f>
        <v>-0.99317999999999995</v>
      </c>
      <c r="AA14" s="34">
        <f>+VALUE(CONCATENATE(AA20,AB20))</f>
        <v>1.2467999999999999</v>
      </c>
    </row>
    <row r="15" spans="1:33" x14ac:dyDescent="0.2">
      <c r="A15" s="1"/>
      <c r="B15" s="9"/>
      <c r="C15" s="1"/>
      <c r="D15" s="1"/>
      <c r="E15" s="1"/>
      <c r="F15" s="1"/>
      <c r="G15" s="1"/>
      <c r="H15" s="1"/>
      <c r="I15" s="17"/>
      <c r="J15" s="20">
        <v>6.0000000000000001E-3</v>
      </c>
      <c r="K15" s="20">
        <v>2.2000000000000002</v>
      </c>
      <c r="L15" s="20">
        <v>0</v>
      </c>
      <c r="M15" s="21">
        <f t="shared" si="1"/>
        <v>-0.57520756902877002</v>
      </c>
      <c r="N15" s="21">
        <f>IF(J15,_xll.IMPVOLAB(J15,UnderlyingPrice,K15,IntRate,Yield,100,Expiry-Today,L15,100,0.0001),"")</f>
        <v>0.51421064133658556</v>
      </c>
      <c r="O15" s="11"/>
      <c r="P15" s="11"/>
      <c r="Q15" t="s">
        <v>123</v>
      </c>
      <c r="R15">
        <v>5.95</v>
      </c>
      <c r="W15" s="33" t="s">
        <v>32</v>
      </c>
      <c r="AA15" s="34">
        <f>+Y20</f>
        <v>2.2959999999999998</v>
      </c>
    </row>
    <row r="16" spans="1:33" x14ac:dyDescent="0.2">
      <c r="A16" s="1"/>
      <c r="B16" s="9"/>
      <c r="C16" s="1"/>
      <c r="D16" s="1"/>
      <c r="E16" s="1"/>
      <c r="F16" s="1"/>
      <c r="G16" s="1"/>
      <c r="H16" s="1"/>
      <c r="I16" s="17"/>
      <c r="J16" s="20">
        <v>5.3999999999999999E-2</v>
      </c>
      <c r="K16" s="20">
        <v>3</v>
      </c>
      <c r="L16" s="20">
        <v>0</v>
      </c>
      <c r="M16" s="21">
        <f t="shared" si="1"/>
        <v>-0.420737594130141</v>
      </c>
      <c r="N16" s="21">
        <f>IF(J16,_xll.IMPVOLAB(J16,UnderlyingPrice,K16,IntRate,Yield,100,Expiry-Today,L16,100,0.0001),"")</f>
        <v>0.51535334415746925</v>
      </c>
      <c r="O16" s="11"/>
      <c r="P16" s="1"/>
    </row>
    <row r="17" spans="1:44" x14ac:dyDescent="0.2">
      <c r="A17" s="1"/>
      <c r="B17" s="9"/>
      <c r="C17" s="1"/>
      <c r="D17" s="1"/>
      <c r="E17" s="1"/>
      <c r="F17" s="1"/>
      <c r="G17" s="1"/>
      <c r="H17" s="1"/>
      <c r="I17" s="17"/>
      <c r="J17" s="20">
        <v>0.26100000000000001</v>
      </c>
      <c r="K17" s="20">
        <v>4</v>
      </c>
      <c r="L17" s="20">
        <v>0</v>
      </c>
      <c r="M17" s="21">
        <f t="shared" si="1"/>
        <v>-0.22765012550685459</v>
      </c>
      <c r="N17" s="21">
        <f>IF(J17,_xll.IMPVOLAB(J17,UnderlyingPrice,K17,IntRate,Yield,100,Expiry-Today,L17,100,0.0001),"")</f>
        <v>0.51293260694835452</v>
      </c>
      <c r="O17" s="11"/>
      <c r="P17" s="1"/>
      <c r="W17" s="37" t="s">
        <v>16</v>
      </c>
      <c r="X17" t="s">
        <v>17</v>
      </c>
      <c r="Y17" s="38">
        <v>0.13508000000000001</v>
      </c>
      <c r="Z17">
        <v>2</v>
      </c>
      <c r="AA17" t="s">
        <v>19</v>
      </c>
      <c r="AB17" s="38">
        <v>8.5339999999999999E-2</v>
      </c>
      <c r="AC17" t="s">
        <v>19</v>
      </c>
      <c r="AD17" s="38">
        <v>0.52117999999999998</v>
      </c>
    </row>
    <row r="18" spans="1:44" x14ac:dyDescent="0.2">
      <c r="A18" s="1"/>
      <c r="B18" s="11"/>
      <c r="C18" s="1"/>
      <c r="D18" s="1"/>
      <c r="E18" s="1"/>
      <c r="F18" s="1"/>
      <c r="G18" s="1"/>
      <c r="H18" s="1"/>
      <c r="I18" s="17"/>
      <c r="J18" s="20">
        <v>0.44600000000000001</v>
      </c>
      <c r="K18" s="20">
        <v>4.5</v>
      </c>
      <c r="L18" s="20">
        <v>0</v>
      </c>
      <c r="M18" s="21">
        <f t="shared" si="1"/>
        <v>-0.1311063911952115</v>
      </c>
      <c r="N18" s="21">
        <f>IF(J18,_xll.IMPVOLAB(J18,UnderlyingPrice,K18,IntRate,Yield,100,Expiry-Today,L18,100,0.0001),"")</f>
        <v>0.51343559756985069</v>
      </c>
      <c r="O18" s="1"/>
      <c r="P18" s="11"/>
      <c r="W18" s="37" t="s">
        <v>16</v>
      </c>
      <c r="X18" t="s">
        <v>17</v>
      </c>
      <c r="Y18" s="38">
        <v>8.8785000000000003E-2</v>
      </c>
      <c r="Z18">
        <v>3</v>
      </c>
      <c r="AA18" t="s">
        <v>19</v>
      </c>
      <c r="AB18" s="38">
        <v>0.18809000000000001</v>
      </c>
      <c r="AC18">
        <v>2</v>
      </c>
      <c r="AD18" t="s">
        <v>19</v>
      </c>
      <c r="AE18" s="38">
        <v>8.6731000000000003E-2</v>
      </c>
      <c r="AF18" t="s">
        <v>19</v>
      </c>
      <c r="AG18" s="38">
        <v>0.52031000000000005</v>
      </c>
    </row>
    <row r="19" spans="1:44" x14ac:dyDescent="0.2">
      <c r="A19" s="1"/>
      <c r="B19" s="9"/>
      <c r="C19" s="1"/>
      <c r="D19" s="1"/>
      <c r="E19" s="1"/>
      <c r="F19" s="1"/>
      <c r="G19" s="1"/>
      <c r="H19" s="1"/>
      <c r="I19" s="17"/>
      <c r="J19" s="20">
        <v>0.69399999999999995</v>
      </c>
      <c r="K19" s="20">
        <v>5</v>
      </c>
      <c r="L19" s="20">
        <v>0</v>
      </c>
      <c r="M19" s="21">
        <f t="shared" si="1"/>
        <v>-3.4562656883568299E-2</v>
      </c>
      <c r="N19" s="21">
        <f>IF(J19,_xll.IMPVOLAB(J19,UnderlyingPrice,K19,IntRate,Yield,100,Expiry-Today,L19,100,0.0001),"")</f>
        <v>0.51803939219606721</v>
      </c>
      <c r="O19" s="1"/>
      <c r="P19" s="11"/>
      <c r="W19" s="37" t="s">
        <v>16</v>
      </c>
      <c r="X19" t="s">
        <v>17</v>
      </c>
      <c r="Y19" s="38">
        <v>-0.99317999999999995</v>
      </c>
      <c r="Z19">
        <v>4</v>
      </c>
      <c r="AA19" t="s">
        <v>18</v>
      </c>
      <c r="AB19" s="38">
        <v>0.67049999999999998</v>
      </c>
      <c r="AC19">
        <v>3</v>
      </c>
      <c r="AD19" t="s">
        <v>19</v>
      </c>
      <c r="AE19" s="38">
        <v>0.10493</v>
      </c>
      <c r="AF19">
        <v>2</v>
      </c>
      <c r="AG19" t="s">
        <v>19</v>
      </c>
      <c r="AH19" s="38">
        <v>0.10537000000000001</v>
      </c>
      <c r="AI19" t="s">
        <v>19</v>
      </c>
      <c r="AJ19" s="38">
        <v>0.52139999999999997</v>
      </c>
    </row>
    <row r="20" spans="1:44" x14ac:dyDescent="0.2">
      <c r="A20" s="1"/>
      <c r="B20" s="11"/>
      <c r="C20" s="1"/>
      <c r="D20" s="1"/>
      <c r="E20" s="1"/>
      <c r="F20" s="1"/>
      <c r="G20" s="1"/>
      <c r="H20" s="1"/>
      <c r="I20" s="17"/>
      <c r="J20" s="20">
        <v>0.96499999999999997</v>
      </c>
      <c r="K20" s="20">
        <v>5.45</v>
      </c>
      <c r="L20" s="20">
        <v>0</v>
      </c>
      <c r="M20" s="21">
        <f t="shared" si="1"/>
        <v>5.232670399691064E-2</v>
      </c>
      <c r="N20" s="21">
        <f>IF(J20,_xll.IMPVOLAB(J20,UnderlyingPrice,K20,IntRate,Yield,100,Expiry-Today,L20,100,0.0001),"")</f>
        <v>0.52578619530615178</v>
      </c>
      <c r="O20" s="1"/>
      <c r="P20" s="11"/>
      <c r="W20" s="37" t="s">
        <v>16</v>
      </c>
      <c r="X20" t="s">
        <v>17</v>
      </c>
      <c r="Y20" s="38">
        <v>2.2959999999999998</v>
      </c>
      <c r="Z20">
        <v>5</v>
      </c>
      <c r="AA20" t="s">
        <v>19</v>
      </c>
      <c r="AB20" s="38">
        <v>1.2467999999999999</v>
      </c>
      <c r="AC20">
        <v>4</v>
      </c>
      <c r="AD20" t="s">
        <v>18</v>
      </c>
      <c r="AE20" s="38">
        <v>0.19502</v>
      </c>
      <c r="AF20">
        <v>3</v>
      </c>
      <c r="AG20" t="s">
        <v>19</v>
      </c>
      <c r="AH20" s="38">
        <v>5.0276000000000001E-2</v>
      </c>
      <c r="AI20">
        <v>2</v>
      </c>
      <c r="AJ20" t="s">
        <v>19</v>
      </c>
      <c r="AK20" s="38">
        <v>9.2386999999999997E-2</v>
      </c>
      <c r="AL20" t="s">
        <v>19</v>
      </c>
      <c r="AM20" s="38">
        <v>0.52171999999999996</v>
      </c>
    </row>
    <row r="21" spans="1:44" x14ac:dyDescent="0.2">
      <c r="A21" s="1"/>
      <c r="B21" s="9"/>
      <c r="C21" s="1"/>
      <c r="D21" s="1"/>
      <c r="E21" s="1"/>
      <c r="F21" s="1"/>
      <c r="G21" s="1"/>
      <c r="H21" s="1"/>
      <c r="I21" s="17"/>
      <c r="J21" s="20">
        <v>1.3069999999999999</v>
      </c>
      <c r="K21" s="20">
        <v>5.95</v>
      </c>
      <c r="L21" s="20">
        <v>0</v>
      </c>
      <c r="M21" s="21">
        <f t="shared" si="1"/>
        <v>0.14887043830855373</v>
      </c>
      <c r="N21" s="21">
        <f>IF(J21,_xll.IMPVOLAB(J21,UnderlyingPrice,K21,IntRate,Yield,100,Expiry-Today,L21,100,0.0001),"")</f>
        <v>0.53432564671671445</v>
      </c>
      <c r="O21" s="11"/>
      <c r="P21" s="11"/>
    </row>
    <row r="22" spans="1:44" x14ac:dyDescent="0.2">
      <c r="A22" s="1"/>
      <c r="B22" s="11"/>
      <c r="C22" s="1"/>
      <c r="D22" s="1"/>
      <c r="E22" s="1"/>
      <c r="F22" s="1"/>
      <c r="G22" s="1"/>
      <c r="H22" s="1"/>
      <c r="I22" s="1"/>
      <c r="J22" s="20"/>
      <c r="K22" s="20"/>
      <c r="L22" s="20"/>
      <c r="M22" s="21" t="str">
        <f t="shared" si="1"/>
        <v/>
      </c>
      <c r="N22" s="21" t="str">
        <f>IF(J22,_xll.IMPVOLAB(J22,UnderlyingPrice,K22,IntRate,Yield,100,Expiry-Today,L22,100,0.0001),"")</f>
        <v/>
      </c>
      <c r="O22" s="11"/>
      <c r="P22" s="11"/>
    </row>
    <row r="23" spans="1:44" x14ac:dyDescent="0.2">
      <c r="A23" s="1"/>
      <c r="B23" s="9"/>
      <c r="C23" s="1"/>
      <c r="D23" s="1"/>
      <c r="E23" s="1"/>
      <c r="F23" s="1"/>
      <c r="G23" s="1"/>
      <c r="H23" s="1"/>
      <c r="I23" s="1"/>
      <c r="J23" s="20"/>
      <c r="K23" s="20"/>
      <c r="L23" s="20"/>
      <c r="M23" s="21" t="str">
        <f t="shared" si="1"/>
        <v/>
      </c>
      <c r="N23" s="21" t="str">
        <f>IF(J23,_xll.IMPVOLAB(J23,UnderlyingPrice,K23,IntRate,Yield,100,Expiry-Today,L23,100,0.0001),"")</f>
        <v/>
      </c>
      <c r="O23" s="11"/>
      <c r="P23" s="1"/>
    </row>
    <row r="24" spans="1:44" x14ac:dyDescent="0.2">
      <c r="A24" s="1"/>
      <c r="B24" s="1"/>
      <c r="C24" s="1"/>
      <c r="D24" s="1"/>
      <c r="E24" s="1"/>
      <c r="F24" s="1"/>
      <c r="G24" s="1"/>
      <c r="H24" s="1"/>
      <c r="I24" s="1"/>
      <c r="J24" s="20"/>
      <c r="K24" s="20"/>
      <c r="L24" s="20"/>
      <c r="M24" s="21" t="str">
        <f t="shared" si="1"/>
        <v/>
      </c>
      <c r="N24" s="21" t="str">
        <f>IF(J24,_xll.IMPVOLAB(J24,UnderlyingPrice,K24,IntRate,Yield,100,Expiry-Today,L24,100,0.0001),"")</f>
        <v/>
      </c>
      <c r="O24" s="1"/>
      <c r="P24" s="1"/>
    </row>
    <row r="25" spans="1:44" x14ac:dyDescent="0.2">
      <c r="A25" s="1"/>
      <c r="B25" s="11"/>
      <c r="C25" s="11"/>
      <c r="D25" s="11"/>
      <c r="E25" s="11"/>
      <c r="F25" s="11"/>
      <c r="G25" s="11"/>
      <c r="H25" s="1"/>
      <c r="I25" s="11"/>
      <c r="J25" s="20"/>
      <c r="K25" s="20"/>
      <c r="L25" s="20"/>
      <c r="M25" s="21" t="str">
        <f t="shared" si="1"/>
        <v/>
      </c>
      <c r="N25" s="21" t="str">
        <f>IF(J25,_xll.IMPVOLAB(J25,UnderlyingPrice,K25,IntRate,Yield,100,Expiry-Today,L25,100,0.0001),"")</f>
        <v/>
      </c>
      <c r="O25" s="11"/>
      <c r="P25" s="11"/>
    </row>
    <row r="26" spans="1:44" x14ac:dyDescent="0.2">
      <c r="A26" s="1"/>
      <c r="B26" s="11"/>
      <c r="C26" s="11"/>
      <c r="D26" s="1"/>
      <c r="E26" s="1"/>
      <c r="F26" s="1"/>
      <c r="G26" s="11"/>
      <c r="H26" s="1"/>
      <c r="I26" s="11"/>
      <c r="J26" s="20"/>
      <c r="K26" s="20"/>
      <c r="L26" s="20"/>
      <c r="M26" s="21" t="str">
        <f t="shared" si="1"/>
        <v/>
      </c>
      <c r="N26" s="21" t="str">
        <f>IF(J26,_xll.IMPVOLAB(J26,UnderlyingPrice,K26,IntRate,Yield,100,Expiry-Today,L26,100,0.0001),"")</f>
        <v/>
      </c>
      <c r="O26" s="11"/>
      <c r="P26" s="11"/>
    </row>
    <row r="27" spans="1:44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"/>
      <c r="L27" s="1"/>
      <c r="M27" s="1"/>
      <c r="N27" s="1"/>
      <c r="O27" s="11"/>
      <c r="P27" s="11"/>
    </row>
    <row r="28" spans="1:44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X28">
        <f ca="1">ROUNDUP(MAX(StrikeRange),0)-ROUNDDOWN(MIN(StrikeRange),0)</f>
        <v>4</v>
      </c>
      <c r="AH28" t="s">
        <v>116</v>
      </c>
      <c r="AN28" t="s">
        <v>113</v>
      </c>
      <c r="AO28">
        <v>2</v>
      </c>
      <c r="AP28" s="23">
        <v>3</v>
      </c>
      <c r="AQ28" s="23">
        <v>4</v>
      </c>
      <c r="AR28">
        <v>5</v>
      </c>
    </row>
    <row r="29" spans="1:44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W29">
        <f ca="1">ROUNDUP(MAX(MoneynessRange),2)</f>
        <v>0.16</v>
      </c>
      <c r="X29">
        <f ca="1">+(MaxMoneyness-MinMoneyness)*100</f>
        <v>74</v>
      </c>
      <c r="AF29" t="s">
        <v>60</v>
      </c>
      <c r="AH29">
        <v>37012</v>
      </c>
      <c r="AJ29" t="s">
        <v>104</v>
      </c>
      <c r="AK29" t="s">
        <v>105</v>
      </c>
      <c r="AN29" t="s">
        <v>21</v>
      </c>
      <c r="AO29" s="34">
        <f>+VALUE(CONCATENATE(AT36,AU36))</f>
        <v>0.49275999999999998</v>
      </c>
      <c r="AP29" s="34">
        <f>+VALUE(CONCATENATE(AW37,AX37))</f>
        <v>0.49163000000000001</v>
      </c>
      <c r="AQ29" s="34">
        <f>+VALUE(CONCATENATE(AZ38,BA38))</f>
        <v>0.49295</v>
      </c>
      <c r="AR29" s="34">
        <f>+VALUE(CONCATENATE(BC39,BD39))</f>
        <v>0.49245</v>
      </c>
    </row>
    <row r="30" spans="1:44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W30">
        <v>13</v>
      </c>
      <c r="Z30" s="110" t="s">
        <v>29</v>
      </c>
      <c r="AA30" s="110"/>
      <c r="AF30">
        <v>-8</v>
      </c>
      <c r="AG30">
        <f>+IF(+AF30+UnderlyingPrice&lt;0,-2,+AF30/UnderlyingPrice)</f>
        <v>-2</v>
      </c>
      <c r="AH30">
        <v>0.5</v>
      </c>
      <c r="AI30" s="71">
        <f>+AH30/100</f>
        <v>5.0000000000000001E-3</v>
      </c>
      <c r="AJ30" s="71">
        <f>+AI30+$K$3</f>
        <v>0.54</v>
      </c>
      <c r="AK30" t="str">
        <f t="shared" ref="AK30:AK49" si="2">+IF(AG30=-2,"",(AJ31-AJ30)/(AG31-AG30))</f>
        <v/>
      </c>
      <c r="AM30" s="71"/>
      <c r="AN30" t="s">
        <v>22</v>
      </c>
      <c r="AO30" s="34">
        <f>+VALUE(CONCATENATE(AR36,AS36))</f>
        <v>2.3084E-2</v>
      </c>
      <c r="AP30" s="34">
        <f>+VALUE(CONCATENATE(AU37,AV37))</f>
        <v>3.8129000000000003E-2</v>
      </c>
      <c r="AQ30" s="34">
        <f>+VALUE(CONCATENATE(AX38,AY38))</f>
        <v>4.9612999999999997E-2</v>
      </c>
      <c r="AR30" s="34">
        <f>+VALUE(CONCATENATE(BA39,BB39))</f>
        <v>5.858E-2</v>
      </c>
    </row>
    <row r="31" spans="1:44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W31" s="33" t="s">
        <v>26</v>
      </c>
      <c r="X31" s="33" t="s">
        <v>27</v>
      </c>
      <c r="Z31" s="33" t="s">
        <v>28</v>
      </c>
      <c r="AA31" s="33" t="s">
        <v>30</v>
      </c>
      <c r="AF31">
        <v>-6.26</v>
      </c>
      <c r="AG31">
        <f t="shared" ref="AG31:AG49" si="3">+IF(+AF31+UnderlyingPrice&lt;0,-2,+AF31/UnderlyingPrice)</f>
        <v>-2</v>
      </c>
      <c r="AH31">
        <v>0.5</v>
      </c>
      <c r="AI31" s="71">
        <f t="shared" ref="AI31:AI49" si="4">+AH31/100</f>
        <v>5.0000000000000001E-3</v>
      </c>
      <c r="AJ31" s="71">
        <f t="shared" ref="AJ31:AJ49" si="5">+AI31+$K$3</f>
        <v>0.54</v>
      </c>
      <c r="AK31" t="str">
        <f t="shared" si="2"/>
        <v/>
      </c>
      <c r="AM31" s="71"/>
      <c r="AN31" t="s">
        <v>23</v>
      </c>
      <c r="AO31" s="34">
        <f>+AP36</f>
        <v>0.14288999999999999</v>
      </c>
      <c r="AP31" s="34">
        <f>+VALUE(CONCATENATE(AR37,AS37))</f>
        <v>0.15934999999999999</v>
      </c>
      <c r="AQ31" s="34">
        <f>+VALUE(CONCATENATE(AU38,AV38))</f>
        <v>8.3156999999999995E-2</v>
      </c>
      <c r="AR31" s="34">
        <f>+VALUE(CONCATENATE(AX39,AY39))</f>
        <v>0.11314</v>
      </c>
    </row>
    <row r="32" spans="1:44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W32">
        <f t="shared" ref="W32:W37" ca="1" si="6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0.50902511898565206</v>
      </c>
      <c r="X32" s="35">
        <f t="shared" ref="X32:X37" ca="1" si="7">+W32-N9</f>
        <v>6.4297478742358916E-3</v>
      </c>
      <c r="Z32" s="36">
        <f ca="1">ROUNDUP(MIN(MoneynessRange),2)</f>
        <v>-0.57999999999999996</v>
      </c>
      <c r="AA32">
        <f t="shared" ref="AA32:AA96" ca="1" si="8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0.51595647708000003</v>
      </c>
      <c r="AF32">
        <v>-5</v>
      </c>
      <c r="AG32">
        <f t="shared" si="3"/>
        <v>-0.9654373431164317</v>
      </c>
      <c r="AH32">
        <v>0.5</v>
      </c>
      <c r="AI32" s="71">
        <f t="shared" si="4"/>
        <v>5.0000000000000001E-3</v>
      </c>
      <c r="AJ32" s="71">
        <f t="shared" si="5"/>
        <v>0.54</v>
      </c>
      <c r="AK32">
        <f t="shared" si="2"/>
        <v>0</v>
      </c>
      <c r="AM32" s="71"/>
      <c r="AN32" t="s">
        <v>24</v>
      </c>
      <c r="AO32" s="34"/>
      <c r="AP32" s="34">
        <f>+AP37</f>
        <v>-0.10292999999999999</v>
      </c>
      <c r="AQ32" s="34">
        <f>+VALUE(CONCATENATE(AR38,AS38))</f>
        <v>-0.20402999999999999</v>
      </c>
      <c r="AR32" s="34">
        <f>VALUE(CONCATENATE(AU39,AV39))</f>
        <v>-0.39490999999999998</v>
      </c>
    </row>
    <row r="33" spans="1:5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W33">
        <f t="shared" ca="1" si="6"/>
        <v>0.50960169412392375</v>
      </c>
      <c r="X33" s="35">
        <f t="shared" ca="1" si="7"/>
        <v>2.7030368139470129E-3</v>
      </c>
      <c r="Z33" s="36">
        <f ca="1">+Z32+0.01</f>
        <v>-0.56999999999999995</v>
      </c>
      <c r="AA33">
        <f t="shared" ca="1" si="8"/>
        <v>0.51554141049500002</v>
      </c>
      <c r="AF33">
        <v>-4</v>
      </c>
      <c r="AG33">
        <f t="shared" si="3"/>
        <v>-0.77234987449314541</v>
      </c>
      <c r="AH33">
        <v>0.5</v>
      </c>
      <c r="AI33" s="71">
        <f t="shared" si="4"/>
        <v>5.0000000000000001E-3</v>
      </c>
      <c r="AJ33" s="71">
        <f t="shared" si="5"/>
        <v>0.54</v>
      </c>
      <c r="AK33">
        <f t="shared" si="2"/>
        <v>0</v>
      </c>
      <c r="AM33" s="71"/>
      <c r="AN33" t="s">
        <v>25</v>
      </c>
      <c r="AO33" s="23"/>
      <c r="AQ33" s="34">
        <f>+AP38</f>
        <v>0.41871999999999998</v>
      </c>
      <c r="AR33" s="34">
        <f>+VALUE(CONCATENATE(AR39,AS39))</f>
        <v>0.21973000000000001</v>
      </c>
    </row>
    <row r="34" spans="1:5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W34">
        <f t="shared" ca="1" si="6"/>
        <v>0.51436580633122253</v>
      </c>
      <c r="X34" s="35">
        <f t="shared" ca="1" si="7"/>
        <v>1.9490788986658014E-3</v>
      </c>
      <c r="Z34" s="36">
        <f t="shared" ref="Z34:Z92" ca="1" si="9">+Z33+0.01</f>
        <v>-0.55999999999999994</v>
      </c>
      <c r="AA34">
        <f t="shared" ca="1" si="8"/>
        <v>0.51513359743999998</v>
      </c>
      <c r="AF34">
        <v>-3</v>
      </c>
      <c r="AG34">
        <f t="shared" si="3"/>
        <v>-0.579262405869859</v>
      </c>
      <c r="AH34">
        <v>0.5</v>
      </c>
      <c r="AI34" s="71">
        <f t="shared" si="4"/>
        <v>5.0000000000000001E-3</v>
      </c>
      <c r="AJ34" s="71">
        <f t="shared" si="5"/>
        <v>0.54</v>
      </c>
      <c r="AK34">
        <f t="shared" si="2"/>
        <v>0</v>
      </c>
      <c r="AM34" s="71"/>
      <c r="AN34" t="s">
        <v>32</v>
      </c>
      <c r="AR34" s="34">
        <f>+AP39</f>
        <v>0.80901000000000001</v>
      </c>
    </row>
    <row r="35" spans="1:5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W35">
        <f t="shared" ca="1" si="6"/>
        <v>0.52537607423747879</v>
      </c>
      <c r="X35" s="35">
        <f t="shared" ca="1" si="7"/>
        <v>-1.9251056155629165E-3</v>
      </c>
      <c r="Z35" s="36">
        <f t="shared" ca="1" si="9"/>
        <v>-0.54999999999999993</v>
      </c>
      <c r="AA35">
        <f t="shared" ca="1" si="8"/>
        <v>0.51473357062500003</v>
      </c>
      <c r="AF35">
        <v>-2.5</v>
      </c>
      <c r="AG35">
        <f t="shared" si="3"/>
        <v>-0.48271867155821585</v>
      </c>
      <c r="AH35">
        <v>0.5</v>
      </c>
      <c r="AI35" s="71">
        <f t="shared" si="4"/>
        <v>5.0000000000000001E-3</v>
      </c>
      <c r="AJ35" s="71">
        <f t="shared" si="5"/>
        <v>0.54</v>
      </c>
      <c r="AK35">
        <f t="shared" si="2"/>
        <v>-7.7684999999999518E-2</v>
      </c>
      <c r="AM35" s="71"/>
    </row>
    <row r="36" spans="1:5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W36">
        <f t="shared" ca="1" si="6"/>
        <v>0.52752086205026383</v>
      </c>
      <c r="X36" s="35">
        <f t="shared" ca="1" si="7"/>
        <v>-2.6441030556434431E-3</v>
      </c>
      <c r="Z36" s="36">
        <f t="shared" ca="1" si="9"/>
        <v>-0.53999999999999992</v>
      </c>
      <c r="AA36">
        <f t="shared" ca="1" si="8"/>
        <v>0.51434186276000005</v>
      </c>
      <c r="AF36">
        <v>-2</v>
      </c>
      <c r="AG36">
        <f t="shared" si="3"/>
        <v>-0.3861749372465727</v>
      </c>
      <c r="AH36">
        <v>-0.25</v>
      </c>
      <c r="AI36" s="71">
        <f t="shared" si="4"/>
        <v>-2.5000000000000001E-3</v>
      </c>
      <c r="AJ36" s="71">
        <f t="shared" si="5"/>
        <v>0.53250000000000008</v>
      </c>
      <c r="AK36">
        <f t="shared" si="2"/>
        <v>-2.5895000000000591E-2</v>
      </c>
      <c r="AM36" s="71"/>
      <c r="AN36" s="37" t="s">
        <v>16</v>
      </c>
      <c r="AO36" t="s">
        <v>17</v>
      </c>
      <c r="AP36" s="38">
        <v>0.14288999999999999</v>
      </c>
      <c r="AQ36">
        <v>2</v>
      </c>
      <c r="AR36" t="s">
        <v>19</v>
      </c>
      <c r="AS36" s="38">
        <v>2.3084E-2</v>
      </c>
      <c r="AT36" t="s">
        <v>19</v>
      </c>
      <c r="AU36" s="38">
        <v>0.49275999999999998</v>
      </c>
    </row>
    <row r="37" spans="1:5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W37">
        <f t="shared" ca="1" si="6"/>
        <v>0.53913943592194169</v>
      </c>
      <c r="X37" s="35">
        <f t="shared" ca="1" si="7"/>
        <v>-4.7911621546448124E-4</v>
      </c>
      <c r="Z37" s="36">
        <f t="shared" ca="1" si="9"/>
        <v>-0.52999999999999992</v>
      </c>
      <c r="AA37">
        <f t="shared" ca="1" si="8"/>
        <v>0.51395900655500004</v>
      </c>
      <c r="AF37">
        <v>-1.5</v>
      </c>
      <c r="AG37">
        <f t="shared" si="3"/>
        <v>-0.2896312029349295</v>
      </c>
      <c r="AH37">
        <v>-0.5</v>
      </c>
      <c r="AI37" s="71">
        <f t="shared" si="4"/>
        <v>-5.0000000000000001E-3</v>
      </c>
      <c r="AJ37" s="71">
        <f t="shared" si="5"/>
        <v>0.53</v>
      </c>
      <c r="AK37">
        <f t="shared" si="2"/>
        <v>-1.2947499999999725E-2</v>
      </c>
      <c r="AM37" s="71"/>
      <c r="AN37" s="37" t="s">
        <v>16</v>
      </c>
      <c r="AO37" t="s">
        <v>17</v>
      </c>
      <c r="AP37" s="38">
        <v>-0.10292999999999999</v>
      </c>
      <c r="AQ37">
        <v>3</v>
      </c>
      <c r="AR37" t="s">
        <v>19</v>
      </c>
      <c r="AS37" s="38">
        <v>0.15934999999999999</v>
      </c>
      <c r="AT37">
        <v>2</v>
      </c>
      <c r="AU37" t="s">
        <v>19</v>
      </c>
      <c r="AV37" s="38">
        <v>3.8129000000000003E-2</v>
      </c>
      <c r="AW37" t="s">
        <v>19</v>
      </c>
      <c r="AX37" s="38">
        <v>0.49163000000000001</v>
      </c>
    </row>
    <row r="38" spans="1:5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W38">
        <f t="shared" ref="W38:W44" ca="1" si="10">OFFSET(VolSkewCoef,0,impvol_order-2)+OFFSET(VolSkewCoef,1,impvol_order-2)*M15+OFFSET(VolSkewCoef,2,impvol_order-2)*M15^2+IF(impvol_order&gt;2,OFFSET(VolSkewCoef,3,impvol_order-2)*M15^3,0)+IF(impvol_order&gt;3,OFFSET(VolSkewCoef,4,impvol_order-2)*M15^4,0)+IF(impvol_order&gt;4,OFFSET(VolSkewCoef,5,impvol_order-2)*M15^5,0)</f>
        <v>0.51575668785255746</v>
      </c>
      <c r="X38" s="35">
        <f t="shared" ref="X38:X44" ca="1" si="11">+W38-N15</f>
        <v>1.5460465159718995E-3</v>
      </c>
      <c r="Z38" s="36">
        <f t="shared" ca="1" si="9"/>
        <v>-0.51999999999999991</v>
      </c>
      <c r="AA38">
        <f t="shared" ca="1" si="8"/>
        <v>0.51358553472000013</v>
      </c>
      <c r="AF38">
        <v>-0.5</v>
      </c>
      <c r="AG38">
        <f t="shared" si="3"/>
        <v>-9.6543734311643176E-2</v>
      </c>
      <c r="AH38">
        <v>-0.75</v>
      </c>
      <c r="AI38" s="71">
        <f t="shared" si="4"/>
        <v>-7.4999999999999997E-3</v>
      </c>
      <c r="AJ38" s="71">
        <f t="shared" si="5"/>
        <v>0.52750000000000008</v>
      </c>
      <c r="AK38">
        <f t="shared" si="2"/>
        <v>7.7684999999999491E-2</v>
      </c>
      <c r="AM38" s="71"/>
      <c r="AN38" s="37" t="s">
        <v>16</v>
      </c>
      <c r="AO38" t="s">
        <v>17</v>
      </c>
      <c r="AP38" s="38">
        <v>0.41871999999999998</v>
      </c>
      <c r="AQ38">
        <v>4</v>
      </c>
      <c r="AR38" t="s">
        <v>18</v>
      </c>
      <c r="AS38" s="38">
        <v>0.20402999999999999</v>
      </c>
      <c r="AT38">
        <v>3</v>
      </c>
      <c r="AU38" t="s">
        <v>19</v>
      </c>
      <c r="AV38" s="38">
        <v>8.3156999999999995E-2</v>
      </c>
      <c r="AW38">
        <v>2</v>
      </c>
      <c r="AX38" t="s">
        <v>19</v>
      </c>
      <c r="AY38" s="38">
        <v>4.9612999999999997E-2</v>
      </c>
      <c r="AZ38" t="s">
        <v>19</v>
      </c>
      <c r="BA38" s="38">
        <v>0.49295</v>
      </c>
    </row>
    <row r="39" spans="1:5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W39">
        <f t="shared" ca="1" si="10"/>
        <v>0.51050210282619424</v>
      </c>
      <c r="X39" s="35">
        <f t="shared" ca="1" si="11"/>
        <v>-4.8512413312750136E-3</v>
      </c>
      <c r="Z39" s="36">
        <f t="shared" ca="1" si="9"/>
        <v>-0.5099999999999999</v>
      </c>
      <c r="AA39">
        <f t="shared" ca="1" si="8"/>
        <v>0.51322197996500007</v>
      </c>
      <c r="AF39">
        <v>0</v>
      </c>
      <c r="AG39">
        <f t="shared" si="3"/>
        <v>0</v>
      </c>
      <c r="AH39">
        <v>0</v>
      </c>
      <c r="AI39" s="71">
        <f t="shared" si="4"/>
        <v>0</v>
      </c>
      <c r="AJ39" s="71">
        <f t="shared" si="5"/>
        <v>0.53500000000000003</v>
      </c>
      <c r="AK39">
        <f t="shared" si="2"/>
        <v>9.8400999999999517E-2</v>
      </c>
      <c r="AM39" s="71"/>
      <c r="AN39" s="37" t="s">
        <v>16</v>
      </c>
      <c r="AO39" t="s">
        <v>17</v>
      </c>
      <c r="AP39" s="38">
        <v>0.80901000000000001</v>
      </c>
      <c r="AQ39">
        <v>5</v>
      </c>
      <c r="AR39" t="s">
        <v>19</v>
      </c>
      <c r="AS39" s="38">
        <v>0.21973000000000001</v>
      </c>
      <c r="AT39">
        <v>4</v>
      </c>
      <c r="AU39" t="s">
        <v>18</v>
      </c>
      <c r="AV39" s="38">
        <v>0.39490999999999998</v>
      </c>
      <c r="AW39">
        <v>3</v>
      </c>
      <c r="AX39" t="s">
        <v>19</v>
      </c>
      <c r="AY39" s="38">
        <v>0.11314</v>
      </c>
      <c r="AZ39">
        <v>2</v>
      </c>
      <c r="BA39" t="s">
        <v>19</v>
      </c>
      <c r="BB39" s="38">
        <v>5.858E-2</v>
      </c>
      <c r="BC39" t="s">
        <v>19</v>
      </c>
      <c r="BD39" s="38">
        <v>0.49245</v>
      </c>
    </row>
    <row r="40" spans="1:5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W40">
        <f t="shared" ca="1" si="10"/>
        <v>0.50926588807891182</v>
      </c>
      <c r="X40" s="35">
        <f t="shared" ca="1" si="11"/>
        <v>-3.6667188694426978E-3</v>
      </c>
      <c r="Z40" s="36">
        <f t="shared" ca="1" si="9"/>
        <v>-0.49999999999999989</v>
      </c>
      <c r="AA40">
        <f t="shared" ca="1" si="8"/>
        <v>0.51286887500000011</v>
      </c>
      <c r="AF40">
        <v>0.5</v>
      </c>
      <c r="AG40">
        <f t="shared" si="3"/>
        <v>9.6543734311643176E-2</v>
      </c>
      <c r="AH40">
        <v>0.95</v>
      </c>
      <c r="AI40" s="71">
        <f t="shared" si="4"/>
        <v>9.4999999999999998E-3</v>
      </c>
      <c r="AJ40" s="71">
        <f t="shared" si="5"/>
        <v>0.54449999999999998</v>
      </c>
      <c r="AK40">
        <f t="shared" si="2"/>
        <v>9.6057088180001055E-2</v>
      </c>
      <c r="AM40" s="71"/>
    </row>
    <row r="41" spans="1:5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W41">
        <f t="shared" ca="1" si="10"/>
        <v>0.51197198565773183</v>
      </c>
      <c r="X41" s="35">
        <f t="shared" ca="1" si="11"/>
        <v>-1.4636119121188562E-3</v>
      </c>
      <c r="Z41" s="36">
        <f t="shared" ca="1" si="9"/>
        <v>-0.48999999999999988</v>
      </c>
      <c r="AA41">
        <f t="shared" ca="1" si="8"/>
        <v>0.51252675253500002</v>
      </c>
      <c r="AF41">
        <v>1</v>
      </c>
      <c r="AG41">
        <f t="shared" si="3"/>
        <v>0.19308746862328635</v>
      </c>
      <c r="AH41">
        <v>1.8773710000000003</v>
      </c>
      <c r="AI41" s="71">
        <f t="shared" si="4"/>
        <v>1.8773710000000002E-2</v>
      </c>
      <c r="AJ41" s="71">
        <f t="shared" si="5"/>
        <v>0.55377371000000009</v>
      </c>
      <c r="AK41">
        <f t="shared" si="2"/>
        <v>4.7919111819999201E-2</v>
      </c>
      <c r="AM41" s="71"/>
    </row>
    <row r="42" spans="1:5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W42">
        <f t="shared" ca="1" si="10"/>
        <v>0.51753336850684906</v>
      </c>
      <c r="X42" s="35">
        <f t="shared" ca="1" si="11"/>
        <v>-5.0602368921814911E-4</v>
      </c>
      <c r="Z42" s="36">
        <f t="shared" ca="1" si="9"/>
        <v>-0.47999999999999987</v>
      </c>
      <c r="AA42">
        <f t="shared" ca="1" si="8"/>
        <v>0.51219614528000013</v>
      </c>
      <c r="AF42">
        <v>1.5</v>
      </c>
      <c r="AG42">
        <f t="shared" si="3"/>
        <v>0.2896312029349295</v>
      </c>
      <c r="AH42">
        <v>2.34</v>
      </c>
      <c r="AI42" s="71">
        <f t="shared" si="4"/>
        <v>2.3399999999999997E-2</v>
      </c>
      <c r="AJ42" s="71">
        <f t="shared" si="5"/>
        <v>0.55840000000000001</v>
      </c>
      <c r="AK42">
        <f t="shared" si="2"/>
        <v>8.9078800000000513E-2</v>
      </c>
      <c r="AM42" s="71"/>
    </row>
    <row r="43" spans="1:5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W43">
        <f t="shared" ca="1" si="10"/>
        <v>0.52537607423747879</v>
      </c>
      <c r="X43" s="35">
        <f t="shared" ca="1" si="11"/>
        <v>-4.1012106867299725E-4</v>
      </c>
      <c r="Z43" s="36">
        <f t="shared" ca="1" si="9"/>
        <v>-0.46999999999999986</v>
      </c>
      <c r="AA43">
        <f t="shared" ca="1" si="8"/>
        <v>0.5118775859450001</v>
      </c>
      <c r="AF43">
        <v>2</v>
      </c>
      <c r="AG43">
        <f t="shared" si="3"/>
        <v>0.3861749372465727</v>
      </c>
      <c r="AH43">
        <v>3.2</v>
      </c>
      <c r="AI43" s="71">
        <f t="shared" si="4"/>
        <v>3.2000000000000001E-2</v>
      </c>
      <c r="AJ43" s="71">
        <f t="shared" si="5"/>
        <v>0.56700000000000006</v>
      </c>
      <c r="AK43">
        <f t="shared" si="2"/>
        <v>8.286400000000009E-2</v>
      </c>
      <c r="AM43" s="71"/>
    </row>
    <row r="44" spans="1:5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W44">
        <f t="shared" ca="1" si="10"/>
        <v>0.53768313996789541</v>
      </c>
      <c r="X44" s="35">
        <f t="shared" ca="1" si="11"/>
        <v>3.3574932511809541E-3</v>
      </c>
      <c r="Z44" s="36">
        <f t="shared" ca="1" si="9"/>
        <v>-0.45999999999999985</v>
      </c>
      <c r="AA44">
        <f t="shared" ca="1" si="8"/>
        <v>0.51157160724000006</v>
      </c>
      <c r="AF44">
        <v>2.5</v>
      </c>
      <c r="AG44">
        <f t="shared" si="3"/>
        <v>0.48271867155821585</v>
      </c>
      <c r="AH44">
        <v>4</v>
      </c>
      <c r="AI44" s="71">
        <f t="shared" si="4"/>
        <v>0.04</v>
      </c>
      <c r="AJ44" s="71">
        <f t="shared" si="5"/>
        <v>0.57500000000000007</v>
      </c>
      <c r="AK44">
        <f t="shared" si="2"/>
        <v>6.8362799999999391E-2</v>
      </c>
      <c r="AM44" s="71"/>
    </row>
    <row r="45" spans="1:5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X45" s="35"/>
      <c r="Z45" s="36">
        <f t="shared" ca="1" si="9"/>
        <v>-0.44999999999999984</v>
      </c>
      <c r="AA45">
        <f t="shared" ca="1" si="8"/>
        <v>0.51127874187500011</v>
      </c>
      <c r="AF45">
        <v>3</v>
      </c>
      <c r="AG45">
        <f t="shared" si="3"/>
        <v>0.579262405869859</v>
      </c>
      <c r="AH45">
        <v>4.66</v>
      </c>
      <c r="AI45" s="71">
        <f t="shared" si="4"/>
        <v>4.6600000000000003E-2</v>
      </c>
      <c r="AJ45" s="71">
        <f t="shared" si="5"/>
        <v>0.58160000000000001</v>
      </c>
      <c r="AK45">
        <f t="shared" si="2"/>
        <v>5.9040599999999804E-2</v>
      </c>
      <c r="AM45" s="71"/>
    </row>
    <row r="46" spans="1:5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X46" s="35"/>
      <c r="Z46" s="36">
        <f t="shared" ca="1" si="9"/>
        <v>-0.43999999999999984</v>
      </c>
      <c r="AA46">
        <f t="shared" ca="1" si="8"/>
        <v>0.51099952256000003</v>
      </c>
      <c r="AF46">
        <v>4</v>
      </c>
      <c r="AG46">
        <f t="shared" si="3"/>
        <v>0.77234987449314541</v>
      </c>
      <c r="AH46">
        <v>5.8</v>
      </c>
      <c r="AI46" s="71">
        <f t="shared" si="4"/>
        <v>5.7999999999999996E-2</v>
      </c>
      <c r="AJ46" s="71">
        <f t="shared" si="5"/>
        <v>0.59299999999999997</v>
      </c>
      <c r="AK46">
        <f t="shared" si="2"/>
        <v>6.2148000000000071E-2</v>
      </c>
      <c r="AM46" s="71"/>
    </row>
    <row r="47" spans="1:5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Z47" s="36">
        <f t="shared" ca="1" si="9"/>
        <v>-0.42999999999999983</v>
      </c>
      <c r="AA47">
        <f t="shared" ca="1" si="8"/>
        <v>0.51073448200500005</v>
      </c>
      <c r="AF47">
        <v>5</v>
      </c>
      <c r="AG47">
        <f t="shared" si="3"/>
        <v>0.9654373431164317</v>
      </c>
      <c r="AH47">
        <v>7</v>
      </c>
      <c r="AI47" s="71">
        <f t="shared" si="4"/>
        <v>7.0000000000000007E-2</v>
      </c>
      <c r="AJ47" s="71">
        <f t="shared" si="5"/>
        <v>0.60499999999999998</v>
      </c>
      <c r="AK47">
        <f t="shared" si="2"/>
        <v>5.1790000000000051E-2</v>
      </c>
      <c r="AM47" s="71"/>
    </row>
    <row r="48" spans="1:5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Z48" s="36">
        <f t="shared" ca="1" si="9"/>
        <v>-0.41999999999999982</v>
      </c>
      <c r="AA48">
        <f t="shared" ca="1" si="8"/>
        <v>0.51048415292000004</v>
      </c>
      <c r="AF48">
        <v>10</v>
      </c>
      <c r="AG48">
        <f t="shared" si="3"/>
        <v>1.9308746862328634</v>
      </c>
      <c r="AH48">
        <v>12</v>
      </c>
      <c r="AI48" s="71">
        <f t="shared" si="4"/>
        <v>0.12</v>
      </c>
      <c r="AJ48" s="71">
        <f t="shared" si="5"/>
        <v>0.65500000000000003</v>
      </c>
      <c r="AK48">
        <f t="shared" si="2"/>
        <v>5.5242666666666683E-2</v>
      </c>
      <c r="AM48" s="71"/>
    </row>
    <row r="49" spans="1:39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Z49" s="36">
        <f t="shared" ca="1" si="9"/>
        <v>-0.40999999999999981</v>
      </c>
      <c r="AA49">
        <f t="shared" ca="1" si="8"/>
        <v>0.51024906801500003</v>
      </c>
      <c r="AF49">
        <v>40</v>
      </c>
      <c r="AG49">
        <f t="shared" si="3"/>
        <v>7.7234987449314536</v>
      </c>
      <c r="AH49">
        <v>44</v>
      </c>
      <c r="AI49" s="71">
        <f t="shared" si="4"/>
        <v>0.44</v>
      </c>
      <c r="AJ49" s="71">
        <f t="shared" si="5"/>
        <v>0.97500000000000009</v>
      </c>
      <c r="AK49">
        <f t="shared" si="2"/>
        <v>0.12623812500000001</v>
      </c>
      <c r="AM49" s="71"/>
    </row>
    <row r="50" spans="1:39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Z50" s="36">
        <f t="shared" ca="1" si="9"/>
        <v>-0.3999999999999998</v>
      </c>
      <c r="AA50">
        <f t="shared" ca="1" si="8"/>
        <v>0.51002976000000011</v>
      </c>
    </row>
    <row r="51" spans="1:39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Z51" s="36">
        <f t="shared" ca="1" si="9"/>
        <v>-0.38999999999999979</v>
      </c>
      <c r="AA51">
        <f t="shared" ca="1" si="8"/>
        <v>0.50982676158500007</v>
      </c>
    </row>
    <row r="52" spans="1:39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Z52" s="36">
        <f t="shared" ca="1" si="9"/>
        <v>-0.37999999999999978</v>
      </c>
      <c r="AA52">
        <f t="shared" ca="1" si="8"/>
        <v>0.50964060548000012</v>
      </c>
    </row>
    <row r="53" spans="1:39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Z53" s="36">
        <f t="shared" ca="1" si="9"/>
        <v>-0.36999999999999977</v>
      </c>
      <c r="AA53">
        <f t="shared" ca="1" si="8"/>
        <v>0.50947182439500005</v>
      </c>
    </row>
    <row r="54" spans="1:39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Z54" s="36">
        <f t="shared" ca="1" si="9"/>
        <v>-0.35999999999999976</v>
      </c>
      <c r="AA54">
        <f t="shared" ca="1" si="8"/>
        <v>0.50932095104000008</v>
      </c>
    </row>
    <row r="55" spans="1:39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Z55" s="36">
        <f t="shared" ca="1" si="9"/>
        <v>-0.34999999999999976</v>
      </c>
      <c r="AA55">
        <f t="shared" ca="1" si="8"/>
        <v>0.50918851812499999</v>
      </c>
    </row>
    <row r="56" spans="1:39" x14ac:dyDescent="0.2">
      <c r="Z56" s="36">
        <f t="shared" ca="1" si="9"/>
        <v>-0.33999999999999975</v>
      </c>
      <c r="AA56">
        <f t="shared" ca="1" si="8"/>
        <v>0.50907505836</v>
      </c>
    </row>
    <row r="57" spans="1:39" x14ac:dyDescent="0.2">
      <c r="Z57" s="36">
        <f t="shared" ca="1" si="9"/>
        <v>-0.32999999999999974</v>
      </c>
      <c r="AA57">
        <f t="shared" ca="1" si="8"/>
        <v>0.508981104455</v>
      </c>
    </row>
    <row r="58" spans="1:39" x14ac:dyDescent="0.2">
      <c r="Z58" s="36">
        <f t="shared" ca="1" si="9"/>
        <v>-0.31999999999999973</v>
      </c>
      <c r="AA58">
        <f t="shared" ca="1" si="8"/>
        <v>0.50890718911999999</v>
      </c>
    </row>
    <row r="59" spans="1:39" x14ac:dyDescent="0.2">
      <c r="Z59" s="36">
        <f t="shared" ca="1" si="9"/>
        <v>-0.30999999999999972</v>
      </c>
      <c r="AA59">
        <f t="shared" ca="1" si="8"/>
        <v>0.50885384506500009</v>
      </c>
    </row>
    <row r="60" spans="1:39" x14ac:dyDescent="0.2">
      <c r="Z60" s="36">
        <f t="shared" ca="1" si="9"/>
        <v>-0.29999999999999971</v>
      </c>
      <c r="AA60">
        <f t="shared" ca="1" si="8"/>
        <v>0.50882160500000007</v>
      </c>
    </row>
    <row r="61" spans="1:39" x14ac:dyDescent="0.2">
      <c r="Z61" s="36">
        <f t="shared" ca="1" si="9"/>
        <v>-0.2899999999999997</v>
      </c>
      <c r="AA61">
        <f t="shared" ca="1" si="8"/>
        <v>0.50881100163500004</v>
      </c>
    </row>
    <row r="62" spans="1:39" x14ac:dyDescent="0.2">
      <c r="Z62" s="36">
        <f t="shared" ca="1" si="9"/>
        <v>-0.27999999999999969</v>
      </c>
      <c r="AA62">
        <f t="shared" ca="1" si="8"/>
        <v>0.50882256768000012</v>
      </c>
    </row>
    <row r="63" spans="1:39" x14ac:dyDescent="0.2">
      <c r="Z63" s="36">
        <f t="shared" ca="1" si="9"/>
        <v>-0.26999999999999968</v>
      </c>
      <c r="AA63">
        <f t="shared" ca="1" si="8"/>
        <v>0.50885683584499997</v>
      </c>
    </row>
    <row r="64" spans="1:39" x14ac:dyDescent="0.2">
      <c r="Z64" s="36">
        <f t="shared" ca="1" si="9"/>
        <v>-0.25999999999999968</v>
      </c>
      <c r="AA64">
        <f t="shared" ca="1" si="8"/>
        <v>0.50891433884000004</v>
      </c>
    </row>
    <row r="65" spans="26:27" x14ac:dyDescent="0.2">
      <c r="Z65" s="36">
        <f t="shared" ca="1" si="9"/>
        <v>-0.24999999999999967</v>
      </c>
      <c r="AA65">
        <f t="shared" ca="1" si="8"/>
        <v>0.50899560937499999</v>
      </c>
    </row>
    <row r="66" spans="26:27" x14ac:dyDescent="0.2">
      <c r="Z66" s="36">
        <f t="shared" ca="1" si="9"/>
        <v>-0.23999999999999966</v>
      </c>
      <c r="AA66">
        <f t="shared" ca="1" si="8"/>
        <v>0.50910118016000006</v>
      </c>
    </row>
    <row r="67" spans="26:27" x14ac:dyDescent="0.2">
      <c r="Z67" s="36">
        <f t="shared" ca="1" si="9"/>
        <v>-0.22999999999999965</v>
      </c>
      <c r="AA67">
        <f t="shared" ca="1" si="8"/>
        <v>0.50923158390500012</v>
      </c>
    </row>
    <row r="68" spans="26:27" x14ac:dyDescent="0.2">
      <c r="Z68" s="36">
        <f t="shared" ca="1" si="9"/>
        <v>-0.21999999999999964</v>
      </c>
      <c r="AA68">
        <f t="shared" ca="1" si="8"/>
        <v>0.50938735332000007</v>
      </c>
    </row>
    <row r="69" spans="26:27" x14ac:dyDescent="0.2">
      <c r="Z69" s="36">
        <f t="shared" ca="1" si="9"/>
        <v>-0.20999999999999963</v>
      </c>
      <c r="AA69">
        <f t="shared" ca="1" si="8"/>
        <v>0.50956902111500002</v>
      </c>
    </row>
    <row r="70" spans="26:27" x14ac:dyDescent="0.2">
      <c r="Z70" s="36">
        <f t="shared" ca="1" si="9"/>
        <v>-0.19999999999999962</v>
      </c>
      <c r="AA70">
        <f t="shared" ca="1" si="8"/>
        <v>0.50977712000000008</v>
      </c>
    </row>
    <row r="71" spans="26:27" x14ac:dyDescent="0.2">
      <c r="Z71" s="36">
        <f t="shared" ca="1" si="9"/>
        <v>-0.18999999999999961</v>
      </c>
      <c r="AA71">
        <f t="shared" ca="1" si="8"/>
        <v>0.51001218268500015</v>
      </c>
    </row>
    <row r="72" spans="26:27" x14ac:dyDescent="0.2">
      <c r="Z72" s="36">
        <f t="shared" ca="1" si="9"/>
        <v>-0.1799999999999996</v>
      </c>
      <c r="AA72">
        <f t="shared" ca="1" si="8"/>
        <v>0.5102747418800001</v>
      </c>
    </row>
    <row r="73" spans="26:27" x14ac:dyDescent="0.2">
      <c r="Z73" s="36">
        <f t="shared" ca="1" si="9"/>
        <v>-0.1699999999999996</v>
      </c>
      <c r="AA73">
        <f t="shared" ca="1" si="8"/>
        <v>0.51056533029500006</v>
      </c>
    </row>
    <row r="74" spans="26:27" x14ac:dyDescent="0.2">
      <c r="Z74" s="36">
        <f t="shared" ca="1" si="9"/>
        <v>-0.15999999999999959</v>
      </c>
      <c r="AA74">
        <f t="shared" ca="1" si="8"/>
        <v>0.51088448064000003</v>
      </c>
    </row>
    <row r="75" spans="26:27" x14ac:dyDescent="0.2">
      <c r="Z75" s="36">
        <f t="shared" ca="1" si="9"/>
        <v>-0.14999999999999958</v>
      </c>
      <c r="AA75">
        <f t="shared" ca="1" si="8"/>
        <v>0.511232725625</v>
      </c>
    </row>
    <row r="76" spans="26:27" x14ac:dyDescent="0.2">
      <c r="Z76" s="36">
        <f t="shared" ca="1" si="9"/>
        <v>-0.13999999999999957</v>
      </c>
      <c r="AA76">
        <f t="shared" ca="1" si="8"/>
        <v>0.51161059796000019</v>
      </c>
    </row>
    <row r="77" spans="26:27" x14ac:dyDescent="0.2">
      <c r="Z77" s="36">
        <f t="shared" ca="1" si="9"/>
        <v>-0.12999999999999956</v>
      </c>
      <c r="AA77">
        <f t="shared" ca="1" si="8"/>
        <v>0.51201863035500006</v>
      </c>
    </row>
    <row r="78" spans="26:27" x14ac:dyDescent="0.2">
      <c r="Z78" s="36">
        <f t="shared" ca="1" si="9"/>
        <v>-0.11999999999999957</v>
      </c>
      <c r="AA78">
        <f t="shared" ca="1" si="8"/>
        <v>0.51245735552000005</v>
      </c>
    </row>
    <row r="79" spans="26:27" x14ac:dyDescent="0.2">
      <c r="Z79" s="36">
        <f t="shared" ca="1" si="9"/>
        <v>-0.10999999999999957</v>
      </c>
      <c r="AA79">
        <f t="shared" ca="1" si="8"/>
        <v>0.51292730616500004</v>
      </c>
    </row>
    <row r="80" spans="26:27" x14ac:dyDescent="0.2">
      <c r="Z80" s="36">
        <f t="shared" ca="1" si="9"/>
        <v>-9.9999999999999575E-2</v>
      </c>
      <c r="AA80">
        <f t="shared" ca="1" si="8"/>
        <v>0.51342901500000004</v>
      </c>
    </row>
    <row r="81" spans="26:27" x14ac:dyDescent="0.2">
      <c r="Z81" s="36">
        <f t="shared" ca="1" si="9"/>
        <v>-8.999999999999958E-2</v>
      </c>
      <c r="AA81">
        <f t="shared" ca="1" si="8"/>
        <v>0.51396301473500006</v>
      </c>
    </row>
    <row r="82" spans="26:27" x14ac:dyDescent="0.2">
      <c r="Z82" s="36">
        <f t="shared" ca="1" si="9"/>
        <v>-7.9999999999999585E-2</v>
      </c>
      <c r="AA82">
        <f t="shared" ca="1" si="8"/>
        <v>0.51452983808000008</v>
      </c>
    </row>
    <row r="83" spans="26:27" x14ac:dyDescent="0.2">
      <c r="Z83" s="36">
        <f t="shared" ca="1" si="9"/>
        <v>-6.999999999999959E-2</v>
      </c>
      <c r="AA83">
        <f t="shared" ca="1" si="8"/>
        <v>0.51513001774500011</v>
      </c>
    </row>
    <row r="84" spans="26:27" x14ac:dyDescent="0.2">
      <c r="Z84" s="36">
        <f t="shared" ca="1" si="9"/>
        <v>-5.9999999999999588E-2</v>
      </c>
      <c r="AA84">
        <f t="shared" ca="1" si="8"/>
        <v>0.51576408644000005</v>
      </c>
    </row>
    <row r="85" spans="26:27" x14ac:dyDescent="0.2">
      <c r="Z85" s="36">
        <f t="shared" ca="1" si="9"/>
        <v>-4.9999999999999586E-2</v>
      </c>
      <c r="AA85">
        <f t="shared" ca="1" si="8"/>
        <v>0.5164325768750001</v>
      </c>
    </row>
    <row r="86" spans="26:27" x14ac:dyDescent="0.2">
      <c r="Z86" s="36">
        <f t="shared" ca="1" si="9"/>
        <v>-3.9999999999999584E-2</v>
      </c>
      <c r="AA86">
        <f t="shared" ca="1" si="8"/>
        <v>0.51713602176000018</v>
      </c>
    </row>
    <row r="87" spans="26:27" x14ac:dyDescent="0.2">
      <c r="Z87" s="36">
        <f t="shared" ca="1" si="9"/>
        <v>-2.9999999999999583E-2</v>
      </c>
      <c r="AA87">
        <f t="shared" ca="1" si="8"/>
        <v>0.51787495380500015</v>
      </c>
    </row>
    <row r="88" spans="26:27" x14ac:dyDescent="0.2">
      <c r="Z88" s="36">
        <f t="shared" ca="1" si="9"/>
        <v>-1.9999999999999581E-2</v>
      </c>
      <c r="AA88">
        <f t="shared" ca="1" si="8"/>
        <v>0.51864990572000014</v>
      </c>
    </row>
    <row r="89" spans="26:27" x14ac:dyDescent="0.2">
      <c r="Z89" s="36">
        <f t="shared" ca="1" si="9"/>
        <v>-9.9999999999995804E-3</v>
      </c>
      <c r="AA89">
        <f t="shared" ca="1" si="8"/>
        <v>0.51946141021500003</v>
      </c>
    </row>
    <row r="90" spans="26:27" x14ac:dyDescent="0.2">
      <c r="Z90" s="36">
        <f t="shared" ca="1" si="9"/>
        <v>4.1980308118638732E-16</v>
      </c>
      <c r="AA90">
        <f t="shared" ca="1" si="8"/>
        <v>0.52031000000000005</v>
      </c>
    </row>
    <row r="91" spans="26:27" x14ac:dyDescent="0.2">
      <c r="Z91" s="36">
        <f t="shared" ca="1" si="9"/>
        <v>1.000000000000042E-2</v>
      </c>
      <c r="AA91">
        <f t="shared" ca="1" si="8"/>
        <v>0.52119620778500009</v>
      </c>
    </row>
    <row r="92" spans="26:27" x14ac:dyDescent="0.2">
      <c r="Z92" s="36">
        <f t="shared" ca="1" si="9"/>
        <v>2.000000000000042E-2</v>
      </c>
      <c r="AA92">
        <f t="shared" ca="1" si="8"/>
        <v>0.52212056628000014</v>
      </c>
    </row>
    <row r="93" spans="26:27" x14ac:dyDescent="0.2">
      <c r="Z93" s="36">
        <f t="shared" ref="Z93:Z151" ca="1" si="12">+Z92+0.01</f>
        <v>3.0000000000000422E-2</v>
      </c>
      <c r="AA93">
        <f t="shared" ca="1" si="8"/>
        <v>0.5230836081950001</v>
      </c>
    </row>
    <row r="94" spans="26:27" x14ac:dyDescent="0.2">
      <c r="Z94" s="36">
        <f t="shared" ca="1" si="12"/>
        <v>4.0000000000000424E-2</v>
      </c>
      <c r="AA94">
        <f t="shared" ca="1" si="8"/>
        <v>0.52408586624000009</v>
      </c>
    </row>
    <row r="95" spans="26:27" x14ac:dyDescent="0.2">
      <c r="Z95" s="36">
        <f t="shared" ca="1" si="12"/>
        <v>5.0000000000000426E-2</v>
      </c>
      <c r="AA95">
        <f t="shared" ca="1" si="8"/>
        <v>0.52512787312500009</v>
      </c>
    </row>
    <row r="96" spans="26:27" x14ac:dyDescent="0.2">
      <c r="Z96" s="36">
        <f t="shared" ca="1" si="12"/>
        <v>6.0000000000000428E-2</v>
      </c>
      <c r="AA96">
        <f t="shared" ca="1" si="8"/>
        <v>0.52621016156000011</v>
      </c>
    </row>
    <row r="97" spans="26:27" x14ac:dyDescent="0.2">
      <c r="Z97" s="36">
        <f t="shared" ca="1" si="12"/>
        <v>7.0000000000000423E-2</v>
      </c>
      <c r="AA97">
        <f t="shared" ref="AA97:AA161" ca="1" si="13">OFFSET(VolSkewCoef,0,impvol_order-2)+OFFSET(VolSkewCoef,1,impvol_order-2)*Z97+OFFSET(VolSkewCoef,2,impvol_order-2)*Z97^2+IF(impvol_order&gt;2,OFFSET(VolSkewCoef,3,impvol_order-2)*Z97^3,0)+IF(impvol_order&gt;3,OFFSET(VolSkewCoef,4,impvol_order-2)*Z97^4,0)+IF(impvol_order&gt;4,OFFSET(VolSkewCoef,5,impvol_order-2)*Z97^5,0)</f>
        <v>0.52733326425500004</v>
      </c>
    </row>
    <row r="98" spans="26:27" x14ac:dyDescent="0.2">
      <c r="Z98" s="36">
        <f t="shared" ca="1" si="12"/>
        <v>8.0000000000000418E-2</v>
      </c>
      <c r="AA98">
        <f t="shared" ca="1" si="13"/>
        <v>0.52849771392000011</v>
      </c>
    </row>
    <row r="99" spans="26:27" x14ac:dyDescent="0.2">
      <c r="Z99" s="36">
        <f t="shared" ca="1" si="12"/>
        <v>9.0000000000000413E-2</v>
      </c>
      <c r="AA99">
        <f t="shared" ca="1" si="13"/>
        <v>0.52970404326500009</v>
      </c>
    </row>
    <row r="100" spans="26:27" x14ac:dyDescent="0.2">
      <c r="Z100" s="36">
        <f t="shared" ca="1" si="12"/>
        <v>0.10000000000000041</v>
      </c>
      <c r="AA100">
        <f t="shared" ca="1" si="13"/>
        <v>0.53095278499999998</v>
      </c>
    </row>
    <row r="101" spans="26:27" x14ac:dyDescent="0.2">
      <c r="Z101" s="36">
        <f t="shared" ca="1" si="12"/>
        <v>0.1100000000000004</v>
      </c>
      <c r="AA101">
        <f t="shared" ca="1" si="13"/>
        <v>0.53224447183500012</v>
      </c>
    </row>
    <row r="102" spans="26:27" x14ac:dyDescent="0.2">
      <c r="Z102" s="36">
        <f t="shared" ca="1" si="12"/>
        <v>0.1200000000000004</v>
      </c>
      <c r="AA102">
        <f t="shared" ca="1" si="13"/>
        <v>0.53357963648000006</v>
      </c>
    </row>
    <row r="103" spans="26:27" x14ac:dyDescent="0.2">
      <c r="Z103" s="36">
        <f t="shared" ca="1" si="12"/>
        <v>0.13000000000000039</v>
      </c>
      <c r="AA103">
        <f t="shared" ca="1" si="13"/>
        <v>0.53495881164500014</v>
      </c>
    </row>
    <row r="104" spans="26:27" x14ac:dyDescent="0.2">
      <c r="Z104" s="36">
        <f t="shared" ca="1" si="12"/>
        <v>0.1400000000000004</v>
      </c>
      <c r="AA104">
        <f t="shared" ca="1" si="13"/>
        <v>0.53638253004000014</v>
      </c>
    </row>
    <row r="105" spans="26:27" x14ac:dyDescent="0.2">
      <c r="Z105" s="36">
        <f t="shared" ca="1" si="12"/>
        <v>0.15000000000000041</v>
      </c>
      <c r="AA105">
        <f t="shared" ca="1" si="13"/>
        <v>0.53785132437500005</v>
      </c>
    </row>
    <row r="106" spans="26:27" x14ac:dyDescent="0.2">
      <c r="Z106" s="36">
        <f t="shared" ca="1" si="12"/>
        <v>0.16000000000000042</v>
      </c>
      <c r="AA106">
        <f t="shared" ca="1" si="13"/>
        <v>0.53936572736000021</v>
      </c>
    </row>
    <row r="107" spans="26:27" x14ac:dyDescent="0.2">
      <c r="Z107" s="36">
        <f t="shared" ca="1" si="12"/>
        <v>0.17000000000000043</v>
      </c>
      <c r="AA107">
        <f t="shared" ca="1" si="13"/>
        <v>0.54092627170500018</v>
      </c>
    </row>
    <row r="108" spans="26:27" x14ac:dyDescent="0.2">
      <c r="Z108" s="36">
        <f t="shared" ca="1" si="12"/>
        <v>0.18000000000000044</v>
      </c>
      <c r="AA108">
        <f t="shared" ca="1" si="13"/>
        <v>0.54253349012000007</v>
      </c>
    </row>
    <row r="109" spans="26:27" x14ac:dyDescent="0.2">
      <c r="Z109" s="36">
        <f t="shared" ca="1" si="12"/>
        <v>0.19000000000000045</v>
      </c>
      <c r="AA109">
        <f t="shared" ca="1" si="13"/>
        <v>0.5441879153150001</v>
      </c>
    </row>
    <row r="110" spans="26:27" x14ac:dyDescent="0.2">
      <c r="Z110" s="36">
        <f t="shared" ca="1" si="12"/>
        <v>0.20000000000000046</v>
      </c>
      <c r="AA110">
        <f t="shared" ca="1" si="13"/>
        <v>0.54589008000000017</v>
      </c>
    </row>
    <row r="111" spans="26:27" x14ac:dyDescent="0.2">
      <c r="Z111" s="36">
        <f t="shared" ca="1" si="12"/>
        <v>0.21000000000000046</v>
      </c>
      <c r="AA111">
        <f t="shared" ca="1" si="13"/>
        <v>0.54764051688500015</v>
      </c>
    </row>
    <row r="112" spans="26:27" x14ac:dyDescent="0.2">
      <c r="Z112" s="36">
        <f t="shared" ca="1" si="12"/>
        <v>0.22000000000000047</v>
      </c>
      <c r="AA112">
        <f t="shared" ca="1" si="13"/>
        <v>0.54943975868000006</v>
      </c>
    </row>
    <row r="113" spans="26:27" x14ac:dyDescent="0.2">
      <c r="Z113" s="36">
        <f t="shared" ca="1" si="12"/>
        <v>0.23000000000000048</v>
      </c>
      <c r="AA113">
        <f t="shared" ca="1" si="13"/>
        <v>0.55128833809500011</v>
      </c>
    </row>
    <row r="114" spans="26:27" x14ac:dyDescent="0.2">
      <c r="Z114" s="36">
        <f t="shared" ca="1" si="12"/>
        <v>0.24000000000000049</v>
      </c>
      <c r="AA114">
        <f t="shared" ca="1" si="13"/>
        <v>0.55318678784000008</v>
      </c>
    </row>
    <row r="115" spans="26:27" x14ac:dyDescent="0.2">
      <c r="Z115" s="36">
        <f t="shared" ca="1" si="12"/>
        <v>0.2500000000000005</v>
      </c>
      <c r="AA115">
        <f t="shared" ca="1" si="13"/>
        <v>0.5551356406250002</v>
      </c>
    </row>
    <row r="116" spans="26:27" x14ac:dyDescent="0.2">
      <c r="Z116" s="36">
        <f t="shared" ca="1" si="12"/>
        <v>0.26000000000000051</v>
      </c>
      <c r="AA116">
        <f t="shared" ca="1" si="13"/>
        <v>0.55713542916000014</v>
      </c>
    </row>
    <row r="117" spans="26:27" x14ac:dyDescent="0.2">
      <c r="Z117" s="36">
        <f t="shared" ca="1" si="12"/>
        <v>0.27000000000000052</v>
      </c>
      <c r="AA117">
        <f t="shared" ca="1" si="13"/>
        <v>0.55918668615500011</v>
      </c>
    </row>
    <row r="118" spans="26:27" x14ac:dyDescent="0.2">
      <c r="Z118" s="36">
        <f t="shared" ca="1" si="12"/>
        <v>0.28000000000000053</v>
      </c>
      <c r="AA118">
        <f t="shared" ca="1" si="13"/>
        <v>0.56128994432000012</v>
      </c>
    </row>
    <row r="119" spans="26:27" x14ac:dyDescent="0.2">
      <c r="Z119" s="36">
        <f t="shared" ca="1" si="12"/>
        <v>0.29000000000000054</v>
      </c>
      <c r="AA119">
        <f t="shared" ca="1" si="13"/>
        <v>0.56344573636500017</v>
      </c>
    </row>
    <row r="120" spans="26:27" x14ac:dyDescent="0.2">
      <c r="Z120" s="36">
        <f t="shared" ca="1" si="12"/>
        <v>0.30000000000000054</v>
      </c>
      <c r="AA120">
        <f t="shared" ca="1" si="13"/>
        <v>0.56565459500000026</v>
      </c>
    </row>
    <row r="121" spans="26:27" x14ac:dyDescent="0.2">
      <c r="Z121" s="36">
        <f t="shared" ca="1" si="12"/>
        <v>0.31000000000000055</v>
      </c>
      <c r="AA121">
        <f t="shared" ca="1" si="13"/>
        <v>0.56791705293500017</v>
      </c>
    </row>
    <row r="122" spans="26:27" x14ac:dyDescent="0.2">
      <c r="Z122" s="36">
        <f t="shared" ca="1" si="12"/>
        <v>0.32000000000000056</v>
      </c>
      <c r="AA122">
        <f t="shared" ca="1" si="13"/>
        <v>0.57023364288000022</v>
      </c>
    </row>
    <row r="123" spans="26:27" x14ac:dyDescent="0.2">
      <c r="Z123" s="36">
        <f t="shared" ca="1" si="12"/>
        <v>0.33000000000000057</v>
      </c>
      <c r="AA123">
        <f t="shared" ca="1" si="13"/>
        <v>0.57260489754500021</v>
      </c>
    </row>
    <row r="124" spans="26:27" x14ac:dyDescent="0.2">
      <c r="Z124" s="36">
        <f t="shared" ca="1" si="12"/>
        <v>0.34000000000000058</v>
      </c>
      <c r="AA124">
        <f t="shared" ca="1" si="13"/>
        <v>0.57503134964000013</v>
      </c>
    </row>
    <row r="125" spans="26:27" x14ac:dyDescent="0.2">
      <c r="Z125" s="36">
        <f t="shared" ca="1" si="12"/>
        <v>0.35000000000000059</v>
      </c>
      <c r="AA125">
        <f t="shared" ca="1" si="13"/>
        <v>0.57751353187500021</v>
      </c>
    </row>
    <row r="126" spans="26:27" x14ac:dyDescent="0.2">
      <c r="Z126" s="36">
        <f t="shared" ca="1" si="12"/>
        <v>0.3600000000000006</v>
      </c>
      <c r="AA126">
        <f t="shared" ca="1" si="13"/>
        <v>0.5800519769600001</v>
      </c>
    </row>
    <row r="127" spans="26:27" x14ac:dyDescent="0.2">
      <c r="Z127" s="36">
        <f t="shared" ca="1" si="12"/>
        <v>0.37000000000000061</v>
      </c>
      <c r="AA127">
        <f t="shared" ca="1" si="13"/>
        <v>0.58264721760500027</v>
      </c>
    </row>
    <row r="128" spans="26:27" x14ac:dyDescent="0.2">
      <c r="Z128" s="36">
        <f t="shared" ca="1" si="12"/>
        <v>0.38000000000000062</v>
      </c>
      <c r="AA128">
        <f t="shared" ca="1" si="13"/>
        <v>0.58529978652000025</v>
      </c>
    </row>
    <row r="129" spans="26:27" x14ac:dyDescent="0.2">
      <c r="Z129" s="36">
        <f t="shared" ca="1" si="12"/>
        <v>0.39000000000000062</v>
      </c>
      <c r="AA129">
        <f t="shared" ca="1" si="13"/>
        <v>0.58801021641500029</v>
      </c>
    </row>
    <row r="130" spans="26:27" x14ac:dyDescent="0.2">
      <c r="Z130" s="36">
        <f t="shared" ca="1" si="12"/>
        <v>0.40000000000000063</v>
      </c>
      <c r="AA130">
        <f t="shared" ca="1" si="13"/>
        <v>0.59077904000000026</v>
      </c>
    </row>
    <row r="131" spans="26:27" x14ac:dyDescent="0.2">
      <c r="Z131" s="36">
        <f t="shared" ca="1" si="12"/>
        <v>0.41000000000000064</v>
      </c>
      <c r="AA131">
        <f t="shared" ca="1" si="13"/>
        <v>0.59360678998500016</v>
      </c>
    </row>
    <row r="132" spans="26:27" x14ac:dyDescent="0.2">
      <c r="Z132" s="36">
        <f t="shared" ca="1" si="12"/>
        <v>0.42000000000000065</v>
      </c>
      <c r="AA132">
        <f t="shared" ca="1" si="13"/>
        <v>0.59649399908000034</v>
      </c>
    </row>
    <row r="133" spans="26:27" x14ac:dyDescent="0.2">
      <c r="Z133" s="36">
        <f t="shared" ca="1" si="12"/>
        <v>0.43000000000000066</v>
      </c>
      <c r="AA133">
        <f t="shared" ca="1" si="13"/>
        <v>0.59944119999500023</v>
      </c>
    </row>
    <row r="134" spans="26:27" x14ac:dyDescent="0.2">
      <c r="Z134" s="36">
        <f t="shared" ca="1" si="12"/>
        <v>0.44000000000000067</v>
      </c>
      <c r="AA134">
        <f t="shared" ca="1" si="13"/>
        <v>0.60244892544000039</v>
      </c>
    </row>
    <row r="135" spans="26:27" x14ac:dyDescent="0.2">
      <c r="Z135" s="36">
        <f t="shared" ca="1" si="12"/>
        <v>0.45000000000000068</v>
      </c>
      <c r="AA135">
        <f t="shared" ca="1" si="13"/>
        <v>0.60551770812500028</v>
      </c>
    </row>
    <row r="136" spans="26:27" x14ac:dyDescent="0.2">
      <c r="Z136" s="36">
        <f t="shared" ca="1" si="12"/>
        <v>0.46000000000000069</v>
      </c>
      <c r="AA136">
        <f t="shared" ca="1" si="13"/>
        <v>0.60864808076000021</v>
      </c>
    </row>
    <row r="137" spans="26:27" x14ac:dyDescent="0.2">
      <c r="Z137" s="36">
        <f t="shared" ca="1" si="12"/>
        <v>0.47000000000000069</v>
      </c>
      <c r="AA137">
        <f t="shared" ca="1" si="13"/>
        <v>0.61184057605500031</v>
      </c>
    </row>
    <row r="138" spans="26:27" x14ac:dyDescent="0.2">
      <c r="Z138" s="36">
        <f t="shared" ca="1" si="12"/>
        <v>0.4800000000000007</v>
      </c>
      <c r="AA138">
        <f t="shared" ca="1" si="13"/>
        <v>0.61509572672000024</v>
      </c>
    </row>
    <row r="139" spans="26:27" x14ac:dyDescent="0.2">
      <c r="Z139" s="36">
        <f t="shared" ca="1" si="12"/>
        <v>0.49000000000000071</v>
      </c>
      <c r="AA139">
        <f t="shared" ca="1" si="13"/>
        <v>0.61841406546500033</v>
      </c>
    </row>
    <row r="140" spans="26:27" x14ac:dyDescent="0.2">
      <c r="Z140" s="36">
        <f t="shared" ca="1" si="12"/>
        <v>0.50000000000000067</v>
      </c>
      <c r="AA140">
        <f t="shared" ca="1" si="13"/>
        <v>0.62179612500000025</v>
      </c>
    </row>
    <row r="141" spans="26:27" x14ac:dyDescent="0.2">
      <c r="Z141" s="36">
        <f t="shared" ca="1" si="12"/>
        <v>0.51000000000000068</v>
      </c>
      <c r="AA141">
        <f t="shared" ca="1" si="13"/>
        <v>0.62524243803500024</v>
      </c>
    </row>
    <row r="142" spans="26:27" x14ac:dyDescent="0.2">
      <c r="Z142" s="36">
        <f t="shared" ca="1" si="12"/>
        <v>0.52000000000000068</v>
      </c>
      <c r="AA142">
        <f t="shared" ca="1" si="13"/>
        <v>0.62875353728000027</v>
      </c>
    </row>
    <row r="143" spans="26:27" x14ac:dyDescent="0.2">
      <c r="Z143" s="36">
        <f t="shared" ca="1" si="12"/>
        <v>0.53000000000000069</v>
      </c>
      <c r="AA143">
        <f t="shared" ca="1" si="13"/>
        <v>0.63232995544500026</v>
      </c>
    </row>
    <row r="144" spans="26:27" x14ac:dyDescent="0.2">
      <c r="Z144" s="36">
        <f t="shared" ca="1" si="12"/>
        <v>0.5400000000000007</v>
      </c>
      <c r="AA144">
        <f t="shared" ca="1" si="13"/>
        <v>0.63597222524000041</v>
      </c>
    </row>
    <row r="145" spans="26:27" x14ac:dyDescent="0.2">
      <c r="Z145" s="36">
        <f t="shared" ca="1" si="12"/>
        <v>0.55000000000000071</v>
      </c>
      <c r="AA145">
        <f t="shared" ca="1" si="13"/>
        <v>0.63968087937500029</v>
      </c>
    </row>
    <row r="146" spans="26:27" x14ac:dyDescent="0.2">
      <c r="Z146" s="36">
        <f t="shared" ca="1" si="12"/>
        <v>0.56000000000000072</v>
      </c>
      <c r="AA146">
        <f t="shared" ca="1" si="13"/>
        <v>0.64345645056000045</v>
      </c>
    </row>
    <row r="147" spans="26:27" x14ac:dyDescent="0.2">
      <c r="Z147" s="36">
        <f t="shared" ca="1" si="12"/>
        <v>0.57000000000000073</v>
      </c>
      <c r="AA147">
        <f t="shared" ca="1" si="13"/>
        <v>0.64729947150500033</v>
      </c>
    </row>
    <row r="148" spans="26:27" x14ac:dyDescent="0.2">
      <c r="Z148" s="36">
        <f t="shared" ca="1" si="12"/>
        <v>0.58000000000000074</v>
      </c>
      <c r="AA148">
        <f t="shared" ca="1" si="13"/>
        <v>0.65121047492000039</v>
      </c>
    </row>
    <row r="149" spans="26:27" x14ac:dyDescent="0.2">
      <c r="Z149" s="36">
        <f t="shared" ca="1" si="12"/>
        <v>0.59000000000000075</v>
      </c>
      <c r="AA149">
        <f t="shared" ca="1" si="13"/>
        <v>0.6551899935150004</v>
      </c>
    </row>
    <row r="150" spans="26:27" x14ac:dyDescent="0.2">
      <c r="Z150" s="36">
        <f t="shared" ca="1" si="12"/>
        <v>0.60000000000000075</v>
      </c>
      <c r="AA150">
        <f t="shared" ca="1" si="13"/>
        <v>0.65923856000000025</v>
      </c>
    </row>
    <row r="151" spans="26:27" x14ac:dyDescent="0.2">
      <c r="Z151" s="36">
        <f t="shared" ca="1" si="12"/>
        <v>0.61000000000000076</v>
      </c>
      <c r="AA151">
        <f t="shared" ca="1" si="13"/>
        <v>0.66335670708500039</v>
      </c>
    </row>
    <row r="152" spans="26:27" x14ac:dyDescent="0.2">
      <c r="Z152" s="36">
        <f t="shared" ref="Z152:Z160" ca="1" si="14">+Z151+0.01</f>
        <v>0.62000000000000077</v>
      </c>
      <c r="AA152">
        <f t="shared" ca="1" si="13"/>
        <v>0.66754496748000036</v>
      </c>
    </row>
    <row r="153" spans="26:27" x14ac:dyDescent="0.2">
      <c r="Z153" s="36">
        <f t="shared" ca="1" si="14"/>
        <v>0.63000000000000078</v>
      </c>
      <c r="AA153">
        <f t="shared" ca="1" si="13"/>
        <v>0.6718038738950004</v>
      </c>
    </row>
    <row r="154" spans="26:27" x14ac:dyDescent="0.2">
      <c r="Z154" s="36">
        <f t="shared" ca="1" si="14"/>
        <v>0.64000000000000079</v>
      </c>
      <c r="AA154">
        <f t="shared" ca="1" si="13"/>
        <v>0.67613395904000051</v>
      </c>
    </row>
    <row r="155" spans="26:27" x14ac:dyDescent="0.2">
      <c r="Z155" s="36">
        <f t="shared" ca="1" si="14"/>
        <v>0.6500000000000008</v>
      </c>
      <c r="AA155">
        <f t="shared" ca="1" si="13"/>
        <v>0.68053575562500035</v>
      </c>
    </row>
    <row r="156" spans="26:27" x14ac:dyDescent="0.2">
      <c r="Z156" s="36">
        <f t="shared" ca="1" si="14"/>
        <v>0.66000000000000081</v>
      </c>
      <c r="AA156">
        <f t="shared" ca="1" si="13"/>
        <v>0.68500979636000048</v>
      </c>
    </row>
    <row r="157" spans="26:27" x14ac:dyDescent="0.2">
      <c r="Z157" s="36">
        <f t="shared" ca="1" si="14"/>
        <v>0.67000000000000082</v>
      </c>
      <c r="AA157">
        <f t="shared" ca="1" si="13"/>
        <v>0.68955661395500045</v>
      </c>
    </row>
    <row r="158" spans="26:27" x14ac:dyDescent="0.2">
      <c r="Z158" s="36">
        <f t="shared" ca="1" si="14"/>
        <v>0.68000000000000083</v>
      </c>
      <c r="AA158">
        <f t="shared" ca="1" si="13"/>
        <v>0.69417674112000038</v>
      </c>
    </row>
    <row r="159" spans="26:27" x14ac:dyDescent="0.2">
      <c r="Z159" s="36">
        <f t="shared" ca="1" si="14"/>
        <v>0.69000000000000083</v>
      </c>
      <c r="AA159">
        <f t="shared" ca="1" si="13"/>
        <v>0.69887071056500039</v>
      </c>
    </row>
    <row r="160" spans="26:27" x14ac:dyDescent="0.2">
      <c r="Z160" s="36">
        <f t="shared" ca="1" si="14"/>
        <v>0.70000000000000084</v>
      </c>
      <c r="AA160">
        <f t="shared" ca="1" si="13"/>
        <v>0.70363905500000035</v>
      </c>
    </row>
    <row r="161" spans="26:27" x14ac:dyDescent="0.2">
      <c r="Z161" s="36">
        <f t="shared" ref="Z161:Z200" ca="1" si="15">+Z160+0.01</f>
        <v>0.71000000000000085</v>
      </c>
      <c r="AA161">
        <f t="shared" ca="1" si="13"/>
        <v>0.70848230713500049</v>
      </c>
    </row>
    <row r="162" spans="26:27" x14ac:dyDescent="0.2">
      <c r="Z162" s="36">
        <f t="shared" ca="1" si="15"/>
        <v>0.72000000000000086</v>
      </c>
      <c r="AA162">
        <f t="shared" ref="AA162:AA200" ca="1" si="16">OFFSET(VolSkewCoef,0,impvol_order-2)+OFFSET(VolSkewCoef,1,impvol_order-2)*Z162+OFFSET(VolSkewCoef,2,impvol_order-2)*Z162^2+IF(impvol_order&gt;2,OFFSET(VolSkewCoef,3,impvol_order-2)*Z162^3,0)+IF(impvol_order&gt;3,OFFSET(VolSkewCoef,4,impvol_order-2)*Z162^4,0)+IF(impvol_order&gt;4,OFFSET(VolSkewCoef,5,impvol_order-2)*Z162^5,0)</f>
        <v>0.71340099968000037</v>
      </c>
    </row>
    <row r="163" spans="26:27" x14ac:dyDescent="0.2">
      <c r="Z163" s="36">
        <f t="shared" ca="1" si="15"/>
        <v>0.73000000000000087</v>
      </c>
      <c r="AA163">
        <f t="shared" ca="1" si="16"/>
        <v>0.71839566534500054</v>
      </c>
    </row>
    <row r="164" spans="26:27" x14ac:dyDescent="0.2">
      <c r="Z164" s="36">
        <f t="shared" ca="1" si="15"/>
        <v>0.74000000000000088</v>
      </c>
      <c r="AA164">
        <f t="shared" ca="1" si="16"/>
        <v>0.72346683684000046</v>
      </c>
    </row>
    <row r="165" spans="26:27" x14ac:dyDescent="0.2">
      <c r="Z165" s="36">
        <f t="shared" ca="1" si="15"/>
        <v>0.75000000000000089</v>
      </c>
      <c r="AA165">
        <f t="shared" ca="1" si="16"/>
        <v>0.72861504687500056</v>
      </c>
    </row>
    <row r="166" spans="26:27" x14ac:dyDescent="0.2">
      <c r="Z166" s="36">
        <f t="shared" ca="1" si="15"/>
        <v>0.7600000000000009</v>
      </c>
      <c r="AA166">
        <f t="shared" ca="1" si="16"/>
        <v>0.73384082816000051</v>
      </c>
    </row>
    <row r="167" spans="26:27" x14ac:dyDescent="0.2">
      <c r="Z167" s="36">
        <f t="shared" ca="1" si="15"/>
        <v>0.77000000000000091</v>
      </c>
      <c r="AA167">
        <f t="shared" ca="1" si="16"/>
        <v>0.73914471340500043</v>
      </c>
    </row>
    <row r="168" spans="26:27" x14ac:dyDescent="0.2">
      <c r="Z168" s="36">
        <f t="shared" ca="1" si="15"/>
        <v>0.78000000000000091</v>
      </c>
      <c r="AA168">
        <f t="shared" ca="1" si="16"/>
        <v>0.74452723532000054</v>
      </c>
    </row>
    <row r="169" spans="26:27" x14ac:dyDescent="0.2">
      <c r="Z169" s="36">
        <f t="shared" ca="1" si="15"/>
        <v>0.79000000000000092</v>
      </c>
      <c r="AA169">
        <f t="shared" ca="1" si="16"/>
        <v>0.7499889266150005</v>
      </c>
    </row>
    <row r="170" spans="26:27" x14ac:dyDescent="0.2">
      <c r="Z170" s="36">
        <f t="shared" ca="1" si="15"/>
        <v>0.80000000000000093</v>
      </c>
      <c r="AA170">
        <f t="shared" ca="1" si="16"/>
        <v>0.75553032000000064</v>
      </c>
    </row>
    <row r="171" spans="26:27" x14ac:dyDescent="0.2">
      <c r="Z171" s="36">
        <f t="shared" ca="1" si="15"/>
        <v>0.81000000000000094</v>
      </c>
      <c r="AA171">
        <f t="shared" ca="1" si="16"/>
        <v>0.76115194818500065</v>
      </c>
    </row>
    <row r="172" spans="26:27" x14ac:dyDescent="0.2">
      <c r="Z172" s="36">
        <f t="shared" ca="1" si="15"/>
        <v>0.82000000000000095</v>
      </c>
      <c r="AA172">
        <f t="shared" ca="1" si="16"/>
        <v>0.76685434388000051</v>
      </c>
    </row>
    <row r="173" spans="26:27" x14ac:dyDescent="0.2">
      <c r="Z173" s="36">
        <f t="shared" ca="1" si="15"/>
        <v>0.83000000000000096</v>
      </c>
      <c r="AA173">
        <f t="shared" ca="1" si="16"/>
        <v>0.77263803979500068</v>
      </c>
    </row>
    <row r="174" spans="26:27" x14ac:dyDescent="0.2">
      <c r="Z174" s="36">
        <f t="shared" ca="1" si="15"/>
        <v>0.84000000000000097</v>
      </c>
      <c r="AA174">
        <f t="shared" ca="1" si="16"/>
        <v>0.77850356864000059</v>
      </c>
    </row>
    <row r="175" spans="26:27" x14ac:dyDescent="0.2">
      <c r="Z175" s="36">
        <f t="shared" ca="1" si="15"/>
        <v>0.85000000000000098</v>
      </c>
      <c r="AA175">
        <f t="shared" ca="1" si="16"/>
        <v>0.78445146312500069</v>
      </c>
    </row>
    <row r="176" spans="26:27" x14ac:dyDescent="0.2">
      <c r="Z176" s="36">
        <f t="shared" ca="1" si="15"/>
        <v>0.86000000000000099</v>
      </c>
      <c r="AA176">
        <f t="shared" ca="1" si="16"/>
        <v>0.79048225596000066</v>
      </c>
    </row>
    <row r="177" spans="26:27" x14ac:dyDescent="0.2">
      <c r="Z177" s="36">
        <f t="shared" ca="1" si="15"/>
        <v>0.87000000000000099</v>
      </c>
      <c r="AA177">
        <f t="shared" ca="1" si="16"/>
        <v>0.79659647985500071</v>
      </c>
    </row>
    <row r="178" spans="26:27" x14ac:dyDescent="0.2">
      <c r="Z178" s="36">
        <f t="shared" ca="1" si="15"/>
        <v>0.880000000000001</v>
      </c>
      <c r="AA178">
        <f t="shared" ca="1" si="16"/>
        <v>0.80279466752000062</v>
      </c>
    </row>
    <row r="179" spans="26:27" x14ac:dyDescent="0.2">
      <c r="Z179" s="36">
        <f t="shared" ca="1" si="15"/>
        <v>0.89000000000000101</v>
      </c>
      <c r="AA179">
        <f t="shared" ca="1" si="16"/>
        <v>0.80907735166500061</v>
      </c>
    </row>
    <row r="180" spans="26:27" x14ac:dyDescent="0.2">
      <c r="Z180" s="36">
        <f t="shared" ca="1" si="15"/>
        <v>0.90000000000000102</v>
      </c>
      <c r="AA180">
        <f t="shared" ca="1" si="16"/>
        <v>0.81544506500000069</v>
      </c>
    </row>
    <row r="181" spans="26:27" x14ac:dyDescent="0.2">
      <c r="Z181" s="36">
        <f t="shared" ca="1" si="15"/>
        <v>0.91000000000000103</v>
      </c>
      <c r="AA181">
        <f t="shared" ca="1" si="16"/>
        <v>0.82189834023500075</v>
      </c>
    </row>
    <row r="182" spans="26:27" x14ac:dyDescent="0.2">
      <c r="Z182" s="36">
        <f t="shared" ca="1" si="15"/>
        <v>0.92000000000000104</v>
      </c>
      <c r="AA182">
        <f t="shared" ca="1" si="16"/>
        <v>0.82843771008000067</v>
      </c>
    </row>
    <row r="183" spans="26:27" x14ac:dyDescent="0.2">
      <c r="Z183" s="36">
        <f t="shared" ca="1" si="15"/>
        <v>0.93000000000000105</v>
      </c>
      <c r="AA183">
        <f t="shared" ca="1" si="16"/>
        <v>0.83506370724500079</v>
      </c>
    </row>
    <row r="184" spans="26:27" x14ac:dyDescent="0.2">
      <c r="Z184" s="36">
        <f t="shared" ca="1" si="15"/>
        <v>0.94000000000000106</v>
      </c>
      <c r="AA184">
        <f t="shared" ca="1" si="16"/>
        <v>0.84177686444000077</v>
      </c>
    </row>
    <row r="185" spans="26:27" x14ac:dyDescent="0.2">
      <c r="Z185" s="36">
        <f t="shared" ca="1" si="15"/>
        <v>0.95000000000000107</v>
      </c>
      <c r="AA185">
        <f t="shared" ca="1" si="16"/>
        <v>0.84857771437500085</v>
      </c>
    </row>
    <row r="186" spans="26:27" x14ac:dyDescent="0.2">
      <c r="Z186" s="36">
        <f t="shared" ca="1" si="15"/>
        <v>0.96000000000000107</v>
      </c>
      <c r="AA186">
        <f t="shared" ca="1" si="16"/>
        <v>0.85546678976000079</v>
      </c>
    </row>
    <row r="187" spans="26:27" x14ac:dyDescent="0.2">
      <c r="Z187" s="36">
        <f t="shared" ca="1" si="15"/>
        <v>0.97000000000000108</v>
      </c>
      <c r="AA187">
        <f t="shared" ca="1" si="16"/>
        <v>0.86244462330500082</v>
      </c>
    </row>
    <row r="188" spans="26:27" x14ac:dyDescent="0.2">
      <c r="Z188" s="36">
        <f t="shared" ca="1" si="15"/>
        <v>0.98000000000000109</v>
      </c>
      <c r="AA188">
        <f t="shared" ca="1" si="16"/>
        <v>0.86951174772000084</v>
      </c>
    </row>
    <row r="189" spans="26:27" x14ac:dyDescent="0.2">
      <c r="Z189" s="36">
        <f t="shared" ca="1" si="15"/>
        <v>0.9900000000000011</v>
      </c>
      <c r="AA189">
        <f t="shared" ca="1" si="16"/>
        <v>0.87666869571500083</v>
      </c>
    </row>
    <row r="190" spans="26:27" x14ac:dyDescent="0.2">
      <c r="Z190" s="36">
        <f t="shared" ca="1" si="15"/>
        <v>1.0000000000000011</v>
      </c>
      <c r="AA190">
        <f t="shared" ca="1" si="16"/>
        <v>0.88391600000000092</v>
      </c>
    </row>
    <row r="191" spans="26:27" x14ac:dyDescent="0.2">
      <c r="Z191" s="36">
        <f t="shared" ca="1" si="15"/>
        <v>1.0100000000000011</v>
      </c>
      <c r="AA191">
        <f t="shared" ca="1" si="16"/>
        <v>0.89125419328500088</v>
      </c>
    </row>
    <row r="192" spans="26:27" x14ac:dyDescent="0.2">
      <c r="Z192" s="36">
        <f t="shared" ca="1" si="15"/>
        <v>1.0200000000000011</v>
      </c>
      <c r="AA192">
        <f t="shared" ca="1" si="16"/>
        <v>0.89868380828000094</v>
      </c>
    </row>
    <row r="193" spans="26:27" x14ac:dyDescent="0.2">
      <c r="Z193" s="36">
        <f t="shared" ca="1" si="15"/>
        <v>1.0300000000000011</v>
      </c>
      <c r="AA193">
        <f t="shared" ca="1" si="16"/>
        <v>0.90620537769500098</v>
      </c>
    </row>
    <row r="194" spans="26:27" x14ac:dyDescent="0.2">
      <c r="Z194" s="36">
        <f t="shared" ca="1" si="15"/>
        <v>1.0400000000000011</v>
      </c>
      <c r="AA194">
        <f t="shared" ca="1" si="16"/>
        <v>0.91381943424000101</v>
      </c>
    </row>
    <row r="195" spans="26:27" x14ac:dyDescent="0.2">
      <c r="Z195" s="36">
        <f t="shared" ca="1" si="15"/>
        <v>1.0500000000000012</v>
      </c>
      <c r="AA195">
        <f t="shared" ca="1" si="16"/>
        <v>0.92152651062500091</v>
      </c>
    </row>
    <row r="196" spans="26:27" x14ac:dyDescent="0.2">
      <c r="Z196" s="36">
        <f t="shared" ca="1" si="15"/>
        <v>1.0600000000000012</v>
      </c>
      <c r="AA196">
        <f t="shared" ca="1" si="16"/>
        <v>0.9293271395600009</v>
      </c>
    </row>
    <row r="197" spans="26:27" x14ac:dyDescent="0.2">
      <c r="Z197" s="36">
        <f t="shared" ca="1" si="15"/>
        <v>1.0700000000000012</v>
      </c>
      <c r="AA197">
        <f t="shared" ca="1" si="16"/>
        <v>0.937221853755001</v>
      </c>
    </row>
    <row r="198" spans="26:27" x14ac:dyDescent="0.2">
      <c r="Z198" s="36">
        <f t="shared" ca="1" si="15"/>
        <v>1.0800000000000012</v>
      </c>
      <c r="AA198">
        <f t="shared" ca="1" si="16"/>
        <v>0.94521118592000097</v>
      </c>
    </row>
    <row r="199" spans="26:27" x14ac:dyDescent="0.2">
      <c r="Z199" s="36">
        <f t="shared" ca="1" si="15"/>
        <v>1.0900000000000012</v>
      </c>
      <c r="AA199">
        <f t="shared" ca="1" si="16"/>
        <v>0.95329566876500105</v>
      </c>
    </row>
    <row r="200" spans="26:27" x14ac:dyDescent="0.2">
      <c r="Z200" s="36">
        <f t="shared" ca="1" si="15"/>
        <v>1.1000000000000012</v>
      </c>
      <c r="AA200">
        <f t="shared" ca="1" si="16"/>
        <v>0.96147583500000111</v>
      </c>
    </row>
  </sheetData>
  <mergeCells count="1">
    <mergeCell ref="Z30:AA30"/>
  </mergeCells>
  <phoneticPr fontId="14" type="noConversion"/>
  <pageMargins left="0.71" right="0.61" top="1" bottom="1" header="0.5" footer="0.5"/>
  <pageSetup scale="97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11</xdr:col>
                    <xdr:colOff>581025</xdr:colOff>
                    <xdr:row>3</xdr:row>
                    <xdr:rowOff>38100</xdr:rowOff>
                  </from>
                  <to>
                    <xdr:col>13</xdr:col>
                    <xdr:colOff>581025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19050</xdr:rowOff>
                  </from>
                  <to>
                    <xdr:col>5</xdr:col>
                    <xdr:colOff>552450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217"/>
  <sheetViews>
    <sheetView topLeftCell="BG72" workbookViewId="0">
      <selection activeCell="BG72" sqref="BG72"/>
    </sheetView>
  </sheetViews>
  <sheetFormatPr defaultColWidth="8" defaultRowHeight="11.25" x14ac:dyDescent="0.2"/>
  <cols>
    <col min="1" max="2" width="8" style="39" customWidth="1"/>
    <col min="3" max="3" width="10" style="39" customWidth="1"/>
    <col min="4" max="4" width="8" style="39" customWidth="1"/>
    <col min="5" max="5" width="9.140625" style="39" customWidth="1"/>
    <col min="6" max="10" width="9.140625" style="39" hidden="1" customWidth="1"/>
    <col min="11" max="11" width="4.5703125" style="39" hidden="1" customWidth="1"/>
    <col min="12" max="13" width="8" style="39" hidden="1" customWidth="1"/>
    <col min="14" max="14" width="3" style="39" hidden="1" customWidth="1"/>
    <col min="15" max="16" width="8" style="39" hidden="1" customWidth="1"/>
    <col min="17" max="17" width="3.5703125" style="39" hidden="1" customWidth="1"/>
    <col min="18" max="19" width="8" style="39" hidden="1" customWidth="1"/>
    <col min="20" max="20" width="1.5703125" style="39" hidden="1" customWidth="1"/>
    <col min="21" max="21" width="8" style="39" hidden="1" customWidth="1"/>
    <col min="22" max="22" width="3.140625" style="39" hidden="1" customWidth="1"/>
    <col min="23" max="23" width="10" style="39" customWidth="1"/>
    <col min="24" max="24" width="11.7109375" style="39" hidden="1" customWidth="1"/>
    <col min="25" max="25" width="2.5703125" style="39" hidden="1" customWidth="1"/>
    <col min="26" max="30" width="10" style="39" hidden="1" customWidth="1"/>
    <col min="31" max="35" width="10" style="39" customWidth="1"/>
    <col min="36" max="36" width="2.7109375" style="39" customWidth="1"/>
    <col min="37" max="37" width="9.7109375" style="39" customWidth="1"/>
    <col min="38" max="38" width="2.7109375" style="39" customWidth="1"/>
    <col min="39" max="40" width="10" style="39" customWidth="1"/>
    <col min="41" max="47" width="8" style="39" hidden="1" customWidth="1"/>
    <col min="48" max="48" width="8.140625" style="39" hidden="1" customWidth="1"/>
    <col min="49" max="50" width="8" style="39" hidden="1" customWidth="1"/>
    <col min="51" max="51" width="7.5703125" style="39" hidden="1" customWidth="1"/>
    <col min="52" max="58" width="8" style="39" hidden="1" customWidth="1"/>
    <col min="59" max="16384" width="8" style="39"/>
  </cols>
  <sheetData>
    <row r="1" spans="2:62" x14ac:dyDescent="0.2">
      <c r="AP1" s="64" t="s">
        <v>90</v>
      </c>
    </row>
    <row r="2" spans="2:62" ht="25.5" x14ac:dyDescent="0.35">
      <c r="B2" s="40" t="s">
        <v>34</v>
      </c>
    </row>
    <row r="3" spans="2:62" x14ac:dyDescent="0.2">
      <c r="AQ3" s="74" t="s">
        <v>63</v>
      </c>
      <c r="AR3" s="74" t="s">
        <v>62</v>
      </c>
      <c r="AS3" s="74" t="s">
        <v>64</v>
      </c>
    </row>
    <row r="4" spans="2:62" x14ac:dyDescent="0.2">
      <c r="C4" s="39" t="s">
        <v>4</v>
      </c>
      <c r="D4" s="61">
        <f>UnderlyingPrice</f>
        <v>5.1790000000000003</v>
      </c>
      <c r="E4" s="61"/>
      <c r="F4" s="61"/>
      <c r="G4" s="61"/>
      <c r="H4" s="61"/>
      <c r="I4" s="61"/>
      <c r="J4" s="61"/>
      <c r="AP4" s="75" t="s">
        <v>65</v>
      </c>
      <c r="AQ4" s="76">
        <f>SQRT(2*PI())</f>
        <v>2.5066282746310002</v>
      </c>
      <c r="AR4" s="76">
        <f>SQRT(2*PI())</f>
        <v>2.5066282746310002</v>
      </c>
      <c r="AS4" s="77" t="s">
        <v>66</v>
      </c>
    </row>
    <row r="5" spans="2:62" x14ac:dyDescent="0.2">
      <c r="D5" s="42"/>
      <c r="E5" s="42"/>
      <c r="F5" s="42"/>
      <c r="G5" s="42"/>
      <c r="H5" s="42"/>
      <c r="I5" s="42"/>
      <c r="J5" s="42"/>
      <c r="AP5" s="75" t="s">
        <v>67</v>
      </c>
      <c r="AQ5" s="78">
        <f ca="1">D13</f>
        <v>2.2000000000000002</v>
      </c>
      <c r="AR5" s="78">
        <f ca="1">D113</f>
        <v>6.0000000000000044</v>
      </c>
      <c r="AS5" s="77" t="s">
        <v>68</v>
      </c>
    </row>
    <row r="6" spans="2:62" x14ac:dyDescent="0.2">
      <c r="C6" s="39" t="s">
        <v>35</v>
      </c>
      <c r="D6" s="41">
        <f>Expiry-Today</f>
        <v>210</v>
      </c>
      <c r="E6" s="41"/>
      <c r="F6" s="41"/>
      <c r="G6" s="41"/>
      <c r="H6" s="41"/>
      <c r="I6" s="41"/>
      <c r="J6" s="41"/>
      <c r="AE6" s="39" t="s">
        <v>37</v>
      </c>
      <c r="AG6" s="88"/>
      <c r="AH6" s="88"/>
      <c r="AI6" s="88"/>
      <c r="AJ6" s="88"/>
      <c r="AP6" s="79" t="s">
        <v>69</v>
      </c>
      <c r="AQ6" s="80">
        <f ca="1">I13</f>
        <v>0.51575668785255746</v>
      </c>
      <c r="AR6" s="80">
        <f ca="1">I113</f>
        <v>0.5391394359219418</v>
      </c>
      <c r="AS6" s="77" t="s">
        <v>70</v>
      </c>
    </row>
    <row r="7" spans="2:62" x14ac:dyDescent="0.2">
      <c r="C7" s="39" t="s">
        <v>36</v>
      </c>
      <c r="D7" s="43">
        <f>IntRate</f>
        <v>4.2900000000000001E-2</v>
      </c>
      <c r="E7" s="43"/>
      <c r="F7" s="43"/>
      <c r="G7" s="43"/>
      <c r="H7" s="43"/>
      <c r="I7" s="43"/>
      <c r="J7" s="43"/>
      <c r="U7" s="39" t="s">
        <v>37</v>
      </c>
      <c r="W7" s="44">
        <f ca="1">SUM(W13:W142)*+(ROUNDUP(MAX(StrikeRange),1)-ROUNDDOWN(MIN(StrikeRange),1))/100</f>
        <v>0.77241882841791076</v>
      </c>
      <c r="AA7" s="44"/>
      <c r="AE7" s="44">
        <f ca="1">SUM(AE13:AE179)*(ROUNDUP(MAX(StrikeRange),1)-ROUNDDOWN(MIN(StrikeRange),1))/100</f>
        <v>0.75181139542483877</v>
      </c>
      <c r="AF7" s="44"/>
      <c r="AG7" s="44"/>
      <c r="AH7" s="44"/>
      <c r="AI7" s="44"/>
      <c r="AJ7" s="44"/>
      <c r="AK7" s="44"/>
      <c r="AL7" s="44"/>
      <c r="AM7" s="44"/>
      <c r="AP7" s="75" t="s">
        <v>71</v>
      </c>
      <c r="AQ7" s="76">
        <f>T/365.25</f>
        <v>0.57494866529774125</v>
      </c>
      <c r="AR7" s="76">
        <f>T/365.25</f>
        <v>0.57494866529774125</v>
      </c>
      <c r="AS7" s="77" t="s">
        <v>72</v>
      </c>
    </row>
    <row r="8" spans="2:62" x14ac:dyDescent="0.2">
      <c r="C8" s="39" t="s">
        <v>33</v>
      </c>
      <c r="D8" s="45">
        <f>Yield</f>
        <v>4.2900000000000001E-2</v>
      </c>
      <c r="E8" s="45"/>
      <c r="F8" s="45"/>
      <c r="G8" s="45"/>
      <c r="H8" s="45"/>
      <c r="I8" s="45"/>
      <c r="J8" s="45"/>
      <c r="O8" s="39" t="s">
        <v>38</v>
      </c>
      <c r="P8" s="46">
        <v>5.0000000000000001E-4</v>
      </c>
      <c r="AG8" s="44"/>
      <c r="AH8" s="44"/>
      <c r="AI8" s="44"/>
      <c r="AJ8" s="44"/>
      <c r="AK8" s="44"/>
      <c r="AL8" s="44"/>
      <c r="AM8" s="44"/>
      <c r="AN8" s="89"/>
      <c r="AP8" s="79" t="s">
        <v>73</v>
      </c>
      <c r="AQ8" s="80">
        <f ca="1">AQ6*SQRT(AQ7)</f>
        <v>0.39107441405273835</v>
      </c>
      <c r="AR8" s="80">
        <f ca="1">AR6*SQRT(AR7)</f>
        <v>0.40880446916506574</v>
      </c>
      <c r="AS8" s="81" t="s">
        <v>74</v>
      </c>
    </row>
    <row r="9" spans="2:62" x14ac:dyDescent="0.2">
      <c r="C9" s="39" t="s">
        <v>39</v>
      </c>
      <c r="D9" s="47">
        <f>EXP(-IntRate*T/365.25)</f>
        <v>0.97563640509478267</v>
      </c>
      <c r="E9" s="47"/>
      <c r="F9" s="47"/>
      <c r="G9" s="47"/>
      <c r="H9" s="47"/>
      <c r="I9" s="47"/>
      <c r="J9" s="47"/>
      <c r="AP9" s="75" t="s">
        <v>75</v>
      </c>
      <c r="AQ9" s="76">
        <f ca="1">((LN(AQ5/$D$4)+0.5*AQ8^2)/AQ8)*Gamma2</f>
        <v>-2.4508575454410448</v>
      </c>
      <c r="AR9" s="76">
        <f ca="1">((LN(AR5/$D$4)+0.5*AR8^2)/AR8)*Gamma2</f>
        <v>0.69375376134135047</v>
      </c>
      <c r="AS9" s="81" t="s">
        <v>76</v>
      </c>
    </row>
    <row r="10" spans="2:62" x14ac:dyDescent="0.2">
      <c r="L10" s="48" t="s">
        <v>1</v>
      </c>
      <c r="M10" s="48"/>
      <c r="O10" s="104" t="s">
        <v>100</v>
      </c>
      <c r="P10" s="48"/>
      <c r="R10" s="104" t="s">
        <v>101</v>
      </c>
      <c r="S10" s="48"/>
      <c r="AP10" s="75" t="s">
        <v>77</v>
      </c>
      <c r="AQ10" s="76">
        <f ca="1">AQ9^2</f>
        <v>6.006702708045303</v>
      </c>
      <c r="AR10" s="76">
        <f ca="1">AR9^2</f>
        <v>0.48129428137527147</v>
      </c>
      <c r="AS10" s="82"/>
    </row>
    <row r="11" spans="2:62" x14ac:dyDescent="0.2">
      <c r="L11" s="49" t="s">
        <v>40</v>
      </c>
      <c r="M11" s="49" t="s">
        <v>41</v>
      </c>
      <c r="O11" s="49" t="s">
        <v>40</v>
      </c>
      <c r="P11" s="49" t="s">
        <v>41</v>
      </c>
      <c r="R11" s="49" t="s">
        <v>40</v>
      </c>
      <c r="S11" s="49" t="s">
        <v>41</v>
      </c>
      <c r="U11" s="50" t="s">
        <v>13</v>
      </c>
      <c r="W11" s="50" t="s">
        <v>42</v>
      </c>
      <c r="X11" s="50"/>
      <c r="AG11" s="50"/>
      <c r="AH11" s="50"/>
      <c r="AI11" s="50"/>
      <c r="AJ11" s="50"/>
      <c r="AK11" s="90" t="s">
        <v>92</v>
      </c>
      <c r="AL11" s="50"/>
      <c r="AM11" s="111" t="s">
        <v>93</v>
      </c>
      <c r="AN11" s="111"/>
      <c r="AP11" s="75" t="s">
        <v>78</v>
      </c>
      <c r="AQ11" s="76">
        <f ca="1">W13</f>
        <v>5.9787750502843164E-2</v>
      </c>
      <c r="AR11" s="76">
        <f ca="1">W113</f>
        <v>0.15969940009686009</v>
      </c>
      <c r="AS11" s="77" t="s">
        <v>79</v>
      </c>
      <c r="BI11" s="64" t="s">
        <v>117</v>
      </c>
    </row>
    <row r="12" spans="2:62" x14ac:dyDescent="0.2">
      <c r="D12" s="51" t="s">
        <v>0</v>
      </c>
      <c r="E12" s="39" t="s">
        <v>43</v>
      </c>
      <c r="F12" s="64" t="s">
        <v>50</v>
      </c>
      <c r="G12" s="64" t="s">
        <v>51</v>
      </c>
      <c r="H12" s="64" t="s">
        <v>49</v>
      </c>
      <c r="I12" s="39" t="s">
        <v>44</v>
      </c>
      <c r="J12" s="64" t="s">
        <v>48</v>
      </c>
      <c r="L12" s="49">
        <v>1</v>
      </c>
      <c r="M12" s="49">
        <v>0</v>
      </c>
      <c r="O12" s="49">
        <v>1</v>
      </c>
      <c r="P12" s="49">
        <v>0</v>
      </c>
      <c r="R12" s="49">
        <v>1</v>
      </c>
      <c r="S12" s="49">
        <v>0</v>
      </c>
      <c r="U12" s="52" t="s">
        <v>45</v>
      </c>
      <c r="W12" s="51" t="s">
        <v>45</v>
      </c>
      <c r="X12" s="53"/>
      <c r="Z12" s="54" t="s">
        <v>46</v>
      </c>
      <c r="AA12" s="48"/>
      <c r="AB12" s="48"/>
      <c r="AC12" s="48"/>
      <c r="AD12" s="48"/>
      <c r="AE12" s="55" t="s">
        <v>47</v>
      </c>
      <c r="AF12" s="51"/>
      <c r="AG12" s="91" t="s">
        <v>67</v>
      </c>
      <c r="AH12" s="91" t="s">
        <v>102</v>
      </c>
      <c r="AI12" s="91" t="s">
        <v>103</v>
      </c>
      <c r="AJ12" s="92"/>
      <c r="AK12" s="91" t="s">
        <v>94</v>
      </c>
      <c r="AL12" s="92"/>
      <c r="AM12" s="91" t="s">
        <v>67</v>
      </c>
      <c r="AN12" s="91" t="s">
        <v>94</v>
      </c>
      <c r="AP12" s="75" t="s">
        <v>80</v>
      </c>
      <c r="AQ12" s="76">
        <f ca="1">NORMSDIST(AQ9)</f>
        <v>7.1258212695449741E-3</v>
      </c>
      <c r="AR12" s="76">
        <f ca="1">NORMSDIST(AR9)</f>
        <v>0.75608175107222997</v>
      </c>
      <c r="AS12" s="77" t="s">
        <v>81</v>
      </c>
      <c r="AX12" s="64" t="s">
        <v>106</v>
      </c>
      <c r="AY12" s="64" t="s">
        <v>107</v>
      </c>
      <c r="AZ12" s="64" t="s">
        <v>108</v>
      </c>
      <c r="BB12" s="64" t="s">
        <v>109</v>
      </c>
      <c r="BC12" s="64" t="s">
        <v>111</v>
      </c>
      <c r="BD12" s="64" t="s">
        <v>110</v>
      </c>
      <c r="BF12" s="64" t="s">
        <v>112</v>
      </c>
      <c r="BG12" s="50" t="s">
        <v>42</v>
      </c>
      <c r="BI12" s="64" t="s">
        <v>114</v>
      </c>
    </row>
    <row r="13" spans="2:62" x14ac:dyDescent="0.2">
      <c r="C13" s="56">
        <v>0</v>
      </c>
      <c r="D13" s="63">
        <f ca="1">+ROUNDDOWN(MIN(StrikeRange),1)</f>
        <v>2.2000000000000002</v>
      </c>
      <c r="E13" s="45">
        <f ca="1">+D13/UnderlyingPrice-1</f>
        <v>-0.57520756902877002</v>
      </c>
      <c r="F13" s="45">
        <f ca="1">+D13*(1+$P$8)/UnderlyingPrice-1</f>
        <v>-0.57499517281328438</v>
      </c>
      <c r="G13" s="45">
        <f ca="1">+D13*(1-$P$8)/UnderlyingPrice-1</f>
        <v>-0.57541996524425565</v>
      </c>
      <c r="H13" s="45">
        <f t="shared" ref="H13:H44" ca="1" si="0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0.51574787002033406</v>
      </c>
      <c r="I13" s="45">
        <f t="shared" ref="I13:I44" ca="1" si="1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0.51575668785255746</v>
      </c>
      <c r="J13" s="45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0.51576550883185768</v>
      </c>
      <c r="L13" s="58">
        <f ca="1">_xll.EURO(UnderlyingPrice,$D13,IntRate,Yield,$I13,$D$6,L$12,0)</f>
        <v>2.9128109984735202</v>
      </c>
      <c r="M13" s="58">
        <f ca="1">_xll.EURO(UnderlyingPrice,$D13,IntRate,Yield,$I13,$D$6,M$12,0)</f>
        <v>6.3901476961624112E-3</v>
      </c>
      <c r="O13" s="58">
        <f ca="1">_xll.EURO(UnderlyingPrice,$D13*(1+$P$8),IntRate,Yield,$H13,Expiry-Today,O$12,0)</f>
        <v>2.9117618330338453</v>
      </c>
      <c r="P13" s="58">
        <f ca="1">_xll.EURO(UnderlyingPrice,$D13*(1+$P$8),IntRate,Yield,$H13,Expiry-Today,P$12,0)</f>
        <v>6.4141823020921543E-3</v>
      </c>
      <c r="R13" s="58">
        <f ca="1">_xll.EURO(UnderlyingPrice,$D13*(1-$P$8),IntRate,Yield,$J13,Expiry-Today,R$12,0)</f>
        <v>2.9138602344938329</v>
      </c>
      <c r="S13" s="58">
        <f ca="1">_xll.EURO(UnderlyingPrice,$D13*(1-$P$8),IntRate,Yield,$J13,Expiry-Today,S$12,0)</f>
        <v>6.3661836708713143E-3</v>
      </c>
      <c r="U13" s="59">
        <f ca="1">(O13+R13-2*L13)/($P$8*$D13)^2</f>
        <v>5.8331105969297692E-2</v>
      </c>
      <c r="V13" s="59"/>
      <c r="W13" s="62">
        <f t="shared" ref="W13:W44" ca="1" si="3">U13/$D$9</f>
        <v>5.9787750502843164E-2</v>
      </c>
      <c r="X13" s="63"/>
      <c r="Z13" s="59">
        <f ca="1">(1/(D13*SQRT(2*PI()*T/365.25*ATMImpVol^2)))</f>
        <v>0.46038329803818506</v>
      </c>
      <c r="AA13" s="59">
        <f ca="1">LN(D13/UnderlyingPrice)+0.5*T/365.25*ATMImpVol^2</f>
        <v>-0.77858250810755014</v>
      </c>
      <c r="AB13" s="59">
        <f t="shared" ref="AB13:AB76" ca="1" si="4">-(AA13^2)</f>
        <v>-0.6061907219310434</v>
      </c>
      <c r="AC13" s="59">
        <f ca="1">AB13/(2*T/365.25*ATMImpVol^2)</f>
        <v>-1.9536359518746507</v>
      </c>
      <c r="AD13" s="60">
        <f t="shared" ref="AD13:AD76" ca="1" si="5">EXP(AC13)</f>
        <v>0.14175770921245076</v>
      </c>
      <c r="AE13" s="60">
        <f ca="1">AD13*Z13</f>
        <v>6.5262881689566093E-2</v>
      </c>
      <c r="AF13" s="60"/>
      <c r="AG13" s="97">
        <f ca="1">(LN($D13/UnderlyingPrice)+0.5*ATMImpVol^2*(T/365.25))/(ATMImpVol*SQRT(T/365.25))</f>
        <v>-1.976682044171318</v>
      </c>
      <c r="AH13" s="97">
        <f ca="1">(LN(($D13*(1+$P$8))/UnderlyingPrice)+0.5*ATMImpVol^2*(T/365.25))/(ATMImpVol*SQRT(T/365.25))</f>
        <v>-1.9754129506470324</v>
      </c>
      <c r="AI13" s="97">
        <f ca="1">(LN($D13*(1-$P$8)/UnderlyingPrice)+0.5*ATMImpVol^2*(T/365.25))/(ATMImpVol*SQRT(T/365.25))</f>
        <v>-1.977951772401068</v>
      </c>
      <c r="AJ13" s="97"/>
      <c r="AK13" s="97">
        <f ca="1">W13/(AH13-AI13)*(D13*2*$P$8)</f>
        <v>5.1808698620599856E-2</v>
      </c>
      <c r="AL13" s="97"/>
      <c r="AM13" s="95">
        <v>-3.1</v>
      </c>
      <c r="AN13" s="96">
        <f t="shared" ref="AN13:AN75" si="6">NORMDIST(AM13,0,1,FALSE)</f>
        <v>3.2668190561999178E-3</v>
      </c>
      <c r="AP13" s="83" t="s">
        <v>82</v>
      </c>
      <c r="AQ13" s="76">
        <f ca="1">AQ11*AQ5*AQ4*AQ8*EXP(AQ10/2)</f>
        <v>2.5985025782146023</v>
      </c>
      <c r="AR13" s="76">
        <f ca="1">AR11*AR5*AR4*AR8*EXP(AR10/2)</f>
        <v>1.2490270086907724</v>
      </c>
      <c r="AS13" s="81" t="s">
        <v>83</v>
      </c>
      <c r="AX13" s="107">
        <f ca="1">OFFSET(ENAVolCoef,0,impvol_order-2)+OFFSET(ENAVolCoef,1,impvol_order-2)*E13+OFFSET(ENAVolCoef,2,impvol_order-2)*E13^2+IF(impvol_order&gt;2,OFFSET(ENAVolCoef,3,impvol_order-2)*E13^3,0)+IF(impvol_order&gt;3,OFFSET(ENAVolCoef,4,impvol_order-2)*E13^4,0)+IF(impvol_order&gt;4,OFFSET(ENAVolCoef,5,impvol_order-2)*E13^5,0)</f>
        <v>0.54201020586795889</v>
      </c>
      <c r="AY13" s="107">
        <f ca="1">OFFSET(ENAVolCoef,0,impvol_order-2)+OFFSET(ENAVolCoef,1,impvol_order-2)*F13+OFFSET(ENAVolCoef,2,impvol_order-2)*F13^2+IF(impvol_order&gt;2,OFFSET(ENAVolCoef,3,impvol_order-2)*F13^3,0)+IF(impvol_order&gt;3,OFFSET(ENAVolCoef,4,impvol_order-2)*F13^4,0)+IF(impvol_order&gt;4,OFFSET(ENAVolCoef,5,impvol_order-2)*F13^5,0)</f>
        <v>0.54195768336304695</v>
      </c>
      <c r="AZ13" s="107">
        <f ca="1">OFFSET(ENAVolCoef,0,impvol_order-2)+OFFSET(ENAVolCoef,1,impvol_order-2)*G13+OFFSET(ENAVolCoef,2,impvol_order-2)*G13^2+IF(impvol_order&gt;2,OFFSET(ENAVolCoef,3,impvol_order-2)*G13^3,0)+IF(impvol_order&gt;3,OFFSET(ENAVolCoef,4,impvol_order-2)*G13^4,0)+IF(impvol_order&gt;4,OFFSET(ENAVolCoef,5,impvol_order-2)*G13^5,0)</f>
        <v>0.54206275877560561</v>
      </c>
      <c r="BB13" s="39">
        <f ca="1">_xll.EURO(UnderlyingPrice,$D13,IntRate,Yield,AX13,$D$6,1,0)</f>
        <v>2.9154376809341214</v>
      </c>
      <c r="BC13" s="39">
        <f ca="1">_xll.EURO(UnderlyingPrice,$D13*(1+$P$8),IntRate,Yield,AY13,$D$6,1,0)</f>
        <v>2.9143910837447762</v>
      </c>
      <c r="BD13" s="39">
        <f ca="1">_xll.EURO(UnderlyingPrice,$D13*(1-$P$8),IntRate,Yield,AZ13,$D$6,1,0)</f>
        <v>2.9164843407165648</v>
      </c>
      <c r="BF13" s="59">
        <f ca="1">(BC13+BD13-2*BB13)/($P$8*$D13)^2</f>
        <v>5.1729833639798044E-2</v>
      </c>
      <c r="BG13" s="39">
        <f ca="1">+BF13/$D$9</f>
        <v>5.3021631183158356E-2</v>
      </c>
      <c r="BI13" s="58">
        <f ca="1">+BB13-L13</f>
        <v>2.6266824606011596E-3</v>
      </c>
      <c r="BJ13" s="46">
        <f ca="1">+BI13/BB13</f>
        <v>9.009564765450781E-4</v>
      </c>
    </row>
    <row r="14" spans="2:62" x14ac:dyDescent="0.2">
      <c r="C14" s="56">
        <v>1</v>
      </c>
      <c r="D14" s="63">
        <f ca="1">D13+(ROUNDUP(MAX(StrikeRange),1)-ROUNDDOWN(MIN(StrikeRange),1))/100</f>
        <v>2.238</v>
      </c>
      <c r="E14" s="45">
        <f t="shared" ref="E14:E77" ca="1" si="7">+D14/UnderlyingPrice-1</f>
        <v>-0.5678702452210852</v>
      </c>
      <c r="F14" s="45">
        <f t="shared" ref="F14:F65" ca="1" si="8">+D14*(1+$P$8)/UnderlyingPrice-1</f>
        <v>-0.56765418034369564</v>
      </c>
      <c r="G14" s="45">
        <f t="shared" ref="G14:G65" ca="1" si="9">+D14*(1-$P$8)/UnderlyingPrice-1</f>
        <v>-0.56808631009847466</v>
      </c>
      <c r="H14" s="45">
        <f t="shared" ca="1" si="0"/>
        <v>0.51544507402818662</v>
      </c>
      <c r="I14" s="45">
        <f t="shared" ca="1" si="1"/>
        <v>0.51545393035618714</v>
      </c>
      <c r="J14" s="45">
        <f t="shared" ca="1" si="2"/>
        <v>0.5154627901233928</v>
      </c>
      <c r="K14" s="58"/>
      <c r="L14" s="58">
        <f ca="1">_xll.EURO(UnderlyingPrice,$D14,IntRate,Yield,$I14,$D$6,L$12,0)</f>
        <v>2.87660898309319</v>
      </c>
      <c r="M14" s="58">
        <f ca="1">_xll.EURO(UnderlyingPrice,$D14,IntRate,Yield,$I14,$D$6,M$12,0)</f>
        <v>7.2623157094337532E-3</v>
      </c>
      <c r="O14" s="58">
        <f ca="1">_xll.EURO(UnderlyingPrice,$D14*(1+$P$8),IntRate,Yield,$H14,Expiry-Today,O$12,0)</f>
        <v>2.8755442666210365</v>
      </c>
      <c r="P14" s="58">
        <f ca="1">_xll.EURO(UnderlyingPrice,$D14*(1+$P$8),IntRate,Yield,$H14,Expiry-Today,P$12,0)</f>
        <v>7.2893363745819631E-3</v>
      </c>
      <c r="R14" s="58">
        <f ca="1">_xll.EURO(UnderlyingPrice,$D14*(1-$P$8),IntRate,Yield,$J14,Expiry-Today,R$12,0)</f>
        <v>2.8776737777739427</v>
      </c>
      <c r="S14" s="58">
        <f ca="1">_xll.EURO(UnderlyingPrice,$D14*(1-$P$8),IntRate,Yield,$J14,Expiry-Today,S$12,0)</f>
        <v>7.2353732528855699E-3</v>
      </c>
      <c r="U14" s="59">
        <f t="shared" ref="U14:U45" ca="1" si="10">(O14+R14-2*L14)/($P$8*D14)^2</f>
        <v>6.2458900020308239E-2</v>
      </c>
      <c r="V14" s="59"/>
      <c r="W14" s="62">
        <f t="shared" ca="1" si="3"/>
        <v>6.401862383788394E-2</v>
      </c>
      <c r="X14" s="63"/>
      <c r="Z14" s="59">
        <f t="shared" ref="Z14:Z77" ca="1" si="11">(1/(D14*SQRT(2*PI()*T/365.25*ATMImpVol^2)))</f>
        <v>0.45256624472028922</v>
      </c>
      <c r="AA14" s="59">
        <f t="shared" ref="AA14:AA77" ca="1" si="12">LN(D14/UnderlyingPrice)+0.5*T/365.25*ATMImpVol^2</f>
        <v>-0.7614572585820869</v>
      </c>
      <c r="AB14" s="59">
        <f t="shared" ca="1" si="4"/>
        <v>-0.57981715664734712</v>
      </c>
      <c r="AC14" s="59">
        <f t="shared" ref="AC14:AC77" ca="1" si="13">AB14/(2*T/365.25*ATMImpVol^2)</f>
        <v>-1.8686390301909774</v>
      </c>
      <c r="AD14" s="60">
        <f t="shared" ca="1" si="5"/>
        <v>0.15433356226740824</v>
      </c>
      <c r="AE14" s="60">
        <f t="shared" ref="AE14:AE77" ca="1" si="14">AD14*Z14</f>
        <v>6.9846160709665872E-2</v>
      </c>
      <c r="AF14" s="60"/>
      <c r="AG14" s="97">
        <f t="shared" ref="AG14:AG77" ca="1" si="15">(LN($D14/UnderlyingPrice)+0.5*ATMImpVol^2*(T/365.25))/(ATMImpVol*SQRT(T/365.25))</f>
        <v>-1.9332040917559516</v>
      </c>
      <c r="AH14" s="97">
        <f t="shared" ref="AH14:AH77" ca="1" si="16">(LN(($D14*(1+$P$8))/UnderlyingPrice)+0.5*ATMImpVol^2*(T/365.25))/(ATMImpVol*SQRT(T/365.25))</f>
        <v>-1.9319349982316663</v>
      </c>
      <c r="AI14" s="97">
        <f t="shared" ref="AI14:AI77" ca="1" si="17">(LN($D14*(1-$P$8)/UnderlyingPrice)+0.5*ATMImpVol^2*(T/365.25))/(ATMImpVol*SQRT(T/365.25))</f>
        <v>-1.9344738199857019</v>
      </c>
      <c r="AJ14" s="97"/>
      <c r="AK14" s="97">
        <f t="shared" ref="AK14:AK77" ca="1" si="18">W14/(AH14-AI14)*(D14*2*$P$8)</f>
        <v>5.6433138687834478E-2</v>
      </c>
      <c r="AL14" s="97"/>
      <c r="AM14" s="95">
        <v>-3</v>
      </c>
      <c r="AN14" s="96">
        <f t="shared" si="6"/>
        <v>4.4318484119380067E-3</v>
      </c>
      <c r="AP14" s="75" t="s">
        <v>84</v>
      </c>
      <c r="AQ14" s="84">
        <v>1.2293011197862695</v>
      </c>
      <c r="AR14" s="85"/>
      <c r="AS14" s="77" t="s">
        <v>85</v>
      </c>
      <c r="AX14" s="107">
        <f t="shared" ref="AX14:AX77" ca="1" si="19">OFFSET(ENAVolCoef,0,impvol_order-2)+OFFSET(ENAVolCoef,1,impvol_order-2)*E14+OFFSET(ENAVolCoef,2,impvol_order-2)*E14^2+IF(impvol_order&gt;2,OFFSET(ENAVolCoef,3,impvol_order-2)*E14^3,0)+IF(impvol_order&gt;3,OFFSET(ENAVolCoef,4,impvol_order-2)*E14^4,0)+IF(impvol_order&gt;4,OFFSET(ENAVolCoef,5,impvol_order-2)*E14^5,0)</f>
        <v>0.54021336743487469</v>
      </c>
      <c r="AY14" s="107">
        <f t="shared" ref="AY14:AY77" ca="1" si="20">OFFSET(ENAVolCoef,0,impvol_order-2)+OFFSET(ENAVolCoef,1,impvol_order-2)*F14+OFFSET(ENAVolCoef,2,impvol_order-2)*F14^2+IF(impvol_order&gt;2,OFFSET(ENAVolCoef,3,impvol_order-2)*F14^3,0)+IF(impvol_order&gt;3,OFFSET(ENAVolCoef,4,impvol_order-2)*F14^4,0)+IF(impvol_order&gt;4,OFFSET(ENAVolCoef,5,impvol_order-2)*F14^5,0)</f>
        <v>0.54016100270989342</v>
      </c>
      <c r="AZ14" s="107">
        <f t="shared" ref="AZ14:AZ77" ca="1" si="21">OFFSET(ENAVolCoef,0,impvol_order-2)+OFFSET(ENAVolCoef,1,impvol_order-2)*G14+OFFSET(ENAVolCoef,2,impvol_order-2)*G14^2+IF(impvol_order&gt;2,OFFSET(ENAVolCoef,3,impvol_order-2)*G14^3,0)+IF(impvol_order&gt;3,OFFSET(ENAVolCoef,4,impvol_order-2)*G14^4,0)+IF(impvol_order&gt;4,OFFSET(ENAVolCoef,5,impvol_order-2)*G14^5,0)</f>
        <v>0.54026576341039401</v>
      </c>
      <c r="BB14" s="39">
        <f ca="1">_xll.EURO(UnderlyingPrice,$D14,IntRate,Yield,AX14,$D$6,1,0)</f>
        <v>2.8793195251011063</v>
      </c>
      <c r="BC14" s="39">
        <f ca="1">_xll.EURO(UnderlyingPrice,$D14*(1+$P$8),IntRate,Yield,AY14,$D$6,1,0)</f>
        <v>2.8782571191878299</v>
      </c>
      <c r="BD14" s="39">
        <f ca="1">_xll.EURO(UnderlyingPrice,$D14*(1-$P$8),IntRate,Yield,AZ14,$D$6,1,0)</f>
        <v>2.8803819997382805</v>
      </c>
      <c r="BF14" s="59">
        <f t="shared" ref="BF14:BF77" ca="1" si="22">(BC14+BD14-2*BB14)/($P$8*$D14)^2</f>
        <v>5.4884234282774676E-2</v>
      </c>
      <c r="BG14" s="39">
        <f t="shared" ref="BG14:BG77" ca="1" si="23">+BF14/$D$9</f>
        <v>5.6254803527388562E-2</v>
      </c>
      <c r="BI14" s="58">
        <f t="shared" ref="BI14:BI77" ca="1" si="24">+BB14-L14</f>
        <v>2.7105420079163167E-3</v>
      </c>
      <c r="BJ14" s="46">
        <f t="shared" ref="BJ14:BJ77" ca="1" si="25">+BI14/BB14</f>
        <v>9.4138284559478922E-4</v>
      </c>
    </row>
    <row r="15" spans="2:62" x14ac:dyDescent="0.2">
      <c r="C15" s="56">
        <v>2</v>
      </c>
      <c r="D15" s="63">
        <f t="shared" ref="D15:D78" ca="1" si="26">D14+(ROUNDUP(MAX(StrikeRange),1)-ROUNDDOWN(MIN(StrikeRange),1))/100</f>
        <v>2.2759999999999998</v>
      </c>
      <c r="E15" s="45">
        <f t="shared" ca="1" si="7"/>
        <v>-0.56053292141340028</v>
      </c>
      <c r="F15" s="45">
        <f t="shared" ca="1" si="8"/>
        <v>-0.560313187874107</v>
      </c>
      <c r="G15" s="45">
        <f t="shared" ca="1" si="9"/>
        <v>-0.56075265495269366</v>
      </c>
      <c r="H15" s="45">
        <f t="shared" ca="1" si="0"/>
        <v>0.51514625431911709</v>
      </c>
      <c r="I15" s="45">
        <f t="shared" ca="1" si="1"/>
        <v>0.51515513897303555</v>
      </c>
      <c r="J15" s="45">
        <f t="shared" ca="1" si="2"/>
        <v>0.51516402737266376</v>
      </c>
      <c r="K15" s="58"/>
      <c r="L15" s="58">
        <f ca="1">_xll.EURO(UnderlyingPrice,$D15,IntRate,Yield,$I15,$D$6,L$12,0)</f>
        <v>2.8404971716750236</v>
      </c>
      <c r="M15" s="58">
        <f ca="1">_xll.EURO(UnderlyingPrice,$D15,IntRate,Yield,$I15,$D$6,M$12,0)</f>
        <v>8.2246876848689685E-3</v>
      </c>
      <c r="O15" s="58">
        <f ca="1">_xll.EURO(UnderlyingPrice,$D15*(1+$P$8),IntRate,Yield,$H15,Expiry-Today,O$12,0)</f>
        <v>2.8394171725603914</v>
      </c>
      <c r="P15" s="58">
        <f ca="1">_xll.EURO(UnderlyingPrice,$D15*(1+$P$8),IntRate,Yield,$H15,Expiry-Today,P$12,0)</f>
        <v>8.2549627992349328E-3</v>
      </c>
      <c r="R15" s="58">
        <f ca="1">_xll.EURO(UnderlyingPrice,$D15*(1-$P$8),IntRate,Yield,$J15,Expiry-Today,R$12,0)</f>
        <v>2.8415772571656888</v>
      </c>
      <c r="S15" s="58">
        <f ca="1">_xll.EURO(UnderlyingPrice,$D15*(1-$P$8),IntRate,Yield,$J15,Expiry-Today,S$12,0)</f>
        <v>8.1944989465366005E-3</v>
      </c>
      <c r="U15" s="59">
        <f t="shared" ca="1" si="10"/>
        <v>6.6697373553997796E-2</v>
      </c>
      <c r="V15" s="59"/>
      <c r="W15" s="62">
        <f t="shared" ca="1" si="3"/>
        <v>6.8362940543939807E-2</v>
      </c>
      <c r="X15" s="63"/>
      <c r="Z15" s="59">
        <f t="shared" ca="1" si="11"/>
        <v>0.44501021778734945</v>
      </c>
      <c r="AA15" s="59">
        <f t="shared" ca="1" si="12"/>
        <v>-0.74462035220773592</v>
      </c>
      <c r="AB15" s="59">
        <f t="shared" ca="1" si="4"/>
        <v>-0.55445946892197273</v>
      </c>
      <c r="AC15" s="59">
        <f t="shared" ca="1" si="13"/>
        <v>-1.7869160862321993</v>
      </c>
      <c r="AD15" s="60">
        <f t="shared" ca="1" si="5"/>
        <v>0.16747585518908864</v>
      </c>
      <c r="AE15" s="60">
        <f t="shared" ca="1" si="14"/>
        <v>7.4528466791818931E-2</v>
      </c>
      <c r="AF15" s="60"/>
      <c r="AG15" s="97">
        <f t="shared" ca="1" si="15"/>
        <v>-1.890458191144252</v>
      </c>
      <c r="AH15" s="97">
        <f t="shared" ca="1" si="16"/>
        <v>-1.8891890976199668</v>
      </c>
      <c r="AI15" s="97">
        <f t="shared" ca="1" si="17"/>
        <v>-1.8917279193740024</v>
      </c>
      <c r="AJ15" s="97"/>
      <c r="AK15" s="97">
        <f t="shared" ca="1" si="18"/>
        <v>6.1285930148770491E-2</v>
      </c>
      <c r="AL15" s="97"/>
      <c r="AM15" s="95">
        <v>-2.9</v>
      </c>
      <c r="AN15" s="96">
        <f t="shared" si="6"/>
        <v>5.9525324197758529E-3</v>
      </c>
      <c r="AP15" s="75" t="s">
        <v>86</v>
      </c>
      <c r="AQ15" s="76">
        <f ca="1">(SUM(W13:W113)-(W13+W113)/2)*(ROUNDUP(MAX(StrikeRange),1)-ROUNDDOWN(MIN(StrikeRange),1))/100</f>
        <v>0.73710517680982546</v>
      </c>
      <c r="AR15" s="85"/>
      <c r="AS15" s="77" t="s">
        <v>87</v>
      </c>
      <c r="AX15" s="107">
        <f t="shared" ca="1" si="19"/>
        <v>0.53845256732049718</v>
      </c>
      <c r="AY15" s="107">
        <f t="shared" ca="1" si="20"/>
        <v>0.53840038923181377</v>
      </c>
      <c r="AZ15" s="107">
        <f t="shared" ca="1" si="21"/>
        <v>0.53850477751117398</v>
      </c>
      <c r="BB15" s="39">
        <f ca="1">_xll.EURO(UnderlyingPrice,$D15,IntRate,Yield,AX15,$D$6,1,0)</f>
        <v>2.8432806350528717</v>
      </c>
      <c r="BC15" s="39">
        <f ca="1">_xll.EURO(UnderlyingPrice,$D15*(1+$P$8),IntRate,Yield,AY15,$D$6,1,0)</f>
        <v>2.8422026363434139</v>
      </c>
      <c r="BD15" s="39">
        <f ca="1">_xll.EURO(UnderlyingPrice,$D15*(1-$P$8),IntRate,Yield,AZ15,$D$6,1,0)</f>
        <v>2.8443587090643767</v>
      </c>
      <c r="BF15" s="59">
        <f t="shared" ca="1" si="22"/>
        <v>5.8146323417859483E-2</v>
      </c>
      <c r="BG15" s="39">
        <f t="shared" ca="1" si="23"/>
        <v>5.9598353561038542E-2</v>
      </c>
      <c r="BI15" s="58">
        <f t="shared" ca="1" si="24"/>
        <v>2.7834633778480722E-3</v>
      </c>
      <c r="BJ15" s="46">
        <f t="shared" ca="1" si="25"/>
        <v>9.7896188773371399E-4</v>
      </c>
    </row>
    <row r="16" spans="2:62" x14ac:dyDescent="0.2">
      <c r="C16" s="56">
        <v>3</v>
      </c>
      <c r="D16" s="63">
        <f t="shared" ca="1" si="26"/>
        <v>2.3139999999999996</v>
      </c>
      <c r="E16" s="45">
        <f t="shared" ca="1" si="7"/>
        <v>-0.55319559760571546</v>
      </c>
      <c r="F16" s="45">
        <f t="shared" ca="1" si="8"/>
        <v>-0.55297219540451836</v>
      </c>
      <c r="G16" s="45">
        <f t="shared" ca="1" si="9"/>
        <v>-0.55341899980691267</v>
      </c>
      <c r="H16" s="45">
        <f t="shared" ca="1" si="0"/>
        <v>0.5148516216371094</v>
      </c>
      <c r="I16" s="45">
        <f t="shared" ca="1" si="1"/>
        <v>0.51486052413128647</v>
      </c>
      <c r="J16" s="45">
        <f t="shared" ca="1" si="2"/>
        <v>0.5148694306923699</v>
      </c>
      <c r="L16" s="58">
        <f ca="1">_xll.EURO(UnderlyingPrice,$D16,IntRate,Yield,$I16,$D$6,L$12,0)</f>
        <v>2.8044816836112649</v>
      </c>
      <c r="M16" s="58">
        <f ca="1">_xll.EURO(UnderlyingPrice,$D16,IntRate,Yield,$I16,$D$6,M$12,0)</f>
        <v>9.2833830147118698E-3</v>
      </c>
      <c r="O16" s="58">
        <f ca="1">_xll.EURO(UnderlyingPrice,$D16*(1+$P$8),IntRate,Yield,$H16,Expiry-Today,O$12,0)</f>
        <v>2.8033866840041495</v>
      </c>
      <c r="P16" s="58">
        <f ca="1">_xll.EURO(UnderlyingPrice,$D16*(1+$P$8),IntRate,Yield,$H16,Expiry-Today,P$12,0)</f>
        <v>9.3171947282913309E-3</v>
      </c>
      <c r="R16" s="58">
        <f ca="1">_xll.EURO(UnderlyingPrice,$D16*(1-$P$8),IntRate,Yield,$J16,Expiry-Today,R$12,0)</f>
        <v>2.8055767783140335</v>
      </c>
      <c r="S16" s="58">
        <f ca="1">_xll.EURO(UnderlyingPrice,$D16*(1-$P$8),IntRate,Yield,$J16,Expiry-Today,S$12,0)</f>
        <v>9.2496663967850321E-3</v>
      </c>
      <c r="U16" s="59">
        <f t="shared" ca="1" si="10"/>
        <v>7.1038526999846502E-2</v>
      </c>
      <c r="V16" s="59"/>
      <c r="W16" s="62">
        <f t="shared" ca="1" si="3"/>
        <v>7.2812501285194606E-2</v>
      </c>
      <c r="X16" s="63"/>
      <c r="Z16" s="59">
        <f t="shared" ca="1" si="11"/>
        <v>0.4377023576853965</v>
      </c>
      <c r="AA16" s="59">
        <f t="shared" ca="1" si="12"/>
        <v>-0.72806223970033568</v>
      </c>
      <c r="AB16" s="59">
        <f t="shared" ca="1" si="4"/>
        <v>-0.53007462487746904</v>
      </c>
      <c r="AC16" s="59">
        <f t="shared" ca="1" si="13"/>
        <v>-1.7083284300990886</v>
      </c>
      <c r="AD16" s="60">
        <f t="shared" ca="1" si="5"/>
        <v>0.18116837525572596</v>
      </c>
      <c r="AE16" s="60">
        <f t="shared" ca="1" si="14"/>
        <v>7.9297824987463905E-2</v>
      </c>
      <c r="AF16" s="60"/>
      <c r="AG16" s="97">
        <f t="shared" ca="1" si="15"/>
        <v>-1.8484200984078745</v>
      </c>
      <c r="AH16" s="97">
        <f t="shared" ca="1" si="16"/>
        <v>-1.8471510048835891</v>
      </c>
      <c r="AI16" s="97">
        <f t="shared" ca="1" si="17"/>
        <v>-1.8496898266376249</v>
      </c>
      <c r="AJ16" s="97"/>
      <c r="AK16" s="97">
        <f t="shared" ca="1" si="18"/>
        <v>6.6364693663941474E-2</v>
      </c>
      <c r="AL16" s="97"/>
      <c r="AM16" s="95">
        <v>-2.8</v>
      </c>
      <c r="AN16" s="96">
        <f t="shared" si="6"/>
        <v>7.9154515829799668E-3</v>
      </c>
      <c r="AP16" s="75" t="s">
        <v>88</v>
      </c>
      <c r="AQ16" s="76">
        <f ca="1">1-AQ15</f>
        <v>0.26289482319017454</v>
      </c>
      <c r="AR16" s="76"/>
      <c r="AS16" s="82"/>
      <c r="AV16" s="106"/>
      <c r="AX16" s="107">
        <f t="shared" ca="1" si="19"/>
        <v>0.53672756157176105</v>
      </c>
      <c r="AY16" s="107">
        <f t="shared" ca="1" si="20"/>
        <v>0.53667559860962966</v>
      </c>
      <c r="AZ16" s="107">
        <f t="shared" ca="1" si="21"/>
        <v>0.53677955749062656</v>
      </c>
      <c r="BA16" s="108"/>
      <c r="BB16" s="39">
        <f ca="1">_xll.EURO(UnderlyingPrice,$D16,IntRate,Yield,AX16,$D$6,1,0)</f>
        <v>2.8073257210781959</v>
      </c>
      <c r="BC16" s="39">
        <f ca="1">_xll.EURO(UnderlyingPrice,$D16*(1+$P$8),IntRate,Yield,AY16,$D$6,1,0)</f>
        <v>2.8062323571646246</v>
      </c>
      <c r="BD16" s="39">
        <f ca="1">_xll.EURO(UnderlyingPrice,$D16*(1-$P$8),IntRate,Yield,AZ16,$D$6,1,0)</f>
        <v>2.8084191673383816</v>
      </c>
      <c r="BF16" s="59">
        <f t="shared" ca="1" si="22"/>
        <v>6.1514717345835045E-2</v>
      </c>
      <c r="BG16" s="39">
        <f t="shared" ca="1" si="23"/>
        <v>6.3050863031150331E-2</v>
      </c>
      <c r="BI16" s="58">
        <f t="shared" ca="1" si="24"/>
        <v>2.8440374669309598E-3</v>
      </c>
      <c r="BJ16" s="46">
        <f t="shared" ca="1" si="25"/>
        <v>1.0130771237470315E-3</v>
      </c>
    </row>
    <row r="17" spans="3:62" x14ac:dyDescent="0.2">
      <c r="C17" s="56">
        <v>4</v>
      </c>
      <c r="D17" s="63">
        <f t="shared" ca="1" si="26"/>
        <v>2.3519999999999994</v>
      </c>
      <c r="E17" s="45">
        <f t="shared" ca="1" si="7"/>
        <v>-0.54585827379803065</v>
      </c>
      <c r="F17" s="45">
        <f t="shared" ca="1" si="8"/>
        <v>-0.54563120293492973</v>
      </c>
      <c r="G17" s="45">
        <f t="shared" ca="1" si="9"/>
        <v>-0.54608534466113157</v>
      </c>
      <c r="H17" s="45">
        <f t="shared" ca="1" si="0"/>
        <v>0.51456138672614682</v>
      </c>
      <c r="I17" s="45">
        <f t="shared" ca="1" si="1"/>
        <v>0.51457029625912343</v>
      </c>
      <c r="J17" s="45">
        <f t="shared" ca="1" si="2"/>
        <v>0.51457921019521002</v>
      </c>
      <c r="L17" s="58">
        <f ca="1">_xll.EURO(UnderlyingPrice,$D17,IntRate,Yield,$I17,$D$6,L$12,0)</f>
        <v>2.768568786524412</v>
      </c>
      <c r="M17" s="58">
        <f ca="1">_xll.EURO(UnderlyingPrice,$D17,IntRate,Yield,$I17,$D$6,M$12,0)</f>
        <v>1.0444669321460362E-2</v>
      </c>
      <c r="O17" s="58">
        <f ca="1">_xll.EURO(UnderlyingPrice,$D17*(1+$P$8),IntRate,Yield,$H17,Expiry-Today,O$12,0)</f>
        <v>2.7674590822772447</v>
      </c>
      <c r="P17" s="58">
        <f ca="1">_xll.EURO(UnderlyingPrice,$D17*(1+$P$8),IntRate,Yield,$H17,Expiry-Today,P$12,0)</f>
        <v>1.048231348668513E-2</v>
      </c>
      <c r="R17" s="58">
        <f ca="1">_xll.EURO(UnderlyingPrice,$D17*(1-$P$8),IntRate,Yield,$J17,Expiry-Today,R$12,0)</f>
        <v>2.7696785951503484</v>
      </c>
      <c r="S17" s="58">
        <f ca="1">_xll.EURO(UnderlyingPrice,$D17*(1-$P$8),IntRate,Yield,$J17,Expiry-Today,S$12,0)</f>
        <v>1.0407129535005416E-2</v>
      </c>
      <c r="U17" s="59">
        <f t="shared" ca="1" si="10"/>
        <v>7.5474027560395882E-2</v>
      </c>
      <c r="V17" s="59"/>
      <c r="W17" s="62">
        <f t="shared" ca="1" si="3"/>
        <v>7.7358765177549527E-2</v>
      </c>
      <c r="X17" s="63"/>
      <c r="Z17" s="59">
        <f t="shared" ca="1" si="11"/>
        <v>0.43063063592007128</v>
      </c>
      <c r="AA17" s="59">
        <f t="shared" ca="1" si="12"/>
        <v>-0.71177383843544018</v>
      </c>
      <c r="AB17" s="59">
        <f t="shared" ca="1" si="4"/>
        <v>-0.5066219970811201</v>
      </c>
      <c r="AC17" s="59">
        <f t="shared" ca="1" si="13"/>
        <v>-1.6327451274003482</v>
      </c>
      <c r="AD17" s="60">
        <f t="shared" ca="1" si="5"/>
        <v>0.19539246004502195</v>
      </c>
      <c r="AE17" s="60">
        <f t="shared" ca="1" si="14"/>
        <v>8.4141979323174923E-2</v>
      </c>
      <c r="AF17" s="60"/>
      <c r="AG17" s="97">
        <f t="shared" ca="1" si="15"/>
        <v>-1.8070667543842136</v>
      </c>
      <c r="AH17" s="97">
        <f t="shared" ca="1" si="16"/>
        <v>-1.8057976608599284</v>
      </c>
      <c r="AI17" s="97">
        <f t="shared" ca="1" si="17"/>
        <v>-1.8083364826139634</v>
      </c>
      <c r="AJ17" s="97"/>
      <c r="AK17" s="97">
        <f t="shared" ca="1" si="18"/>
        <v>7.1666242582184153E-2</v>
      </c>
      <c r="AL17" s="97"/>
      <c r="AM17" s="95">
        <v>-2.7</v>
      </c>
      <c r="AN17" s="96">
        <f t="shared" si="6"/>
        <v>1.042093481442259E-2</v>
      </c>
      <c r="AP17" s="86" t="s">
        <v>89</v>
      </c>
      <c r="AQ17" s="87">
        <f ca="1">(Alpha1/Gamma2*AQ12)+(Alpha2/Gamma2*(1-AR12))</f>
        <v>0.26289485998381057</v>
      </c>
      <c r="AR17" s="85"/>
      <c r="AS17" s="82"/>
      <c r="AV17" s="106"/>
      <c r="AX17" s="107">
        <f t="shared" ca="1" si="19"/>
        <v>0.53503810623560055</v>
      </c>
      <c r="AY17" s="107">
        <f t="shared" ca="1" si="20"/>
        <v>0.53498638652416308</v>
      </c>
      <c r="AZ17" s="107">
        <f t="shared" ca="1" si="21"/>
        <v>0.53508985976143297</v>
      </c>
      <c r="BB17" s="39">
        <f ca="1">_xll.EURO(UnderlyingPrice,$D17,IntRate,Yield,AX17,$D$6,1,0)</f>
        <v>2.7714596469263282</v>
      </c>
      <c r="BC17" s="39">
        <f ca="1">_xll.EURO(UnderlyingPrice,$D17*(1+$P$8),IntRate,Yield,AY17,$D$6,1,0)</f>
        <v>2.770351157304046</v>
      </c>
      <c r="BD17" s="39">
        <f ca="1">_xll.EURO(UnderlyingPrice,$D17*(1-$P$8),IntRate,Yield,AZ17,$D$6,1,0)</f>
        <v>2.7725682264249896</v>
      </c>
      <c r="BF17" s="59">
        <f t="shared" ca="1" si="22"/>
        <v>6.49876637250828E-2</v>
      </c>
      <c r="BG17" s="39">
        <f t="shared" ca="1" si="23"/>
        <v>6.6610535836625809E-2</v>
      </c>
      <c r="BI17" s="58">
        <f t="shared" ca="1" si="24"/>
        <v>2.8908604019162176E-3</v>
      </c>
      <c r="BJ17" s="46">
        <f t="shared" ca="1" si="25"/>
        <v>1.0430822635726666E-3</v>
      </c>
    </row>
    <row r="18" spans="3:62" x14ac:dyDescent="0.2">
      <c r="C18" s="56">
        <v>5</v>
      </c>
      <c r="D18" s="63">
        <f t="shared" ca="1" si="26"/>
        <v>2.3899999999999992</v>
      </c>
      <c r="E18" s="45">
        <f t="shared" ca="1" si="7"/>
        <v>-0.53852094999034583</v>
      </c>
      <c r="F18" s="45">
        <f t="shared" ca="1" si="8"/>
        <v>-0.53829021046534098</v>
      </c>
      <c r="G18" s="45">
        <f t="shared" ca="1" si="9"/>
        <v>-0.53875168951535057</v>
      </c>
      <c r="H18" s="45">
        <f t="shared" ca="1" si="0"/>
        <v>0.51427576033021327</v>
      </c>
      <c r="I18" s="45">
        <f t="shared" ca="1" si="1"/>
        <v>0.51428466578472976</v>
      </c>
      <c r="J18" s="45">
        <f t="shared" ca="1" si="2"/>
        <v>0.51429357599388315</v>
      </c>
      <c r="L18" s="58">
        <f ca="1">_xll.EURO(UnderlyingPrice,$D18,IntRate,Yield,$I18,$D$6,L$12,0)</f>
        <v>2.7327648842425094</v>
      </c>
      <c r="M18" s="58">
        <f ca="1">_xll.EURO(UnderlyingPrice,$D18,IntRate,Yield,$I18,$D$6,M$12,0)</f>
        <v>1.1714950433158677E-2</v>
      </c>
      <c r="O18" s="58">
        <f ca="1">_xll.EURO(UnderlyingPrice,$D18*(1+$P$8),IntRate,Yield,$H18,Expiry-Today,O$12,0)</f>
        <v>2.7316407848090178</v>
      </c>
      <c r="P18" s="58">
        <f ca="1">_xll.EURO(UnderlyingPrice,$D18*(1+$P$8),IntRate,Yield,$H18,Expiry-Today,P$12,0)</f>
        <v>1.1756736503756859E-2</v>
      </c>
      <c r="R18" s="58">
        <f ca="1">_xll.EURO(UnderlyingPrice,$D18*(1-$P$8),IntRate,Yield,$J18,Expiry-Today,R$12,0)</f>
        <v>2.7338890979112342</v>
      </c>
      <c r="S18" s="58">
        <f ca="1">_xll.EURO(UnderlyingPrice,$D18*(1-$P$8),IntRate,Yield,$J18,Expiry-Today,S$12,0)</f>
        <v>1.1673278597794934E-2</v>
      </c>
      <c r="U18" s="59">
        <f t="shared" ca="1" si="10"/>
        <v>7.9995261789462591E-2</v>
      </c>
      <c r="V18" s="59"/>
      <c r="W18" s="62">
        <f t="shared" ca="1" si="3"/>
        <v>8.1992903679820234E-2</v>
      </c>
      <c r="X18" s="63"/>
      <c r="Z18" s="59">
        <f t="shared" ca="1" si="11"/>
        <v>0.42378378898912455</v>
      </c>
      <c r="AA18" s="59">
        <f t="shared" ca="1" si="12"/>
        <v>-0.69574650252840131</v>
      </c>
      <c r="AB18" s="59">
        <f t="shared" ca="1" si="4"/>
        <v>-0.48406319578050272</v>
      </c>
      <c r="AC18" s="59">
        <f t="shared" ca="1" si="13"/>
        <v>-1.5600424553573142</v>
      </c>
      <c r="AD18" s="60">
        <f t="shared" ca="1" si="5"/>
        <v>0.21012714998815527</v>
      </c>
      <c r="AE18" s="60">
        <f t="shared" ca="1" si="14"/>
        <v>8.9048479791466517E-2</v>
      </c>
      <c r="AF18" s="60"/>
      <c r="AG18" s="97">
        <f t="shared" ca="1" si="15"/>
        <v>-1.766376208715071</v>
      </c>
      <c r="AH18" s="97">
        <f t="shared" ca="1" si="16"/>
        <v>-1.765107115190786</v>
      </c>
      <c r="AI18" s="97">
        <f t="shared" ca="1" si="17"/>
        <v>-1.7676459369448212</v>
      </c>
      <c r="AJ18" s="97"/>
      <c r="AK18" s="97">
        <f t="shared" ca="1" si="18"/>
        <v>7.7186608111935187E-2</v>
      </c>
      <c r="AL18" s="97"/>
      <c r="AM18" s="95">
        <v>-2.6</v>
      </c>
      <c r="AN18" s="96">
        <f t="shared" si="6"/>
        <v>1.3582969233685611E-2</v>
      </c>
      <c r="AX18" s="107">
        <f t="shared" ca="1" si="19"/>
        <v>0.53338395735895028</v>
      </c>
      <c r="AY18" s="107">
        <f t="shared" ca="1" si="20"/>
        <v>0.53333250865623572</v>
      </c>
      <c r="AZ18" s="107">
        <f t="shared" ca="1" si="21"/>
        <v>0.53343544073627402</v>
      </c>
      <c r="BB18" s="39">
        <f ca="1">_xll.EURO(UnderlyingPrice,$D18,IntRate,Yield,AX18,$D$6,1,0)</f>
        <v>2.7356874272773015</v>
      </c>
      <c r="BC18" s="39">
        <f ca="1">_xll.EURO(UnderlyingPrice,$D18*(1+$P$8),IntRate,Yield,AY18,$D$6,1,0)</f>
        <v>2.7345640635613049</v>
      </c>
      <c r="BD18" s="39">
        <f ca="1">_xll.EURO(UnderlyingPrice,$D18*(1-$P$8),IntRate,Yield,AZ18,$D$6,1,0)</f>
        <v>2.7368108889030274</v>
      </c>
      <c r="BF18" s="59">
        <f t="shared" ca="1" si="22"/>
        <v>6.8563035810357664E-2</v>
      </c>
      <c r="BG18" s="39">
        <f t="shared" ca="1" si="23"/>
        <v>7.0275192123131977E-2</v>
      </c>
      <c r="BI18" s="58">
        <f t="shared" ca="1" si="24"/>
        <v>2.9225430347921133E-3</v>
      </c>
      <c r="BJ18" s="46">
        <f t="shared" ca="1" si="25"/>
        <v>1.0683029814194747E-3</v>
      </c>
    </row>
    <row r="19" spans="3:62" x14ac:dyDescent="0.2">
      <c r="C19" s="56">
        <v>6</v>
      </c>
      <c r="D19" s="63">
        <f t="shared" ca="1" si="26"/>
        <v>2.427999999999999</v>
      </c>
      <c r="E19" s="45">
        <f t="shared" ca="1" si="7"/>
        <v>-0.53118362618266102</v>
      </c>
      <c r="F19" s="45">
        <f t="shared" ca="1" si="8"/>
        <v>-0.53094921799575223</v>
      </c>
      <c r="G19" s="45">
        <f t="shared" ca="1" si="9"/>
        <v>-0.53141803436956958</v>
      </c>
      <c r="H19" s="45">
        <f t="shared" ca="1" si="0"/>
        <v>0.51399495319329225</v>
      </c>
      <c r="I19" s="45">
        <f t="shared" ca="1" si="1"/>
        <v>0.51400384313628911</v>
      </c>
      <c r="J19" s="45">
        <f t="shared" ca="1" si="2"/>
        <v>0.51401273820108839</v>
      </c>
      <c r="L19" s="58">
        <f ca="1">_xll.EURO(UnderlyingPrice,$D19,IntRate,Yield,$I19,$D$6,L$12,0)</f>
        <v>2.6970765043619851</v>
      </c>
      <c r="M19" s="58">
        <f ca="1">_xll.EURO(UnderlyingPrice,$D19,IntRate,Yield,$I19,$D$6,M$12,0)</f>
        <v>1.3100753946236929E-2</v>
      </c>
      <c r="O19" s="58">
        <f ca="1">_xll.EURO(UnderlyingPrice,$D19*(1+$P$8),IntRate,Yield,$H19,Expiry-Today,O$12,0)</f>
        <v>2.6959383326533408</v>
      </c>
      <c r="P19" s="58">
        <f ca="1">_xll.EURO(UnderlyingPrice,$D19*(1+$P$8),IntRate,Yield,$H19,Expiry-Today,P$12,0)</f>
        <v>1.3147004833378398E-2</v>
      </c>
      <c r="R19" s="58">
        <f ca="1">_xll.EURO(UnderlyingPrice,$D19*(1-$P$8),IntRate,Yield,$J19,Expiry-Today,R$12,0)</f>
        <v>2.6982148007440032</v>
      </c>
      <c r="S19" s="58">
        <f ca="1">_xll.EURO(UnderlyingPrice,$D19*(1-$P$8),IntRate,Yield,$J19,Expiry-Today,S$12,0)</f>
        <v>1.3054627732469459E-2</v>
      </c>
      <c r="U19" s="59">
        <f t="shared" ca="1" si="10"/>
        <v>8.4593372384588875E-2</v>
      </c>
      <c r="V19" s="59"/>
      <c r="W19" s="62">
        <f t="shared" ca="1" si="3"/>
        <v>8.6705838304968405E-2</v>
      </c>
      <c r="X19" s="63"/>
      <c r="Z19" s="59">
        <f t="shared" ca="1" si="11"/>
        <v>0.41715125851894885</v>
      </c>
      <c r="AA19" s="59">
        <f t="shared" ca="1" si="12"/>
        <v>-0.67997199527456897</v>
      </c>
      <c r="AB19" s="59">
        <f t="shared" ca="1" si="4"/>
        <v>-0.46236191435767843</v>
      </c>
      <c r="AC19" s="59">
        <f t="shared" ca="1" si="13"/>
        <v>-1.4901034047325805</v>
      </c>
      <c r="AD19" s="60">
        <f t="shared" ca="1" si="5"/>
        <v>0.22534935214512311</v>
      </c>
      <c r="AE19" s="60">
        <f t="shared" ca="1" si="14"/>
        <v>9.4004765853767894E-2</v>
      </c>
      <c r="AF19" s="60"/>
      <c r="AG19" s="97">
        <f t="shared" ca="1" si="15"/>
        <v>-1.7263275498772417</v>
      </c>
      <c r="AH19" s="97">
        <f t="shared" ca="1" si="16"/>
        <v>-1.7250584563529565</v>
      </c>
      <c r="AI19" s="97">
        <f t="shared" ca="1" si="17"/>
        <v>-1.7275972781069919</v>
      </c>
      <c r="AJ19" s="97"/>
      <c r="AK19" s="97">
        <f t="shared" ca="1" si="18"/>
        <v>8.2921053858878602E-2</v>
      </c>
      <c r="AL19" s="97"/>
      <c r="AM19" s="95">
        <v>-2.5</v>
      </c>
      <c r="AN19" s="96">
        <f t="shared" si="6"/>
        <v>1.7528300493568537E-2</v>
      </c>
      <c r="AX19" s="107">
        <f t="shared" ca="1" si="19"/>
        <v>0.53176487098874448</v>
      </c>
      <c r="AY19" s="107">
        <f t="shared" ca="1" si="20"/>
        <v>0.53171372068666944</v>
      </c>
      <c r="AZ19" s="107">
        <f t="shared" ca="1" si="21"/>
        <v>0.53181605682783106</v>
      </c>
      <c r="BB19" s="39">
        <f ca="1">_xll.EURO(UnderlyingPrice,$D19,IntRate,Yield,AX19,$D$6,1,0)</f>
        <v>2.7000142246632106</v>
      </c>
      <c r="BC19" s="39">
        <f ca="1">_xll.EURO(UnderlyingPrice,$D19*(1+$P$8),IntRate,Yield,AY19,$D$6,1,0)</f>
        <v>2.6988762507795383</v>
      </c>
      <c r="BD19" s="39">
        <f ca="1">_xll.EURO(UnderlyingPrice,$D19*(1-$P$8),IntRate,Yield,AZ19,$D$6,1,0)</f>
        <v>2.7011523050114143</v>
      </c>
      <c r="BF19" s="59">
        <f t="shared" ca="1" si="22"/>
        <v>7.2238309381388657E-2</v>
      </c>
      <c r="BG19" s="39">
        <f t="shared" ca="1" si="23"/>
        <v>7.4042244635562499E-2</v>
      </c>
      <c r="BI19" s="58">
        <f t="shared" ca="1" si="24"/>
        <v>2.9377203012255215E-3</v>
      </c>
      <c r="BJ19" s="46">
        <f t="shared" ca="1" si="25"/>
        <v>1.0880388237924788E-3</v>
      </c>
    </row>
    <row r="20" spans="3:62" x14ac:dyDescent="0.2">
      <c r="C20" s="56">
        <v>7</v>
      </c>
      <c r="D20" s="63">
        <f t="shared" ca="1" si="26"/>
        <v>2.4659999999999989</v>
      </c>
      <c r="E20" s="45">
        <f t="shared" ca="1" si="7"/>
        <v>-0.52384630237497609</v>
      </c>
      <c r="F20" s="45">
        <f t="shared" ca="1" si="8"/>
        <v>-0.5236082255261636</v>
      </c>
      <c r="G20" s="45">
        <f t="shared" ca="1" si="9"/>
        <v>-0.52408437922378859</v>
      </c>
      <c r="H20" s="45">
        <f t="shared" ca="1" si="0"/>
        <v>0.51371917605936745</v>
      </c>
      <c r="I20" s="45">
        <f t="shared" ca="1" si="1"/>
        <v>0.51372803874198492</v>
      </c>
      <c r="J20" s="45">
        <f t="shared" ca="1" si="2"/>
        <v>0.51373690692952478</v>
      </c>
      <c r="L20" s="58">
        <f ca="1">_xll.EURO(UnderlyingPrice,$D20,IntRate,Yield,$I20,$D$6,L$12,0)</f>
        <v>2.6615102854660755</v>
      </c>
      <c r="M20" s="58">
        <f ca="1">_xll.EURO(UnderlyingPrice,$D20,IntRate,Yield,$I20,$D$6,M$12,0)</f>
        <v>1.4608718443928415E-2</v>
      </c>
      <c r="O20" s="58">
        <f ca="1">_xll.EURO(UnderlyingPrice,$D20*(1+$P$8),IntRate,Yield,$H20,Expiry-Today,O$12,0)</f>
        <v>2.6603583776653683</v>
      </c>
      <c r="P20" s="58">
        <f ca="1">_xll.EURO(UnderlyingPrice,$D20*(1+$P$8),IntRate,Yield,$H20,Expiry-Today,P$12,0)</f>
        <v>1.4659770330702745E-2</v>
      </c>
      <c r="R20" s="58">
        <f ca="1">_xll.EURO(UnderlyingPrice,$D20*(1-$P$8),IntRate,Yield,$J20,Expiry-Today,R$12,0)</f>
        <v>2.6626623289667326</v>
      </c>
      <c r="S20" s="58">
        <f ca="1">_xll.EURO(UnderlyingPrice,$D20*(1-$P$8),IntRate,Yield,$J20,Expiry-Today,S$12,0)</f>
        <v>1.455780225710375E-2</v>
      </c>
      <c r="U20" s="59">
        <f t="shared" ca="1" si="10"/>
        <v>8.9259311843707015E-2</v>
      </c>
      <c r="V20" s="59"/>
      <c r="W20" s="62">
        <f t="shared" ca="1" si="3"/>
        <v>9.1488295616680593E-2</v>
      </c>
      <c r="X20" s="63"/>
      <c r="Z20" s="59">
        <f t="shared" ca="1" si="11"/>
        <v>0.41072313693593182</v>
      </c>
      <c r="AA20" s="59">
        <f t="shared" ca="1" si="12"/>
        <v>-0.6644424637296682</v>
      </c>
      <c r="AB20" s="59">
        <f t="shared" ca="1" si="4"/>
        <v>-0.44148378760715146</v>
      </c>
      <c r="AC20" s="59">
        <f t="shared" ca="1" si="13"/>
        <v>-1.4228172230871525</v>
      </c>
      <c r="AD20" s="60">
        <f t="shared" ca="1" si="5"/>
        <v>0.24103401289937804</v>
      </c>
      <c r="AE20" s="60">
        <f t="shared" ca="1" si="14"/>
        <v>9.8998245886288402E-2</v>
      </c>
      <c r="AF20" s="60"/>
      <c r="AG20" s="97">
        <f t="shared" ca="1" si="15"/>
        <v>-1.6869008406466293</v>
      </c>
      <c r="AH20" s="97">
        <f t="shared" ca="1" si="16"/>
        <v>-1.6856317471223443</v>
      </c>
      <c r="AI20" s="97">
        <f t="shared" ca="1" si="17"/>
        <v>-1.6881705688763795</v>
      </c>
      <c r="AJ20" s="97"/>
      <c r="AK20" s="97">
        <f t="shared" ca="1" si="18"/>
        <v>8.8864110539525074E-2</v>
      </c>
      <c r="AL20" s="97"/>
      <c r="AM20" s="95">
        <v>-2.4</v>
      </c>
      <c r="AN20" s="96">
        <f t="shared" si="6"/>
        <v>2.2394530294842896E-2</v>
      </c>
      <c r="AP20" s="64" t="s">
        <v>91</v>
      </c>
      <c r="AX20" s="107">
        <f t="shared" ca="1" si="19"/>
        <v>0.53018060317191762</v>
      </c>
      <c r="AY20" s="107">
        <f t="shared" ca="1" si="20"/>
        <v>0.53012977829628605</v>
      </c>
      <c r="AZ20" s="107">
        <f t="shared" ca="1" si="21"/>
        <v>0.53023146444878499</v>
      </c>
      <c r="BB20" s="39">
        <f ca="1">_xll.EURO(UnderlyingPrice,$D20,IntRate,Yield,AX20,$D$6,1,0)</f>
        <v>2.6644453458288524</v>
      </c>
      <c r="BC20" s="39">
        <f ca="1">_xll.EURO(UnderlyingPrice,$D20*(1+$P$8),IntRate,Yield,AY20,$D$6,1,0)</f>
        <v>2.6632930381792428</v>
      </c>
      <c r="BD20" s="39">
        <f ca="1">_xll.EURO(UnderlyingPrice,$D20*(1-$P$8),IntRate,Yield,AZ20,$D$6,1,0)</f>
        <v>2.6655977690364976</v>
      </c>
      <c r="BF20" s="59">
        <f t="shared" ca="1" si="22"/>
        <v>7.6010571693295684E-2</v>
      </c>
      <c r="BG20" s="39">
        <f t="shared" ca="1" si="23"/>
        <v>7.7908707891964413E-2</v>
      </c>
      <c r="BI20" s="58">
        <f t="shared" ca="1" si="24"/>
        <v>2.935060362776909E-3</v>
      </c>
      <c r="BJ20" s="46">
        <f t="shared" ca="1" si="25"/>
        <v>1.1015652347201267E-3</v>
      </c>
    </row>
    <row r="21" spans="3:62" x14ac:dyDescent="0.2">
      <c r="C21" s="56">
        <v>8</v>
      </c>
      <c r="D21" s="63">
        <f t="shared" ca="1" si="26"/>
        <v>2.5039999999999987</v>
      </c>
      <c r="E21" s="45">
        <f t="shared" ca="1" si="7"/>
        <v>-0.51650897856729128</v>
      </c>
      <c r="F21" s="45">
        <f t="shared" ca="1" si="8"/>
        <v>-0.51626723305657496</v>
      </c>
      <c r="G21" s="45">
        <f t="shared" ca="1" si="9"/>
        <v>-0.51675072407800759</v>
      </c>
      <c r="H21" s="45">
        <f t="shared" ca="1" si="0"/>
        <v>0.51344863967242238</v>
      </c>
      <c r="I21" s="45">
        <f t="shared" ca="1" si="1"/>
        <v>0.51345746303000062</v>
      </c>
      <c r="J21" s="45">
        <f t="shared" ca="1" si="2"/>
        <v>0.51346629229189145</v>
      </c>
      <c r="L21" s="58">
        <f ca="1">_xll.EURO(UnderlyingPrice,$D21,IntRate,Yield,$I21,$D$6,L$12,0)</f>
        <v>2.6260729640647624</v>
      </c>
      <c r="M21" s="58">
        <f ca="1">_xll.EURO(UnderlyingPrice,$D21,IntRate,Yield,$I21,$D$6,M$12,0)</f>
        <v>1.6245580436217127E-2</v>
      </c>
      <c r="O21" s="58">
        <f ca="1">_xll.EURO(UnderlyingPrice,$D21*(1+$P$8),IntRate,Yield,$H21,Expiry-Today,O$12,0)</f>
        <v>2.6249076694010136</v>
      </c>
      <c r="P21" s="58">
        <f ca="1">_xll.EURO(UnderlyingPrice,$D21*(1+$P$8),IntRate,Yield,$H21,Expiry-Today,P$12,0)</f>
        <v>1.6301782551646785E-2</v>
      </c>
      <c r="R21" s="58">
        <f ca="1">_xll.EURO(UnderlyingPrice,$D21*(1-$P$8),IntRate,Yield,$J21,Expiry-Today,R$12,0)</f>
        <v>2.6272384060486234</v>
      </c>
      <c r="S21" s="58">
        <f ca="1">_xll.EURO(UnderlyingPrice,$D21*(1-$P$8),IntRate,Yield,$J21,Expiry-Today,S$12,0)</f>
        <v>1.6189525640899344E-2</v>
      </c>
      <c r="U21" s="59">
        <f t="shared" ca="1" si="10"/>
        <v>9.3983883009850694E-2</v>
      </c>
      <c r="V21" s="59"/>
      <c r="W21" s="62">
        <f t="shared" ca="1" si="3"/>
        <v>9.6330848786562243E-2</v>
      </c>
      <c r="X21" s="63"/>
      <c r="Z21" s="59">
        <f t="shared" ca="1" si="11"/>
        <v>0.40449011808466767</v>
      </c>
      <c r="AA21" s="59">
        <f t="shared" ca="1" si="12"/>
        <v>-0.64915041523396877</v>
      </c>
      <c r="AB21" s="59">
        <f t="shared" ca="1" si="4"/>
        <v>-0.42139626159843407</v>
      </c>
      <c r="AC21" s="59">
        <f t="shared" ca="1" si="13"/>
        <v>-1.3580789953725563</v>
      </c>
      <c r="AD21" s="60">
        <f t="shared" ca="1" si="5"/>
        <v>0.25715429736950018</v>
      </c>
      <c r="AE21" s="60">
        <f t="shared" ca="1" si="14"/>
        <v>0.10401637210896887</v>
      </c>
      <c r="AF21" s="60"/>
      <c r="AG21" s="97">
        <f t="shared" ca="1" si="15"/>
        <v>-1.6480770584972997</v>
      </c>
      <c r="AH21" s="97">
        <f t="shared" ca="1" si="16"/>
        <v>-1.6468079649730145</v>
      </c>
      <c r="AI21" s="97">
        <f t="shared" ca="1" si="17"/>
        <v>-1.6493467867270502</v>
      </c>
      <c r="AJ21" s="97"/>
      <c r="AK21" s="97">
        <f t="shared" ca="1" si="18"/>
        <v>9.5009602378791483E-2</v>
      </c>
      <c r="AL21" s="97"/>
      <c r="AM21" s="95">
        <v>-2.2999999999999998</v>
      </c>
      <c r="AN21" s="96">
        <f t="shared" si="6"/>
        <v>2.8327037741601183E-2</v>
      </c>
      <c r="AX21" s="107">
        <f t="shared" ca="1" si="19"/>
        <v>0.52863090995540407</v>
      </c>
      <c r="AY21" s="107">
        <f t="shared" ca="1" si="20"/>
        <v>0.52858043716590741</v>
      </c>
      <c r="AZ21" s="107">
        <f t="shared" ca="1" si="21"/>
        <v>0.52868142001181695</v>
      </c>
      <c r="BB21" s="39">
        <f ca="1">_xll.EURO(UnderlyingPrice,$D21,IntRate,Yield,AX21,$D$6,1,0)</f>
        <v>2.6289862375227884</v>
      </c>
      <c r="BC21" s="39">
        <f ca="1">_xll.EURO(UnderlyingPrice,$D21*(1+$P$8),IntRate,Yield,AY21,$D$6,1,0)</f>
        <v>2.6278198851205823</v>
      </c>
      <c r="BD21" s="39">
        <f ca="1">_xll.EURO(UnderlyingPrice,$D21*(1-$P$8),IntRate,Yield,AZ21,$D$6,1,0)</f>
        <v>2.6301527151317448</v>
      </c>
      <c r="BF21" s="59">
        <f t="shared" ca="1" si="22"/>
        <v>7.9876510590686373E-2</v>
      </c>
      <c r="BG21" s="39">
        <f t="shared" ca="1" si="23"/>
        <v>8.1871187025792061E-2</v>
      </c>
      <c r="BI21" s="58">
        <f t="shared" ca="1" si="24"/>
        <v>2.9132734580259445E-3</v>
      </c>
      <c r="BJ21" s="46">
        <f t="shared" ca="1" si="25"/>
        <v>1.1081356822814832E-3</v>
      </c>
    </row>
    <row r="22" spans="3:62" x14ac:dyDescent="0.2">
      <c r="C22" s="56">
        <v>9</v>
      </c>
      <c r="D22" s="63">
        <f t="shared" ca="1" si="26"/>
        <v>2.5419999999999985</v>
      </c>
      <c r="E22" s="45">
        <f t="shared" ca="1" si="7"/>
        <v>-0.50917165475960635</v>
      </c>
      <c r="F22" s="45">
        <f t="shared" ca="1" si="8"/>
        <v>-0.50892624058698621</v>
      </c>
      <c r="G22" s="45">
        <f t="shared" ca="1" si="9"/>
        <v>-0.5094170689322266</v>
      </c>
      <c r="H22" s="45">
        <f t="shared" ca="1" si="0"/>
        <v>0.51318355477644073</v>
      </c>
      <c r="I22" s="45">
        <f t="shared" ca="1" si="1"/>
        <v>0.51319232642851975</v>
      </c>
      <c r="J22" s="45">
        <f t="shared" ca="1" si="2"/>
        <v>0.51320110440088718</v>
      </c>
      <c r="L22" s="58">
        <f ca="1">_xll.EURO(UnderlyingPrice,$D22,IntRate,Yield,$I22,$D$6,L$12,0)</f>
        <v>2.5907713613198258</v>
      </c>
      <c r="M22" s="58">
        <f ca="1">_xll.EURO(UnderlyingPrice,$D22,IntRate,Yield,$I22,$D$6,M$12,0)</f>
        <v>1.801816108488169E-2</v>
      </c>
      <c r="O22" s="58">
        <f ca="1">_xll.EURO(UnderlyingPrice,$D22*(1+$P$8),IntRate,Yield,$H22,Expiry-Today,O$12,0)</f>
        <v>2.5895930418028907</v>
      </c>
      <c r="P22" s="58">
        <f ca="1">_xll.EURO(UnderlyingPrice,$D22*(1+$P$8),IntRate,Yield,$H22,Expiry-Today,P$12,0)</f>
        <v>1.8079875438822307E-2</v>
      </c>
      <c r="R22" s="58">
        <f ca="1">_xll.EURO(UnderlyingPrice,$D22*(1-$P$8),IntRate,Yield,$J22,Expiry-Today,R$12,0)</f>
        <v>2.5919498403741303</v>
      </c>
      <c r="S22" s="58">
        <f ca="1">_xll.EURO(UnderlyingPrice,$D22*(1-$P$8),IntRate,Yield,$J22,Expiry-Today,S$12,0)</f>
        <v>1.7956606268311928E-2</v>
      </c>
      <c r="U22" s="59">
        <f t="shared" ca="1" si="10"/>
        <v>9.8757781919254203E-2</v>
      </c>
      <c r="V22" s="59"/>
      <c r="W22" s="62">
        <f t="shared" ca="1" si="3"/>
        <v>0.10122396151223972</v>
      </c>
      <c r="X22" s="63"/>
      <c r="Z22" s="59">
        <f t="shared" ca="1" si="11"/>
        <v>0.39844345227537681</v>
      </c>
      <c r="AA22" s="59">
        <f t="shared" ca="1" si="12"/>
        <v>-0.63408869570455861</v>
      </c>
      <c r="AB22" s="59">
        <f t="shared" ca="1" si="4"/>
        <v>-0.40206847402030832</v>
      </c>
      <c r="AC22" s="59">
        <f t="shared" ca="1" si="13"/>
        <v>-1.2957892583034396</v>
      </c>
      <c r="AD22" s="60">
        <f t="shared" ca="1" si="5"/>
        <v>0.2736817734547044</v>
      </c>
      <c r="AE22" s="60">
        <f t="shared" ca="1" si="14"/>
        <v>0.10904671064014</v>
      </c>
      <c r="AF22" s="60"/>
      <c r="AG22" s="97">
        <f t="shared" ca="1" si="15"/>
        <v>-1.6098380404894395</v>
      </c>
      <c r="AH22" s="97">
        <f t="shared" ca="1" si="16"/>
        <v>-1.6085689469651543</v>
      </c>
      <c r="AI22" s="97">
        <f t="shared" ca="1" si="17"/>
        <v>-1.6111077687191897</v>
      </c>
      <c r="AJ22" s="97"/>
      <c r="AK22" s="97">
        <f t="shared" ca="1" si="18"/>
        <v>0.10135067960368674</v>
      </c>
      <c r="AL22" s="97"/>
      <c r="AM22" s="95">
        <v>-2.2000000000000002</v>
      </c>
      <c r="AN22" s="96">
        <f t="shared" si="6"/>
        <v>3.5474592846231418E-2</v>
      </c>
      <c r="AP22" s="56"/>
      <c r="AQ22" s="74" t="s">
        <v>62</v>
      </c>
      <c r="AR22" s="74" t="s">
        <v>63</v>
      </c>
      <c r="AX22" s="107">
        <f t="shared" ca="1" si="19"/>
        <v>0.52711554738613842</v>
      </c>
      <c r="AY22" s="107">
        <f t="shared" ca="1" si="20"/>
        <v>0.52706545297635521</v>
      </c>
      <c r="AZ22" s="107">
        <f t="shared" ca="1" si="21"/>
        <v>0.52716567992960817</v>
      </c>
      <c r="BB22" s="39">
        <f ca="1">_xll.EURO(UnderlyingPrice,$D22,IntRate,Yield,AX22,$D$6,1,0)</f>
        <v>2.5936424817126289</v>
      </c>
      <c r="BC22" s="39">
        <f ca="1">_xll.EURO(UnderlyingPrice,$D22*(1+$P$8),IntRate,Yield,AY22,$D$6,1,0)</f>
        <v>2.5924623862880378</v>
      </c>
      <c r="BD22" s="39">
        <f ca="1">_xll.EURO(UnderlyingPrice,$D22*(1-$P$8),IntRate,Yield,AZ22,$D$6,1,0)</f>
        <v>2.5948227125635301</v>
      </c>
      <c r="BF22" s="59">
        <f t="shared" ca="1" si="22"/>
        <v>8.3832408714433829E-2</v>
      </c>
      <c r="BG22" s="39">
        <f t="shared" ca="1" si="23"/>
        <v>8.5925871848016519E-2</v>
      </c>
      <c r="BI22" s="58">
        <f t="shared" ca="1" si="24"/>
        <v>2.8711203928031281E-3</v>
      </c>
      <c r="BJ22" s="46">
        <f t="shared" ca="1" si="25"/>
        <v>1.1069838703857424E-3</v>
      </c>
    </row>
    <row r="23" spans="3:62" x14ac:dyDescent="0.2">
      <c r="C23" s="56">
        <v>10</v>
      </c>
      <c r="D23" s="63">
        <f t="shared" ca="1" si="26"/>
        <v>2.5799999999999983</v>
      </c>
      <c r="E23" s="45">
        <f t="shared" ca="1" si="7"/>
        <v>-0.50183433095192154</v>
      </c>
      <c r="F23" s="45">
        <f t="shared" ca="1" si="8"/>
        <v>-0.50158524811739746</v>
      </c>
      <c r="G23" s="45">
        <f t="shared" ca="1" si="9"/>
        <v>-0.50208341378644561</v>
      </c>
      <c r="H23" s="45">
        <f t="shared" ca="1" si="0"/>
        <v>0.51292413211540622</v>
      </c>
      <c r="I23" s="45">
        <f t="shared" ca="1" si="1"/>
        <v>0.51293283936572598</v>
      </c>
      <c r="J23" s="45">
        <f t="shared" ca="1" si="2"/>
        <v>0.5129415533692111</v>
      </c>
      <c r="L23" s="58">
        <f ca="1">_xll.EURO(UnderlyingPrice,$D23,IntRate,Yield,$I23,$D$6,L$12,0)</f>
        <v>2.5556123696159445</v>
      </c>
      <c r="M23" s="58">
        <f ca="1">_xll.EURO(UnderlyingPrice,$D23,IntRate,Yield,$I23,$D$6,M$12,0)</f>
        <v>1.993335277460169E-2</v>
      </c>
      <c r="O23" s="58">
        <f ca="1">_xll.EURO(UnderlyingPrice,$D23*(1+$P$8),IntRate,Yield,$H23,Expiry-Today,O$12,0)</f>
        <v>2.5544213997337719</v>
      </c>
      <c r="P23" s="58">
        <f ca="1">_xll.EURO(UnderlyingPrice,$D23*(1+$P$8),IntRate,Yield,$H23,Expiry-Today,P$12,0)</f>
        <v>2.0000953855001613E-2</v>
      </c>
      <c r="R23" s="58">
        <f ca="1">_xll.EURO(UnderlyingPrice,$D23*(1-$P$8),IntRate,Yield,$J23,Expiry-Today,R$12,0)</f>
        <v>2.556803511851685</v>
      </c>
      <c r="S23" s="58">
        <f ca="1">_xll.EURO(UnderlyingPrice,$D23*(1-$P$8),IntRate,Yield,$J23,Expiry-Today,S$12,0)</f>
        <v>1.98659240477706E-2</v>
      </c>
      <c r="U23" s="59">
        <f t="shared" ca="1" si="10"/>
        <v>0.10357164104450475</v>
      </c>
      <c r="V23" s="59"/>
      <c r="W23" s="62">
        <f t="shared" ca="1" si="3"/>
        <v>0.10615803234038075</v>
      </c>
      <c r="X23" s="63"/>
      <c r="Z23" s="59">
        <f t="shared" ca="1" si="11"/>
        <v>0.39257490530387906</v>
      </c>
      <c r="AA23" s="59">
        <f t="shared" ca="1" si="12"/>
        <v>-0.61925046953829499</v>
      </c>
      <c r="AB23" s="59">
        <f t="shared" ca="1" si="4"/>
        <v>-0.38347114402339882</v>
      </c>
      <c r="AC23" s="59">
        <f t="shared" ca="1" si="13"/>
        <v>-1.2358536453413984</v>
      </c>
      <c r="AD23" s="60">
        <f t="shared" ca="1" si="5"/>
        <v>0.2905865985648467</v>
      </c>
      <c r="AE23" s="60">
        <f t="shared" ca="1" si="14"/>
        <v>0.11407700641417101</v>
      </c>
      <c r="AF23" s="60"/>
      <c r="AG23" s="97">
        <f t="shared" ca="1" si="15"/>
        <v>-1.5721664322465343</v>
      </c>
      <c r="AH23" s="97">
        <f t="shared" ca="1" si="16"/>
        <v>-1.5708973387222489</v>
      </c>
      <c r="AI23" s="97">
        <f t="shared" ca="1" si="17"/>
        <v>-1.5734361604762843</v>
      </c>
      <c r="AJ23" s="97"/>
      <c r="AK23" s="97">
        <f t="shared" ca="1" si="18"/>
        <v>0.10787985529226</v>
      </c>
      <c r="AL23" s="97"/>
      <c r="AM23" s="95">
        <v>-2.1</v>
      </c>
      <c r="AN23" s="96">
        <f t="shared" si="6"/>
        <v>4.3983595980427184E-2</v>
      </c>
      <c r="AP23" s="74" t="s">
        <v>97</v>
      </c>
      <c r="AQ23" s="99">
        <f>2*PI()</f>
        <v>6.2831853071795862</v>
      </c>
      <c r="AR23" s="76">
        <f>2*PI()</f>
        <v>6.2831853071795862</v>
      </c>
      <c r="AX23" s="107">
        <f t="shared" ca="1" si="19"/>
        <v>0.52563427151105491</v>
      </c>
      <c r="AY23" s="107">
        <f t="shared" ca="1" si="20"/>
        <v>0.52558458140845143</v>
      </c>
      <c r="AZ23" s="107">
        <f t="shared" ca="1" si="21"/>
        <v>0.52568400061483944</v>
      </c>
      <c r="BB23" s="39">
        <f ca="1">_xll.EURO(UnderlyingPrice,$D23,IntRate,Yield,AX23,$D$6,1,0)</f>
        <v>2.558419790221266</v>
      </c>
      <c r="BC23" s="39">
        <f ca="1">_xll.EURO(UnderlyingPrice,$D23*(1+$P$8),IntRate,Yield,AY23,$D$6,1,0)</f>
        <v>2.5572262662942271</v>
      </c>
      <c r="BD23" s="39">
        <f ca="1">_xll.EURO(UnderlyingPrice,$D23*(1-$P$8),IntRate,Yield,AZ23,$D$6,1,0)</f>
        <v>2.5596134603796803</v>
      </c>
      <c r="BF23" s="59">
        <f t="shared" ca="1" si="22"/>
        <v>8.7874151465055492E-2</v>
      </c>
      <c r="BG23" s="39">
        <f t="shared" ca="1" si="23"/>
        <v>9.0068545009366022E-2</v>
      </c>
      <c r="BI23" s="58">
        <f t="shared" ca="1" si="24"/>
        <v>2.8074206053214645E-3</v>
      </c>
      <c r="BJ23" s="46">
        <f t="shared" ca="1" si="25"/>
        <v>1.0973260197767089E-3</v>
      </c>
    </row>
    <row r="24" spans="3:62" x14ac:dyDescent="0.2">
      <c r="C24" s="56">
        <v>11</v>
      </c>
      <c r="D24" s="63">
        <f t="shared" ca="1" si="26"/>
        <v>2.6179999999999981</v>
      </c>
      <c r="E24" s="45">
        <f t="shared" ca="1" si="7"/>
        <v>-0.49449700714423672</v>
      </c>
      <c r="F24" s="45">
        <f t="shared" ca="1" si="8"/>
        <v>-0.49424425564780883</v>
      </c>
      <c r="G24" s="45">
        <f t="shared" ca="1" si="9"/>
        <v>-0.49474975864066462</v>
      </c>
      <c r="H24" s="45">
        <f t="shared" ca="1" si="0"/>
        <v>0.51267058243330232</v>
      </c>
      <c r="I24" s="45">
        <f t="shared" ca="1" si="1"/>
        <v>0.51267921226980262</v>
      </c>
      <c r="J24" s="45">
        <f t="shared" ca="1" si="2"/>
        <v>0.51268784930956224</v>
      </c>
      <c r="L24" s="58">
        <f ca="1">_xll.EURO(UnderlyingPrice,$D24,IntRate,Yield,$I24,$D$6,L$12,0)</f>
        <v>2.520602939036038</v>
      </c>
      <c r="M24" s="58">
        <f ca="1">_xll.EURO(UnderlyingPrice,$D24,IntRate,Yield,$I24,$D$6,M$12,0)</f>
        <v>2.1998105588297401E-2</v>
      </c>
      <c r="O24" s="58">
        <f ca="1">_xll.EURO(UnderlyingPrice,$D24*(1+$P$8),IntRate,Yield,$H24,Expiry-Today,O$12,0)</f>
        <v>2.5193997054158759</v>
      </c>
      <c r="P24" s="58">
        <f ca="1">_xll.EURO(UnderlyingPrice,$D24*(1+$P$8),IntRate,Yield,$H24,Expiry-Today,P$12,0)</f>
        <v>2.207198002240407E-2</v>
      </c>
      <c r="R24" s="58">
        <f ca="1">_xll.EURO(UnderlyingPrice,$D24*(1-$P$8),IntRate,Yield,$J24,Expiry-Today,R$12,0)</f>
        <v>2.521806358425065</v>
      </c>
      <c r="S24" s="58">
        <f ca="1">_xll.EURO(UnderlyingPrice,$D24*(1-$P$8),IntRate,Yield,$J24,Expiry-Today,S$12,0)</f>
        <v>2.1924416923055301E-2</v>
      </c>
      <c r="U24" s="59">
        <f t="shared" ca="1" si="10"/>
        <v>0.10841606314365144</v>
      </c>
      <c r="V24" s="59"/>
      <c r="W24" s="62">
        <f t="shared" ca="1" si="3"/>
        <v>0.11112342936108341</v>
      </c>
      <c r="X24" s="63"/>
      <c r="Z24" s="59">
        <f t="shared" ca="1" si="11"/>
        <v>0.38687672104049198</v>
      </c>
      <c r="AA24" s="59">
        <f t="shared" ca="1" si="12"/>
        <v>-0.60462920098411288</v>
      </c>
      <c r="AB24" s="59">
        <f t="shared" ca="1" si="4"/>
        <v>-0.36557647068268678</v>
      </c>
      <c r="AC24" s="59">
        <f t="shared" ca="1" si="13"/>
        <v>-1.1781825594592152</v>
      </c>
      <c r="AD24" s="60">
        <f t="shared" ca="1" si="5"/>
        <v>0.30783770723024961</v>
      </c>
      <c r="AE24" s="60">
        <f t="shared" ca="1" si="14"/>
        <v>0.11909524278586192</v>
      </c>
      <c r="AF24" s="60"/>
      <c r="AG24" s="97">
        <f t="shared" ca="1" si="15"/>
        <v>-1.5350456406629835</v>
      </c>
      <c r="AH24" s="97">
        <f t="shared" ca="1" si="16"/>
        <v>-1.5337765471386984</v>
      </c>
      <c r="AI24" s="97">
        <f t="shared" ca="1" si="17"/>
        <v>-1.5363153688927336</v>
      </c>
      <c r="AJ24" s="97"/>
      <c r="AK24" s="97">
        <f t="shared" ca="1" si="18"/>
        <v>0.11458903627437704</v>
      </c>
      <c r="AL24" s="97"/>
      <c r="AM24" s="95">
        <v>-2</v>
      </c>
      <c r="AN24" s="96">
        <f t="shared" si="6"/>
        <v>5.3990966513188049E-2</v>
      </c>
      <c r="AP24" s="74" t="s">
        <v>78</v>
      </c>
      <c r="AQ24" s="99">
        <f ca="1">AG13</f>
        <v>-1.976682044171318</v>
      </c>
      <c r="AR24" s="76">
        <f ca="1">AG113</f>
        <v>0.57052296341447983</v>
      </c>
      <c r="AX24" s="107">
        <f t="shared" ca="1" si="19"/>
        <v>0.5241868383770879</v>
      </c>
      <c r="AY24" s="107">
        <f t="shared" ca="1" si="20"/>
        <v>0.52413757814301776</v>
      </c>
      <c r="AZ24" s="107">
        <f t="shared" ca="1" si="21"/>
        <v>0.52423613848019202</v>
      </c>
      <c r="BB24" s="39">
        <f ca="1">_xll.EURO(UnderlyingPrice,$D24,IntRate,Yield,AX24,$D$6,1,0)</f>
        <v>2.5233239987838836</v>
      </c>
      <c r="BC24" s="39">
        <f ca="1">_xll.EURO(UnderlyingPrice,$D24*(1+$P$8),IntRate,Yield,AY24,$D$6,1,0)</f>
        <v>2.522117373702792</v>
      </c>
      <c r="BD24" s="39">
        <f ca="1">_xll.EURO(UnderlyingPrice,$D24*(1-$P$8),IntRate,Yield,AZ24,$D$6,1,0)</f>
        <v>2.5245307815004754</v>
      </c>
      <c r="BF24" s="59">
        <f t="shared" ca="1" si="22"/>
        <v>9.1997226819930764E-2</v>
      </c>
      <c r="BG24" s="39">
        <f t="shared" ca="1" si="23"/>
        <v>9.4294581812979061E-2</v>
      </c>
      <c r="BI24" s="58">
        <f t="shared" ca="1" si="24"/>
        <v>2.7210597478455334E-3</v>
      </c>
      <c r="BJ24" s="46">
        <f t="shared" ca="1" si="25"/>
        <v>1.0783632023303184E-3</v>
      </c>
    </row>
    <row r="25" spans="3:62" x14ac:dyDescent="0.2">
      <c r="C25" s="56">
        <v>12</v>
      </c>
      <c r="D25" s="63">
        <f t="shared" ca="1" si="26"/>
        <v>2.6559999999999979</v>
      </c>
      <c r="E25" s="45">
        <f t="shared" ca="1" si="7"/>
        <v>-0.48715968333655191</v>
      </c>
      <c r="F25" s="45">
        <f t="shared" ca="1" si="8"/>
        <v>-0.48690326317822019</v>
      </c>
      <c r="G25" s="45">
        <f t="shared" ca="1" si="9"/>
        <v>-0.48741610349488362</v>
      </c>
      <c r="H25" s="45">
        <f t="shared" ca="1" si="0"/>
        <v>0.51242311647411265</v>
      </c>
      <c r="I25" s="45">
        <f t="shared" ca="1" si="1"/>
        <v>0.51243165556893322</v>
      </c>
      <c r="J25" s="45">
        <f t="shared" ca="1" si="2"/>
        <v>0.51244020233463972</v>
      </c>
      <c r="L25" s="58">
        <f ca="1">_xll.EURO(UnderlyingPrice,$D25,IntRate,Yield,$I25,$D$6,L$12,0)</f>
        <v>2.4857500637961039</v>
      </c>
      <c r="M25" s="58">
        <f ca="1">_xll.EURO(UnderlyingPrice,$D25,IntRate,Yield,$I25,$D$6,M$12,0)</f>
        <v>2.421941374196443E-2</v>
      </c>
      <c r="O25" s="58">
        <f ca="1">_xll.EURO(UnderlyingPrice,$D25*(1+$P$8),IntRate,Yield,$H25,Expiry-Today,O$12,0)</f>
        <v>2.4845349648313282</v>
      </c>
      <c r="P25" s="58">
        <f ca="1">_xll.EURO(UnderlyingPrice,$D25*(1+$P$8),IntRate,Yield,$H25,Expiry-Today,P$12,0)</f>
        <v>2.4299959923154313E-2</v>
      </c>
      <c r="R25" s="58">
        <f ca="1">_xll.EURO(UnderlyingPrice,$D25*(1-$P$8),IntRate,Yield,$J25,Expiry-Today,R$12,0)</f>
        <v>2.4869653625426</v>
      </c>
      <c r="S25" s="58">
        <f ca="1">_xll.EURO(UnderlyingPrice,$D25*(1-$P$8),IntRate,Yield,$J25,Expiry-Today,S$12,0)</f>
        <v>2.4139067342494602E-2</v>
      </c>
      <c r="U25" s="59">
        <f t="shared" ca="1" si="10"/>
        <v>0.11328165829134346</v>
      </c>
      <c r="V25" s="59"/>
      <c r="W25" s="62">
        <f t="shared" ca="1" si="3"/>
        <v>0.11611052816375604</v>
      </c>
      <c r="X25" s="63"/>
      <c r="Z25" s="59">
        <f t="shared" ca="1" si="11"/>
        <v>0.38134158723042477</v>
      </c>
      <c r="AA25" s="59">
        <f t="shared" ca="1" si="12"/>
        <v>-0.59021863685763376</v>
      </c>
      <c r="AB25" s="59">
        <f t="shared" ca="1" si="4"/>
        <v>-0.34835803929408338</v>
      </c>
      <c r="AC25" s="59">
        <f t="shared" ca="1" si="13"/>
        <v>-1.1226908711527599</v>
      </c>
      <c r="AD25" s="60">
        <f t="shared" ca="1" si="5"/>
        <v>0.32540299793847072</v>
      </c>
      <c r="AE25" s="60">
        <f t="shared" ca="1" si="14"/>
        <v>0.12408969572339507</v>
      </c>
      <c r="AF25" s="60"/>
      <c r="AG25" s="97">
        <f t="shared" ca="1" si="15"/>
        <v>-1.4984597900195784</v>
      </c>
      <c r="AH25" s="97">
        <f t="shared" ca="1" si="16"/>
        <v>-1.4971906964952932</v>
      </c>
      <c r="AI25" s="97">
        <f t="shared" ca="1" si="17"/>
        <v>-1.4997295182493284</v>
      </c>
      <c r="AJ25" s="97"/>
      <c r="AK25" s="97">
        <f t="shared" ca="1" si="18"/>
        <v>0.12146956056004435</v>
      </c>
      <c r="AL25" s="97"/>
      <c r="AM25" s="95">
        <v>-1.9</v>
      </c>
      <c r="AN25" s="96">
        <f t="shared" si="6"/>
        <v>6.5615814774676581E-2</v>
      </c>
      <c r="AP25" s="74" t="s">
        <v>98</v>
      </c>
      <c r="AQ25" s="99">
        <f ca="1">NORMSDIST(AG13/Gamma)</f>
        <v>9.092387744951802E-3</v>
      </c>
      <c r="AR25" s="76">
        <f ca="1">NORMSDIST(AG113/Gamma)</f>
        <v>0.75228191629936603</v>
      </c>
      <c r="AX25" s="107">
        <f t="shared" ca="1" si="19"/>
        <v>0.522773004031172</v>
      </c>
      <c r="AY25" s="107">
        <f t="shared" ca="1" si="20"/>
        <v>0.52272419886087618</v>
      </c>
      <c r="AZ25" s="107">
        <f t="shared" ca="1" si="21"/>
        <v>0.52282184993834702</v>
      </c>
      <c r="BB25" s="39">
        <f ca="1">_xll.EURO(UnderlyingPrice,$D25,IntRate,Yield,AX25,$D$6,1,0)</f>
        <v>2.4883610605287458</v>
      </c>
      <c r="BC25" s="39">
        <f ca="1">_xll.EURO(UnderlyingPrice,$D25*(1+$P$8),IntRate,Yield,AY25,$D$6,1,0)</f>
        <v>2.4871416744734991</v>
      </c>
      <c r="BD25" s="39">
        <f ca="1">_xll.EURO(UnderlyingPrice,$D25*(1-$P$8),IntRate,Yield,AZ25,$D$6,1,0)</f>
        <v>2.4895806162349903</v>
      </c>
      <c r="BF25" s="59">
        <f t="shared" ca="1" si="22"/>
        <v>9.6196720570392358E-2</v>
      </c>
      <c r="BG25" s="39">
        <f t="shared" ca="1" si="23"/>
        <v>9.8598945332556434E-2</v>
      </c>
      <c r="BI25" s="58">
        <f t="shared" ca="1" si="24"/>
        <v>2.6109967326419792E-3</v>
      </c>
      <c r="BJ25" s="46">
        <f t="shared" ca="1" si="25"/>
        <v>1.0492837129058654E-3</v>
      </c>
    </row>
    <row r="26" spans="3:62" x14ac:dyDescent="0.2">
      <c r="C26" s="56">
        <v>13</v>
      </c>
      <c r="D26" s="63">
        <f t="shared" ca="1" si="26"/>
        <v>2.6939999999999977</v>
      </c>
      <c r="E26" s="45">
        <f t="shared" ca="1" si="7"/>
        <v>-0.47982235952886709</v>
      </c>
      <c r="F26" s="45">
        <f t="shared" ca="1" si="8"/>
        <v>-0.47956227070863144</v>
      </c>
      <c r="G26" s="45">
        <f t="shared" ca="1" si="9"/>
        <v>-0.48008244834910263</v>
      </c>
      <c r="H26" s="45">
        <f t="shared" ca="1" si="0"/>
        <v>0.51218194498182101</v>
      </c>
      <c r="I26" s="45">
        <f t="shared" ca="1" si="1"/>
        <v>0.51219037969130132</v>
      </c>
      <c r="J26" s="45">
        <f t="shared" ca="1" si="2"/>
        <v>0.51219882255714244</v>
      </c>
      <c r="L26" s="58">
        <f ca="1">_xll.EURO(UnderlyingPrice,$D26,IntRate,Yield,$I26,$D$6,L$12,0)</f>
        <v>2.451060768691796</v>
      </c>
      <c r="M26" s="58">
        <f ca="1">_xll.EURO(UnderlyingPrice,$D26,IntRate,Yield,$I26,$D$6,M$12,0)</f>
        <v>2.6604302031258908E-2</v>
      </c>
      <c r="O26" s="58">
        <f ca="1">_xll.EURO(UnderlyingPrice,$D26*(1+$P$8),IntRate,Yield,$H26,Expiry-Today,O$12,0)</f>
        <v>2.4498342141361298</v>
      </c>
      <c r="P26" s="58">
        <f ca="1">_xll.EURO(UnderlyingPrice,$D26*(1+$P$8),IntRate,Yield,$H26,Expiry-Today,P$12,0)</f>
        <v>2.6691929713254736E-2</v>
      </c>
      <c r="R26" s="58">
        <f ca="1">_xll.EURO(UnderlyingPrice,$D26*(1-$P$8),IntRate,Yield,$J26,Expiry-Today,R$12,0)</f>
        <v>2.4522875376363618</v>
      </c>
      <c r="S26" s="58">
        <f ca="1">_xll.EURO(UnderlyingPrice,$D26*(1-$P$8),IntRate,Yield,$J26,Expiry-Today,S$12,0)</f>
        <v>2.6516888738162131E-2</v>
      </c>
      <c r="U26" s="59">
        <f t="shared" ca="1" si="10"/>
        <v>0.11815908073762758</v>
      </c>
      <c r="V26" s="59"/>
      <c r="W26" s="62">
        <f t="shared" ca="1" si="3"/>
        <v>0.12110974961635271</v>
      </c>
      <c r="X26" s="63"/>
      <c r="Z26" s="59">
        <f t="shared" ca="1" si="11"/>
        <v>0.37596260418857025</v>
      </c>
      <c r="AA26" s="59">
        <f t="shared" ca="1" si="12"/>
        <v>-0.57601279048364906</v>
      </c>
      <c r="AB26" s="59">
        <f t="shared" ca="1" si="4"/>
        <v>-0.33179073480076021</v>
      </c>
      <c r="AC26" s="59">
        <f t="shared" ca="1" si="13"/>
        <v>-1.069297639430727</v>
      </c>
      <c r="AD26" s="60">
        <f t="shared" ca="1" si="5"/>
        <v>0.34324951770090673</v>
      </c>
      <c r="AE26" s="60">
        <f t="shared" ca="1" si="14"/>
        <v>0.12904898256130362</v>
      </c>
      <c r="AF26" s="60"/>
      <c r="AG26" s="97">
        <f t="shared" ca="1" si="15"/>
        <v>-1.4623936812163314</v>
      </c>
      <c r="AH26" s="97">
        <f t="shared" ca="1" si="16"/>
        <v>-1.461124587692046</v>
      </c>
      <c r="AI26" s="97">
        <f t="shared" ca="1" si="17"/>
        <v>-1.4636634094460816</v>
      </c>
      <c r="AJ26" s="97"/>
      <c r="AK26" s="97">
        <f t="shared" ca="1" si="18"/>
        <v>0.12851223798906924</v>
      </c>
      <c r="AL26" s="97"/>
      <c r="AM26" s="95">
        <v>-1.8</v>
      </c>
      <c r="AN26" s="96">
        <f t="shared" si="6"/>
        <v>7.8950158300894135E-2</v>
      </c>
      <c r="AP26" s="74" t="s">
        <v>99</v>
      </c>
      <c r="AQ26" s="99">
        <f ca="1">EXP(((Gamma*AG13)^2)/2)</f>
        <v>3.9291290496565865</v>
      </c>
      <c r="AR26" s="76">
        <f ca="1">EXP(((Gamma*AG113)^2)/2)</f>
        <v>1.1207481483756758</v>
      </c>
      <c r="AX26" s="107">
        <f t="shared" ca="1" si="19"/>
        <v>0.52139252452024154</v>
      </c>
      <c r="AY26" s="107">
        <f t="shared" ca="1" si="20"/>
        <v>0.52134419924284825</v>
      </c>
      <c r="AZ26" s="107">
        <f t="shared" ca="1" si="21"/>
        <v>0.52144089140198535</v>
      </c>
      <c r="BB26" s="39">
        <f ca="1">_xll.EURO(UnderlyingPrice,$D26,IntRate,Yield,AX26,$D$6,1,0)</f>
        <v>2.4535370388880282</v>
      </c>
      <c r="BC26" s="39">
        <f ca="1">_xll.EURO(UnderlyingPrice,$D26*(1+$P$8),IntRate,Yield,AY26,$D$6,1,0)</f>
        <v>2.4523052448359457</v>
      </c>
      <c r="BD26" s="39">
        <f ca="1">_xll.EURO(UnderlyingPrice,$D26*(1-$P$8),IntRate,Yield,AZ26,$D$6,1,0)</f>
        <v>2.4547690152289485</v>
      </c>
      <c r="BF26" s="59">
        <f t="shared" ca="1" si="22"/>
        <v>0.10046733529108268</v>
      </c>
      <c r="BG26" s="39">
        <f t="shared" ca="1" si="23"/>
        <v>0.1029762058554204</v>
      </c>
      <c r="BI26" s="58">
        <f t="shared" ca="1" si="24"/>
        <v>2.4762701962321998E-3</v>
      </c>
      <c r="BJ26" s="46">
        <f t="shared" ca="1" si="25"/>
        <v>1.009265463281726E-3</v>
      </c>
    </row>
    <row r="27" spans="3:62" x14ac:dyDescent="0.2">
      <c r="C27" s="56">
        <v>14</v>
      </c>
      <c r="D27" s="63">
        <f t="shared" ca="1" si="26"/>
        <v>2.7319999999999975</v>
      </c>
      <c r="E27" s="45">
        <f t="shared" ca="1" si="7"/>
        <v>-0.47248503572118217</v>
      </c>
      <c r="F27" s="45">
        <f t="shared" ca="1" si="8"/>
        <v>-0.47222127823904281</v>
      </c>
      <c r="G27" s="45">
        <f t="shared" ca="1" si="9"/>
        <v>-0.47274879320332164</v>
      </c>
      <c r="H27" s="45">
        <f t="shared" ca="1" si="0"/>
        <v>0.51194727870041101</v>
      </c>
      <c r="I27" s="45">
        <f t="shared" ca="1" si="1"/>
        <v>0.51195559506509047</v>
      </c>
      <c r="J27" s="45">
        <f t="shared" ca="1" si="2"/>
        <v>0.51196392008976943</v>
      </c>
      <c r="L27" s="58">
        <f ca="1">_xll.EURO(UnderlyingPrice,$D27,IntRate,Yield,$I27,$D$6,L$12,0)</f>
        <v>2.4165420956059811</v>
      </c>
      <c r="M27" s="58">
        <f ca="1">_xll.EURO(UnderlyingPrice,$D27,IntRate,Yield,$I27,$D$6,M$12,0)</f>
        <v>2.9159812339045188E-2</v>
      </c>
      <c r="O27" s="58">
        <f ca="1">_xll.EURO(UnderlyingPrice,$D27*(1+$P$8),IntRate,Yield,$H27,Expiry-Today,O$12,0)</f>
        <v>2.4153045061369216</v>
      </c>
      <c r="P27" s="58">
        <f ca="1">_xll.EURO(UnderlyingPrice,$D27*(1+$P$8),IntRate,Yield,$H27,Expiry-Today,P$12,0)</f>
        <v>2.9254942199344602E-2</v>
      </c>
      <c r="R27" s="58">
        <f ca="1">_xll.EURO(UnderlyingPrice,$D27*(1-$P$8),IntRate,Yield,$J27,Expiry-Today,R$12,0)</f>
        <v>2.4177799146605081</v>
      </c>
      <c r="S27" s="58">
        <f ca="1">_xll.EURO(UnderlyingPrice,$D27*(1-$P$8),IntRate,Yield,$J27,Expiry-Today,S$12,0)</f>
        <v>2.9064912064213133E-2</v>
      </c>
      <c r="U27" s="59">
        <f t="shared" ca="1" si="10"/>
        <v>0.12303905771097479</v>
      </c>
      <c r="V27" s="59"/>
      <c r="W27" s="62">
        <f t="shared" ca="1" si="3"/>
        <v>0.12611158938766906</v>
      </c>
      <c r="X27" s="63"/>
      <c r="Z27" s="59">
        <f t="shared" ca="1" si="11"/>
        <v>0.37073325610688446</v>
      </c>
      <c r="AA27" s="59">
        <f t="shared" ca="1" si="12"/>
        <v>-0.56200592676327754</v>
      </c>
      <c r="AB27" s="59">
        <f t="shared" ca="1" si="4"/>
        <v>-0.31585066171705045</v>
      </c>
      <c r="AC27" s="59">
        <f t="shared" ca="1" si="13"/>
        <v>-1.0179258537447904</v>
      </c>
      <c r="AD27" s="60">
        <f t="shared" ca="1" si="5"/>
        <v>0.36134364300906247</v>
      </c>
      <c r="AE27" s="60">
        <f t="shared" ca="1" si="14"/>
        <v>0.1339621053462734</v>
      </c>
      <c r="AF27" s="60"/>
      <c r="AG27" s="97">
        <f t="shared" ca="1" si="15"/>
        <v>-1.4268327538606549</v>
      </c>
      <c r="AH27" s="97">
        <f t="shared" ca="1" si="16"/>
        <v>-1.4255636603363699</v>
      </c>
      <c r="AI27" s="97">
        <f t="shared" ca="1" si="17"/>
        <v>-1.4281024820904054</v>
      </c>
      <c r="AJ27" s="97"/>
      <c r="AK27" s="97">
        <f t="shared" ca="1" si="18"/>
        <v>0.13570738538831095</v>
      </c>
      <c r="AL27" s="97"/>
      <c r="AM27" s="95">
        <v>-1.7</v>
      </c>
      <c r="AN27" s="96">
        <f t="shared" si="6"/>
        <v>9.4049077376886933E-2</v>
      </c>
      <c r="AP27" s="74" t="s">
        <v>82</v>
      </c>
      <c r="AQ27" s="99">
        <f ca="1">AK13*SQRT(2*PI())*EXP(((Gamma*AG13)^2)/2)</f>
        <v>0.51025692882255591</v>
      </c>
      <c r="AR27" s="76">
        <f ca="1">AK113*SQRT(2*PI())*EXP(((Gamma*AG113)^2)/2)</f>
        <v>1.060279313915198</v>
      </c>
      <c r="AX27" s="107">
        <f t="shared" ca="1" si="19"/>
        <v>0.52004515589123079</v>
      </c>
      <c r="AY27" s="107">
        <f t="shared" ca="1" si="20"/>
        <v>0.51999733496975609</v>
      </c>
      <c r="AZ27" s="107">
        <f t="shared" ca="1" si="21"/>
        <v>0.52009301928378815</v>
      </c>
      <c r="BB27" s="39">
        <f ca="1">_xll.EURO(UnderlyingPrice,$D27,IntRate,Yield,AX27,$D$6,1,0)</f>
        <v>2.4188580999483684</v>
      </c>
      <c r="BC27" s="39">
        <f ca="1">_xll.EURO(UnderlyingPrice,$D27*(1+$P$8),IntRate,Yield,AY27,$D$6,1,0)</f>
        <v>2.4176142636017026</v>
      </c>
      <c r="BD27" s="39">
        <f ca="1">_xll.EURO(UnderlyingPrice,$D27*(1-$P$8),IntRate,Yield,AZ27,$D$6,1,0)</f>
        <v>2.4201021318535609</v>
      </c>
      <c r="BF27" s="59">
        <f t="shared" ca="1" si="22"/>
        <v>0.10480339659965052</v>
      </c>
      <c r="BG27" s="39">
        <f t="shared" ca="1" si="23"/>
        <v>0.10742054729852861</v>
      </c>
      <c r="BI27" s="58">
        <f t="shared" ca="1" si="24"/>
        <v>2.3160043423873233E-3</v>
      </c>
      <c r="BJ27" s="46">
        <f t="shared" ca="1" si="25"/>
        <v>9.5747838305883237E-4</v>
      </c>
    </row>
    <row r="28" spans="3:62" x14ac:dyDescent="0.2">
      <c r="C28" s="56">
        <v>15</v>
      </c>
      <c r="D28" s="63">
        <f t="shared" ca="1" si="26"/>
        <v>2.7699999999999974</v>
      </c>
      <c r="E28" s="45">
        <f t="shared" ca="1" si="7"/>
        <v>-0.46514771191349735</v>
      </c>
      <c r="F28" s="45">
        <f t="shared" ca="1" si="8"/>
        <v>-0.46488028576945406</v>
      </c>
      <c r="G28" s="45">
        <f t="shared" ca="1" si="9"/>
        <v>-0.46541513805754064</v>
      </c>
      <c r="H28" s="45">
        <f t="shared" ca="1" si="0"/>
        <v>0.51171932837386602</v>
      </c>
      <c r="I28" s="45">
        <f t="shared" ca="1" si="1"/>
        <v>0.51172751211848411</v>
      </c>
      <c r="J28" s="45">
        <f t="shared" ca="1" si="2"/>
        <v>0.51173570504521981</v>
      </c>
      <c r="L28" s="58">
        <f ca="1">_xll.EURO(UnderlyingPrice,$D28,IntRate,Yield,$I28,$D$6,L$12,0)</f>
        <v>2.382201090123381</v>
      </c>
      <c r="M28" s="58">
        <f ca="1">_xll.EURO(UnderlyingPrice,$D28,IntRate,Yield,$I28,$D$6,M$12,0)</f>
        <v>3.1892990250047187E-2</v>
      </c>
      <c r="O28" s="58">
        <f ca="1">_xll.EURO(UnderlyingPrice,$D28*(1+$P$8),IntRate,Yield,$H28,Expiry-Today,O$12,0)</f>
        <v>2.3809528968767273</v>
      </c>
      <c r="P28" s="58">
        <f ca="1">_xll.EURO(UnderlyingPrice,$D28*(1+$P$8),IntRate,Yield,$H28,Expiry-Today,P$12,0)</f>
        <v>3.1996053424449528E-2</v>
      </c>
      <c r="R28" s="58">
        <f ca="1">_xll.EURO(UnderlyingPrice,$D28*(1-$P$8),IntRate,Yield,$J28,Expiry-Today,R$12,0)</f>
        <v>2.3834495287348405</v>
      </c>
      <c r="S28" s="58">
        <f ca="1">_xll.EURO(UnderlyingPrice,$D28*(1-$P$8),IntRate,Yield,$J28,Expiry-Today,S$12,0)</f>
        <v>3.1790172440449238E-2</v>
      </c>
      <c r="U28" s="59">
        <f t="shared" ca="1" si="10"/>
        <v>0.12791242206023967</v>
      </c>
      <c r="V28" s="59"/>
      <c r="W28" s="62">
        <f t="shared" ca="1" si="3"/>
        <v>0.13110665140443692</v>
      </c>
      <c r="X28" s="63"/>
      <c r="Z28" s="59">
        <f t="shared" ca="1" si="11"/>
        <v>0.36564738472346875</v>
      </c>
      <c r="AA28" s="59">
        <f t="shared" ca="1" si="12"/>
        <v>-0.54819254827257413</v>
      </c>
      <c r="AB28" s="59">
        <f t="shared" ca="1" si="4"/>
        <v>-0.30051506998157851</v>
      </c>
      <c r="AC28" s="59">
        <f t="shared" ca="1" si="13"/>
        <v>-0.96850219502851942</v>
      </c>
      <c r="AD28" s="60">
        <f t="shared" ca="1" si="5"/>
        <v>0.37965125599603705</v>
      </c>
      <c r="AE28" s="60">
        <f t="shared" ca="1" si="14"/>
        <v>0.13881848886193107</v>
      </c>
      <c r="AF28" s="60"/>
      <c r="AG28" s="97">
        <f t="shared" ca="1" si="15"/>
        <v>-1.3917630509742089</v>
      </c>
      <c r="AH28" s="97">
        <f t="shared" ca="1" si="16"/>
        <v>-1.3904939574499238</v>
      </c>
      <c r="AI28" s="97">
        <f t="shared" ca="1" si="17"/>
        <v>-1.3930327792039594</v>
      </c>
      <c r="AJ28" s="97"/>
      <c r="AK28" s="97">
        <f t="shared" ca="1" si="18"/>
        <v>0.14304486867304209</v>
      </c>
      <c r="AL28" s="97"/>
      <c r="AM28" s="95">
        <v>-1.6</v>
      </c>
      <c r="AN28" s="96">
        <f t="shared" si="6"/>
        <v>0.11092083467945553</v>
      </c>
      <c r="AP28" s="74" t="s">
        <v>84</v>
      </c>
      <c r="AQ28" s="100">
        <v>0.83692691685213727</v>
      </c>
      <c r="AR28" s="101"/>
      <c r="AX28" s="107">
        <f t="shared" ca="1" si="19"/>
        <v>0.51873065419107445</v>
      </c>
      <c r="AY28" s="107">
        <f t="shared" ca="1" si="20"/>
        <v>0.51868336172242135</v>
      </c>
      <c r="AZ28" s="107">
        <f t="shared" ca="1" si="21"/>
        <v>0.51877798999643654</v>
      </c>
      <c r="BB28" s="39">
        <f ca="1">_xll.EURO(UnderlyingPrice,$D28,IntRate,Yield,AX28,$D$6,1,0)</f>
        <v>2.3843305042541654</v>
      </c>
      <c r="BC28" s="39">
        <f ca="1">_xll.EURO(UnderlyingPrice,$D28*(1+$P$8),IntRate,Yield,AY28,$D$6,1,0)</f>
        <v>2.3830750039280617</v>
      </c>
      <c r="BD28" s="39">
        <f ca="1">_xll.EURO(UnderlyingPrice,$D28*(1-$P$8),IntRate,Yield,AZ28,$D$6,1,0)</f>
        <v>2.3855862140482444</v>
      </c>
      <c r="BF28" s="59">
        <f t="shared" ca="1" si="22"/>
        <v>0.10919885592641063</v>
      </c>
      <c r="BG28" s="39">
        <f t="shared" ca="1" si="23"/>
        <v>0.11192577004729749</v>
      </c>
      <c r="BI28" s="58">
        <f t="shared" ca="1" si="24"/>
        <v>2.1294141307843795E-3</v>
      </c>
      <c r="BJ28" s="46">
        <f t="shared" ca="1" si="25"/>
        <v>8.9308681283280168E-4</v>
      </c>
    </row>
    <row r="29" spans="3:62" x14ac:dyDescent="0.2">
      <c r="C29" s="56">
        <v>16</v>
      </c>
      <c r="D29" s="63">
        <f t="shared" ca="1" si="26"/>
        <v>2.8079999999999972</v>
      </c>
      <c r="E29" s="45">
        <f t="shared" ca="1" si="7"/>
        <v>-0.45781038810581254</v>
      </c>
      <c r="F29" s="45">
        <f t="shared" ca="1" si="8"/>
        <v>-0.45753929329986542</v>
      </c>
      <c r="G29" s="45">
        <f t="shared" ca="1" si="9"/>
        <v>-0.45808148291175954</v>
      </c>
      <c r="H29" s="45">
        <f t="shared" ca="1" si="0"/>
        <v>0.51149830474616997</v>
      </c>
      <c r="I29" s="45">
        <f t="shared" ca="1" si="1"/>
        <v>0.51150634127966554</v>
      </c>
      <c r="J29" s="45">
        <f t="shared" ca="1" si="2"/>
        <v>0.51151438753619238</v>
      </c>
      <c r="L29" s="58">
        <f ca="1">_xll.EURO(UnderlyingPrice,$D29,IntRate,Yield,$I29,$D$6,L$12,0)</f>
        <v>2.3480447882954341</v>
      </c>
      <c r="M29" s="58">
        <f ca="1">_xll.EURO(UnderlyingPrice,$D29,IntRate,Yield,$I29,$D$6,M$12,0)</f>
        <v>3.4810871815700584E-2</v>
      </c>
      <c r="O29" s="58">
        <f ca="1">_xll.EURO(UnderlyingPrice,$D29*(1+$P$8),IntRate,Yield,$H29,Expiry-Today,O$12,0)</f>
        <v>2.3467864323728351</v>
      </c>
      <c r="P29" s="58">
        <f ca="1">_xll.EURO(UnderlyingPrice,$D29*(1+$P$8),IntRate,Yield,$H29,Expiry-Today,P$12,0)</f>
        <v>3.4922309405855445E-2</v>
      </c>
      <c r="R29" s="58">
        <f ca="1">_xll.EURO(UnderlyingPrice,$D29*(1-$P$8),IntRate,Yield,$J29,Expiry-Today,R$12,0)</f>
        <v>2.3493034059366482</v>
      </c>
      <c r="S29" s="58">
        <f ca="1">_xll.EURO(UnderlyingPrice,$D29*(1-$P$8),IntRate,Yield,$J29,Expiry-Today,S$12,0)</f>
        <v>3.4699695944162279E-2</v>
      </c>
      <c r="U29" s="59">
        <f t="shared" ca="1" si="10"/>
        <v>0.13277013517554323</v>
      </c>
      <c r="V29" s="59"/>
      <c r="W29" s="62">
        <f t="shared" ca="1" si="3"/>
        <v>0.13608567134458729</v>
      </c>
      <c r="X29" s="63"/>
      <c r="Z29" s="59">
        <f t="shared" ca="1" si="11"/>
        <v>0.36069916512963257</v>
      </c>
      <c r="AA29" s="59">
        <f t="shared" ca="1" si="12"/>
        <v>-0.53456738230825673</v>
      </c>
      <c r="AB29" s="59">
        <f t="shared" ca="1" si="4"/>
        <v>-0.2857622862279019</v>
      </c>
      <c r="AC29" s="59">
        <f t="shared" ca="1" si="13"/>
        <v>-0.92095681419589515</v>
      </c>
      <c r="AD29" s="60">
        <f t="shared" ca="1" si="5"/>
        <v>0.39813791477128002</v>
      </c>
      <c r="AE29" s="60">
        <f t="shared" ca="1" si="14"/>
        <v>0.14360801346445351</v>
      </c>
      <c r="AF29" s="60"/>
      <c r="AG29" s="97">
        <f t="shared" ca="1" si="15"/>
        <v>-1.3571711861043139</v>
      </c>
      <c r="AH29" s="97">
        <f t="shared" ca="1" si="16"/>
        <v>-1.3559020925800287</v>
      </c>
      <c r="AI29" s="97">
        <f t="shared" ca="1" si="17"/>
        <v>-1.3584409143340637</v>
      </c>
      <c r="AJ29" s="97"/>
      <c r="AK29" s="97">
        <f t="shared" ca="1" si="18"/>
        <v>0.15051413693311896</v>
      </c>
      <c r="AL29" s="97"/>
      <c r="AM29" s="95">
        <v>-1.5</v>
      </c>
      <c r="AN29" s="96">
        <f t="shared" si="6"/>
        <v>0.12951759566589172</v>
      </c>
      <c r="AP29" s="74" t="s">
        <v>86</v>
      </c>
      <c r="AQ29" s="99">
        <f ca="1">AQ15</f>
        <v>0.73710517680982546</v>
      </c>
      <c r="AR29" s="101"/>
      <c r="AX29" s="107">
        <f t="shared" ca="1" si="19"/>
        <v>0.51744877546670676</v>
      </c>
      <c r="AY29" s="107">
        <f t="shared" ca="1" si="20"/>
        <v>0.51740203518166583</v>
      </c>
      <c r="AZ29" s="107">
        <f t="shared" ca="1" si="21"/>
        <v>0.51749555995261165</v>
      </c>
      <c r="BB29" s="39">
        <f ca="1">_xll.EURO(UnderlyingPrice,$D29,IntRate,Yield,AX29,$D$6,1,0)</f>
        <v>2.3499605980801057</v>
      </c>
      <c r="BC29" s="39">
        <f ca="1">_xll.EURO(UnderlyingPrice,$D29*(1+$P$8),IntRate,Yield,AY29,$D$6,1,0)</f>
        <v>2.3486938245500943</v>
      </c>
      <c r="BD29" s="39">
        <f ca="1">_xll.EURO(UnderlyingPrice,$D29*(1-$P$8),IntRate,Yield,AZ29,$D$6,1,0)</f>
        <v>2.3512275956335258</v>
      </c>
      <c r="BF29" s="59">
        <f t="shared" ca="1" si="22"/>
        <v>0.11364731653584709</v>
      </c>
      <c r="BG29" s="39">
        <f t="shared" ca="1" si="23"/>
        <v>0.11648531762691482</v>
      </c>
      <c r="BI29" s="58">
        <f t="shared" ca="1" si="24"/>
        <v>1.9158097846716515E-3</v>
      </c>
      <c r="BJ29" s="46">
        <f t="shared" ca="1" si="25"/>
        <v>8.152518753875486E-4</v>
      </c>
    </row>
    <row r="30" spans="3:62" x14ac:dyDescent="0.2">
      <c r="C30" s="56">
        <v>17</v>
      </c>
      <c r="D30" s="63">
        <f t="shared" ca="1" si="26"/>
        <v>2.845999999999997</v>
      </c>
      <c r="E30" s="45">
        <f t="shared" ca="1" si="7"/>
        <v>-0.45047306429812761</v>
      </c>
      <c r="F30" s="45">
        <f t="shared" ca="1" si="8"/>
        <v>-0.45019830083027679</v>
      </c>
      <c r="G30" s="45">
        <f t="shared" ca="1" si="9"/>
        <v>-0.45074782776597855</v>
      </c>
      <c r="H30" s="45">
        <f t="shared" ca="1" si="0"/>
        <v>0.51128441856130635</v>
      </c>
      <c r="I30" s="45">
        <f t="shared" ca="1" si="1"/>
        <v>0.51129229297681877</v>
      </c>
      <c r="J30" s="45">
        <f t="shared" ca="1" si="2"/>
        <v>0.51130017767538649</v>
      </c>
      <c r="L30" s="58">
        <f ca="1">_xll.EURO(UnderlyingPrice,$D30,IntRate,Yield,$I30,$D$6,L$12,0)</f>
        <v>2.3140802035954096</v>
      </c>
      <c r="M30" s="58">
        <f ca="1">_xll.EURO(UnderlyingPrice,$D30,IntRate,Yield,$I30,$D$6,M$12,0)</f>
        <v>3.7920470509279103E-2</v>
      </c>
      <c r="O30" s="58">
        <f ca="1">_xll.EURO(UnderlyingPrice,$D30*(1+$P$8),IntRate,Yield,$H30,Expiry-Today,O$12,0)</f>
        <v>2.3128121355468996</v>
      </c>
      <c r="P30" s="58">
        <f ca="1">_xll.EURO(UnderlyingPrice,$D30*(1+$P$8),IntRate,Yield,$H30,Expiry-Today,P$12,0)</f>
        <v>3.8040733065218657E-2</v>
      </c>
      <c r="R30" s="58">
        <f ca="1">_xll.EURO(UnderlyingPrice,$D30*(1-$P$8),IntRate,Yield,$J30,Expiry-Today,R$12,0)</f>
        <v>2.3153485502808815</v>
      </c>
      <c r="S30" s="58">
        <f ca="1">_xll.EURO(UnderlyingPrice,$D30*(1-$P$8),IntRate,Yield,$J30,Expiry-Today,S$12,0)</f>
        <v>3.7800486590299665E-2</v>
      </c>
      <c r="U30" s="59">
        <f t="shared" ca="1" si="10"/>
        <v>0.13760332455703053</v>
      </c>
      <c r="V30" s="59"/>
      <c r="W30" s="62">
        <f t="shared" ca="1" si="3"/>
        <v>0.14103955514417529</v>
      </c>
      <c r="X30" s="63"/>
      <c r="Z30" s="59">
        <f t="shared" ca="1" si="11"/>
        <v>0.35588308351511189</v>
      </c>
      <c r="AA30" s="59">
        <f t="shared" ca="1" si="12"/>
        <v>-0.52112536880416072</v>
      </c>
      <c r="AB30" s="59">
        <f t="shared" ca="1" si="4"/>
        <v>-0.27157165001127254</v>
      </c>
      <c r="AC30" s="59">
        <f t="shared" ca="1" si="13"/>
        <v>-0.87522312661244317</v>
      </c>
      <c r="AD30" s="60">
        <f t="shared" ca="1" si="5"/>
        <v>0.41676901704426855</v>
      </c>
      <c r="AE30" s="60">
        <f t="shared" ca="1" si="14"/>
        <v>0.14832104289927653</v>
      </c>
      <c r="AF30" s="60"/>
      <c r="AG30" s="97">
        <f t="shared" ca="1" si="15"/>
        <v>-1.3230443126459845</v>
      </c>
      <c r="AH30" s="97">
        <f t="shared" ca="1" si="16"/>
        <v>-1.3217752191216998</v>
      </c>
      <c r="AI30" s="97">
        <f t="shared" ca="1" si="17"/>
        <v>-1.3243140408757346</v>
      </c>
      <c r="AJ30" s="97"/>
      <c r="AK30" s="97">
        <f t="shared" ca="1" si="18"/>
        <v>0.15810427545864988</v>
      </c>
      <c r="AL30" s="97"/>
      <c r="AM30" s="95">
        <v>-1.4</v>
      </c>
      <c r="AN30" s="96">
        <f t="shared" si="6"/>
        <v>0.14972746563574485</v>
      </c>
      <c r="AP30" s="74" t="s">
        <v>88</v>
      </c>
      <c r="AQ30" s="99">
        <f ca="1">1-AQ29</f>
        <v>0.26289482319017454</v>
      </c>
      <c r="AR30" s="76"/>
      <c r="AX30" s="107">
        <f t="shared" ca="1" si="19"/>
        <v>0.51619927576506197</v>
      </c>
      <c r="AY30" s="107">
        <f t="shared" ca="1" si="20"/>
        <v>0.51615311102831141</v>
      </c>
      <c r="AZ30" s="107">
        <f t="shared" ca="1" si="21"/>
        <v>0.51624548556499439</v>
      </c>
      <c r="BB30" s="39">
        <f ca="1">_xll.EURO(UnderlyingPrice,$D30,IntRate,Yield,AX30,$D$6,1,0)</f>
        <v>2.3157548041928004</v>
      </c>
      <c r="BC30" s="39">
        <f ca="1">_xll.EURO(UnderlyingPrice,$D30*(1+$P$8),IntRate,Yield,AY30,$D$6,1,0)</f>
        <v>2.314477160501041</v>
      </c>
      <c r="BD30" s="39">
        <f ca="1">_xll.EURO(UnderlyingPrice,$D30*(1-$P$8),IntRate,Yield,AZ30,$D$6,1,0)</f>
        <v>2.3170326871138047</v>
      </c>
      <c r="BF30" s="59">
        <f t="shared" ca="1" si="22"/>
        <v>0.11814204074030203</v>
      </c>
      <c r="BG30" s="39">
        <f t="shared" ca="1" si="23"/>
        <v>0.12109228409616857</v>
      </c>
      <c r="BI30" s="58">
        <f t="shared" ca="1" si="24"/>
        <v>1.6746005973908851E-3</v>
      </c>
      <c r="BJ30" s="46">
        <f t="shared" ca="1" si="25"/>
        <v>7.2313381121305641E-4</v>
      </c>
    </row>
    <row r="31" spans="3:62" x14ac:dyDescent="0.2">
      <c r="C31" s="56">
        <v>18</v>
      </c>
      <c r="D31" s="63">
        <f t="shared" ca="1" si="26"/>
        <v>2.8839999999999968</v>
      </c>
      <c r="E31" s="45">
        <f t="shared" ca="1" si="7"/>
        <v>-0.4431357404904428</v>
      </c>
      <c r="F31" s="45">
        <f t="shared" ca="1" si="8"/>
        <v>-0.44285730836068804</v>
      </c>
      <c r="G31" s="45">
        <f t="shared" ca="1" si="9"/>
        <v>-0.44341417262019756</v>
      </c>
      <c r="H31" s="45">
        <f t="shared" ca="1" si="0"/>
        <v>0.51107788056325876</v>
      </c>
      <c r="I31" s="45">
        <f t="shared" ca="1" si="1"/>
        <v>0.5110855776381269</v>
      </c>
      <c r="J31" s="45">
        <f t="shared" ca="1" si="2"/>
        <v>0.51109328557550082</v>
      </c>
      <c r="L31" s="58">
        <f ca="1">_xll.EURO(UnderlyingPrice,$D31,IntRate,Yield,$I31,$D$6,L$12,0)</f>
        <v>2.2803143141009441</v>
      </c>
      <c r="M31" s="58">
        <f ca="1">_xll.EURO(UnderlyingPrice,$D31,IntRate,Yield,$I31,$D$6,M$12,0)</f>
        <v>4.1228764408414748E-2</v>
      </c>
      <c r="O31" s="58">
        <f ca="1">_xll.EURO(UnderlyingPrice,$D31*(1+$P$8),IntRate,Yield,$H31,Expiry-Today,O$12,0)</f>
        <v>2.2790369933844357</v>
      </c>
      <c r="P31" s="58">
        <f ca="1">_xll.EURO(UnderlyingPrice,$D31*(1+$P$8),IntRate,Yield,$H31,Expiry-Today,P$12,0)</f>
        <v>4.1358311388053071E-2</v>
      </c>
      <c r="R31" s="58">
        <f ca="1">_xll.EURO(UnderlyingPrice,$D31*(1-$P$8),IntRate,Yield,$J31,Expiry-Today,R$12,0)</f>
        <v>2.2815919309257202</v>
      </c>
      <c r="S31" s="58">
        <f ca="1">_xll.EURO(UnderlyingPrice,$D31*(1-$P$8),IntRate,Yield,$J31,Expiry-Today,S$12,0)</f>
        <v>4.109951353704408E-2</v>
      </c>
      <c r="U31" s="59">
        <f t="shared" ca="1" si="10"/>
        <v>0.14240328662193716</v>
      </c>
      <c r="V31" s="59"/>
      <c r="W31" s="62">
        <f t="shared" ca="1" si="3"/>
        <v>0.14595938187454449</v>
      </c>
      <c r="X31" s="63"/>
      <c r="Z31" s="59">
        <f t="shared" ca="1" si="11"/>
        <v>0.35119391667267974</v>
      </c>
      <c r="AA31" s="59">
        <f t="shared" ca="1" si="12"/>
        <v>-0.50786164904911879</v>
      </c>
      <c r="AB31" s="59">
        <f t="shared" ca="1" si="4"/>
        <v>-0.2579234545748903</v>
      </c>
      <c r="AC31" s="59">
        <f t="shared" ca="1" si="13"/>
        <v>-0.83123762119627642</v>
      </c>
      <c r="AD31" s="60">
        <f t="shared" ca="1" si="5"/>
        <v>0.43550995629414097</v>
      </c>
      <c r="AE31" s="60">
        <f t="shared" ca="1" si="14"/>
        <v>0.15294844730088694</v>
      </c>
      <c r="AF31" s="60"/>
      <c r="AG31" s="97">
        <f t="shared" ca="1" si="15"/>
        <v>-1.2893700951986411</v>
      </c>
      <c r="AH31" s="97">
        <f t="shared" ca="1" si="16"/>
        <v>-1.2881010016743557</v>
      </c>
      <c r="AI31" s="97">
        <f t="shared" ca="1" si="17"/>
        <v>-1.2906398234283911</v>
      </c>
      <c r="AJ31" s="97"/>
      <c r="AK31" s="97">
        <f t="shared" ca="1" si="18"/>
        <v>0.16580402175028552</v>
      </c>
      <c r="AL31" s="97"/>
      <c r="AM31" s="95">
        <v>-1.3</v>
      </c>
      <c r="AN31" s="96">
        <f t="shared" si="6"/>
        <v>0.17136859204780733</v>
      </c>
      <c r="AP31" s="102" t="s">
        <v>89</v>
      </c>
      <c r="AQ31" s="103">
        <f ca="1">SQRT(AQ23)/Gamma*((AR24*AR26*(1-AR25))+(AQ24*AQ26*AQ25))</f>
        <v>0.26289477186592508</v>
      </c>
      <c r="AR31" s="101"/>
      <c r="AX31" s="107">
        <f t="shared" ca="1" si="19"/>
        <v>0.5149819111330749</v>
      </c>
      <c r="AY31" s="107">
        <f t="shared" ca="1" si="20"/>
        <v>0.51493634494317986</v>
      </c>
      <c r="AZ31" s="107">
        <f t="shared" ca="1" si="21"/>
        <v>0.51502752324626599</v>
      </c>
      <c r="BB31" s="39">
        <f ca="1">_xll.EURO(UnderlyingPrice,$D31,IntRate,Yield,AX31,$D$6,1,0)</f>
        <v>2.2817196121247978</v>
      </c>
      <c r="BC31" s="39">
        <f ca="1">_xll.EURO(UnderlyingPrice,$D31*(1+$P$8),IntRate,Yield,AY31,$D$6,1,0)</f>
        <v>2.2804315133445425</v>
      </c>
      <c r="BD31" s="39">
        <f ca="1">_xll.EURO(UnderlyingPrice,$D31*(1-$P$8),IntRate,Yield,AZ31,$D$6,1,0)</f>
        <v>2.2830079659930509</v>
      </c>
      <c r="BF31" s="59">
        <f t="shared" ca="1" si="22"/>
        <v>0.12267597103527891</v>
      </c>
      <c r="BG31" s="39">
        <f t="shared" ca="1" si="23"/>
        <v>0.12573943571054116</v>
      </c>
      <c r="BI31" s="58">
        <f t="shared" ca="1" si="24"/>
        <v>1.4052980238536961E-3</v>
      </c>
      <c r="BJ31" s="46">
        <f t="shared" ca="1" si="25"/>
        <v>6.1589426517881627E-4</v>
      </c>
    </row>
    <row r="32" spans="3:62" x14ac:dyDescent="0.2">
      <c r="C32" s="56">
        <v>19</v>
      </c>
      <c r="D32" s="63">
        <f t="shared" ca="1" si="26"/>
        <v>2.9219999999999966</v>
      </c>
      <c r="E32" s="45">
        <f t="shared" ca="1" si="7"/>
        <v>-0.43579841668275798</v>
      </c>
      <c r="F32" s="45">
        <f t="shared" ca="1" si="8"/>
        <v>-0.4355163158910994</v>
      </c>
      <c r="G32" s="45">
        <f t="shared" ca="1" si="9"/>
        <v>-0.43608051747441656</v>
      </c>
      <c r="H32" s="45">
        <f t="shared" ca="1" si="0"/>
        <v>0.51087890149601101</v>
      </c>
      <c r="I32" s="45">
        <f t="shared" ca="1" si="1"/>
        <v>0.51088640569177357</v>
      </c>
      <c r="J32" s="45">
        <f t="shared" ca="1" si="2"/>
        <v>0.51089392134923473</v>
      </c>
      <c r="L32" s="58">
        <f ca="1">_xll.EURO(UnderlyingPrice,$D32,IntRate,Yield,$I32,$D$6,L$12,0)</f>
        <v>2.2467540499381666</v>
      </c>
      <c r="M32" s="58">
        <f ca="1">_xll.EURO(UnderlyingPrice,$D32,IntRate,Yield,$I32,$D$6,M$12,0)</f>
        <v>4.4742683639238529E-2</v>
      </c>
      <c r="O32" s="58">
        <f ca="1">_xll.EURO(UnderlyingPrice,$D32*(1+$P$8),IntRate,Yield,$H32,Expiry-Today,O$12,0)</f>
        <v>2.2454679443579213</v>
      </c>
      <c r="P32" s="58">
        <f ca="1">_xll.EURO(UnderlyingPrice,$D32*(1+$P$8),IntRate,Yield,$H32,Expiry-Today,P$12,0)</f>
        <v>4.4881982846836505E-2</v>
      </c>
      <c r="R32" s="58">
        <f ca="1">_xll.EURO(UnderlyingPrice,$D32*(1-$P$8),IntRate,Yield,$J32,Expiry-Today,R$12,0)</f>
        <v>2.2480404696377909</v>
      </c>
      <c r="S32" s="58">
        <f ca="1">_xll.EURO(UnderlyingPrice,$D32*(1-$P$8),IntRate,Yield,$J32,Expiry-Today,S$12,0)</f>
        <v>4.4603698551019699E-2</v>
      </c>
      <c r="U32" s="59">
        <f t="shared" ca="1" si="10"/>
        <v>0.14716153150824776</v>
      </c>
      <c r="V32" s="59"/>
      <c r="W32" s="62">
        <f t="shared" ca="1" si="3"/>
        <v>0.15083644966482271</v>
      </c>
      <c r="X32" s="63"/>
      <c r="Z32" s="59">
        <f t="shared" ca="1" si="11"/>
        <v>0.34662671310198784</v>
      </c>
      <c r="AA32" s="59">
        <f t="shared" ca="1" si="12"/>
        <v>-0.49477155514331383</v>
      </c>
      <c r="AB32" s="59">
        <f t="shared" ca="1" si="4"/>
        <v>-0.24479889177893324</v>
      </c>
      <c r="AC32" s="59">
        <f t="shared" ca="1" si="13"/>
        <v>-0.78893968293496652</v>
      </c>
      <c r="AD32" s="60">
        <f t="shared" ca="1" si="5"/>
        <v>0.45432626987642555</v>
      </c>
      <c r="AE32" s="60">
        <f t="shared" ca="1" si="14"/>
        <v>0.15748162160315204</v>
      </c>
      <c r="AF32" s="60"/>
      <c r="AG32" s="97">
        <f t="shared" ca="1" si="15"/>
        <v>-1.2561366827976694</v>
      </c>
      <c r="AH32" s="97">
        <f t="shared" ca="1" si="16"/>
        <v>-1.254867589273384</v>
      </c>
      <c r="AI32" s="97">
        <f t="shared" ca="1" si="17"/>
        <v>-1.2574064110274192</v>
      </c>
      <c r="AJ32" s="97"/>
      <c r="AK32" s="97">
        <f t="shared" ca="1" si="18"/>
        <v>0.17360183132986579</v>
      </c>
      <c r="AL32" s="97"/>
      <c r="AM32" s="95">
        <v>-1.2</v>
      </c>
      <c r="AN32" s="96">
        <f t="shared" si="6"/>
        <v>0.19418605498321292</v>
      </c>
      <c r="AX32" s="107">
        <f t="shared" ca="1" si="19"/>
        <v>0.51379643761767957</v>
      </c>
      <c r="AY32" s="107">
        <f t="shared" ca="1" si="20"/>
        <v>0.51375149260709307</v>
      </c>
      <c r="AZ32" s="107">
        <f t="shared" ca="1" si="21"/>
        <v>0.5138414294091076</v>
      </c>
      <c r="BB32" s="39">
        <f ca="1">_xll.EURO(UnderlyingPrice,$D32,IntRate,Yield,AX32,$D$6,1,0)</f>
        <v>2.2478615679875427</v>
      </c>
      <c r="BC32" s="39">
        <f ca="1">_xll.EURO(UnderlyingPrice,$D32*(1+$P$8),IntRate,Yield,AY32,$D$6,1,0)</f>
        <v>2.2465634409454776</v>
      </c>
      <c r="BD32" s="39">
        <f ca="1">_xll.EURO(UnderlyingPrice,$D32*(1-$P$8),IntRate,Yield,AZ32,$D$6,1,0)</f>
        <v>2.2491599666298008</v>
      </c>
      <c r="BF32" s="59">
        <f t="shared" ca="1" si="22"/>
        <v>0.12724175260048601</v>
      </c>
      <c r="BG32" s="39">
        <f t="shared" ca="1" si="23"/>
        <v>0.13041923398514893</v>
      </c>
      <c r="BI32" s="58">
        <f t="shared" ca="1" si="24"/>
        <v>1.1075180493760328E-3</v>
      </c>
      <c r="BJ32" s="46">
        <f t="shared" ca="1" si="25"/>
        <v>4.9269851184277668E-4</v>
      </c>
    </row>
    <row r="33" spans="3:62" x14ac:dyDescent="0.2">
      <c r="C33" s="56">
        <v>20</v>
      </c>
      <c r="D33" s="63">
        <f t="shared" ca="1" si="26"/>
        <v>2.9599999999999964</v>
      </c>
      <c r="E33" s="45">
        <f t="shared" ca="1" si="7"/>
        <v>-0.42846109287507317</v>
      </c>
      <c r="F33" s="45">
        <f t="shared" ca="1" si="8"/>
        <v>-0.42817532342151066</v>
      </c>
      <c r="G33" s="45">
        <f t="shared" ca="1" si="9"/>
        <v>-0.42874686232863557</v>
      </c>
      <c r="H33" s="45">
        <f t="shared" ca="1" si="0"/>
        <v>0.51068769210354648</v>
      </c>
      <c r="I33" s="45">
        <f t="shared" ca="1" si="1"/>
        <v>0.51069498756594223</v>
      </c>
      <c r="J33" s="45">
        <f t="shared" ca="1" si="2"/>
        <v>0.510702295109287</v>
      </c>
      <c r="L33" s="58">
        <f ca="1">_xll.EURO(UnderlyingPrice,$D33,IntRate,Yield,$I33,$D$6,L$12,0)</f>
        <v>2.2134062810188864</v>
      </c>
      <c r="M33" s="58">
        <f ca="1">_xll.EURO(UnderlyingPrice,$D33,IntRate,Yield,$I33,$D$6,M$12,0)</f>
        <v>4.8469098113559761E-2</v>
      </c>
      <c r="O33" s="58">
        <f ca="1">_xll.EURO(UnderlyingPrice,$D33*(1+$P$8),IntRate,Yield,$H33,Expiry-Today,O$12,0)</f>
        <v>2.212111866144951</v>
      </c>
      <c r="P33" s="58">
        <f ca="1">_xll.EURO(UnderlyingPrice,$D33*(1+$P$8),IntRate,Yield,$H33,Expiry-Today,P$12,0)</f>
        <v>4.8618625119164094E-2</v>
      </c>
      <c r="R33" s="58">
        <f ca="1">_xll.EURO(UnderlyingPrice,$D33*(1-$P$8),IntRate,Yield,$J33,Expiry-Today,R$12,0)</f>
        <v>2.2147010285484043</v>
      </c>
      <c r="S33" s="58">
        <f ca="1">_xll.EURO(UnderlyingPrice,$D33*(1-$P$8),IntRate,Yield,$J33,Expiry-Today,S$12,0)</f>
        <v>4.8319903763537175E-2</v>
      </c>
      <c r="U33" s="59">
        <f t="shared" ca="1" si="10"/>
        <v>0.15186978774634791</v>
      </c>
      <c r="V33" s="59"/>
      <c r="W33" s="62">
        <f t="shared" ca="1" si="3"/>
        <v>0.15566228049023428</v>
      </c>
      <c r="X33" s="63"/>
      <c r="Z33" s="59">
        <f t="shared" ca="1" si="11"/>
        <v>0.34217677556892184</v>
      </c>
      <c r="AA33" s="59">
        <f t="shared" ca="1" si="12"/>
        <v>-0.48185060013585268</v>
      </c>
      <c r="AB33" s="59">
        <f t="shared" ca="1" si="4"/>
        <v>-0.2321800008512814</v>
      </c>
      <c r="AC33" s="59">
        <f t="shared" ca="1" si="13"/>
        <v>-0.74827142771899535</v>
      </c>
      <c r="AD33" s="60">
        <f t="shared" ca="1" si="5"/>
        <v>0.4731837785840397</v>
      </c>
      <c r="AE33" s="60">
        <f t="shared" ca="1" si="14"/>
        <v>0.16191249960740536</v>
      </c>
      <c r="AF33" s="60"/>
      <c r="AG33" s="97">
        <f t="shared" ca="1" si="15"/>
        <v>-1.2233326838754821</v>
      </c>
      <c r="AH33" s="97">
        <f t="shared" ca="1" si="16"/>
        <v>-1.2220635903511965</v>
      </c>
      <c r="AI33" s="97">
        <f t="shared" ca="1" si="17"/>
        <v>-1.2246024121052319</v>
      </c>
      <c r="AJ33" s="97"/>
      <c r="AK33" s="97">
        <f t="shared" ca="1" si="18"/>
        <v>0.18148589971656032</v>
      </c>
      <c r="AL33" s="97"/>
      <c r="AM33" s="95">
        <v>-1.1000000000000001</v>
      </c>
      <c r="AN33" s="96">
        <f t="shared" si="6"/>
        <v>0.2178521770325505</v>
      </c>
      <c r="AX33" s="107">
        <f t="shared" ca="1" si="19"/>
        <v>0.51264261126581068</v>
      </c>
      <c r="AY33" s="107">
        <f t="shared" ca="1" si="20"/>
        <v>0.51259830970087294</v>
      </c>
      <c r="AZ33" s="107">
        <f t="shared" ca="1" si="21"/>
        <v>0.5126869604662001</v>
      </c>
      <c r="BB33" s="39">
        <f ca="1">_xll.EURO(UnderlyingPrice,$D33,IntRate,Yield,AX33,$D$6,1,0)</f>
        <v>2.2141872638530615</v>
      </c>
      <c r="BC33" s="39">
        <f ca="1">_xll.EURO(UnderlyingPrice,$D33*(1+$P$8),IntRate,Yield,AY33,$D$6,1,0)</f>
        <v>2.2128795468094071</v>
      </c>
      <c r="BD33" s="39">
        <f ca="1">_xll.EURO(UnderlyingPrice,$D33*(1-$P$8),IntRate,Yield,AZ33,$D$6,1,0)</f>
        <v>2.215495269660992</v>
      </c>
      <c r="BF33" s="59">
        <f t="shared" ca="1" si="22"/>
        <v>0.13183175474899805</v>
      </c>
      <c r="BG33" s="39">
        <f t="shared" ca="1" si="23"/>
        <v>0.13512385767953242</v>
      </c>
      <c r="BI33" s="58">
        <f t="shared" ca="1" si="24"/>
        <v>7.8098283417515901E-4</v>
      </c>
      <c r="BJ33" s="46">
        <f t="shared" ca="1" si="25"/>
        <v>3.5271760746022736E-4</v>
      </c>
    </row>
    <row r="34" spans="3:62" x14ac:dyDescent="0.2">
      <c r="C34" s="56">
        <v>21</v>
      </c>
      <c r="D34" s="63">
        <f t="shared" ca="1" si="26"/>
        <v>2.9979999999999962</v>
      </c>
      <c r="E34" s="45">
        <f t="shared" ca="1" si="7"/>
        <v>-0.42112376906738824</v>
      </c>
      <c r="F34" s="45">
        <f t="shared" ca="1" si="8"/>
        <v>-0.42083433095192202</v>
      </c>
      <c r="G34" s="45">
        <f t="shared" ca="1" si="9"/>
        <v>-0.42141320718285458</v>
      </c>
      <c r="H34" s="45">
        <f t="shared" ca="1" si="0"/>
        <v>0.51050446312984876</v>
      </c>
      <c r="I34" s="45">
        <f t="shared" ca="1" si="1"/>
        <v>0.5105115336888163</v>
      </c>
      <c r="J34" s="45">
        <f t="shared" ca="1" si="2"/>
        <v>0.51051861696835676</v>
      </c>
      <c r="L34" s="58">
        <f ca="1">_xll.EURO(UnderlyingPrice,$D34,IntRate,Yield,$I34,$D$6,L$12,0)</f>
        <v>2.1802778050995228</v>
      </c>
      <c r="M34" s="58">
        <f ca="1">_xll.EURO(UnderlyingPrice,$D34,IntRate,Yield,$I34,$D$6,M$12,0)</f>
        <v>5.2414805587798208E-2</v>
      </c>
      <c r="O34" s="58">
        <f ca="1">_xll.EURO(UnderlyingPrice,$D34*(1+$P$8),IntRate,Yield,$H34,Expiry-Today,O$12,0)</f>
        <v>2.1789755636701433</v>
      </c>
      <c r="P34" s="58">
        <f ca="1">_xll.EURO(UnderlyingPrice,$D34*(1+$P$8),IntRate,Yield,$H34,Expiry-Today,P$12,0)</f>
        <v>5.2575043129656163E-2</v>
      </c>
      <c r="R34" s="58">
        <f ca="1">_xll.EURO(UnderlyingPrice,$D34*(1-$P$8),IntRate,Yield,$J34,Expiry-Today,R$12,0)</f>
        <v>2.1815803982295523</v>
      </c>
      <c r="S34" s="58">
        <f ca="1">_xll.EURO(UnderlyingPrice,$D34*(1-$P$8),IntRate,Yield,$J34,Expiry-Today,S$12,0)</f>
        <v>5.2254919746589801E-2</v>
      </c>
      <c r="U34" s="59">
        <f t="shared" ca="1" si="10"/>
        <v>0.15652002377235466</v>
      </c>
      <c r="V34" s="59"/>
      <c r="W34" s="62">
        <f t="shared" ca="1" si="3"/>
        <v>0.16042864222266162</v>
      </c>
      <c r="X34" s="63"/>
      <c r="Z34" s="59">
        <f t="shared" ca="1" si="11"/>
        <v>0.33783964499133046</v>
      </c>
      <c r="AA34" s="59">
        <f t="shared" ca="1" si="12"/>
        <v>-0.46909446879141559</v>
      </c>
      <c r="AB34" s="59">
        <f t="shared" ca="1" si="4"/>
        <v>-0.22004962065070038</v>
      </c>
      <c r="AC34" s="59">
        <f t="shared" ca="1" si="13"/>
        <v>-0.7091775484951901</v>
      </c>
      <c r="AD34" s="60">
        <f t="shared" ca="1" si="5"/>
        <v>0.49204871729716959</v>
      </c>
      <c r="AE34" s="60">
        <f t="shared" ca="1" si="14"/>
        <v>0.16623356397011529</v>
      </c>
      <c r="AF34" s="60"/>
      <c r="AG34" s="97">
        <f t="shared" ca="1" si="15"/>
        <v>-1.1909471428196885</v>
      </c>
      <c r="AH34" s="97">
        <f t="shared" ca="1" si="16"/>
        <v>-1.1896780492954038</v>
      </c>
      <c r="AI34" s="97">
        <f t="shared" ca="1" si="17"/>
        <v>-1.192216871049439</v>
      </c>
      <c r="AJ34" s="97"/>
      <c r="AK34" s="97">
        <f t="shared" ca="1" si="18"/>
        <v>0.18944420521806826</v>
      </c>
      <c r="AL34" s="97"/>
      <c r="AM34" s="95">
        <v>-1</v>
      </c>
      <c r="AN34" s="96">
        <f t="shared" si="6"/>
        <v>0.24197072451914334</v>
      </c>
      <c r="AX34" s="107">
        <f t="shared" ca="1" si="19"/>
        <v>0.51152018812440248</v>
      </c>
      <c r="AY34" s="107">
        <f t="shared" ca="1" si="20"/>
        <v>0.51147655190534103</v>
      </c>
      <c r="AZ34" s="107">
        <f t="shared" ca="1" si="21"/>
        <v>0.51156387283022453</v>
      </c>
      <c r="BB34" s="39">
        <f ca="1">_xll.EURO(UnderlyingPrice,$D34,IntRate,Yield,AX34,$D$6,1,0)</f>
        <v>2.1807033267372535</v>
      </c>
      <c r="BC34" s="39">
        <f ca="1">_xll.EURO(UnderlyingPrice,$D34*(1+$P$8),IntRate,Yield,AY34,$D$6,1,0)</f>
        <v>2.179386469023739</v>
      </c>
      <c r="BD34" s="39">
        <f ca="1">_xll.EURO(UnderlyingPrice,$D34*(1-$P$8),IntRate,Yield,AZ34,$D$6,1,0)</f>
        <v>2.1820204910273033</v>
      </c>
      <c r="BF34" s="59">
        <f t="shared" ca="1" si="22"/>
        <v>0.13643809452036482</v>
      </c>
      <c r="BG34" s="39">
        <f t="shared" ca="1" si="23"/>
        <v>0.13984522697993204</v>
      </c>
      <c r="BI34" s="58">
        <f t="shared" ca="1" si="24"/>
        <v>4.2552163773068585E-4</v>
      </c>
      <c r="BJ34" s="46">
        <f t="shared" ca="1" si="25"/>
        <v>1.9513045745995494E-4</v>
      </c>
    </row>
    <row r="35" spans="3:62" x14ac:dyDescent="0.2">
      <c r="C35" s="56">
        <v>22</v>
      </c>
      <c r="D35" s="63">
        <f t="shared" ca="1" si="26"/>
        <v>3.035999999999996</v>
      </c>
      <c r="E35" s="45">
        <f t="shared" ca="1" si="7"/>
        <v>-0.41378644525970343</v>
      </c>
      <c r="F35" s="45">
        <f t="shared" ca="1" si="8"/>
        <v>-0.41349333848233327</v>
      </c>
      <c r="G35" s="45">
        <f t="shared" ca="1" si="9"/>
        <v>-0.41407955203707358</v>
      </c>
      <c r="H35" s="45">
        <f t="shared" ca="1" si="0"/>
        <v>0.51032942531890191</v>
      </c>
      <c r="I35" s="45">
        <f t="shared" ca="1" si="1"/>
        <v>0.51033625448857967</v>
      </c>
      <c r="J35" s="45">
        <f t="shared" ca="1" si="2"/>
        <v>0.51034309703914305</v>
      </c>
      <c r="L35" s="58">
        <f ca="1">_xll.EURO(UnderlyingPrice,$D35,IntRate,Yield,$I35,$D$6,L$12,0)</f>
        <v>2.14737533618788</v>
      </c>
      <c r="M35" s="58">
        <f ca="1">_xll.EURO(UnderlyingPrice,$D35,IntRate,Yield,$I35,$D$6,M$12,0)</f>
        <v>5.658652006975684E-2</v>
      </c>
      <c r="O35" s="58">
        <f ca="1">_xll.EURO(UnderlyingPrice,$D35*(1+$P$8),IntRate,Yield,$H35,Expiry-Today,O$12,0)</f>
        <v>2.1460657574969022</v>
      </c>
      <c r="P35" s="58">
        <f ca="1">_xll.EURO(UnderlyingPrice,$D35*(1+$P$8),IntRate,Yield,$H35,Expiry-Today,P$12,0)</f>
        <v>5.6757957441712525E-2</v>
      </c>
      <c r="R35" s="58">
        <f ca="1">_xll.EURO(UnderlyingPrice,$D35*(1-$P$8),IntRate,Yield,$J35,Expiry-Today,R$12,0)</f>
        <v>2.1486852861157502</v>
      </c>
      <c r="S35" s="58">
        <f ca="1">_xll.EURO(UnderlyingPrice,$D35*(1-$P$8),IntRate,Yield,$J35,Expiry-Today,S$12,0)</f>
        <v>5.6415453934693605E-2</v>
      </c>
      <c r="U35" s="59">
        <f t="shared" ca="1" si="10"/>
        <v>0.16110446828752359</v>
      </c>
      <c r="V35" s="59"/>
      <c r="W35" s="62">
        <f t="shared" ca="1" si="3"/>
        <v>0.16512756949846738</v>
      </c>
      <c r="X35" s="63"/>
      <c r="Z35" s="59">
        <f t="shared" ca="1" si="11"/>
        <v>0.33361108553491725</v>
      </c>
      <c r="AA35" s="59">
        <f t="shared" ca="1" si="12"/>
        <v>-0.4564990089384382</v>
      </c>
      <c r="AB35" s="59">
        <f t="shared" ca="1" si="4"/>
        <v>-0.20839134516177629</v>
      </c>
      <c r="AC35" s="59">
        <f t="shared" ca="1" si="13"/>
        <v>-0.67160517183546953</v>
      </c>
      <c r="AD35" s="60">
        <f t="shared" ca="1" si="5"/>
        <v>0.51088785646510726</v>
      </c>
      <c r="AE35" s="60">
        <f t="shared" ca="1" si="14"/>
        <v>0.17043785238193143</v>
      </c>
      <c r="AF35" s="60"/>
      <c r="AG35" s="97">
        <f t="shared" ca="1" si="15"/>
        <v>-1.1589695180076733</v>
      </c>
      <c r="AH35" s="97">
        <f t="shared" ca="1" si="16"/>
        <v>-1.1577004244833882</v>
      </c>
      <c r="AI35" s="97">
        <f t="shared" ca="1" si="17"/>
        <v>-1.1602392462374234</v>
      </c>
      <c r="AJ35" s="97"/>
      <c r="AK35" s="97">
        <f t="shared" ca="1" si="18"/>
        <v>0.19746455228711465</v>
      </c>
      <c r="AL35" s="97"/>
      <c r="AM35" s="95">
        <v>-0.9</v>
      </c>
      <c r="AN35" s="96">
        <f t="shared" si="6"/>
        <v>0.26608524989875482</v>
      </c>
      <c r="AX35" s="107">
        <f t="shared" ca="1" si="19"/>
        <v>0.51042892424038944</v>
      </c>
      <c r="AY35" s="107">
        <f t="shared" ca="1" si="20"/>
        <v>0.51038597490131943</v>
      </c>
      <c r="AZ35" s="107">
        <f t="shared" ca="1" si="21"/>
        <v>0.51047192291386212</v>
      </c>
      <c r="BB35" s="39">
        <f ca="1">_xll.EURO(UnderlyingPrice,$D35,IntRate,Yield,AX35,$D$6,1,0)</f>
        <v>2.1474164072205895</v>
      </c>
      <c r="BC35" s="39">
        <f ca="1">_xll.EURO(UnderlyingPrice,$D35*(1+$P$8),IntRate,Yield,AY35,$D$6,1,0)</f>
        <v>2.1460908688366578</v>
      </c>
      <c r="BD35" s="39">
        <f ca="1">_xll.EURO(UnderlyingPrice,$D35*(1-$P$8),IntRate,Yield,AZ35,$D$6,1,0)</f>
        <v>2.1487422706355637</v>
      </c>
      <c r="BF35" s="59">
        <f t="shared" ca="1" si="22"/>
        <v>0.14105266537216005</v>
      </c>
      <c r="BG35" s="39">
        <f t="shared" ca="1" si="23"/>
        <v>0.14457503290732251</v>
      </c>
      <c r="BI35" s="58">
        <f t="shared" ca="1" si="24"/>
        <v>4.1071032709449895E-5</v>
      </c>
      <c r="BJ35" s="46">
        <f t="shared" ca="1" si="25"/>
        <v>1.9125788818298316E-5</v>
      </c>
    </row>
    <row r="36" spans="3:62" x14ac:dyDescent="0.2">
      <c r="C36" s="56">
        <v>23</v>
      </c>
      <c r="D36" s="63">
        <f t="shared" ca="1" si="26"/>
        <v>3.0739999999999958</v>
      </c>
      <c r="E36" s="45">
        <f t="shared" ca="1" si="7"/>
        <v>-0.40644912145201861</v>
      </c>
      <c r="F36" s="45">
        <f t="shared" ca="1" si="8"/>
        <v>-0.40615234601274464</v>
      </c>
      <c r="G36" s="45">
        <f t="shared" ca="1" si="9"/>
        <v>-0.40674589689129259</v>
      </c>
      <c r="H36" s="45">
        <f t="shared" ca="1" si="0"/>
        <v>0.51016278941468907</v>
      </c>
      <c r="I36" s="45">
        <f t="shared" ca="1" si="1"/>
        <v>0.51016936039341532</v>
      </c>
      <c r="J36" s="45">
        <f t="shared" ca="1" si="2"/>
        <v>0.51017594543434475</v>
      </c>
      <c r="L36" s="58">
        <f ca="1">_xll.EURO(UnderlyingPrice,$D36,IntRate,Yield,$I36,$D$6,L$12,0)</f>
        <v>2.1147054933213472</v>
      </c>
      <c r="M36" s="58">
        <f ca="1">_xll.EURO(UnderlyingPrice,$D36,IntRate,Yield,$I36,$D$6,M$12,0)</f>
        <v>6.0990860596824903E-2</v>
      </c>
      <c r="O36" s="58">
        <f ca="1">_xll.EURO(UnderlyingPrice,$D36*(1+$P$8),IntRate,Yield,$H36,Expiry-Today,O$12,0)</f>
        <v>2.1133890725925704</v>
      </c>
      <c r="P36" s="58">
        <f ca="1">_xll.EURO(UnderlyingPrice,$D36*(1+$P$8),IntRate,Yield,$H36,Expiry-Today,P$12,0)</f>
        <v>6.1173993022679174E-2</v>
      </c>
      <c r="R36" s="58">
        <f ca="1">_xll.EURO(UnderlyingPrice,$D36*(1-$P$8),IntRate,Yield,$J36,Expiry-Today,R$12,0)</f>
        <v>2.1160223052953322</v>
      </c>
      <c r="S36" s="58">
        <f ca="1">_xll.EURO(UnderlyingPrice,$D36*(1-$P$8),IntRate,Yield,$J36,Expiry-Today,S$12,0)</f>
        <v>6.0808119416179585E-2</v>
      </c>
      <c r="U36" s="59">
        <f t="shared" ca="1" si="10"/>
        <v>0.16561562087682904</v>
      </c>
      <c r="V36" s="59"/>
      <c r="W36" s="62">
        <f t="shared" ca="1" si="3"/>
        <v>0.16975137460224185</v>
      </c>
      <c r="X36" s="63"/>
      <c r="Z36" s="59">
        <f t="shared" ca="1" si="11"/>
        <v>0.32948707081457668</v>
      </c>
      <c r="AA36" s="59">
        <f t="shared" ca="1" si="12"/>
        <v>-0.44406022335541762</v>
      </c>
      <c r="AB36" s="59">
        <f t="shared" ca="1" si="4"/>
        <v>-0.19718948196646338</v>
      </c>
      <c r="AC36" s="59">
        <f t="shared" ca="1" si="13"/>
        <v>-0.63550372409863953</v>
      </c>
      <c r="AD36" s="60">
        <f t="shared" ca="1" si="5"/>
        <v>0.52966861426246803</v>
      </c>
      <c r="AE36" s="60">
        <f t="shared" ca="1" si="14"/>
        <v>0.1745189602157565</v>
      </c>
      <c r="AF36" s="60"/>
      <c r="AG36" s="97">
        <f t="shared" ca="1" si="15"/>
        <v>-1.1273896612073746</v>
      </c>
      <c r="AH36" s="97">
        <f t="shared" ca="1" si="16"/>
        <v>-1.1261205676830894</v>
      </c>
      <c r="AI36" s="97">
        <f t="shared" ca="1" si="17"/>
        <v>-1.1286593894371246</v>
      </c>
      <c r="AJ36" s="97"/>
      <c r="AK36" s="97">
        <f t="shared" ca="1" si="18"/>
        <v>0.20553460466372606</v>
      </c>
      <c r="AL36" s="97"/>
      <c r="AM36" s="95">
        <v>-0.8</v>
      </c>
      <c r="AN36" s="96">
        <f t="shared" si="6"/>
        <v>0.28969155276148267</v>
      </c>
      <c r="AX36" s="107">
        <f t="shared" ca="1" si="19"/>
        <v>0.50936857566070581</v>
      </c>
      <c r="AY36" s="107">
        <f t="shared" ca="1" si="20"/>
        <v>0.50932633436962982</v>
      </c>
      <c r="AZ36" s="107">
        <f t="shared" ca="1" si="21"/>
        <v>0.509410867129794</v>
      </c>
      <c r="BB36" s="39">
        <f ca="1">_xll.EURO(UnderlyingPrice,$D36,IntRate,Yield,AX36,$D$6,1,0)</f>
        <v>2.1143331677447743</v>
      </c>
      <c r="BC36" s="39">
        <f ca="1">_xll.EURO(UnderlyingPrice,$D36*(1+$P$8),IntRate,Yield,AY36,$D$6,1,0)</f>
        <v>2.112999418912592</v>
      </c>
      <c r="BD36" s="39">
        <f ca="1">_xll.EURO(UnderlyingPrice,$D36*(1-$P$8),IntRate,Yield,AZ36,$D$6,1,0)</f>
        <v>2.1156672606965468</v>
      </c>
      <c r="BF36" s="59">
        <f t="shared" ca="1" si="22"/>
        <v>0.14566716317419356</v>
      </c>
      <c r="BG36" s="39">
        <f t="shared" ca="1" si="23"/>
        <v>0.14930476396075243</v>
      </c>
      <c r="BI36" s="58">
        <f t="shared" ca="1" si="24"/>
        <v>-3.723255765728517E-4</v>
      </c>
      <c r="BJ36" s="46">
        <f t="shared" ca="1" si="25"/>
        <v>-1.7609598253145122E-4</v>
      </c>
    </row>
    <row r="37" spans="3:62" x14ac:dyDescent="0.2">
      <c r="C37" s="56">
        <v>24</v>
      </c>
      <c r="D37" s="63">
        <f t="shared" ca="1" si="26"/>
        <v>3.1119999999999957</v>
      </c>
      <c r="E37" s="45">
        <f t="shared" ca="1" si="7"/>
        <v>-0.3991117976443338</v>
      </c>
      <c r="F37" s="45">
        <f t="shared" ca="1" si="8"/>
        <v>-0.39881135354315589</v>
      </c>
      <c r="G37" s="45">
        <f t="shared" ca="1" si="9"/>
        <v>-0.3994122417455116</v>
      </c>
      <c r="H37" s="45">
        <f t="shared" ca="1" si="0"/>
        <v>0.51000476616119406</v>
      </c>
      <c r="I37" s="45">
        <f t="shared" ca="1" si="1"/>
        <v>0.51001106183150713</v>
      </c>
      <c r="J37" s="45">
        <f t="shared" ca="1" si="2"/>
        <v>0.51001737226666111</v>
      </c>
      <c r="L37" s="58">
        <f ca="1">_xll.EURO(UnderlyingPrice,$D37,IntRate,Yield,$I37,$D$6,L$12,0)</f>
        <v>2.0822747897377205</v>
      </c>
      <c r="M37" s="58">
        <f ca="1">_xll.EURO(UnderlyingPrice,$D37,IntRate,Yield,$I37,$D$6,M$12,0)</f>
        <v>6.5634340406800384E-2</v>
      </c>
      <c r="O37" s="58">
        <f ca="1">_xll.EURO(UnderlyingPrice,$D37*(1+$P$8),IntRate,Yield,$H37,Expiry-Today,O$12,0)</f>
        <v>2.080952027488197</v>
      </c>
      <c r="P37" s="58">
        <f ca="1">_xll.EURO(UnderlyingPrice,$D37*(1+$P$8),IntRate,Yield,$H37,Expiry-Today,P$12,0)</f>
        <v>6.5829668403603492E-2</v>
      </c>
      <c r="R37" s="58">
        <f ca="1">_xll.EURO(UnderlyingPrice,$D37*(1-$P$8),IntRate,Yield,$J37,Expiry-Today,R$12,0)</f>
        <v>2.0835979636923807</v>
      </c>
      <c r="S37" s="58">
        <f ca="1">_xll.EURO(UnderlyingPrice,$D37*(1-$P$8),IntRate,Yield,$J37,Expiry-Today,S$12,0)</f>
        <v>6.5439424115133427E-2</v>
      </c>
      <c r="U37" s="59">
        <f t="shared" ca="1" si="10"/>
        <v>0.17004626615325741</v>
      </c>
      <c r="V37" s="59"/>
      <c r="W37" s="62">
        <f t="shared" ca="1" si="3"/>
        <v>0.17429266196430779</v>
      </c>
      <c r="Z37" s="59">
        <f t="shared" ca="1" si="11"/>
        <v>0.32546377110668662</v>
      </c>
      <c r="AA37" s="59">
        <f t="shared" ca="1" si="12"/>
        <v>-0.43177426215567671</v>
      </c>
      <c r="AB37" s="59">
        <f t="shared" ca="1" si="4"/>
        <v>-0.18642901346007903</v>
      </c>
      <c r="AC37" s="59">
        <f t="shared" ca="1" si="13"/>
        <v>-0.60082480643701508</v>
      </c>
      <c r="AD37" s="60">
        <f t="shared" ca="1" si="5"/>
        <v>0.54835915935238377</v>
      </c>
      <c r="AE37" s="60">
        <f t="shared" ca="1" si="14"/>
        <v>0.17847103992371932</v>
      </c>
      <c r="AF37" s="60"/>
      <c r="AG37" s="97">
        <f t="shared" ca="1" si="15"/>
        <v>-1.0961977982435605</v>
      </c>
      <c r="AH37" s="97">
        <f t="shared" ca="1" si="16"/>
        <v>-1.0949287047192748</v>
      </c>
      <c r="AI37" s="97">
        <f t="shared" ca="1" si="17"/>
        <v>-1.0974675264733103</v>
      </c>
      <c r="AJ37" s="97"/>
      <c r="AK37" s="97">
        <f t="shared" ca="1" si="18"/>
        <v>0.21364192392427372</v>
      </c>
      <c r="AL37" s="97"/>
      <c r="AM37" s="95">
        <v>-0.7</v>
      </c>
      <c r="AN37" s="96">
        <f t="shared" si="6"/>
        <v>0.31225393336676122</v>
      </c>
      <c r="AX37" s="107">
        <f t="shared" ca="1" si="19"/>
        <v>0.50833889843228641</v>
      </c>
      <c r="AY37" s="107">
        <f t="shared" ca="1" si="20"/>
        <v>0.50829738599109398</v>
      </c>
      <c r="AZ37" s="107">
        <f t="shared" ca="1" si="21"/>
        <v>0.50838046189070119</v>
      </c>
      <c r="BB37" s="39">
        <f ca="1">_xll.EURO(UnderlyingPrice,$D37,IntRate,Yield,AX37,$D$6,1,0)</f>
        <v>2.0814602706264789</v>
      </c>
      <c r="BC37" s="39">
        <f ca="1">_xll.EURO(UnderlyingPrice,$D37*(1+$P$8),IntRate,Yield,AY37,$D$6,1,0)</f>
        <v>2.0801187913055874</v>
      </c>
      <c r="BD37" s="39">
        <f ca="1">_xll.EURO(UnderlyingPrice,$D37*(1-$P$8),IntRate,Yield,AZ37,$D$6,1,0)</f>
        <v>2.0828021137790285</v>
      </c>
      <c r="BF37" s="59">
        <f t="shared" ca="1" si="22"/>
        <v>0.15027311895509937</v>
      </c>
      <c r="BG37" s="39">
        <f t="shared" ca="1" si="23"/>
        <v>0.15402573968168029</v>
      </c>
      <c r="BI37" s="58">
        <f t="shared" ca="1" si="24"/>
        <v>-8.1451911124164056E-4</v>
      </c>
      <c r="BJ37" s="46">
        <f t="shared" ca="1" si="25"/>
        <v>-3.9132099840487767E-4</v>
      </c>
    </row>
    <row r="38" spans="3:62" x14ac:dyDescent="0.2">
      <c r="C38" s="56">
        <v>25</v>
      </c>
      <c r="D38" s="63">
        <f t="shared" ca="1" si="26"/>
        <v>3.1499999999999955</v>
      </c>
      <c r="E38" s="45">
        <f t="shared" ca="1" si="7"/>
        <v>-0.39177447383664887</v>
      </c>
      <c r="F38" s="45">
        <f t="shared" ca="1" si="8"/>
        <v>-0.39147036107356725</v>
      </c>
      <c r="G38" s="45">
        <f t="shared" ca="1" si="9"/>
        <v>-0.39207858659973061</v>
      </c>
      <c r="H38" s="45">
        <f t="shared" ca="1" si="0"/>
        <v>0.50985556630240048</v>
      </c>
      <c r="I38" s="45">
        <f t="shared" ca="1" si="1"/>
        <v>0.50986156923103843</v>
      </c>
      <c r="J38" s="45">
        <f t="shared" ca="1" si="2"/>
        <v>0.50986758764879092</v>
      </c>
      <c r="L38" s="58">
        <f ca="1">_xll.EURO(UnderlyingPrice,$D38,IntRate,Yield,$I38,$D$6,L$12,0)</f>
        <v>2.0500896224575356</v>
      </c>
      <c r="M38" s="58">
        <f ca="1">_xll.EURO(UnderlyingPrice,$D38,IntRate,Yield,$I38,$D$6,M$12,0)</f>
        <v>7.0523356520216463E-2</v>
      </c>
      <c r="O38" s="58">
        <f ca="1">_xll.EURO(UnderlyingPrice,$D38*(1+$P$8),IntRate,Yield,$H38,Expiry-Today,O$12,0)</f>
        <v>2.0487610238517404</v>
      </c>
      <c r="P38" s="58">
        <f ca="1">_xll.EURO(UnderlyingPrice,$D38*(1+$P$8),IntRate,Yield,$H38,Expiry-Today,P$12,0)</f>
        <v>7.0731385252445877E-2</v>
      </c>
      <c r="R38" s="58">
        <f ca="1">_xll.EURO(UnderlyingPrice,$D38*(1-$P$8),IntRate,Yield,$J38,Expiry-Today,R$12,0)</f>
        <v>2.0514186536582448</v>
      </c>
      <c r="S38" s="58">
        <f ca="1">_xll.EURO(UnderlyingPrice,$D38*(1-$P$8),IntRate,Yield,$J38,Expiry-Today,S$12,0)</f>
        <v>7.0315760382902326E-2</v>
      </c>
      <c r="U38" s="59">
        <f t="shared" ca="1" si="10"/>
        <v>0.174389483968169</v>
      </c>
      <c r="V38" s="59"/>
      <c r="W38" s="62">
        <f t="shared" ca="1" si="3"/>
        <v>0.17874433862605521</v>
      </c>
      <c r="Z38" s="59">
        <f t="shared" ca="1" si="11"/>
        <v>0.32153754148698688</v>
      </c>
      <c r="AA38" s="59">
        <f t="shared" ca="1" si="12"/>
        <v>-0.41963741563428003</v>
      </c>
      <c r="AB38" s="59">
        <f t="shared" ca="1" si="4"/>
        <v>-0.1760955606002175</v>
      </c>
      <c r="AC38" s="59">
        <f t="shared" ca="1" si="13"/>
        <v>-0.56752207796614962</v>
      </c>
      <c r="AD38" s="60">
        <f t="shared" ca="1" si="5"/>
        <v>0.56692850427042685</v>
      </c>
      <c r="AE38" s="60">
        <f t="shared" ca="1" si="14"/>
        <v>0.1822887974620078</v>
      </c>
      <c r="AF38" s="60"/>
      <c r="AG38" s="97">
        <f t="shared" ca="1" si="15"/>
        <v>-1.0653845108374247</v>
      </c>
      <c r="AH38" s="97">
        <f t="shared" ca="1" si="16"/>
        <v>-1.06411541731314</v>
      </c>
      <c r="AI38" s="97">
        <f t="shared" ca="1" si="17"/>
        <v>-1.0666542390671752</v>
      </c>
      <c r="AJ38" s="97"/>
      <c r="AK38" s="97">
        <f t="shared" ca="1" si="18"/>
        <v>0.2217740043298323</v>
      </c>
      <c r="AL38" s="97"/>
      <c r="AM38" s="95">
        <v>-0.6</v>
      </c>
      <c r="AN38" s="96">
        <f t="shared" si="6"/>
        <v>0.33322460289179962</v>
      </c>
      <c r="AX38" s="107">
        <f t="shared" ca="1" si="19"/>
        <v>0.50733964860206515</v>
      </c>
      <c r="AY38" s="107">
        <f t="shared" ca="1" si="20"/>
        <v>0.50729888544653368</v>
      </c>
      <c r="AZ38" s="107">
        <f t="shared" ca="1" si="21"/>
        <v>0.50738046360926459</v>
      </c>
      <c r="BB38" s="39">
        <f ca="1">_xll.EURO(UnderlyingPrice,$D38,IntRate,Yield,AX38,$D$6,1,0)</f>
        <v>2.0488043658315664</v>
      </c>
      <c r="BC38" s="39">
        <f ca="1">_xll.EURO(UnderlyingPrice,$D38*(1+$P$8),IntRate,Yield,AY38,$D$6,1,0)</f>
        <v>2.0474556451942361</v>
      </c>
      <c r="BD38" s="39">
        <f ca="1">_xll.EURO(UnderlyingPrice,$D38*(1-$P$8),IntRate,Yield,AZ38,$D$6,1,0)</f>
        <v>2.0501534706232669</v>
      </c>
      <c r="BF38" s="59">
        <f t="shared" ca="1" si="22"/>
        <v>0.15486192815774041</v>
      </c>
      <c r="BG38" s="39">
        <f t="shared" ca="1" si="23"/>
        <v>0.15872914063994531</v>
      </c>
      <c r="BI38" s="58">
        <f t="shared" ca="1" si="24"/>
        <v>-1.2852566259691223E-3</v>
      </c>
      <c r="BJ38" s="46">
        <f t="shared" ca="1" si="25"/>
        <v>-6.2732032760358933E-4</v>
      </c>
    </row>
    <row r="39" spans="3:62" x14ac:dyDescent="0.2">
      <c r="C39" s="56">
        <v>26</v>
      </c>
      <c r="D39" s="63">
        <f t="shared" ca="1" si="26"/>
        <v>3.1879999999999953</v>
      </c>
      <c r="E39" s="45">
        <f t="shared" ca="1" si="7"/>
        <v>-0.38443715002896406</v>
      </c>
      <c r="F39" s="45">
        <f t="shared" ca="1" si="8"/>
        <v>-0.38412936860397862</v>
      </c>
      <c r="G39" s="45">
        <f t="shared" ca="1" si="9"/>
        <v>-0.38474493145394961</v>
      </c>
      <c r="H39" s="45">
        <f t="shared" ca="1" si="0"/>
        <v>0.50971540058229226</v>
      </c>
      <c r="I39" s="45">
        <f t="shared" ca="1" si="1"/>
        <v>0.50972109302019286</v>
      </c>
      <c r="J39" s="45">
        <f t="shared" ca="1" si="2"/>
        <v>0.50972680169343343</v>
      </c>
      <c r="L39" s="58">
        <f ca="1">_xll.EURO(UnderlyingPrice,$D39,IntRate,Yield,$I39,$D$6,L$12,0)</f>
        <v>2.0181562622946072</v>
      </c>
      <c r="M39" s="58">
        <f ca="1">_xll.EURO(UnderlyingPrice,$D39,IntRate,Yield,$I39,$D$6,M$12,0)</f>
        <v>7.5664179750889904E-2</v>
      </c>
      <c r="O39" s="58">
        <f ca="1">_xll.EURO(UnderlyingPrice,$D39*(1+$P$8),IntRate,Yield,$H39,Expiry-Today,O$12,0)</f>
        <v>2.0168223364914186</v>
      </c>
      <c r="P39" s="58">
        <f ca="1">_xll.EURO(UnderlyingPrice,$D39*(1+$P$8),IntRate,Yield,$H39,Expiry-Today,P$12,0)</f>
        <v>7.5885418377422187E-2</v>
      </c>
      <c r="R39" s="58">
        <f ca="1">_xll.EURO(UnderlyingPrice,$D39*(1-$P$8),IntRate,Yield,$J39,Expiry-Today,R$12,0)</f>
        <v>2.0194906419893468</v>
      </c>
      <c r="S39" s="58">
        <f ca="1">_xll.EURO(UnderlyingPrice,$D39*(1-$P$8),IntRate,Yield,$J39,Expiry-Today,S$12,0)</f>
        <v>7.5443395015907744E-2</v>
      </c>
      <c r="U39" s="59">
        <f t="shared" ca="1" si="10"/>
        <v>0.178638664994929</v>
      </c>
      <c r="V39" s="59"/>
      <c r="W39" s="62">
        <f t="shared" ca="1" si="3"/>
        <v>0.18309963021272699</v>
      </c>
      <c r="Z39" s="59">
        <f t="shared" ca="1" si="11"/>
        <v>0.31770491081681579</v>
      </c>
      <c r="AA39" s="59">
        <f t="shared" ca="1" si="12"/>
        <v>-0.40764610754385322</v>
      </c>
      <c r="AB39" s="59">
        <f t="shared" ca="1" si="4"/>
        <v>-0.16617534899565475</v>
      </c>
      <c r="AC39" s="59">
        <f t="shared" ca="1" si="13"/>
        <v>-0.53555114647590729</v>
      </c>
      <c r="AD39" s="60">
        <f t="shared" ca="1" si="5"/>
        <v>0.58534658951530938</v>
      </c>
      <c r="AE39" s="60">
        <f t="shared" ca="1" si="14"/>
        <v>0.18596748601888866</v>
      </c>
      <c r="AF39" s="60"/>
      <c r="AG39" s="97">
        <f t="shared" ca="1" si="15"/>
        <v>-1.0349407195350921</v>
      </c>
      <c r="AH39" s="97">
        <f t="shared" ca="1" si="16"/>
        <v>-1.0336716260108072</v>
      </c>
      <c r="AI39" s="97">
        <f t="shared" ca="1" si="17"/>
        <v>-1.0362104477648424</v>
      </c>
      <c r="AJ39" s="97"/>
      <c r="AK39" s="97">
        <f t="shared" ca="1" si="18"/>
        <v>0.22991831552979575</v>
      </c>
      <c r="AL39" s="97"/>
      <c r="AM39" s="95">
        <v>-0.5</v>
      </c>
      <c r="AN39" s="96">
        <f t="shared" si="6"/>
        <v>0.35206532676429947</v>
      </c>
      <c r="AX39" s="107">
        <f t="shared" ca="1" si="19"/>
        <v>0.50637058221697684</v>
      </c>
      <c r="AY39" s="107">
        <f t="shared" ca="1" si="20"/>
        <v>0.50633058841677103</v>
      </c>
      <c r="AZ39" s="107">
        <f t="shared" ca="1" si="21"/>
        <v>0.50641062869816544</v>
      </c>
      <c r="BB39" s="39">
        <f ca="1">_xll.EURO(UnderlyingPrice,$D39,IntRate,Yield,AX39,$D$6,1,0)</f>
        <v>2.0163720785552681</v>
      </c>
      <c r="BC39" s="39">
        <f ca="1">_xll.EURO(UnderlyingPrice,$D39*(1+$P$8),IntRate,Yield,AY39,$D$6,1,0)</f>
        <v>2.015016614423855</v>
      </c>
      <c r="BD39" s="39">
        <f ca="1">_xll.EURO(UnderlyingPrice,$D39*(1-$P$8),IntRate,Yield,AZ39,$D$6,1,0)</f>
        <v>2.0177279477591714</v>
      </c>
      <c r="BF39" s="59">
        <f t="shared" ca="1" si="22"/>
        <v>0.15942488622530226</v>
      </c>
      <c r="BG39" s="39">
        <f t="shared" ca="1" si="23"/>
        <v>0.16340604490851712</v>
      </c>
      <c r="BI39" s="58">
        <f t="shared" ca="1" si="24"/>
        <v>-1.7841837393390847E-3</v>
      </c>
      <c r="BJ39" s="46">
        <f t="shared" ca="1" si="25"/>
        <v>-8.8484846537721033E-4</v>
      </c>
    </row>
    <row r="40" spans="3:62" x14ac:dyDescent="0.2">
      <c r="C40" s="56">
        <v>27</v>
      </c>
      <c r="D40" s="63">
        <f t="shared" ca="1" si="26"/>
        <v>3.2259999999999951</v>
      </c>
      <c r="E40" s="45">
        <f t="shared" ca="1" si="7"/>
        <v>-0.37709982622127924</v>
      </c>
      <c r="F40" s="45">
        <f t="shared" ca="1" si="8"/>
        <v>-0.37678837613438987</v>
      </c>
      <c r="G40" s="45">
        <f t="shared" ca="1" si="9"/>
        <v>-0.37741127630816851</v>
      </c>
      <c r="H40" s="45">
        <f t="shared" ca="1" si="0"/>
        <v>0.50958447974485255</v>
      </c>
      <c r="I40" s="45">
        <f t="shared" ca="1" si="1"/>
        <v>0.50958984362715365</v>
      </c>
      <c r="J40" s="45">
        <f t="shared" ca="1" si="2"/>
        <v>0.50959522451328743</v>
      </c>
      <c r="L40" s="58">
        <f ca="1">_xll.EURO(UnderlyingPrice,$D40,IntRate,Yield,$I40,$D$6,L$12,0)</f>
        <v>1.9864808443094337</v>
      </c>
      <c r="M40" s="58">
        <f ca="1">_xll.EURO(UnderlyingPrice,$D40,IntRate,Yield,$I40,$D$6,M$12,0)</f>
        <v>8.1062945159317834E-2</v>
      </c>
      <c r="O40" s="58">
        <f ca="1">_xll.EURO(UnderlyingPrice,$D40*(1+$P$8),IntRate,Yield,$H40,Expiry-Today,O$12,0)</f>
        <v>1.9851421038037924</v>
      </c>
      <c r="P40" s="58">
        <f ca="1">_xll.EURO(UnderlyingPrice,$D40*(1+$P$8),IntRate,Yield,$H40,Expiry-Today,P$12,0)</f>
        <v>8.1297906175094525E-2</v>
      </c>
      <c r="R40" s="58">
        <f ca="1">_xll.EURO(UnderlyingPrice,$D40*(1-$P$8),IntRate,Yield,$J40,Expiry-Today,R$12,0)</f>
        <v>1.9878200603859528</v>
      </c>
      <c r="S40" s="58">
        <f ca="1">_xll.EURO(UnderlyingPrice,$D40*(1-$P$8),IntRate,Yield,$J40,Expiry-Today,S$12,0)</f>
        <v>8.0828459714419321E-2</v>
      </c>
      <c r="U40" s="59">
        <f t="shared" ca="1" si="10"/>
        <v>0.18278751026292797</v>
      </c>
      <c r="V40" s="59"/>
      <c r="W40" s="62">
        <f t="shared" ca="1" si="3"/>
        <v>0.18735208045580284</v>
      </c>
      <c r="Z40" s="59">
        <f t="shared" ca="1" si="11"/>
        <v>0.31396257150775231</v>
      </c>
      <c r="AA40" s="59">
        <f t="shared" ca="1" si="12"/>
        <v>-0.39579688876880481</v>
      </c>
      <c r="AB40" s="59">
        <f t="shared" ca="1" si="4"/>
        <v>-0.15665517715906566</v>
      </c>
      <c r="AC40" s="59">
        <f t="shared" ca="1" si="13"/>
        <v>-0.5048694661150841</v>
      </c>
      <c r="AD40" s="60">
        <f t="shared" ca="1" si="5"/>
        <v>0.60358435849618763</v>
      </c>
      <c r="AE40" s="60">
        <f t="shared" ca="1" si="14"/>
        <v>0.18950289731532011</v>
      </c>
      <c r="AF40" s="60"/>
      <c r="AG40" s="97">
        <f t="shared" ca="1" si="15"/>
        <v>-1.0048576676475967</v>
      </c>
      <c r="AH40" s="97">
        <f t="shared" ca="1" si="16"/>
        <v>-1.0035885741233115</v>
      </c>
      <c r="AI40" s="97">
        <f t="shared" ca="1" si="17"/>
        <v>-1.0061273958773465</v>
      </c>
      <c r="AJ40" s="97"/>
      <c r="AK40" s="97">
        <f t="shared" ca="1" si="18"/>
        <v>0.23806232579732892</v>
      </c>
      <c r="AL40" s="97"/>
      <c r="AM40" s="95">
        <v>-0.4</v>
      </c>
      <c r="AN40" s="96">
        <f t="shared" si="6"/>
        <v>0.36827014030332328</v>
      </c>
      <c r="AX40" s="107">
        <f t="shared" ca="1" si="19"/>
        <v>0.50543145532395561</v>
      </c>
      <c r="AY40" s="107">
        <f t="shared" ca="1" si="20"/>
        <v>0.5053922505826276</v>
      </c>
      <c r="AZ40" s="107">
        <f t="shared" ca="1" si="21"/>
        <v>0.50547071357008488</v>
      </c>
      <c r="BB40" s="39">
        <f ca="1">_xll.EURO(UnderlyingPrice,$D40,IntRate,Yield,AX40,$D$6,1,0)</f>
        <v>1.9841699966555932</v>
      </c>
      <c r="BC40" s="39">
        <f ca="1">_xll.EURO(UnderlyingPrice,$D40*(1+$P$8),IntRate,Yield,AY40,$D$6,1,0)</f>
        <v>1.9828082949034376</v>
      </c>
      <c r="BD40" s="39">
        <f ca="1">_xll.EURO(UnderlyingPrice,$D40*(1-$P$8),IntRate,Yield,AZ40,$D$6,1,0)</f>
        <v>1.9855321249761531</v>
      </c>
      <c r="BF40" s="59">
        <f t="shared" ca="1" si="22"/>
        <v>0.16395321958055981</v>
      </c>
      <c r="BG40" s="39">
        <f t="shared" ca="1" si="23"/>
        <v>0.16804745981637681</v>
      </c>
      <c r="BI40" s="58">
        <f t="shared" ca="1" si="24"/>
        <v>-2.3108476538404865E-3</v>
      </c>
      <c r="BJ40" s="46">
        <f t="shared" ca="1" si="25"/>
        <v>-1.1646419700607927E-3</v>
      </c>
    </row>
    <row r="41" spans="3:62" x14ac:dyDescent="0.2">
      <c r="C41" s="56">
        <v>28</v>
      </c>
      <c r="D41" s="63">
        <f t="shared" ca="1" si="26"/>
        <v>3.2639999999999949</v>
      </c>
      <c r="E41" s="45">
        <f t="shared" ca="1" si="7"/>
        <v>-0.36976250241359443</v>
      </c>
      <c r="F41" s="45">
        <f t="shared" ca="1" si="8"/>
        <v>-0.36944738366480123</v>
      </c>
      <c r="G41" s="45">
        <f t="shared" ca="1" si="9"/>
        <v>-0.37007762116238752</v>
      </c>
      <c r="H41" s="45">
        <f t="shared" ca="1" si="0"/>
        <v>0.50946301453406506</v>
      </c>
      <c r="I41" s="45">
        <f t="shared" ca="1" si="1"/>
        <v>0.50946803148010467</v>
      </c>
      <c r="J41" s="45">
        <f t="shared" ca="1" si="2"/>
        <v>0.50947306622105215</v>
      </c>
      <c r="L41" s="58">
        <f ca="1">_xll.EURO(UnderlyingPrice,$D41,IntRate,Yield,$I41,$D$6,L$12,0)</f>
        <v>1.9550693587181072</v>
      </c>
      <c r="M41" s="58">
        <f ca="1">_xll.EURO(UnderlyingPrice,$D41,IntRate,Yield,$I41,$D$6,M$12,0)</f>
        <v>8.6725642961592408E-2</v>
      </c>
      <c r="O41" s="58">
        <f ca="1">_xll.EURO(UnderlyingPrice,$D41*(1+$P$8),IntRate,Yield,$H41,Expiry-Today,O$12,0)</f>
        <v>1.9537263186792195</v>
      </c>
      <c r="P41" s="58">
        <f ca="1">_xll.EURO(UnderlyingPrice,$D41*(1+$P$8),IntRate,Yield,$H41,Expiry-Today,P$12,0)</f>
        <v>8.6974841535819858E-2</v>
      </c>
      <c r="R41" s="58">
        <f ca="1">_xll.EURO(UnderlyingPrice,$D41*(1-$P$8),IntRate,Yield,$J41,Expiry-Today,R$12,0)</f>
        <v>1.9564128963646281</v>
      </c>
      <c r="S41" s="58">
        <f ca="1">_xll.EURO(UnderlyingPrice,$D41*(1-$P$8),IntRate,Yield,$J41,Expiry-Today,S$12,0)</f>
        <v>8.6476941994998779E-2</v>
      </c>
      <c r="U41" s="59">
        <f t="shared" ca="1" si="10"/>
        <v>0.18683004783344365</v>
      </c>
      <c r="V41" s="59"/>
      <c r="W41" s="62">
        <f t="shared" ca="1" si="3"/>
        <v>0.19149556828529085</v>
      </c>
      <c r="Z41" s="59">
        <f t="shared" ca="1" si="11"/>
        <v>0.31030737000122821</v>
      </c>
      <c r="AA41" s="59">
        <f t="shared" ca="1" si="12"/>
        <v>-0.38408643136996146</v>
      </c>
      <c r="AB41" s="59">
        <f t="shared" ca="1" si="4"/>
        <v>-0.14752238676251211</v>
      </c>
      <c r="AC41" s="59">
        <f t="shared" ca="1" si="13"/>
        <v>-0.47543624153057423</v>
      </c>
      <c r="AD41" s="60">
        <f t="shared" ca="1" si="5"/>
        <v>0.62161382354198069</v>
      </c>
      <c r="AE41" s="60">
        <f t="shared" ca="1" si="14"/>
        <v>0.19289135073971958</v>
      </c>
      <c r="AF41" s="60"/>
      <c r="AG41" s="97">
        <f t="shared" ca="1" si="15"/>
        <v>-0.97512690613127284</v>
      </c>
      <c r="AH41" s="97">
        <f t="shared" ca="1" si="16"/>
        <v>-0.97385781260698767</v>
      </c>
      <c r="AI41" s="97">
        <f t="shared" ca="1" si="17"/>
        <v>-0.97639663436102242</v>
      </c>
      <c r="AJ41" s="97"/>
      <c r="AK41" s="97">
        <f t="shared" ca="1" si="18"/>
        <v>0.24619354781006561</v>
      </c>
      <c r="AL41" s="97"/>
      <c r="AM41" s="95">
        <v>-0.3</v>
      </c>
      <c r="AN41" s="96">
        <f t="shared" si="6"/>
        <v>0.38138781546052408</v>
      </c>
      <c r="AX41" s="107">
        <f t="shared" ca="1" si="19"/>
        <v>0.50452202396993617</v>
      </c>
      <c r="AY41" s="107">
        <f t="shared" ca="1" si="20"/>
        <v>0.50448362762492527</v>
      </c>
      <c r="AZ41" s="107">
        <f t="shared" ca="1" si="21"/>
        <v>0.50456047463770382</v>
      </c>
      <c r="BB41" s="39">
        <f ca="1">_xll.EURO(UnderlyingPrice,$D41,IntRate,Yield,AX41,$D$6,1,0)</f>
        <v>1.9522046579886845</v>
      </c>
      <c r="BC41" s="39">
        <f ca="1">_xll.EURO(UnderlyingPrice,$D41*(1+$P$8),IntRate,Yield,AY41,$D$6,1,0)</f>
        <v>1.9508372319063043</v>
      </c>
      <c r="BD41" s="39">
        <f ca="1">_xll.EURO(UnderlyingPrice,$D41*(1-$P$8),IntRate,Yield,AZ41,$D$6,1,0)</f>
        <v>1.9535725326932014</v>
      </c>
      <c r="BF41" s="59">
        <f t="shared" ca="1" si="22"/>
        <v>0.16843812204619724</v>
      </c>
      <c r="BG41" s="39">
        <f t="shared" ca="1" si="23"/>
        <v>0.17264435927832514</v>
      </c>
      <c r="BI41" s="58">
        <f t="shared" ca="1" si="24"/>
        <v>-2.8647007294226867E-3</v>
      </c>
      <c r="BJ41" s="46">
        <f t="shared" ca="1" si="25"/>
        <v>-1.4674182431129571E-3</v>
      </c>
    </row>
    <row r="42" spans="3:62" x14ac:dyDescent="0.2">
      <c r="C42" s="56">
        <v>29</v>
      </c>
      <c r="D42" s="63">
        <f t="shared" ca="1" si="26"/>
        <v>3.3019999999999947</v>
      </c>
      <c r="E42" s="45">
        <f t="shared" ca="1" si="7"/>
        <v>-0.3624251786059095</v>
      </c>
      <c r="F42" s="45">
        <f t="shared" ca="1" si="8"/>
        <v>-0.36210639119521248</v>
      </c>
      <c r="G42" s="45">
        <f t="shared" ca="1" si="9"/>
        <v>-0.36274396601660652</v>
      </c>
      <c r="H42" s="45">
        <f t="shared" ca="1" si="0"/>
        <v>0.50935121569391384</v>
      </c>
      <c r="I42" s="45">
        <f t="shared" ca="1" si="1"/>
        <v>0.50935586700722935</v>
      </c>
      <c r="J42" s="45">
        <f t="shared" ca="1" si="2"/>
        <v>0.50936053692942651</v>
      </c>
      <c r="L42" s="58">
        <f ca="1">_xll.EURO(UnderlyingPrice,$D42,IntRate,Yield,$I42,$D$6,L$12,0)</f>
        <v>1.9239276422675249</v>
      </c>
      <c r="M42" s="58">
        <f ca="1">_xll.EURO(UnderlyingPrice,$D42,IntRate,Yield,$I42,$D$6,M$12,0)</f>
        <v>9.2658109904611874E-2</v>
      </c>
      <c r="O42" s="58">
        <f ca="1">_xll.EURO(UnderlyingPrice,$D42*(1+$P$8),IntRate,Yield,$H42,Expiry-Today,O$12,0)</f>
        <v>1.9225808198754217</v>
      </c>
      <c r="P42" s="58">
        <f ca="1">_xll.EURO(UnderlyingPrice,$D42*(1+$P$8),IntRate,Yield,$H42,Expiry-Today,P$12,0)</f>
        <v>9.2922063217321105E-2</v>
      </c>
      <c r="R42" s="58">
        <f ca="1">_xll.EURO(UnderlyingPrice,$D42*(1-$P$8),IntRate,Yield,$J42,Expiry-Today,R$12,0)</f>
        <v>1.9252749846351529</v>
      </c>
      <c r="S42" s="58">
        <f ca="1">_xll.EURO(UnderlyingPrice,$D42*(1-$P$8),IntRate,Yield,$J42,Expiry-Today,S$12,0)</f>
        <v>9.2394676567428335E-2</v>
      </c>
      <c r="U42" s="59">
        <f t="shared" ca="1" si="10"/>
        <v>0.1907606332449503</v>
      </c>
      <c r="V42" s="59"/>
      <c r="W42" s="62">
        <f t="shared" ca="1" si="3"/>
        <v>0.19552430828615705</v>
      </c>
      <c r="Z42" s="59">
        <f t="shared" ca="1" si="11"/>
        <v>0.30673629790551454</v>
      </c>
      <c r="AA42" s="59">
        <f t="shared" ca="1" si="12"/>
        <v>-0.37251152297388568</v>
      </c>
      <c r="AB42" s="59">
        <f t="shared" ca="1" si="4"/>
        <v>-0.13876483474832377</v>
      </c>
      <c r="AC42" s="59">
        <f t="shared" ca="1" si="13"/>
        <v>-0.44721233798611049</v>
      </c>
      <c r="AD42" s="60">
        <f t="shared" ca="1" si="5"/>
        <v>0.63940812322596063</v>
      </c>
      <c r="AE42" s="60">
        <f t="shared" ca="1" si="14"/>
        <v>0.1961296805690442</v>
      </c>
      <c r="AF42" s="60"/>
      <c r="AG42" s="97">
        <f t="shared" ca="1" si="15"/>
        <v>-0.94574027934323524</v>
      </c>
      <c r="AH42" s="97">
        <f t="shared" ca="1" si="16"/>
        <v>-0.94447118581895007</v>
      </c>
      <c r="AI42" s="97">
        <f t="shared" ca="1" si="17"/>
        <v>-0.94701000757298526</v>
      </c>
      <c r="AJ42" s="97"/>
      <c r="AK42" s="97">
        <f t="shared" ca="1" si="18"/>
        <v>0.25429956432929646</v>
      </c>
      <c r="AL42" s="97"/>
      <c r="AM42" s="95">
        <v>-0.2</v>
      </c>
      <c r="AN42" s="96">
        <f t="shared" si="6"/>
        <v>0.39104269397545582</v>
      </c>
      <c r="AX42" s="107">
        <f t="shared" ca="1" si="19"/>
        <v>0.50364204420185266</v>
      </c>
      <c r="AY42" s="107">
        <f t="shared" ca="1" si="20"/>
        <v>0.50360447522448581</v>
      </c>
      <c r="AZ42" s="107">
        <f t="shared" ca="1" si="21"/>
        <v>0.50367966831370348</v>
      </c>
      <c r="BB42" s="39">
        <f ca="1">_xll.EURO(UnderlyingPrice,$D42,IntRate,Yield,AX42,$D$6,1,0)</f>
        <v>1.9204825376960715</v>
      </c>
      <c r="BC42" s="39">
        <f ca="1">_xll.EURO(UnderlyingPrice,$D42*(1+$P$8),IntRate,Yield,AY42,$D$6,1,0)</f>
        <v>1.9191099073246383</v>
      </c>
      <c r="BD42" s="39">
        <f ca="1">_xll.EURO(UnderlyingPrice,$D42*(1-$P$8),IntRate,Yield,AZ42,$D$6,1,0)</f>
        <v>1.9218556392788724</v>
      </c>
      <c r="BF42" s="59">
        <f t="shared" ca="1" si="22"/>
        <v>0.17287078833084574</v>
      </c>
      <c r="BG42" s="39">
        <f t="shared" ca="1" si="23"/>
        <v>0.17718771811723386</v>
      </c>
      <c r="BI42" s="58">
        <f t="shared" ca="1" si="24"/>
        <v>-3.4451045714534168E-3</v>
      </c>
      <c r="BJ42" s="46">
        <f t="shared" ca="1" si="25"/>
        <v>-1.7938744580236461E-3</v>
      </c>
    </row>
    <row r="43" spans="3:62" x14ac:dyDescent="0.2">
      <c r="C43" s="56">
        <v>30</v>
      </c>
      <c r="D43" s="63">
        <f t="shared" ca="1" si="26"/>
        <v>3.3399999999999945</v>
      </c>
      <c r="E43" s="45">
        <f t="shared" ca="1" si="7"/>
        <v>-0.35508785479822469</v>
      </c>
      <c r="F43" s="45">
        <f t="shared" ca="1" si="8"/>
        <v>-0.35476539872562385</v>
      </c>
      <c r="G43" s="45">
        <f t="shared" ca="1" si="9"/>
        <v>-0.35541031087082553</v>
      </c>
      <c r="H43" s="45">
        <f t="shared" ca="1" si="0"/>
        <v>0.50924929396838214</v>
      </c>
      <c r="I43" s="45">
        <f t="shared" ca="1" si="1"/>
        <v>0.50925356063671101</v>
      </c>
      <c r="J43" s="45">
        <f t="shared" ca="1" si="2"/>
        <v>0.50925784675110952</v>
      </c>
      <c r="L43" s="58">
        <f ca="1">_xll.EURO(UnderlyingPrice,$D43,IntRate,Yield,$I43,$D$6,L$12,0)</f>
        <v>1.8930613700859298</v>
      </c>
      <c r="M43" s="58">
        <f ca="1">_xll.EURO(UnderlyingPrice,$D43,IntRate,Yield,$I43,$D$6,M$12,0)</f>
        <v>9.8866021116618796E-2</v>
      </c>
      <c r="O43" s="58">
        <f ca="1">_xll.EURO(UnderlyingPrice,$D43*(1+$P$8),IntRate,Yield,$H43,Expiry-Today,O$12,0)</f>
        <v>1.8917112838681551</v>
      </c>
      <c r="P43" s="58">
        <f ca="1">_xll.EURO(UnderlyingPrice,$D43*(1+$P$8),IntRate,Yield,$H43,Expiry-Today,P$12,0)</f>
        <v>9.9145247695353156E-2</v>
      </c>
      <c r="R43" s="58">
        <f ca="1">_xll.EURO(UnderlyingPrice,$D43*(1-$P$8),IntRate,Yield,$J43,Expiry-Today,R$12,0)</f>
        <v>1.8944119989510138</v>
      </c>
      <c r="S43" s="58">
        <f ca="1">_xll.EURO(UnderlyingPrice,$D43*(1-$P$8),IntRate,Yield,$J43,Expiry-Today,S$12,0)</f>
        <v>9.8587337185194246E-2</v>
      </c>
      <c r="U43" s="59">
        <f t="shared" ca="1" si="10"/>
        <v>0.19457395722669563</v>
      </c>
      <c r="V43" s="59"/>
      <c r="W43" s="62">
        <f t="shared" ca="1" si="3"/>
        <v>0.19943285860452578</v>
      </c>
      <c r="Z43" s="59">
        <f t="shared" ca="1" si="11"/>
        <v>0.30324648373772728</v>
      </c>
      <c r="AA43" s="59">
        <f t="shared" ca="1" si="12"/>
        <v>-0.36106906148321294</v>
      </c>
      <c r="AB43" s="59">
        <f t="shared" ca="1" si="4"/>
        <v>-0.13037086716036819</v>
      </c>
      <c r="AC43" s="59">
        <f t="shared" ca="1" si="13"/>
        <v>-0.42016019702548724</v>
      </c>
      <c r="AD43" s="60">
        <f t="shared" ca="1" si="5"/>
        <v>0.65694157129939124</v>
      </c>
      <c r="AE43" s="60">
        <f t="shared" ca="1" si="14"/>
        <v>0.19921522151767784</v>
      </c>
      <c r="AF43" s="60"/>
      <c r="AG43" s="97">
        <f t="shared" ca="1" si="15"/>
        <v>-0.91668991161186797</v>
      </c>
      <c r="AH43" s="97">
        <f t="shared" ca="1" si="16"/>
        <v>-0.91542081808758302</v>
      </c>
      <c r="AI43" s="97">
        <f t="shared" ca="1" si="17"/>
        <v>-0.91795963984161799</v>
      </c>
      <c r="AJ43" s="97"/>
      <c r="AK43" s="97">
        <f t="shared" ca="1" si="18"/>
        <v>0.26236806372108157</v>
      </c>
      <c r="AL43" s="97"/>
      <c r="AM43" s="95">
        <v>-0.1</v>
      </c>
      <c r="AN43" s="96">
        <f t="shared" si="6"/>
        <v>0.39695254747701175</v>
      </c>
      <c r="AX43" s="107">
        <f t="shared" ca="1" si="19"/>
        <v>0.50279127206663954</v>
      </c>
      <c r="AY43" s="107">
        <f t="shared" ca="1" si="20"/>
        <v>0.50275454906213113</v>
      </c>
      <c r="AZ43" s="107">
        <f t="shared" ca="1" si="21"/>
        <v>0.50282805101076478</v>
      </c>
      <c r="BB43" s="39">
        <f ca="1">_xll.EURO(UnderlyingPrice,$D43,IntRate,Yield,AX43,$D$6,1,0)</f>
        <v>1.8890100354945858</v>
      </c>
      <c r="BC43" s="39">
        <f ca="1">_xll.EURO(UnderlyingPrice,$D43*(1+$P$8),IntRate,Yield,AY43,$D$6,1,0)</f>
        <v>1.8876327269288518</v>
      </c>
      <c r="BD43" s="39">
        <f ca="1">_xll.EURO(UnderlyingPrice,$D43*(1-$P$8),IntRate,Yield,AZ43,$D$6,1,0)</f>
        <v>1.8903878383717889</v>
      </c>
      <c r="BF43" s="59">
        <f t="shared" ca="1" si="22"/>
        <v>0.177242450102296</v>
      </c>
      <c r="BG43" s="39">
        <f t="shared" ca="1" si="23"/>
        <v>0.18166854903807836</v>
      </c>
      <c r="BI43" s="58">
        <f t="shared" ca="1" si="24"/>
        <v>-4.0513345913439913E-3</v>
      </c>
      <c r="BJ43" s="46">
        <f t="shared" ca="1" si="25"/>
        <v>-2.144686642854843E-3</v>
      </c>
    </row>
    <row r="44" spans="3:62" x14ac:dyDescent="0.2">
      <c r="C44" s="56">
        <v>31</v>
      </c>
      <c r="D44" s="63">
        <f t="shared" ca="1" si="26"/>
        <v>3.3779999999999943</v>
      </c>
      <c r="E44" s="45">
        <f t="shared" ca="1" si="7"/>
        <v>-0.34775053099053987</v>
      </c>
      <c r="F44" s="45">
        <f t="shared" ca="1" si="8"/>
        <v>-0.3474244062560351</v>
      </c>
      <c r="G44" s="45">
        <f t="shared" ca="1" si="9"/>
        <v>-0.34807665572504454</v>
      </c>
      <c r="H44" s="45">
        <f t="shared" ca="1" si="0"/>
        <v>0.50915746010145346</v>
      </c>
      <c r="I44" s="45">
        <f t="shared" ca="1" si="1"/>
        <v>0.5091613227967331</v>
      </c>
      <c r="J44" s="45">
        <f t="shared" ca="1" si="2"/>
        <v>0.50916520579880031</v>
      </c>
      <c r="L44" s="58">
        <f ca="1">_xll.EURO(UnderlyingPrice,$D44,IntRate,Yield,$I44,$D$6,L$12,0)</f>
        <v>1.8624760480161107</v>
      </c>
      <c r="M44" s="58">
        <f ca="1">_xll.EURO(UnderlyingPrice,$D44,IntRate,Yield,$I44,$D$6,M$12,0)</f>
        <v>0.10535488244040153</v>
      </c>
      <c r="O44" s="58">
        <f ca="1">_xll.EURO(UnderlyingPrice,$D44*(1+$P$8),IntRate,Yield,$H44,Expiry-Today,O$12,0)</f>
        <v>1.8611232171862642</v>
      </c>
      <c r="P44" s="58">
        <f ca="1">_xll.EURO(UnderlyingPrice,$D44*(1+$P$8),IntRate,Yield,$H44,Expiry-Today,P$12,0)</f>
        <v>0.10564990149875958</v>
      </c>
      <c r="R44" s="58">
        <f ca="1">_xll.EURO(UnderlyingPrice,$D44*(1-$P$8),IntRate,Yield,$J44,Expiry-Today,R$12,0)</f>
        <v>1.8638294444408223</v>
      </c>
      <c r="S44" s="58">
        <f ca="1">_xll.EURO(UnderlyingPrice,$D44*(1-$P$8),IntRate,Yield,$J44,Expiry-Today,S$12,0)</f>
        <v>0.10506042897690793</v>
      </c>
      <c r="U44" s="59">
        <f t="shared" ca="1" si="10"/>
        <v>0.19826504770885592</v>
      </c>
      <c r="V44" s="59"/>
      <c r="W44" s="62">
        <f t="shared" ca="1" si="3"/>
        <v>0.20321612300803243</v>
      </c>
      <c r="Z44" s="59">
        <f t="shared" ca="1" si="11"/>
        <v>0.29983518522321168</v>
      </c>
      <c r="AA44" s="59">
        <f t="shared" ca="1" si="12"/>
        <v>-0.34975605008621374</v>
      </c>
      <c r="AB44" s="59">
        <f t="shared" ca="1" si="4"/>
        <v>-0.12232929457191005</v>
      </c>
      <c r="AC44" s="59">
        <f t="shared" ca="1" si="13"/>
        <v>-0.39424375728128308</v>
      </c>
      <c r="AD44" s="60">
        <f t="shared" ca="1" si="5"/>
        <v>0.674189697561699</v>
      </c>
      <c r="AE44" s="60">
        <f t="shared" ca="1" si="14"/>
        <v>0.20214579284399309</v>
      </c>
      <c r="AF44" s="60"/>
      <c r="AG44" s="97">
        <f t="shared" ca="1" si="15"/>
        <v>-0.8879681945669935</v>
      </c>
      <c r="AH44" s="97">
        <f t="shared" ca="1" si="16"/>
        <v>-0.8866991010427081</v>
      </c>
      <c r="AI44" s="97">
        <f t="shared" ca="1" si="17"/>
        <v>-0.88923792279674341</v>
      </c>
      <c r="AJ44" s="97"/>
      <c r="AK44" s="97">
        <f t="shared" ca="1" si="18"/>
        <v>0.27038686840855974</v>
      </c>
      <c r="AL44" s="97"/>
      <c r="AM44" s="95">
        <v>0</v>
      </c>
      <c r="AN44" s="96">
        <f t="shared" si="6"/>
        <v>0.39894228040143265</v>
      </c>
      <c r="AX44" s="107">
        <f t="shared" ca="1" si="19"/>
        <v>0.5019694636112314</v>
      </c>
      <c r="AY44" s="107">
        <f t="shared" ca="1" si="20"/>
        <v>0.5019336048186831</v>
      </c>
      <c r="AZ44" s="107">
        <f t="shared" ca="1" si="21"/>
        <v>0.50200537914156895</v>
      </c>
      <c r="BB44" s="39">
        <f ca="1">_xll.EURO(UnderlyingPrice,$D44,IntRate,Yield,AX44,$D$6,1,0)</f>
        <v>1.8577934630202444</v>
      </c>
      <c r="BC44" s="39">
        <f ca="1">_xll.EURO(UnderlyingPrice,$D44*(1+$P$8),IntRate,Yield,AY44,$D$6,1,0)</f>
        <v>1.8564120076833182</v>
      </c>
      <c r="BD44" s="39">
        <f ca="1">_xll.EURO(UnderlyingPrice,$D44*(1-$P$8),IntRate,Yield,AZ44,$D$6,1,0)</f>
        <v>1.8591754362527335</v>
      </c>
      <c r="BF44" s="59">
        <f t="shared" ca="1" si="22"/>
        <v>0.18154441422042006</v>
      </c>
      <c r="BG44" s="39">
        <f t="shared" ca="1" si="23"/>
        <v>0.18607794181561224</v>
      </c>
      <c r="BI44" s="58">
        <f t="shared" ca="1" si="24"/>
        <v>-4.682584995866268E-3</v>
      </c>
      <c r="BJ44" s="46">
        <f t="shared" ca="1" si="25"/>
        <v>-2.5205089204338761E-3</v>
      </c>
    </row>
    <row r="45" spans="3:62" x14ac:dyDescent="0.2">
      <c r="C45" s="56">
        <v>32</v>
      </c>
      <c r="D45" s="63">
        <f t="shared" ca="1" si="26"/>
        <v>3.4159999999999942</v>
      </c>
      <c r="E45" s="45">
        <f t="shared" ca="1" si="7"/>
        <v>-0.34041320718285495</v>
      </c>
      <c r="F45" s="45">
        <f t="shared" ca="1" si="8"/>
        <v>-0.34008341378644646</v>
      </c>
      <c r="G45" s="45">
        <f t="shared" ca="1" si="9"/>
        <v>-0.34074300057926354</v>
      </c>
      <c r="H45" s="45">
        <f t="shared" ref="H45:H65" ca="1" si="27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0.50907592483711173</v>
      </c>
      <c r="I45" s="45">
        <f t="shared" ref="I45:I76" ca="1" si="28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0.50907936391547925</v>
      </c>
      <c r="J45" s="45">
        <f t="shared" ref="J45:J65" ca="1" si="29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0.50908282418519779</v>
      </c>
      <c r="L45" s="58">
        <f ca="1">_xll.EURO(UnderlyingPrice,$D45,IntRate,Yield,$I45,$D$6,L$12,0)</f>
        <v>1.8321770054370186</v>
      </c>
      <c r="M45" s="58">
        <f ca="1">_xll.EURO(UnderlyingPrice,$D45,IntRate,Yield,$I45,$D$6,M$12,0)</f>
        <v>0.11213002325490995</v>
      </c>
      <c r="O45" s="58">
        <f ca="1">_xll.EURO(UnderlyingPrice,$D45*(1+$P$8),IntRate,Yield,$H45,Expiry-Today,O$12,0)</f>
        <v>1.8308219492368409</v>
      </c>
      <c r="P45" s="58">
        <f ca="1">_xll.EURO(UnderlyingPrice,$D45*(1+$P$8),IntRate,Yield,$H45,Expiry-Today,P$12,0)</f>
        <v>0.1124413540346344</v>
      </c>
      <c r="R45" s="58">
        <f ca="1">_xll.EURO(UnderlyingPrice,$D45*(1-$P$8),IntRate,Yield,$J45,Expiry-Today,R$12,0)</f>
        <v>1.8335326504264708</v>
      </c>
      <c r="S45" s="58">
        <f ca="1">_xll.EURO(UnderlyingPrice,$D45*(1-$P$8),IntRate,Yield,$J45,Expiry-Today,S$12,0)</f>
        <v>0.11181928126446172</v>
      </c>
      <c r="U45" s="59">
        <f t="shared" ca="1" si="10"/>
        <v>0.20182927382273674</v>
      </c>
      <c r="V45" s="59"/>
      <c r="W45" s="62">
        <f t="shared" ref="W45:W65" ca="1" si="30">U45/$D$9</f>
        <v>0.20686935498591724</v>
      </c>
      <c r="Z45" s="59">
        <f t="shared" ca="1" si="11"/>
        <v>0.29649978210890193</v>
      </c>
      <c r="AA45" s="59">
        <f t="shared" ca="1" si="12"/>
        <v>-0.33856959254549857</v>
      </c>
      <c r="AB45" s="59">
        <f t="shared" ca="1" si="4"/>
        <v>-0.11462936899642492</v>
      </c>
      <c r="AC45" s="59">
        <f t="shared" ca="1" si="13"/>
        <v>-0.36942838006286033</v>
      </c>
      <c r="AD45" s="60">
        <f t="shared" ca="1" si="5"/>
        <v>0.69112928102201665</v>
      </c>
      <c r="AE45" s="60">
        <f t="shared" ca="1" si="14"/>
        <v>0.20491968123210999</v>
      </c>
      <c r="AF45" s="60"/>
      <c r="AG45" s="97">
        <f t="shared" ca="1" si="15"/>
        <v>-0.85956777517873506</v>
      </c>
      <c r="AH45" s="97">
        <f t="shared" ca="1" si="16"/>
        <v>-0.85829868165445022</v>
      </c>
      <c r="AI45" s="97">
        <f t="shared" ca="1" si="17"/>
        <v>-0.86083750340848531</v>
      </c>
      <c r="AJ45" s="97"/>
      <c r="AK45" s="97">
        <f t="shared" ca="1" si="18"/>
        <v>0.27834396625472096</v>
      </c>
      <c r="AL45" s="97"/>
      <c r="AM45" s="95">
        <v>0.1</v>
      </c>
      <c r="AN45" s="96">
        <f t="shared" si="6"/>
        <v>0.39695254747701175</v>
      </c>
      <c r="AX45" s="107">
        <f t="shared" ca="1" si="19"/>
        <v>0.5011763748825625</v>
      </c>
      <c r="AY45" s="107">
        <f t="shared" ca="1" si="20"/>
        <v>0.50114139817496339</v>
      </c>
      <c r="AZ45" s="107">
        <f t="shared" ca="1" si="21"/>
        <v>0.50121140911879702</v>
      </c>
      <c r="BB45" s="39">
        <f ca="1">_xll.EURO(UnderlyingPrice,$D45,IntRate,Yield,AX45,$D$6,1,0)</f>
        <v>1.8268390312775886</v>
      </c>
      <c r="BC45" s="39">
        <f ca="1">_xll.EURO(UnderlyingPrice,$D45*(1+$P$8),IntRate,Yield,AY45,$D$6,1,0)</f>
        <v>1.8254539651701021</v>
      </c>
      <c r="BD45" s="39">
        <f ca="1">_xll.EURO(UnderlyingPrice,$D45*(1-$P$8),IntRate,Yield,AZ45,$D$6,1,0)</f>
        <v>1.828224639319648</v>
      </c>
      <c r="BF45" s="59">
        <f t="shared" ca="1" si="22"/>
        <v>0.18576809393084573</v>
      </c>
      <c r="BG45" s="39">
        <f t="shared" ca="1" si="23"/>
        <v>0.1904070952670103</v>
      </c>
      <c r="BI45" s="58">
        <f t="shared" ca="1" si="24"/>
        <v>-5.3379741594299368E-3</v>
      </c>
      <c r="BJ45" s="46">
        <f t="shared" ca="1" si="25"/>
        <v>-2.9219729095107286E-3</v>
      </c>
    </row>
    <row r="46" spans="3:62" x14ac:dyDescent="0.2">
      <c r="C46" s="56">
        <v>33</v>
      </c>
      <c r="D46" s="63">
        <f t="shared" ca="1" si="26"/>
        <v>3.453999999999994</v>
      </c>
      <c r="E46" s="45">
        <f t="shared" ca="1" si="7"/>
        <v>-0.33307588337517013</v>
      </c>
      <c r="F46" s="45">
        <f t="shared" ca="1" si="8"/>
        <v>-0.33274242131685772</v>
      </c>
      <c r="G46" s="45">
        <f t="shared" ca="1" si="9"/>
        <v>-0.33340934543348255</v>
      </c>
      <c r="H46" s="45">
        <f t="shared" ca="1" si="27"/>
        <v>0.50900489891934053</v>
      </c>
      <c r="I46" s="45">
        <f t="shared" ca="1" si="28"/>
        <v>0.50900789442113314</v>
      </c>
      <c r="J46" s="45">
        <f t="shared" ca="1" si="29"/>
        <v>0.50901091202300097</v>
      </c>
      <c r="L46" s="58">
        <f ca="1">_xll.EURO(UnderlyingPrice,$D46,IntRate,Yield,$I46,$D$6,L$12,0)</f>
        <v>1.8021693885780481</v>
      </c>
      <c r="M46" s="58">
        <f ca="1">_xll.EURO(UnderlyingPrice,$D46,IntRate,Yield,$I46,$D$6,M$12,0)</f>
        <v>0.11919658978954173</v>
      </c>
      <c r="O46" s="58">
        <f ca="1">_xll.EURO(UnderlyingPrice,$D46*(1+$P$8),IntRate,Yield,$H46,Expiry-Today,O$12,0)</f>
        <v>1.8008126256246846</v>
      </c>
      <c r="P46" s="58">
        <f ca="1">_xll.EURO(UnderlyingPrice,$D46*(1+$P$8),IntRate,Yield,$H46,Expiry-Today,P$12,0)</f>
        <v>0.11952475090777703</v>
      </c>
      <c r="R46" s="58">
        <f ca="1">_xll.EURO(UnderlyingPrice,$D46*(1-$P$8),IntRate,Yield,$J46,Expiry-Today,R$12,0)</f>
        <v>1.8035267637323238</v>
      </c>
      <c r="S46" s="58">
        <f ca="1">_xll.EURO(UnderlyingPrice,$D46*(1-$P$8),IntRate,Yield,$J46,Expiry-Today,S$12,0)</f>
        <v>0.11886904087221983</v>
      </c>
      <c r="U46" s="59">
        <f t="shared" ref="U46:U77" ca="1" si="31">(O46+R46-2*L46)/($P$8*D46)^2</f>
        <v>0.20526235023589859</v>
      </c>
      <c r="V46" s="59"/>
      <c r="W46" s="62">
        <f t="shared" ca="1" si="30"/>
        <v>0.21038816219240758</v>
      </c>
      <c r="Z46" s="59">
        <f t="shared" ca="1" si="11"/>
        <v>0.29323776945107383</v>
      </c>
      <c r="AA46" s="59">
        <f t="shared" ca="1" si="12"/>
        <v>-0.32750688874733525</v>
      </c>
      <c r="AB46" s="59">
        <f t="shared" ca="1" si="4"/>
        <v>-0.10726076217695943</v>
      </c>
      <c r="AC46" s="59">
        <f t="shared" ca="1" si="13"/>
        <v>-0.34568077938715402</v>
      </c>
      <c r="AD46" s="60">
        <f t="shared" ca="1" si="5"/>
        <v>0.70773837572846598</v>
      </c>
      <c r="AE46" s="60">
        <f t="shared" ca="1" si="14"/>
        <v>0.20753562265354136</v>
      </c>
      <c r="AF46" s="60"/>
      <c r="AG46" s="97">
        <f t="shared" ca="1" si="15"/>
        <v>-0.83148154445802813</v>
      </c>
      <c r="AH46" s="97">
        <f t="shared" ca="1" si="16"/>
        <v>-0.83021245093374296</v>
      </c>
      <c r="AI46" s="97">
        <f t="shared" ca="1" si="17"/>
        <v>-0.83275127268777827</v>
      </c>
      <c r="AJ46" s="97"/>
      <c r="AK46" s="97">
        <f t="shared" ca="1" si="18"/>
        <v>0.28622754277946438</v>
      </c>
      <c r="AL46" s="97"/>
      <c r="AM46" s="95">
        <v>0.2</v>
      </c>
      <c r="AN46" s="96">
        <f t="shared" si="6"/>
        <v>0.39104269397545582</v>
      </c>
      <c r="AX46" s="107">
        <f t="shared" ca="1" si="19"/>
        <v>0.50041176192756731</v>
      </c>
      <c r="AY46" s="107">
        <f t="shared" ca="1" si="20"/>
        <v>0.50037768481179379</v>
      </c>
      <c r="AZ46" s="107">
        <f t="shared" ca="1" si="21"/>
        <v>0.50044589735513001</v>
      </c>
      <c r="BB46" s="39">
        <f ca="1">_xll.EURO(UnderlyingPrice,$D46,IntRate,Yield,AX46,$D$6,1,0)</f>
        <v>1.7961528382458289</v>
      </c>
      <c r="BC46" s="39">
        <f ca="1">_xll.EURO(UnderlyingPrice,$D46*(1+$P$8),IntRate,Yield,AY46,$D$6,1,0)</f>
        <v>1.7947647011722285</v>
      </c>
      <c r="BD46" s="39">
        <f ca="1">_xll.EURO(UnderlyingPrice,$D46*(1-$P$8),IntRate,Yield,AZ46,$D$6,1,0)</f>
        <v>1.7975415417167349</v>
      </c>
      <c r="BF46" s="59">
        <f t="shared" ca="1" si="22"/>
        <v>0.18990504551722909</v>
      </c>
      <c r="BG46" s="39">
        <f t="shared" ca="1" si="23"/>
        <v>0.19464735481942158</v>
      </c>
      <c r="BI46" s="58">
        <f t="shared" ca="1" si="24"/>
        <v>-6.0165503322191505E-3</v>
      </c>
      <c r="BJ46" s="46">
        <f t="shared" ca="1" si="25"/>
        <v>-3.3496872894709087E-3</v>
      </c>
    </row>
    <row r="47" spans="3:62" x14ac:dyDescent="0.2">
      <c r="C47" s="56">
        <v>34</v>
      </c>
      <c r="D47" s="63">
        <f t="shared" ca="1" si="26"/>
        <v>3.4919999999999938</v>
      </c>
      <c r="E47" s="45">
        <f t="shared" ca="1" si="7"/>
        <v>-0.32573855956748532</v>
      </c>
      <c r="F47" s="45">
        <f t="shared" ca="1" si="8"/>
        <v>-0.32540142884726908</v>
      </c>
      <c r="G47" s="45">
        <f t="shared" ca="1" si="9"/>
        <v>-0.32607569028770156</v>
      </c>
      <c r="H47" s="45">
        <f t="shared" ca="1" si="27"/>
        <v>0.50894459309212348</v>
      </c>
      <c r="I47" s="45">
        <f t="shared" ca="1" si="28"/>
        <v>0.50894712474187798</v>
      </c>
      <c r="J47" s="45">
        <f t="shared" ca="1" si="29"/>
        <v>0.50894967942490899</v>
      </c>
      <c r="L47" s="58">
        <f ca="1">_xll.EURO(UnderlyingPrice,$D47,IntRate,Yield,$I47,$D$6,L$12,0)</f>
        <v>1.772458154328826</v>
      </c>
      <c r="M47" s="58">
        <f ca="1">_xll.EURO(UnderlyingPrice,$D47,IntRate,Yield,$I47,$D$6,M$12,0)</f>
        <v>0.12655953893392158</v>
      </c>
      <c r="O47" s="58">
        <f ca="1">_xll.EURO(UnderlyingPrice,$D47*(1+$P$8),IntRate,Yield,$H47,Expiry-Today,O$12,0)</f>
        <v>1.7711002019688413</v>
      </c>
      <c r="P47" s="58">
        <f ca="1">_xll.EURO(UnderlyingPrice,$D47*(1+$P$8),IntRate,Yield,$H47,Expiry-Today,P$12,0)</f>
        <v>0.12690504773723188</v>
      </c>
      <c r="R47" s="58">
        <f ca="1">_xll.EURO(UnderlyingPrice,$D47*(1-$P$8),IntRate,Yield,$J47,Expiry-Today,R$12,0)</f>
        <v>1.7738167424883255</v>
      </c>
      <c r="S47" s="58">
        <f ca="1">_xll.EURO(UnderlyingPrice,$D47*(1-$P$8),IntRate,Yield,$J47,Expiry-Today,S$12,0)</f>
        <v>0.12621466593012576</v>
      </c>
      <c r="U47" s="59">
        <f t="shared" ca="1" si="31"/>
        <v>0.20856033388517464</v>
      </c>
      <c r="V47" s="59"/>
      <c r="W47" s="62">
        <f t="shared" ca="1" si="30"/>
        <v>0.21376850309815273</v>
      </c>
      <c r="Z47" s="59">
        <f t="shared" ca="1" si="11"/>
        <v>0.29004675134135427</v>
      </c>
      <c r="AA47" s="59">
        <f t="shared" ca="1" si="12"/>
        <v>-0.31656523049446639</v>
      </c>
      <c r="AB47" s="59">
        <f t="shared" ca="1" si="4"/>
        <v>-0.10021354515801463</v>
      </c>
      <c r="AC47" s="59">
        <f t="shared" ca="1" si="13"/>
        <v>-0.32296895614278642</v>
      </c>
      <c r="AD47" s="60">
        <f t="shared" ca="1" si="5"/>
        <v>0.72399632965773475</v>
      </c>
      <c r="AE47" s="60">
        <f t="shared" ca="1" si="14"/>
        <v>0.20999278340029015</v>
      </c>
      <c r="AF47" s="60"/>
      <c r="AG47" s="97">
        <f t="shared" ca="1" si="15"/>
        <v>-0.80370262677533455</v>
      </c>
      <c r="AH47" s="97">
        <f t="shared" ca="1" si="16"/>
        <v>-0.80243353325104949</v>
      </c>
      <c r="AI47" s="97">
        <f t="shared" ca="1" si="17"/>
        <v>-0.80497235500508468</v>
      </c>
      <c r="AJ47" s="97"/>
      <c r="AK47" s="97">
        <f t="shared" ca="1" si="18"/>
        <v>0.29402600305921306</v>
      </c>
      <c r="AL47" s="97"/>
      <c r="AM47" s="95">
        <v>0.3</v>
      </c>
      <c r="AN47" s="96">
        <f t="shared" si="6"/>
        <v>0.38138781546052408</v>
      </c>
      <c r="AX47" s="107">
        <f t="shared" ca="1" si="19"/>
        <v>0.49967538079318019</v>
      </c>
      <c r="AY47" s="107">
        <f t="shared" ca="1" si="20"/>
        <v>0.49964222040999628</v>
      </c>
      <c r="AZ47" s="107">
        <f t="shared" ca="1" si="21"/>
        <v>0.49970860026324915</v>
      </c>
      <c r="BB47" s="39">
        <f ca="1">_xll.EURO(UnderlyingPrice,$D47,IntRate,Yield,AX47,$D$6,1,0)</f>
        <v>1.7657408566925996</v>
      </c>
      <c r="BC47" s="39">
        <f ca="1">_xll.EURO(UnderlyingPrice,$D47*(1+$P$8),IntRate,Yield,AY47,$D$6,1,0)</f>
        <v>1.7643501914674413</v>
      </c>
      <c r="BD47" s="39">
        <f ca="1">_xll.EURO(UnderlyingPrice,$D47*(1-$P$8),IntRate,Yield,AZ47,$D$6,1,0)</f>
        <v>1.7671321131683153</v>
      </c>
      <c r="BF47" s="59">
        <f t="shared" ca="1" si="22"/>
        <v>0.19394700811883281</v>
      </c>
      <c r="BG47" s="39">
        <f t="shared" ca="1" si="23"/>
        <v>0.19879025332187245</v>
      </c>
      <c r="BI47" s="58">
        <f t="shared" ca="1" si="24"/>
        <v>-6.7172976362264158E-3</v>
      </c>
      <c r="BJ47" s="46">
        <f t="shared" ca="1" si="25"/>
        <v>-3.8042375305335305E-3</v>
      </c>
    </row>
    <row r="48" spans="3:62" x14ac:dyDescent="0.2">
      <c r="C48" s="56">
        <v>35</v>
      </c>
      <c r="D48" s="63">
        <f t="shared" ca="1" si="26"/>
        <v>3.5299999999999936</v>
      </c>
      <c r="E48" s="45">
        <f t="shared" ca="1" si="7"/>
        <v>-0.3184012357598005</v>
      </c>
      <c r="F48" s="45">
        <f t="shared" ca="1" si="8"/>
        <v>-0.31806043637768044</v>
      </c>
      <c r="G48" s="45">
        <f t="shared" ca="1" si="9"/>
        <v>-0.31874203514192057</v>
      </c>
      <c r="H48" s="45">
        <f t="shared" ca="1" si="27"/>
        <v>0.50889521809944416</v>
      </c>
      <c r="I48" s="45">
        <f t="shared" ca="1" si="28"/>
        <v>0.50889726530589752</v>
      </c>
      <c r="J48" s="45">
        <f t="shared" ca="1" si="29"/>
        <v>0.50889933650362085</v>
      </c>
      <c r="L48" s="58">
        <f ca="1">_xll.EURO(UnderlyingPrice,$D48,IntRate,Yield,$I48,$D$6,L$12,0)</f>
        <v>1.7430480645459618</v>
      </c>
      <c r="M48" s="58">
        <f ca="1">_xll.EURO(UnderlyingPrice,$D48,IntRate,Yield,$I48,$D$6,M$12,0)</f>
        <v>0.1342236325446593</v>
      </c>
      <c r="O48" s="58">
        <f ca="1">_xll.EURO(UnderlyingPrice,$D48*(1+$P$8),IntRate,Yield,$H48,Expiry-Today,O$12,0)</f>
        <v>1.7416894382176418</v>
      </c>
      <c r="P48" s="58">
        <f ca="1">_xll.EURO(UnderlyingPrice,$D48*(1+$P$8),IntRate,Yield,$H48,Expiry-Today,P$12,0)</f>
        <v>0.13458700447133087</v>
      </c>
      <c r="R48" s="58">
        <f ca="1">_xll.EURO(UnderlyingPrice,$D48*(1-$P$8),IntRate,Yield,$J48,Expiry-Today,R$12,0)</f>
        <v>1.7444073504285562</v>
      </c>
      <c r="S48" s="58">
        <f ca="1">_xll.EURO(UnderlyingPrice,$D48*(1-$P$8),IntRate,Yield,$J48,Expiry-Today,S$12,0)</f>
        <v>0.13386092017226092</v>
      </c>
      <c r="U48" s="59">
        <f t="shared" ca="1" si="31"/>
        <v>0.21171962677080661</v>
      </c>
      <c r="V48" s="59"/>
      <c r="W48" s="62">
        <f t="shared" ca="1" si="30"/>
        <v>0.21700668985413488</v>
      </c>
      <c r="Z48" s="59">
        <f t="shared" ca="1" si="11"/>
        <v>0.28692443503796294</v>
      </c>
      <c r="AA48" s="59">
        <f t="shared" ca="1" si="12"/>
        <v>-0.30574199752661685</v>
      </c>
      <c r="AB48" s="59">
        <f t="shared" ca="1" si="4"/>
        <v>-9.3478169051565779E-2</v>
      </c>
      <c r="AC48" s="59">
        <f t="shared" ca="1" si="13"/>
        <v>-0.30126213610265257</v>
      </c>
      <c r="AD48" s="60">
        <f t="shared" ca="1" si="5"/>
        <v>0.7398837970688249</v>
      </c>
      <c r="AE48" s="60">
        <f t="shared" ca="1" si="14"/>
        <v>0.2122907404677154</v>
      </c>
      <c r="AF48" s="60"/>
      <c r="AG48" s="97">
        <f t="shared" ca="1" si="15"/>
        <v>-0.77622436975742071</v>
      </c>
      <c r="AH48" s="97">
        <f t="shared" ca="1" si="16"/>
        <v>-0.77495527623313565</v>
      </c>
      <c r="AI48" s="97">
        <f t="shared" ca="1" si="17"/>
        <v>-0.77749409798717073</v>
      </c>
      <c r="AJ48" s="97"/>
      <c r="AK48" s="97">
        <f t="shared" ca="1" si="18"/>
        <v>0.30172800196295696</v>
      </c>
      <c r="AL48" s="97"/>
      <c r="AM48" s="95">
        <v>0.4</v>
      </c>
      <c r="AN48" s="96">
        <f t="shared" si="6"/>
        <v>0.36827014030332328</v>
      </c>
      <c r="AX48" s="107">
        <f t="shared" ca="1" si="19"/>
        <v>0.49896698752633561</v>
      </c>
      <c r="AY48" s="107">
        <f t="shared" ca="1" si="20"/>
        <v>0.49893476065039261</v>
      </c>
      <c r="AZ48" s="107">
        <f t="shared" ca="1" si="21"/>
        <v>0.49899927425583535</v>
      </c>
      <c r="BB48" s="39">
        <f ca="1">_xll.EURO(UnderlyingPrice,$D48,IntRate,Yield,AX48,$D$6,1,0)</f>
        <v>1.7356089222453699</v>
      </c>
      <c r="BC48" s="39">
        <f ca="1">_xll.EURO(UnderlyingPrice,$D48*(1+$P$8),IntRate,Yield,AY48,$D$6,1,0)</f>
        <v>1.7342162738826015</v>
      </c>
      <c r="BD48" s="39">
        <f ca="1">_xll.EURO(UnderlyingPrice,$D48*(1-$P$8),IntRate,Yield,AZ48,$D$6,1,0)</f>
        <v>1.7370021870673353</v>
      </c>
      <c r="BF48" s="59">
        <f t="shared" ca="1" si="22"/>
        <v>0.19788593023700721</v>
      </c>
      <c r="BG48" s="39">
        <f t="shared" ca="1" si="23"/>
        <v>0.2028275382136675</v>
      </c>
      <c r="BI48" s="58">
        <f t="shared" ca="1" si="24"/>
        <v>-7.4391423005919499E-3</v>
      </c>
      <c r="BJ48" s="46">
        <f t="shared" ca="1" si="25"/>
        <v>-4.286185790614557E-3</v>
      </c>
    </row>
    <row r="49" spans="3:62" x14ac:dyDescent="0.2">
      <c r="C49" s="56">
        <v>36</v>
      </c>
      <c r="D49" s="63">
        <f t="shared" ca="1" si="26"/>
        <v>3.5679999999999934</v>
      </c>
      <c r="E49" s="45">
        <f t="shared" ca="1" si="7"/>
        <v>-0.31106391195211558</v>
      </c>
      <c r="F49" s="45">
        <f t="shared" ca="1" si="8"/>
        <v>-0.3107194439080917</v>
      </c>
      <c r="G49" s="45">
        <f t="shared" ca="1" si="9"/>
        <v>-0.31140837999613957</v>
      </c>
      <c r="H49" s="45">
        <f t="shared" ca="1" si="27"/>
        <v>0.50885698468528617</v>
      </c>
      <c r="I49" s="45">
        <f t="shared" ca="1" si="28"/>
        <v>0.5088585265413752</v>
      </c>
      <c r="J49" s="45">
        <f t="shared" ca="1" si="29"/>
        <v>0.50886009337183558</v>
      </c>
      <c r="L49" s="58">
        <f ca="1">_xll.EURO(UnderlyingPrice,$D49,IntRate,Yield,$I49,$D$6,L$12,0)</f>
        <v>1.7139436808570001</v>
      </c>
      <c r="M49" s="58">
        <f ca="1">_xll.EURO(UnderlyingPrice,$D49,IntRate,Yield,$I49,$D$6,M$12,0)</f>
        <v>0.14219343224929859</v>
      </c>
      <c r="O49" s="58">
        <f ca="1">_xll.EURO(UnderlyingPrice,$D49*(1+$P$8),IntRate,Yield,$H49,Expiry-Today,O$12,0)</f>
        <v>1.7125848934624095</v>
      </c>
      <c r="P49" s="58">
        <f ca="1">_xll.EURO(UnderlyingPrice,$D49*(1+$P$8),IntRate,Yield,$H49,Expiry-Today,P$12,0)</f>
        <v>0.1425751802013967</v>
      </c>
      <c r="R49" s="58">
        <f ca="1">_xll.EURO(UnderlyingPrice,$D49*(1-$P$8),IntRate,Yield,$J49,Expiry-Today,R$12,0)</f>
        <v>1.7153031516855024</v>
      </c>
      <c r="S49" s="58">
        <f ca="1">_xll.EURO(UnderlyingPrice,$D49*(1-$P$8),IntRate,Yield,$J49,Expiry-Today,S$12,0)</f>
        <v>0.14181236773111183</v>
      </c>
      <c r="U49" s="59">
        <f t="shared" ca="1" si="31"/>
        <v>0.21473697178887224</v>
      </c>
      <c r="V49" s="59"/>
      <c r="W49" s="62">
        <f t="shared" ca="1" si="30"/>
        <v>0.22009938402002396</v>
      </c>
      <c r="Z49" s="59">
        <f t="shared" ca="1" si="11"/>
        <v>0.28386862547197567</v>
      </c>
      <c r="AA49" s="59">
        <f t="shared" ca="1" si="12"/>
        <v>-0.29503465375405918</v>
      </c>
      <c r="AB49" s="59">
        <f t="shared" ca="1" si="4"/>
        <v>-8.7045446915777591E-2</v>
      </c>
      <c r="AC49" s="59">
        <f t="shared" ca="1" si="13"/>
        <v>-0.28053071152250986</v>
      </c>
      <c r="AD49" s="60">
        <f t="shared" ca="1" si="5"/>
        <v>0.75538274473181211</v>
      </c>
      <c r="AE49" s="60">
        <f t="shared" ca="1" si="14"/>
        <v>0.21442946145226777</v>
      </c>
      <c r="AF49" s="60"/>
      <c r="AG49" s="97">
        <f t="shared" ca="1" si="15"/>
        <v>-0.74904033472505305</v>
      </c>
      <c r="AH49" s="97">
        <f t="shared" ca="1" si="16"/>
        <v>-0.7477712412007681</v>
      </c>
      <c r="AI49" s="97">
        <f t="shared" ca="1" si="17"/>
        <v>-0.75031006295480351</v>
      </c>
      <c r="AJ49" s="97"/>
      <c r="AK49" s="97">
        <f t="shared" ca="1" si="18"/>
        <v>0.30932246461776997</v>
      </c>
      <c r="AL49" s="97"/>
      <c r="AM49" s="95">
        <v>0.5</v>
      </c>
      <c r="AN49" s="96">
        <f t="shared" si="6"/>
        <v>0.35206532676429947</v>
      </c>
      <c r="AX49" s="107">
        <f t="shared" ca="1" si="19"/>
        <v>0.49828633817396795</v>
      </c>
      <c r="AY49" s="107">
        <f t="shared" ca="1" si="20"/>
        <v>0.49825506121380458</v>
      </c>
      <c r="AZ49" s="107">
        <f t="shared" ca="1" si="21"/>
        <v>0.49831767574556979</v>
      </c>
      <c r="BB49" s="39">
        <f ca="1">_xll.EURO(UnderlyingPrice,$D49,IntRate,Yield,AX49,$D$6,1,0)</f>
        <v>1.7057627217693097</v>
      </c>
      <c r="BC49" s="39">
        <f ca="1">_xll.EURO(UnderlyingPrice,$D49*(1+$P$8),IntRate,Yield,AY49,$D$6,1,0)</f>
        <v>1.7043686366576702</v>
      </c>
      <c r="BD49" s="39">
        <f ca="1">_xll.EURO(UnderlyingPrice,$D49*(1-$P$8),IntRate,Yield,AZ49,$D$6,1,0)</f>
        <v>1.7071574488672314</v>
      </c>
      <c r="BF49" s="59">
        <f t="shared" ca="1" si="22"/>
        <v>0.2017140031335502</v>
      </c>
      <c r="BG49" s="39">
        <f t="shared" ca="1" si="23"/>
        <v>0.20675120575677347</v>
      </c>
      <c r="BI49" s="58">
        <f t="shared" ca="1" si="24"/>
        <v>-8.1809590876904537E-3</v>
      </c>
      <c r="BJ49" s="46">
        <f t="shared" ca="1" si="25"/>
        <v>-4.7960709794412195E-3</v>
      </c>
    </row>
    <row r="50" spans="3:62" x14ac:dyDescent="0.2">
      <c r="C50" s="56">
        <v>37</v>
      </c>
      <c r="D50" s="63">
        <f t="shared" ca="1" si="26"/>
        <v>3.6059999999999932</v>
      </c>
      <c r="E50" s="45">
        <f t="shared" ca="1" si="7"/>
        <v>-0.30372658814443076</v>
      </c>
      <c r="F50" s="45">
        <f t="shared" ca="1" si="8"/>
        <v>-0.30337845143850306</v>
      </c>
      <c r="G50" s="45">
        <f t="shared" ca="1" si="9"/>
        <v>-0.30407472485035847</v>
      </c>
      <c r="H50" s="45">
        <f t="shared" ca="1" si="27"/>
        <v>0.50883010359363312</v>
      </c>
      <c r="I50" s="45">
        <f t="shared" ca="1" si="28"/>
        <v>0.50883111887649435</v>
      </c>
      <c r="J50" s="45">
        <f t="shared" ca="1" si="29"/>
        <v>0.50883216014225208</v>
      </c>
      <c r="L50" s="58">
        <f ca="1">_xll.EURO(UnderlyingPrice,$D50,IntRate,Yield,$I50,$D$6,L$12,0)</f>
        <v>1.6851493599605449</v>
      </c>
      <c r="M50" s="58">
        <f ca="1">_xll.EURO(UnderlyingPrice,$D50,IntRate,Yield,$I50,$D$6,M$12,0)</f>
        <v>0.15047329474644544</v>
      </c>
      <c r="O50" s="58">
        <f ca="1">_xll.EURO(UnderlyingPrice,$D50*(1+$P$8),IntRate,Yield,$H50,Expiry-Today,O$12,0)</f>
        <v>1.6837909212487685</v>
      </c>
      <c r="P50" s="58">
        <f ca="1">_xll.EURO(UnderlyingPrice,$D50*(1+$P$8),IntRate,Yield,$H50,Expiry-Today,P$12,0)</f>
        <v>0.1508739284730547</v>
      </c>
      <c r="R50" s="58">
        <f ca="1">_xll.EURO(UnderlyingPrice,$D50*(1-$P$8),IntRate,Yield,$J50,Expiry-Today,R$12,0)</f>
        <v>1.6865085060791101</v>
      </c>
      <c r="S50" s="58">
        <f ca="1">_xll.EURO(UnderlyingPrice,$D50*(1-$P$8),IntRate,Yield,$J50,Expiry-Today,S$12,0)</f>
        <v>0.15007336842662422</v>
      </c>
      <c r="U50" s="59">
        <f t="shared" ca="1" si="31"/>
        <v>0.21760945927691117</v>
      </c>
      <c r="V50" s="59"/>
      <c r="W50" s="62">
        <f t="shared" ca="1" si="30"/>
        <v>0.22304360327326089</v>
      </c>
      <c r="Z50" s="59">
        <f t="shared" ca="1" si="11"/>
        <v>0.28087722010094546</v>
      </c>
      <c r="AA50" s="59">
        <f t="shared" ca="1" si="12"/>
        <v>-0.28444074369069672</v>
      </c>
      <c r="AB50" s="59">
        <f t="shared" ca="1" si="4"/>
        <v>-8.0906536671316628E-2</v>
      </c>
      <c r="AC50" s="59">
        <f t="shared" ca="1" si="13"/>
        <v>-0.26074618608354277</v>
      </c>
      <c r="AD50" s="60">
        <f t="shared" ca="1" si="5"/>
        <v>0.7704764524454859</v>
      </c>
      <c r="AE50" s="60">
        <f t="shared" ca="1" si="14"/>
        <v>0.21640928411612639</v>
      </c>
      <c r="AF50" s="60"/>
      <c r="AG50" s="97">
        <f t="shared" ca="1" si="15"/>
        <v>-0.72214428763723215</v>
      </c>
      <c r="AH50" s="97">
        <f t="shared" ca="1" si="16"/>
        <v>-0.7208751941129472</v>
      </c>
      <c r="AI50" s="97">
        <f t="shared" ca="1" si="17"/>
        <v>-0.72341401586698195</v>
      </c>
      <c r="AJ50" s="97"/>
      <c r="AK50" s="97">
        <f t="shared" ca="1" si="18"/>
        <v>0.31679862208726339</v>
      </c>
      <c r="AL50" s="97"/>
      <c r="AM50" s="95">
        <v>0.6</v>
      </c>
      <c r="AN50" s="96">
        <f t="shared" si="6"/>
        <v>0.33322460289179962</v>
      </c>
      <c r="AX50" s="107">
        <f t="shared" ca="1" si="19"/>
        <v>0.4976331887830116</v>
      </c>
      <c r="AY50" s="107">
        <f t="shared" ca="1" si="20"/>
        <v>0.49760287778105405</v>
      </c>
      <c r="AZ50" s="107">
        <f t="shared" ca="1" si="21"/>
        <v>0.49766356114513344</v>
      </c>
      <c r="BB50" s="39">
        <f ca="1">_xll.EURO(UnderlyingPrice,$D50,IntRate,Yield,AX50,$D$6,1,0)</f>
        <v>1.6762077820989729</v>
      </c>
      <c r="BC50" s="39">
        <f ca="1">_xll.EURO(UnderlyingPrice,$D50*(1+$P$8),IntRate,Yield,AY50,$D$6,1,0)</f>
        <v>1.6748128071667101</v>
      </c>
      <c r="BD50" s="39">
        <f ca="1">_xll.EURO(UnderlyingPrice,$D50*(1-$P$8),IntRate,Yield,AZ50,$D$6,1,0)</f>
        <v>1.6776034248244485</v>
      </c>
      <c r="BF50" s="59">
        <f t="shared" ca="1" si="22"/>
        <v>0.20542369998590407</v>
      </c>
      <c r="BG50" s="39">
        <f t="shared" ca="1" si="23"/>
        <v>0.21055354116879971</v>
      </c>
      <c r="BI50" s="58">
        <f t="shared" ca="1" si="24"/>
        <v>-8.9415778615720143E-3</v>
      </c>
      <c r="BJ50" s="46">
        <f t="shared" ca="1" si="25"/>
        <v>-5.3344089897824206E-3</v>
      </c>
    </row>
    <row r="51" spans="3:62" x14ac:dyDescent="0.2">
      <c r="C51" s="56">
        <v>38</v>
      </c>
      <c r="D51" s="63">
        <f t="shared" ca="1" si="26"/>
        <v>3.643999999999993</v>
      </c>
      <c r="E51" s="45">
        <f t="shared" ca="1" si="7"/>
        <v>-0.29638926433674595</v>
      </c>
      <c r="F51" s="45">
        <f t="shared" ca="1" si="8"/>
        <v>-0.29603745896891431</v>
      </c>
      <c r="G51" s="45">
        <f t="shared" ca="1" si="9"/>
        <v>-0.29674106970457748</v>
      </c>
      <c r="H51" s="45">
        <f t="shared" ca="1" si="27"/>
        <v>0.50881478556846871</v>
      </c>
      <c r="I51" s="45">
        <f t="shared" ca="1" si="28"/>
        <v>0.50881525273943851</v>
      </c>
      <c r="J51" s="45">
        <f t="shared" ca="1" si="29"/>
        <v>0.50881574692756948</v>
      </c>
      <c r="L51" s="58">
        <f ca="1">_xll.EURO(UnderlyingPrice,$D51,IntRate,Yield,$I51,$D$6,L$12,0)</f>
        <v>1.656669249420454</v>
      </c>
      <c r="M51" s="58">
        <f ca="1">_xll.EURO(UnderlyingPrice,$D51,IntRate,Yield,$I51,$D$6,M$12,0)</f>
        <v>0.15906736759995654</v>
      </c>
      <c r="O51" s="58">
        <f ca="1">_xll.EURO(UnderlyingPrice,$D51*(1+$P$8),IntRate,Yield,$H51,Expiry-Today,O$12,0)</f>
        <v>1.6553116653833633</v>
      </c>
      <c r="P51" s="58">
        <f ca="1">_xll.EURO(UnderlyingPrice,$D51*(1+$P$8),IntRate,Yield,$H51,Expiry-Today,P$12,0)</f>
        <v>0.15948739309294702</v>
      </c>
      <c r="R51" s="58">
        <f ca="1">_xll.EURO(UnderlyingPrice,$D51*(1-$P$8),IntRate,Yield,$J51,Expiry-Today,R$12,0)</f>
        <v>1.6580275648985148</v>
      </c>
      <c r="S51" s="58">
        <f ca="1">_xll.EURO(UnderlyingPrice,$D51*(1-$P$8),IntRate,Yield,$J51,Expiry-Today,S$12,0)</f>
        <v>0.15864807354793375</v>
      </c>
      <c r="U51" s="59">
        <f t="shared" ca="1" si="31"/>
        <v>0.22033451678362204</v>
      </c>
      <c r="V51" s="59"/>
      <c r="W51" s="62">
        <f t="shared" ca="1" si="30"/>
        <v>0.22583671092328358</v>
      </c>
      <c r="Z51" s="59">
        <f t="shared" ca="1" si="11"/>
        <v>0.27794820408452509</v>
      </c>
      <c r="AA51" s="59">
        <f t="shared" ca="1" si="12"/>
        <v>-0.27395788907411039</v>
      </c>
      <c r="AB51" s="59">
        <f t="shared" ca="1" si="4"/>
        <v>-7.5052924985942571E-2</v>
      </c>
      <c r="AC51" s="59">
        <f t="shared" ca="1" si="13"/>
        <v>-0.24188112295550437</v>
      </c>
      <c r="AD51" s="60">
        <f t="shared" ca="1" si="5"/>
        <v>0.78514950825730923</v>
      </c>
      <c r="AE51" s="60">
        <f t="shared" ca="1" si="14"/>
        <v>0.21823089575796709</v>
      </c>
      <c r="AF51" s="60"/>
      <c r="AG51" s="97">
        <f t="shared" ca="1" si="15"/>
        <v>-0.69553019051009468</v>
      </c>
      <c r="AH51" s="97">
        <f t="shared" ca="1" si="16"/>
        <v>-0.69426109698580951</v>
      </c>
      <c r="AI51" s="97">
        <f t="shared" ca="1" si="17"/>
        <v>-0.69679991873984459</v>
      </c>
      <c r="AJ51" s="97"/>
      <c r="AK51" s="97">
        <f t="shared" ca="1" si="18"/>
        <v>0.32414602297167511</v>
      </c>
      <c r="AL51" s="97"/>
      <c r="AM51" s="95">
        <v>0.7</v>
      </c>
      <c r="AN51" s="96">
        <f t="shared" si="6"/>
        <v>0.31225393336676122</v>
      </c>
      <c r="AX51" s="107">
        <f t="shared" ca="1" si="19"/>
        <v>0.49700729540040106</v>
      </c>
      <c r="AY51" s="107">
        <f t="shared" ca="1" si="20"/>
        <v>0.49697796603296285</v>
      </c>
      <c r="AZ51" s="107">
        <f t="shared" ca="1" si="21"/>
        <v>0.49703668686720753</v>
      </c>
      <c r="BB51" s="39">
        <f ca="1">_xll.EURO(UnderlyingPrice,$D51,IntRate,Yield,AX51,$D$6,1,0)</f>
        <v>1.6469494591693574</v>
      </c>
      <c r="BC51" s="39">
        <f ca="1">_xll.EURO(UnderlyingPrice,$D51*(1+$P$8),IntRate,Yield,AY51,$D$6,1,0)</f>
        <v>1.6455541410415293</v>
      </c>
      <c r="BD51" s="39">
        <f ca="1">_xll.EURO(UnderlyingPrice,$D51*(1-$P$8),IntRate,Yield,AZ51,$D$6,1,0)</f>
        <v>1.6483454711370245</v>
      </c>
      <c r="BF51" s="59">
        <f t="shared" ca="1" si="22"/>
        <v>0.20900779680134929</v>
      </c>
      <c r="BG51" s="39">
        <f t="shared" ca="1" si="23"/>
        <v>0.21422714005946125</v>
      </c>
      <c r="BI51" s="58">
        <f t="shared" ca="1" si="24"/>
        <v>-9.7197902510965939E-3</v>
      </c>
      <c r="BJ51" s="46">
        <f t="shared" ca="1" si="25"/>
        <v>-5.9016930950624262E-3</v>
      </c>
    </row>
    <row r="52" spans="3:62" x14ac:dyDescent="0.2">
      <c r="C52" s="56">
        <v>39</v>
      </c>
      <c r="D52" s="63">
        <f t="shared" ca="1" si="26"/>
        <v>3.6819999999999928</v>
      </c>
      <c r="E52" s="45">
        <f t="shared" ca="1" si="7"/>
        <v>-0.28905194052906114</v>
      </c>
      <c r="F52" s="45">
        <f t="shared" ca="1" si="8"/>
        <v>-0.28869646649932568</v>
      </c>
      <c r="G52" s="45">
        <f t="shared" ca="1" si="9"/>
        <v>-0.28940741455879648</v>
      </c>
      <c r="H52" s="45">
        <f t="shared" ca="1" si="27"/>
        <v>0.50881124135377653</v>
      </c>
      <c r="I52" s="45">
        <f t="shared" ca="1" si="28"/>
        <v>0.50881113855839155</v>
      </c>
      <c r="J52" s="45">
        <f t="shared" ca="1" si="29"/>
        <v>0.50881106384048669</v>
      </c>
      <c r="L52" s="58">
        <f ca="1">_xll.EURO(UnderlyingPrice,$D52,IntRate,Yield,$I52,$D$6,L$12,0)</f>
        <v>1.628507283950845</v>
      </c>
      <c r="M52" s="58">
        <f ca="1">_xll.EURO(UnderlyingPrice,$D52,IntRate,Yield,$I52,$D$6,M$12,0)</f>
        <v>0.16797958552394787</v>
      </c>
      <c r="O52" s="58">
        <f ca="1">_xll.EURO(UnderlyingPrice,$D52*(1+$P$8),IntRate,Yield,$H52,Expiry-Today,O$12,0)</f>
        <v>1.6271510562326847</v>
      </c>
      <c r="P52" s="58">
        <f ca="1">_xll.EURO(UnderlyingPrice,$D52*(1+$P$8),IntRate,Yield,$H52,Expiry-Today,P$12,0)</f>
        <v>0.16841950442756715</v>
      </c>
      <c r="R52" s="58">
        <f ca="1">_xll.EURO(UnderlyingPrice,$D52*(1-$P$8),IntRate,Yield,$J52,Expiry-Today,R$12,0)</f>
        <v>1.6298642671733141</v>
      </c>
      <c r="S52" s="58">
        <f ca="1">_xll.EURO(UnderlyingPrice,$D52*(1-$P$8),IntRate,Yield,$J52,Expiry-Today,S$12,0)</f>
        <v>0.16754042212463793</v>
      </c>
      <c r="U52" s="59">
        <f t="shared" ca="1" si="31"/>
        <v>0.22290990593325774</v>
      </c>
      <c r="V52" s="59"/>
      <c r="W52" s="62">
        <f t="shared" ca="1" si="30"/>
        <v>0.22847641269761981</v>
      </c>
      <c r="Z52" s="59">
        <f t="shared" ca="1" si="11"/>
        <v>0.27507964575882926</v>
      </c>
      <c r="AA52" s="59">
        <f t="shared" ca="1" si="12"/>
        <v>-0.26358378566093627</v>
      </c>
      <c r="AB52" s="59">
        <f t="shared" ca="1" si="4"/>
        <v>-6.9476412063350396E-2</v>
      </c>
      <c r="AC52" s="59">
        <f t="shared" ca="1" si="13"/>
        <v>-0.22390909577408383</v>
      </c>
      <c r="AD52" s="60">
        <f t="shared" ca="1" si="5"/>
        <v>0.79938779879561972</v>
      </c>
      <c r="AE52" s="60">
        <f t="shared" ca="1" si="14"/>
        <v>0.21989531251662936</v>
      </c>
      <c r="AF52" s="60"/>
      <c r="AG52" s="97">
        <f t="shared" ca="1" si="15"/>
        <v>-0.66919219328094937</v>
      </c>
      <c r="AH52" s="97">
        <f t="shared" ca="1" si="16"/>
        <v>-0.6679230997566642</v>
      </c>
      <c r="AI52" s="97">
        <f t="shared" ca="1" si="17"/>
        <v>-0.67046192151069905</v>
      </c>
      <c r="AJ52" s="62"/>
      <c r="AK52" s="97">
        <f t="shared" ca="1" si="18"/>
        <v>0.33135455461403135</v>
      </c>
      <c r="AL52" s="97"/>
      <c r="AM52" s="95">
        <v>0.8</v>
      </c>
      <c r="AN52" s="96">
        <f t="shared" si="6"/>
        <v>0.28969155276148267</v>
      </c>
      <c r="AX52" s="107">
        <f t="shared" ca="1" si="19"/>
        <v>0.49640841407307068</v>
      </c>
      <c r="AY52" s="107">
        <f t="shared" ca="1" si="20"/>
        <v>0.49638008165035274</v>
      </c>
      <c r="AZ52" s="107">
        <f t="shared" ca="1" si="21"/>
        <v>0.49643680932447293</v>
      </c>
      <c r="BB52" s="39">
        <f ca="1">_xll.EURO(UnderlyingPrice,$D52,IntRate,Yield,AX52,$D$6,1,0)</f>
        <v>1.6179929275897806</v>
      </c>
      <c r="BC52" s="39">
        <f ca="1">_xll.EURO(UnderlyingPrice,$D52*(1+$P$8),IntRate,Yield,AY52,$D$6,1,0)</f>
        <v>1.616597811741463</v>
      </c>
      <c r="BD52" s="39">
        <f ca="1">_xll.EURO(UnderlyingPrice,$D52*(1-$P$8),IntRate,Yield,AZ52,$D$6,1,0)</f>
        <v>1.6193887635227266</v>
      </c>
      <c r="BF52" s="59">
        <f t="shared" ca="1" si="22"/>
        <v>0.2124594061010226</v>
      </c>
      <c r="BG52" s="39">
        <f t="shared" ca="1" si="23"/>
        <v>0.21776494295575435</v>
      </c>
      <c r="BI52" s="58">
        <f t="shared" ca="1" si="24"/>
        <v>-1.0514356361064348E-2</v>
      </c>
      <c r="BJ52" s="46">
        <f t="shared" ca="1" si="25"/>
        <v>-6.4983945119753417E-3</v>
      </c>
    </row>
    <row r="53" spans="3:62" x14ac:dyDescent="0.2">
      <c r="C53" s="56">
        <v>40</v>
      </c>
      <c r="D53" s="63">
        <f t="shared" ca="1" si="26"/>
        <v>3.7199999999999926</v>
      </c>
      <c r="E53" s="45">
        <f t="shared" ca="1" si="7"/>
        <v>-0.28171461672137621</v>
      </c>
      <c r="F53" s="45">
        <f t="shared" ca="1" si="8"/>
        <v>-0.28135547402973693</v>
      </c>
      <c r="G53" s="45">
        <f t="shared" ca="1" si="9"/>
        <v>-0.28207375941301549</v>
      </c>
      <c r="H53" s="45">
        <f t="shared" ca="1" si="27"/>
        <v>0.5088196816935403</v>
      </c>
      <c r="I53" s="45">
        <f t="shared" ca="1" si="28"/>
        <v>0.50881898676153647</v>
      </c>
      <c r="J53" s="45">
        <f t="shared" ca="1" si="29"/>
        <v>0.50881832099370294</v>
      </c>
      <c r="L53" s="58">
        <f ca="1">_xll.EURO(UnderlyingPrice,$D53,IntRate,Yield,$I53,$D$6,L$12,0)</f>
        <v>1.6006671821876663</v>
      </c>
      <c r="M53" s="58">
        <f ca="1">_xll.EURO(UnderlyingPrice,$D53,IntRate,Yield,$I53,$D$6,M$12,0)</f>
        <v>0.17721366715437004</v>
      </c>
      <c r="O53" s="58">
        <f ca="1">_xll.EURO(UnderlyingPrice,$D53*(1+$P$8),IntRate,Yield,$H53,Expiry-Today,O$12,0)</f>
        <v>1.5993128075097247</v>
      </c>
      <c r="P53" s="58">
        <f ca="1">_xll.EURO(UnderlyingPrice,$D53*(1+$P$8),IntRate,Yield,$H53,Expiry-Today,P$12,0)</f>
        <v>0.17767397618990577</v>
      </c>
      <c r="R53" s="58">
        <f ca="1">_xll.EURO(UnderlyingPrice,$D53*(1-$P$8),IntRate,Yield,$J53,Expiry-Today,R$12,0)</f>
        <v>1.6020223364301698</v>
      </c>
      <c r="S53" s="58">
        <f ca="1">_xll.EURO(UnderlyingPrice,$D53*(1-$P$8),IntRate,Yield,$J53,Expiry-Today,S$12,0)</f>
        <v>0.17675413768339854</v>
      </c>
      <c r="U53" s="59">
        <f t="shared" ca="1" si="31"/>
        <v>0.22533372696049103</v>
      </c>
      <c r="V53" s="59"/>
      <c r="W53" s="62">
        <f t="shared" ca="1" si="30"/>
        <v>0.23096076138999749</v>
      </c>
      <c r="Z53" s="59">
        <f t="shared" ca="1" si="11"/>
        <v>0.27226969238817456</v>
      </c>
      <c r="AA53" s="59">
        <f t="shared" ca="1" si="12"/>
        <v>-0.25331620018676709</v>
      </c>
      <c r="AB53" s="59">
        <f t="shared" ca="1" si="4"/>
        <v>-6.4169097277062256E-2</v>
      </c>
      <c r="AC53" s="59">
        <f t="shared" ca="1" si="13"/>
        <v>-0.20680464234170698</v>
      </c>
      <c r="AD53" s="60">
        <f t="shared" ca="1" si="5"/>
        <v>0.81317849511783991</v>
      </c>
      <c r="AE53" s="60">
        <f t="shared" ca="1" si="14"/>
        <v>0.22140385872241297</v>
      </c>
      <c r="AF53" s="60"/>
      <c r="AG53" s="97">
        <f t="shared" ca="1" si="15"/>
        <v>-0.64312462609000898</v>
      </c>
      <c r="AH53" s="97">
        <f t="shared" ca="1" si="16"/>
        <v>-0.64185553256572392</v>
      </c>
      <c r="AI53" s="97">
        <f t="shared" ca="1" si="17"/>
        <v>-0.64439435431975911</v>
      </c>
      <c r="AJ53" s="62"/>
      <c r="AK53" s="97">
        <f t="shared" ca="1" si="18"/>
        <v>0.33841447553583531</v>
      </c>
      <c r="AL53" s="97"/>
      <c r="AM53" s="95">
        <v>0.9</v>
      </c>
      <c r="AN53" s="96">
        <f t="shared" si="6"/>
        <v>0.26608524989875482</v>
      </c>
      <c r="AX53" s="107">
        <f t="shared" ca="1" si="19"/>
        <v>0.49583630084795488</v>
      </c>
      <c r="AY53" s="107">
        <f t="shared" ca="1" si="20"/>
        <v>0.49580898031404552</v>
      </c>
      <c r="AZ53" s="107">
        <f t="shared" ca="1" si="21"/>
        <v>0.49586368492961092</v>
      </c>
      <c r="BB53" s="39">
        <f ca="1">_xll.EURO(UnderlyingPrice,$D53,IntRate,Yield,AX53,$D$6,1,0)</f>
        <v>1.5893431707016807</v>
      </c>
      <c r="BC53" s="39">
        <f ca="1">_xll.EURO(UnderlyingPrice,$D53*(1+$P$8),IntRate,Yield,AY53,$D$6,1,0)</f>
        <v>1.5879488006104352</v>
      </c>
      <c r="BD53" s="39">
        <f ca="1">_xll.EURO(UnderlyingPrice,$D53*(1-$P$8),IntRate,Yield,AZ53,$D$6,1,0)</f>
        <v>1.5907382872777469</v>
      </c>
      <c r="BF53" s="59">
        <f t="shared" ca="1" si="22"/>
        <v>0.21577200272401659</v>
      </c>
      <c r="BG53" s="39">
        <f t="shared" ca="1" si="23"/>
        <v>0.22116026175043604</v>
      </c>
      <c r="BI53" s="58">
        <f t="shared" ca="1" si="24"/>
        <v>-1.1324011485985608E-2</v>
      </c>
      <c r="BJ53" s="46">
        <f t="shared" ca="1" si="25"/>
        <v>-7.1249631261108689E-3</v>
      </c>
    </row>
    <row r="54" spans="3:62" x14ac:dyDescent="0.2">
      <c r="C54" s="56">
        <v>41</v>
      </c>
      <c r="D54" s="63">
        <f t="shared" ca="1" si="26"/>
        <v>3.7579999999999925</v>
      </c>
      <c r="E54" s="45">
        <f t="shared" ca="1" si="7"/>
        <v>-0.2743772929136914</v>
      </c>
      <c r="F54" s="45">
        <f t="shared" ca="1" si="8"/>
        <v>-0.27401448156014829</v>
      </c>
      <c r="G54" s="45">
        <f t="shared" ca="1" si="9"/>
        <v>-0.2747401042672345</v>
      </c>
      <c r="H54" s="45">
        <f t="shared" ca="1" si="27"/>
        <v>0.50884031733174351</v>
      </c>
      <c r="I54" s="45">
        <f t="shared" ca="1" si="28"/>
        <v>0.50883900777705715</v>
      </c>
      <c r="J54" s="45">
        <f t="shared" ca="1" si="29"/>
        <v>0.50883772849991704</v>
      </c>
      <c r="L54" s="58">
        <f ca="1">_xll.EURO(UnderlyingPrice,$D54,IntRate,Yield,$I54,$D$6,L$12,0)</f>
        <v>1.5731524439416322</v>
      </c>
      <c r="M54" s="58">
        <f ca="1">_xll.EURO(UnderlyingPrice,$D54,IntRate,Yield,$I54,$D$6,M$12,0)</f>
        <v>0.18677311230193827</v>
      </c>
      <c r="O54" s="58">
        <f ca="1">_xll.EURO(UnderlyingPrice,$D54*(1+$P$8),IntRate,Yield,$H54,Expiry-Today,O$12,0)</f>
        <v>1.5718004135431292</v>
      </c>
      <c r="P54" s="58">
        <f ca="1">_xll.EURO(UnderlyingPrice,$D54*(1+$P$8),IntRate,Yield,$H54,Expiry-Today,P$12,0)</f>
        <v>0.18725430270860866</v>
      </c>
      <c r="R54" s="58">
        <f ca="1">_xll.EURO(UnderlyingPrice,$D54*(1-$P$8),IntRate,Yield,$J54,Expiry-Today,R$12,0)</f>
        <v>1.5745052779295894</v>
      </c>
      <c r="S54" s="58">
        <f ca="1">_xll.EURO(UnderlyingPrice,$D54*(1-$P$8),IntRate,Yield,$J54,Expiry-Today,S$12,0)</f>
        <v>0.1862927254847222</v>
      </c>
      <c r="U54" s="59">
        <f t="shared" ca="1" si="31"/>
        <v>0.22760440783708044</v>
      </c>
      <c r="V54" s="59"/>
      <c r="W54" s="62">
        <f t="shared" ca="1" si="30"/>
        <v>0.23328814571548176</v>
      </c>
      <c r="Z54" s="59">
        <f t="shared" ca="1" si="11"/>
        <v>0.26951656617456343</v>
      </c>
      <c r="AA54" s="59">
        <f t="shared" ca="1" si="12"/>
        <v>-0.24315296748054882</v>
      </c>
      <c r="AB54" s="59">
        <f t="shared" ca="1" si="4"/>
        <v>-5.9123365594596834E-2</v>
      </c>
      <c r="AC54" s="59">
        <f t="shared" ca="1" si="13"/>
        <v>-0.19054322087524853</v>
      </c>
      <c r="AD54" s="60">
        <f t="shared" ca="1" si="5"/>
        <v>0.82651003446997506</v>
      </c>
      <c r="AE54" s="60">
        <f t="shared" ca="1" si="14"/>
        <v>0.22275814639916774</v>
      </c>
      <c r="AF54" s="60"/>
      <c r="AG54" s="97">
        <f t="shared" ca="1" si="15"/>
        <v>-0.61732199195435833</v>
      </c>
      <c r="AH54" s="97">
        <f t="shared" ca="1" si="16"/>
        <v>-0.61605289843007327</v>
      </c>
      <c r="AI54" s="97">
        <f t="shared" ca="1" si="17"/>
        <v>-0.61859172018410824</v>
      </c>
      <c r="AJ54" s="62"/>
      <c r="AK54" s="97">
        <f t="shared" ca="1" si="18"/>
        <v>0.34531642491460357</v>
      </c>
      <c r="AL54" s="97"/>
      <c r="AM54" s="95">
        <v>1</v>
      </c>
      <c r="AN54" s="96">
        <f t="shared" si="6"/>
        <v>0.24197072451914334</v>
      </c>
      <c r="AX54" s="107">
        <f t="shared" ca="1" si="19"/>
        <v>0.49529071177198802</v>
      </c>
      <c r="AY54" s="107">
        <f t="shared" ca="1" si="20"/>
        <v>0.49526441770486307</v>
      </c>
      <c r="AZ54" s="107">
        <f t="shared" ca="1" si="21"/>
        <v>0.49531707009530251</v>
      </c>
      <c r="BB54" s="39">
        <f ca="1">_xll.EURO(UnderlyingPrice,$D54,IntRate,Yield,AX54,$D$6,1,0)</f>
        <v>1.5610049711588081</v>
      </c>
      <c r="BC54" s="39">
        <f ca="1">_xll.EURO(UnderlyingPrice,$D54*(1+$P$8),IntRate,Yield,AY54,$D$6,1,0)</f>
        <v>1.5596118874597429</v>
      </c>
      <c r="BD54" s="39">
        <f ca="1">_xll.EURO(UnderlyingPrice,$D54*(1-$P$8),IntRate,Yield,AZ54,$D$6,1,0)</f>
        <v>1.5623988278544654</v>
      </c>
      <c r="BF54" s="59">
        <f t="shared" ca="1" si="22"/>
        <v>0.21893944812538776</v>
      </c>
      <c r="BG54" s="39">
        <f t="shared" ca="1" si="23"/>
        <v>0.22440680460680215</v>
      </c>
      <c r="BI54" s="58">
        <f t="shared" ca="1" si="24"/>
        <v>-1.2147472782824131E-2</v>
      </c>
      <c r="BJ54" s="46">
        <f t="shared" ca="1" si="25"/>
        <v>-7.7818283780393639E-3</v>
      </c>
    </row>
    <row r="55" spans="3:62" x14ac:dyDescent="0.2">
      <c r="C55" s="56">
        <v>42</v>
      </c>
      <c r="D55" s="63">
        <f t="shared" ca="1" si="26"/>
        <v>3.7959999999999923</v>
      </c>
      <c r="E55" s="45">
        <f t="shared" ca="1" si="7"/>
        <v>-0.26703996910600658</v>
      </c>
      <c r="F55" s="45">
        <f t="shared" ca="1" si="8"/>
        <v>-0.26667348909055966</v>
      </c>
      <c r="G55" s="45">
        <f t="shared" ca="1" si="9"/>
        <v>-0.2674064491214535</v>
      </c>
      <c r="H55" s="45">
        <f t="shared" ca="1" si="27"/>
        <v>0.50887335901236985</v>
      </c>
      <c r="I55" s="45">
        <f t="shared" ca="1" si="28"/>
        <v>0.50887141203313691</v>
      </c>
      <c r="J55" s="45">
        <f t="shared" ca="1" si="29"/>
        <v>0.50886949647182822</v>
      </c>
      <c r="L55" s="58">
        <f ca="1">_xll.EURO(UnderlyingPrice,$D55,IntRate,Yield,$I55,$D$6,L$12,0)</f>
        <v>1.5459663479263464</v>
      </c>
      <c r="M55" s="58">
        <f ca="1">_xll.EURO(UnderlyingPrice,$D55,IntRate,Yield,$I55,$D$6,M$12,0)</f>
        <v>0.19666119968025375</v>
      </c>
      <c r="O55" s="58">
        <f ca="1">_xll.EURO(UnderlyingPrice,$D55*(1+$P$8),IntRate,Yield,$H55,Expiry-Today,O$12,0)</f>
        <v>1.5446171470226626</v>
      </c>
      <c r="P55" s="58">
        <f ca="1">_xll.EURO(UnderlyingPrice,$D55*(1+$P$8),IntRate,Yield,$H55,Expiry-Today,P$12,0)</f>
        <v>0.19716375667344099</v>
      </c>
      <c r="R55" s="58">
        <f ca="1">_xll.EURO(UnderlyingPrice,$D55*(1-$P$8),IntRate,Yield,$J55,Expiry-Today,R$12,0)</f>
        <v>1.5473163763767941</v>
      </c>
      <c r="S55" s="58">
        <f ca="1">_xll.EURO(UnderlyingPrice,$D55*(1-$P$8),IntRate,Yield,$J55,Expiry-Today,S$12,0)</f>
        <v>0.19615947023383185</v>
      </c>
      <c r="U55" s="59">
        <f t="shared" ca="1" si="31"/>
        <v>0.22972069873450807</v>
      </c>
      <c r="V55" s="59"/>
      <c r="W55" s="62">
        <f t="shared" ca="1" si="30"/>
        <v>0.23545728463483362</v>
      </c>
      <c r="Z55" s="59">
        <f t="shared" ca="1" si="11"/>
        <v>0.26681856050685177</v>
      </c>
      <c r="AA55" s="59">
        <f t="shared" ca="1" si="12"/>
        <v>-0.23309198772414103</v>
      </c>
      <c r="AB55" s="59">
        <f t="shared" ca="1" si="4"/>
        <v>-5.4331874741191111E-2</v>
      </c>
      <c r="AC55" s="59">
        <f t="shared" ca="1" si="13"/>
        <v>-0.17510116863717945</v>
      </c>
      <c r="AD55" s="60">
        <f t="shared" ca="1" si="5"/>
        <v>0.8393720983422609</v>
      </c>
      <c r="AE55" s="60">
        <f t="shared" ca="1" si="14"/>
        <v>0.22396005500929766</v>
      </c>
      <c r="AF55" s="60"/>
      <c r="AG55" s="97">
        <f t="shared" ca="1" si="15"/>
        <v>-0.59177895981046735</v>
      </c>
      <c r="AH55" s="97">
        <f t="shared" ca="1" si="16"/>
        <v>-0.59050986628618252</v>
      </c>
      <c r="AI55" s="97">
        <f t="shared" ca="1" si="17"/>
        <v>-0.59304868804021726</v>
      </c>
      <c r="AJ55" s="62"/>
      <c r="AK55" s="97">
        <f t="shared" ca="1" si="18"/>
        <v>0.35205143923687743</v>
      </c>
      <c r="AL55" s="97"/>
      <c r="AM55" s="95">
        <v>1.1000000000000001</v>
      </c>
      <c r="AN55" s="96">
        <f t="shared" si="6"/>
        <v>0.2178521770325505</v>
      </c>
      <c r="AX55" s="107">
        <f t="shared" ca="1" si="19"/>
        <v>0.49477140289210458</v>
      </c>
      <c r="AY55" s="107">
        <f t="shared" ca="1" si="20"/>
        <v>0.49474614950362727</v>
      </c>
      <c r="AZ55" s="107">
        <f t="shared" ca="1" si="21"/>
        <v>0.49479672123422874</v>
      </c>
      <c r="BB55" s="39">
        <f ca="1">_xll.EURO(UnderlyingPrice,$D55,IntRate,Yield,AX55,$D$6,1,0)</f>
        <v>1.5329829020654366</v>
      </c>
      <c r="BC55" s="39">
        <f ca="1">_xll.EURO(UnderlyingPrice,$D55*(1+$P$8),IntRate,Yield,AY55,$D$6,1,0)</f>
        <v>1.531591641712204</v>
      </c>
      <c r="BD55" s="39">
        <f ca="1">_xll.EURO(UnderlyingPrice,$D55*(1-$P$8),IntRate,Yield,AZ55,$D$6,1,0)</f>
        <v>1.5343749619938976</v>
      </c>
      <c r="BF55" s="59">
        <f t="shared" ca="1" si="22"/>
        <v>0.22195601277638402</v>
      </c>
      <c r="BG55" s="39">
        <f t="shared" ca="1" si="23"/>
        <v>0.22749869891829333</v>
      </c>
      <c r="BI55" s="58">
        <f t="shared" ca="1" si="24"/>
        <v>-1.2983445860909715E-2</v>
      </c>
      <c r="BJ55" s="46">
        <f t="shared" ca="1" si="25"/>
        <v>-8.4694003066940315E-3</v>
      </c>
    </row>
    <row r="56" spans="3:62" x14ac:dyDescent="0.2">
      <c r="C56" s="56">
        <v>43</v>
      </c>
      <c r="D56" s="63">
        <f t="shared" ca="1" si="26"/>
        <v>3.8339999999999921</v>
      </c>
      <c r="E56" s="45">
        <f t="shared" ca="1" si="7"/>
        <v>-0.25970264529832165</v>
      </c>
      <c r="F56" s="45">
        <f t="shared" ca="1" si="8"/>
        <v>-0.25933249662097091</v>
      </c>
      <c r="G56" s="45">
        <f t="shared" ca="1" si="9"/>
        <v>-0.26007279397567251</v>
      </c>
      <c r="H56" s="45">
        <f t="shared" ca="1" si="27"/>
        <v>0.50891901747940294</v>
      </c>
      <c r="I56" s="45">
        <f t="shared" ca="1" si="28"/>
        <v>0.50891640995795928</v>
      </c>
      <c r="J56" s="45">
        <f t="shared" ca="1" si="29"/>
        <v>0.50891383502213527</v>
      </c>
      <c r="L56" s="58">
        <f ca="1">_xll.EURO(UnderlyingPrice,$D56,IntRate,Yield,$I56,$D$6,L$12,0)</f>
        <v>1.5191119499545858</v>
      </c>
      <c r="M56" s="58">
        <f ca="1">_xll.EURO(UnderlyingPrice,$D56,IntRate,Yield,$I56,$D$6,M$12,0)</f>
        <v>0.20688098510209518</v>
      </c>
      <c r="O56" s="58">
        <f ca="1">_xll.EURO(UnderlyingPrice,$D56*(1+$P$8),IntRate,Yield,$H56,Expiry-Today,O$12,0)</f>
        <v>1.5177660572138705</v>
      </c>
      <c r="P56" s="58">
        <f ca="1">_xll.EURO(UnderlyingPrice,$D56*(1+$P$8),IntRate,Yield,$H56,Expiry-Today,P$12,0)</f>
        <v>0.20740538734994596</v>
      </c>
      <c r="R56" s="58">
        <f ca="1">_xll.EURO(UnderlyingPrice,$D56*(1-$P$8),IntRate,Yield,$J56,Expiry-Today,R$12,0)</f>
        <v>1.5204586940997187</v>
      </c>
      <c r="S56" s="58">
        <f ca="1">_xll.EURO(UnderlyingPrice,$D56*(1-$P$8),IntRate,Yield,$J56,Expiry-Today,S$12,0)</f>
        <v>0.20635743425866171</v>
      </c>
      <c r="U56" s="59">
        <f t="shared" ca="1" si="31"/>
        <v>0.23168166919720037</v>
      </c>
      <c r="V56" s="59"/>
      <c r="W56" s="62">
        <f t="shared" ca="1" si="30"/>
        <v>0.23746722445714047</v>
      </c>
      <c r="Z56" s="59">
        <f t="shared" ca="1" si="11"/>
        <v>0.26417403643297066</v>
      </c>
      <c r="AA56" s="59">
        <f t="shared" ca="1" si="12"/>
        <v>-0.22313122384836959</v>
      </c>
      <c r="AB56" s="59">
        <f t="shared" ca="1" si="4"/>
        <v>-4.9787543056071214E-2</v>
      </c>
      <c r="AC56" s="59">
        <f t="shared" ca="1" si="13"/>
        <v>-0.16045566279866671</v>
      </c>
      <c r="AD56" s="60">
        <f t="shared" ca="1" si="5"/>
        <v>0.85175558719373445</v>
      </c>
      <c r="AE56" s="60">
        <f t="shared" ca="1" si="14"/>
        <v>0.22501171152330393</v>
      </c>
      <c r="AF56" s="60"/>
      <c r="AG56" s="97">
        <f t="shared" ca="1" si="15"/>
        <v>-0.56649035790323332</v>
      </c>
      <c r="AH56" s="97">
        <f t="shared" ca="1" si="16"/>
        <v>-0.56522126437894848</v>
      </c>
      <c r="AI56" s="97">
        <f t="shared" ca="1" si="17"/>
        <v>-0.56776008613298357</v>
      </c>
      <c r="AJ56" s="62"/>
      <c r="AK56" s="97">
        <f t="shared" ca="1" si="18"/>
        <v>0.35861097263785863</v>
      </c>
      <c r="AL56" s="97"/>
      <c r="AM56" s="95">
        <v>1.2</v>
      </c>
      <c r="AN56" s="96">
        <f t="shared" si="6"/>
        <v>0.19418605498321292</v>
      </c>
      <c r="AX56" s="107">
        <f t="shared" ca="1" si="19"/>
        <v>0.49427813025523903</v>
      </c>
      <c r="AY56" s="107">
        <f t="shared" ca="1" si="20"/>
        <v>0.49425393139115981</v>
      </c>
      <c r="AZ56" s="107">
        <f t="shared" ca="1" si="21"/>
        <v>0.49430239475907073</v>
      </c>
      <c r="BB56" s="39">
        <f ca="1">_xll.EURO(UnderlyingPrice,$D56,IntRate,Yield,AX56,$D$6,1,0)</f>
        <v>1.5052813187051517</v>
      </c>
      <c r="BC56" s="39">
        <f ca="1">_xll.EURO(UnderlyingPrice,$D56*(1+$P$8),IntRate,Yield,AY56,$D$6,1,0)</f>
        <v>1.5038924141401599</v>
      </c>
      <c r="BD56" s="39">
        <f ca="1">_xll.EURO(UnderlyingPrice,$D56*(1-$P$8),IntRate,Yield,AZ56,$D$6,1,0)</f>
        <v>1.5066710494454441</v>
      </c>
      <c r="BF56" s="59">
        <f t="shared" ca="1" si="22"/>
        <v>0.22481639598275924</v>
      </c>
      <c r="BG56" s="39">
        <f t="shared" ca="1" si="23"/>
        <v>0.23043051162171263</v>
      </c>
      <c r="BI56" s="58">
        <f t="shared" ca="1" si="24"/>
        <v>-1.3830631249434067E-2</v>
      </c>
      <c r="BJ56" s="46">
        <f t="shared" ca="1" si="25"/>
        <v>-9.1880707463580461E-3</v>
      </c>
    </row>
    <row r="57" spans="3:62" x14ac:dyDescent="0.2">
      <c r="C57" s="56">
        <v>44</v>
      </c>
      <c r="D57" s="63">
        <f t="shared" ca="1" si="26"/>
        <v>3.8719999999999919</v>
      </c>
      <c r="E57" s="45">
        <f t="shared" ca="1" si="7"/>
        <v>-0.25236532149063684</v>
      </c>
      <c r="F57" s="45">
        <f t="shared" ca="1" si="8"/>
        <v>-0.25199150415138227</v>
      </c>
      <c r="G57" s="45">
        <f t="shared" ca="1" si="9"/>
        <v>-0.25273913882989152</v>
      </c>
      <c r="H57" s="45">
        <f t="shared" ca="1" si="27"/>
        <v>0.50897750347682635</v>
      </c>
      <c r="I57" s="45">
        <f t="shared" ca="1" si="28"/>
        <v>0.50897421197970771</v>
      </c>
      <c r="J57" s="45">
        <f t="shared" ca="1" si="29"/>
        <v>0.50897095426353756</v>
      </c>
      <c r="L57" s="58">
        <f ca="1">_xll.EURO(UnderlyingPrice,$D57,IntRate,Yield,$I57,$D$6,L$12,0)</f>
        <v>1.4925920815948888</v>
      </c>
      <c r="M57" s="58">
        <f ca="1">_xll.EURO(UnderlyingPrice,$D57,IntRate,Yield,$I57,$D$6,M$12,0)</f>
        <v>0.21743530013599999</v>
      </c>
      <c r="O57" s="58">
        <f ca="1">_xll.EURO(UnderlyingPrice,$D57*(1+$P$8),IntRate,Yield,$H57,Expiry-Today,O$12,0)</f>
        <v>1.4912499686340204</v>
      </c>
      <c r="P57" s="58">
        <f ca="1">_xll.EURO(UnderlyingPrice,$D57*(1+$P$8),IntRate,Yield,$H57,Expiry-Today,P$12,0)</f>
        <v>0.2179820192553944</v>
      </c>
      <c r="R57" s="58">
        <f ca="1">_xll.EURO(UnderlyingPrice,$D57*(1-$P$8),IntRate,Yield,$J57,Expiry-Today,R$12,0)</f>
        <v>1.4939350696863372</v>
      </c>
      <c r="S57" s="58">
        <f ca="1">_xll.EURO(UnderlyingPrice,$D57*(1-$P$8),IntRate,Yield,$J57,Expiry-Today,S$12,0)</f>
        <v>0.21688945614718391</v>
      </c>
      <c r="U57" s="59">
        <f t="shared" ca="1" si="31"/>
        <v>0.23348670364968013</v>
      </c>
      <c r="V57" s="59"/>
      <c r="W57" s="62">
        <f t="shared" ca="1" si="30"/>
        <v>0.23931733423477264</v>
      </c>
      <c r="Z57" s="59">
        <f t="shared" ca="1" si="11"/>
        <v>0.2615814193398785</v>
      </c>
      <c r="AA57" s="59">
        <f t="shared" ca="1" si="12"/>
        <v>-0.21326869905749185</v>
      </c>
      <c r="AB57" s="59">
        <f t="shared" ca="1" si="4"/>
        <v>-4.5483537997675023E-2</v>
      </c>
      <c r="AC57" s="59">
        <f t="shared" ca="1" si="13"/>
        <v>-0.14658468339411942</v>
      </c>
      <c r="AD57" s="60">
        <f t="shared" ca="1" si="5"/>
        <v>0.86365259220508084</v>
      </c>
      <c r="AE57" s="60">
        <f t="shared" ca="1" si="14"/>
        <v>0.22591547088557032</v>
      </c>
      <c r="AF57" s="60"/>
      <c r="AG57" s="97">
        <f t="shared" ca="1" si="15"/>
        <v>-0.54145116750103961</v>
      </c>
      <c r="AH57" s="97">
        <f t="shared" ca="1" si="16"/>
        <v>-0.54018207397675477</v>
      </c>
      <c r="AI57" s="97">
        <f t="shared" ca="1" si="17"/>
        <v>-0.54272089573078963</v>
      </c>
      <c r="AJ57" s="62"/>
      <c r="AK57" s="97">
        <f t="shared" ca="1" si="18"/>
        <v>0.36498691437646891</v>
      </c>
      <c r="AL57" s="97"/>
      <c r="AM57" s="95">
        <v>1.3</v>
      </c>
      <c r="AN57" s="96">
        <f t="shared" si="6"/>
        <v>0.17136859204780733</v>
      </c>
      <c r="AX57" s="107">
        <f t="shared" ca="1" si="19"/>
        <v>0.49381064990832563</v>
      </c>
      <c r="AY57" s="107">
        <f t="shared" ca="1" si="20"/>
        <v>0.49378751904828261</v>
      </c>
      <c r="AZ57" s="107">
        <f t="shared" ca="1" si="21"/>
        <v>0.49383384708250949</v>
      </c>
      <c r="BB57" s="39">
        <f ca="1">_xll.EURO(UnderlyingPrice,$D57,IntRate,Yield,AX57,$D$6,1,0)</f>
        <v>1.4779043508895366</v>
      </c>
      <c r="BC57" s="39">
        <f ca="1">_xll.EURO(UnderlyingPrice,$D57*(1+$P$8),IntRate,Yield,AY57,$D$6,1,0)</f>
        <v>1.4765183292266193</v>
      </c>
      <c r="BD57" s="39">
        <f ca="1">_xll.EURO(UnderlyingPrice,$D57*(1-$P$8),IntRate,Yield,AZ57,$D$6,1,0)</f>
        <v>1.4792912253033079</v>
      </c>
      <c r="BF57" s="59">
        <f t="shared" ca="1" si="22"/>
        <v>0.22751574504234182</v>
      </c>
      <c r="BG57" s="39">
        <f t="shared" ca="1" si="23"/>
        <v>0.23319726883319689</v>
      </c>
      <c r="BI57" s="58">
        <f t="shared" ca="1" si="24"/>
        <v>-1.468773070535212E-2</v>
      </c>
      <c r="BJ57" s="46">
        <f t="shared" ca="1" si="25"/>
        <v>-9.938214673034634E-3</v>
      </c>
    </row>
    <row r="58" spans="3:62" x14ac:dyDescent="0.2">
      <c r="C58" s="56">
        <v>45</v>
      </c>
      <c r="D58" s="63">
        <f t="shared" ca="1" si="26"/>
        <v>3.9099999999999917</v>
      </c>
      <c r="E58" s="45">
        <f t="shared" ca="1" si="7"/>
        <v>-0.24502799768295203</v>
      </c>
      <c r="F58" s="45">
        <f t="shared" ca="1" si="8"/>
        <v>-0.24465051168179353</v>
      </c>
      <c r="G58" s="45">
        <f t="shared" ca="1" si="9"/>
        <v>-0.24540548368411053</v>
      </c>
      <c r="H58" s="45">
        <f t="shared" ca="1" si="27"/>
        <v>0.50904902774862393</v>
      </c>
      <c r="I58" s="45">
        <f t="shared" ca="1" si="28"/>
        <v>0.50904502852656586</v>
      </c>
      <c r="J58" s="45">
        <f t="shared" ca="1" si="29"/>
        <v>0.50904106430873375</v>
      </c>
      <c r="L58" s="58">
        <f ca="1">_xll.EURO(UnderlyingPrice,$D58,IntRate,Yield,$I58,$D$6,L$12,0)</f>
        <v>1.4664093492798003</v>
      </c>
      <c r="M58" s="58">
        <f ca="1">_xll.EURO(UnderlyingPrice,$D58,IntRate,Yield,$I58,$D$6,M$12,0)</f>
        <v>0.22832675121451229</v>
      </c>
      <c r="O58" s="58">
        <f ca="1">_xll.EURO(UnderlyingPrice,$D58*(1+$P$8),IntRate,Yield,$H58,Expiry-Today,O$12,0)</f>
        <v>1.4650714801805922</v>
      </c>
      <c r="P58" s="58">
        <f ca="1">_xll.EURO(UnderlyingPrice,$D58*(1+$P$8),IntRate,Yield,$H58,Expiry-Today,P$12,0)</f>
        <v>0.22889625128726521</v>
      </c>
      <c r="R58" s="58">
        <f ca="1">_xll.EURO(UnderlyingPrice,$D58*(1-$P$8),IntRate,Yield,$J58,Expiry-Today,R$12,0)</f>
        <v>1.4677481170727256</v>
      </c>
      <c r="S58" s="58">
        <f ca="1">_xll.EURO(UnderlyingPrice,$D58*(1-$P$8),IntRate,Yield,$J58,Expiry-Today,S$12,0)</f>
        <v>0.22775814983547826</v>
      </c>
      <c r="U58" s="59">
        <f t="shared" ca="1" si="31"/>
        <v>0.23513548896769021</v>
      </c>
      <c r="V58" s="59"/>
      <c r="W58" s="62">
        <f t="shared" ca="1" si="30"/>
        <v>0.24100729302413321</v>
      </c>
      <c r="Z58" s="59">
        <f t="shared" ca="1" si="11"/>
        <v>0.25903919582711243</v>
      </c>
      <c r="AA58" s="59">
        <f t="shared" ca="1" si="12"/>
        <v>-0.2035024944745481</v>
      </c>
      <c r="AB58" s="59">
        <f t="shared" ca="1" si="4"/>
        <v>-4.1413265257363482E-2</v>
      </c>
      <c r="AC58" s="59">
        <f t="shared" ca="1" si="13"/>
        <v>-0.133466978236777</v>
      </c>
      <c r="AD58" s="60">
        <f t="shared" ca="1" si="5"/>
        <v>0.87505636440459722</v>
      </c>
      <c r="AE58" s="60">
        <f t="shared" ca="1" si="14"/>
        <v>0.22667389693876352</v>
      </c>
      <c r="AF58" s="60"/>
      <c r="AG58" s="97">
        <f t="shared" ca="1" si="15"/>
        <v>-0.51665651691772352</v>
      </c>
      <c r="AH58" s="97">
        <f t="shared" ca="1" si="16"/>
        <v>-0.51538742339343824</v>
      </c>
      <c r="AI58" s="97">
        <f t="shared" ca="1" si="17"/>
        <v>-0.51792624514747343</v>
      </c>
      <c r="AJ58" s="62"/>
      <c r="AK58" s="97">
        <f t="shared" ca="1" si="18"/>
        <v>0.37117159336869954</v>
      </c>
      <c r="AL58" s="97"/>
      <c r="AM58" s="95">
        <v>1.4</v>
      </c>
      <c r="AN58" s="96">
        <f t="shared" si="6"/>
        <v>0.14972746563574485</v>
      </c>
      <c r="AX58" s="107">
        <f t="shared" ca="1" si="19"/>
        <v>0.49336871789829895</v>
      </c>
      <c r="AY58" s="107">
        <f t="shared" ca="1" si="20"/>
        <v>0.4933466681558174</v>
      </c>
      <c r="AZ58" s="107">
        <f t="shared" ca="1" si="21"/>
        <v>0.49339083461722621</v>
      </c>
      <c r="BB58" s="39">
        <f ca="1">_xll.EURO(UnderlyingPrice,$D58,IntRate,Yield,AX58,$D$6,1,0)</f>
        <v>1.4508558959527109</v>
      </c>
      <c r="BC58" s="39">
        <f ca="1">_xll.EURO(UnderlyingPrice,$D58*(1+$P$8),IntRate,Yield,AY58,$D$6,1,0)</f>
        <v>1.4494732781753874</v>
      </c>
      <c r="BD58" s="39">
        <f ca="1">_xll.EURO(UnderlyingPrice,$D58*(1-$P$8),IntRate,Yield,AZ58,$D$6,1,0)</f>
        <v>1.4522393929856237</v>
      </c>
      <c r="BF58" s="59">
        <f t="shared" ca="1" si="22"/>
        <v>0.23004966980217023</v>
      </c>
      <c r="BG58" s="39">
        <f t="shared" ca="1" si="23"/>
        <v>0.23579447076887317</v>
      </c>
      <c r="BI58" s="58">
        <f t="shared" ca="1" si="24"/>
        <v>-1.555345332708935E-2</v>
      </c>
      <c r="BJ58" s="46">
        <f t="shared" ca="1" si="25"/>
        <v>-1.0720191695451674E-2</v>
      </c>
    </row>
    <row r="59" spans="3:62" x14ac:dyDescent="0.2">
      <c r="C59" s="56">
        <v>46</v>
      </c>
      <c r="D59" s="63">
        <f t="shared" ca="1" si="26"/>
        <v>3.9479999999999915</v>
      </c>
      <c r="E59" s="45">
        <f t="shared" ca="1" si="7"/>
        <v>-0.23769067387526721</v>
      </c>
      <c r="F59" s="45">
        <f t="shared" ca="1" si="8"/>
        <v>-0.23730951921220489</v>
      </c>
      <c r="G59" s="45">
        <f t="shared" ca="1" si="9"/>
        <v>-0.23807182853832953</v>
      </c>
      <c r="H59" s="45">
        <f t="shared" ca="1" si="27"/>
        <v>0.50913380103877903</v>
      </c>
      <c r="I59" s="45">
        <f t="shared" ca="1" si="28"/>
        <v>0.50912907002671715</v>
      </c>
      <c r="J59" s="45">
        <f t="shared" ca="1" si="29"/>
        <v>0.50912437527042287</v>
      </c>
      <c r="L59" s="58">
        <f ca="1">_xll.EURO(UnderlyingPrice,$D59,IntRate,Yield,$I59,$D$6,L$12,0)</f>
        <v>1.4405661338563487</v>
      </c>
      <c r="M59" s="58">
        <f ca="1">_xll.EURO(UnderlyingPrice,$D59,IntRate,Yield,$I59,$D$6,M$12,0)</f>
        <v>0.23955771918466207</v>
      </c>
      <c r="O59" s="58">
        <f ca="1">_xll.EURO(UnderlyingPrice,$D59*(1+$P$8),IntRate,Yield,$H59,Expiry-Today,O$12,0)</f>
        <v>1.4392329647028528</v>
      </c>
      <c r="P59" s="58">
        <f ca="1">_xll.EURO(UnderlyingPrice,$D59*(1+$P$8),IntRate,Yield,$H59,Expiry-Today,P$12,0)</f>
        <v>0.24015045629482312</v>
      </c>
      <c r="R59" s="58">
        <f ca="1">_xll.EURO(UnderlyingPrice,$D59*(1-$P$8),IntRate,Yield,$J59,Expiry-Today,R$12,0)</f>
        <v>1.441900225072557</v>
      </c>
      <c r="S59" s="58">
        <f ca="1">_xll.EURO(UnderlyingPrice,$D59*(1-$P$8),IntRate,Yield,$J59,Expiry-Today,S$12,0)</f>
        <v>0.23896590413721386</v>
      </c>
      <c r="U59" s="59">
        <f t="shared" ca="1" si="31"/>
        <v>0.23662801639272554</v>
      </c>
      <c r="V59" s="59"/>
      <c r="W59" s="62">
        <f t="shared" ca="1" si="30"/>
        <v>0.24253709184799971</v>
      </c>
      <c r="Z59" s="59">
        <f t="shared" ca="1" si="11"/>
        <v>0.256545910760894</v>
      </c>
      <c r="AA59" s="59">
        <f t="shared" ca="1" si="12"/>
        <v>-0.19383074690058744</v>
      </c>
      <c r="AB59" s="59">
        <f t="shared" ca="1" si="4"/>
        <v>-3.7570358444039588E-2</v>
      </c>
      <c r="AC59" s="59">
        <f t="shared" ca="1" si="13"/>
        <v>-0.12108202967422273</v>
      </c>
      <c r="AD59" s="60">
        <f t="shared" ca="1" si="5"/>
        <v>0.88596128149674092</v>
      </c>
      <c r="AE59" s="60">
        <f t="shared" ca="1" si="14"/>
        <v>0.22728974386047018</v>
      </c>
      <c r="AF59" s="60"/>
      <c r="AG59" s="97">
        <f t="shared" ca="1" si="15"/>
        <v>-0.49210167582365066</v>
      </c>
      <c r="AH59" s="97">
        <f t="shared" ca="1" si="16"/>
        <v>-0.49083258229936561</v>
      </c>
      <c r="AI59" s="97">
        <f t="shared" ca="1" si="17"/>
        <v>-0.49337140405340069</v>
      </c>
      <c r="AJ59" s="62"/>
      <c r="AK59" s="97">
        <f t="shared" ca="1" si="18"/>
        <v>0.37715780443981095</v>
      </c>
      <c r="AL59" s="97"/>
      <c r="AM59" s="95">
        <v>1.5</v>
      </c>
      <c r="AN59" s="96">
        <f t="shared" si="6"/>
        <v>0.12951759566589172</v>
      </c>
      <c r="AX59" s="107">
        <f t="shared" ca="1" si="19"/>
        <v>0.49295209027209336</v>
      </c>
      <c r="AY59" s="107">
        <f t="shared" ca="1" si="20"/>
        <v>0.49293113439458602</v>
      </c>
      <c r="AZ59" s="107">
        <f t="shared" ca="1" si="21"/>
        <v>0.49297311377590186</v>
      </c>
      <c r="BB59" s="39">
        <f ca="1">_xll.EURO(UnderlyingPrice,$D59,IntRate,Yield,AX59,$D$6,1,0)</f>
        <v>1.4241396124141081</v>
      </c>
      <c r="BC59" s="39">
        <f ca="1">_xll.EURO(UnderlyingPrice,$D59*(1+$P$8),IntRate,Yield,AY59,$D$6,1,0)</f>
        <v>1.422760912592488</v>
      </c>
      <c r="BD59" s="39">
        <f ca="1">_xll.EURO(UnderlyingPrice,$D59*(1-$P$8),IntRate,Yield,AZ59,$D$6,1,0)</f>
        <v>1.4255192178787897</v>
      </c>
      <c r="BF59" s="59">
        <f t="shared" ca="1" si="22"/>
        <v>0.23241425805813207</v>
      </c>
      <c r="BG59" s="39">
        <f t="shared" ca="1" si="23"/>
        <v>0.23821810752905753</v>
      </c>
      <c r="BI59" s="58">
        <f t="shared" ca="1" si="24"/>
        <v>-1.6426521442240549E-2</v>
      </c>
      <c r="BJ59" s="46">
        <f t="shared" ca="1" si="25"/>
        <v>-1.1534347685474029E-2</v>
      </c>
    </row>
    <row r="60" spans="3:62" x14ac:dyDescent="0.2">
      <c r="C60" s="56">
        <v>47</v>
      </c>
      <c r="D60" s="63">
        <f t="shared" ca="1" si="26"/>
        <v>3.9859999999999913</v>
      </c>
      <c r="E60" s="45">
        <f t="shared" ca="1" si="7"/>
        <v>-0.23035335006758229</v>
      </c>
      <c r="F60" s="45">
        <f t="shared" ca="1" si="8"/>
        <v>-0.22996852674261614</v>
      </c>
      <c r="G60" s="45">
        <f t="shared" ca="1" si="9"/>
        <v>-0.23073817339254843</v>
      </c>
      <c r="H60" s="45">
        <f t="shared" ca="1" si="27"/>
        <v>0.50923203409127549</v>
      </c>
      <c r="I60" s="45">
        <f t="shared" ca="1" si="28"/>
        <v>0.50922654690834501</v>
      </c>
      <c r="J60" s="45">
        <f t="shared" ca="1" si="29"/>
        <v>0.50922109726130427</v>
      </c>
      <c r="L60" s="58">
        <f ca="1">_xll.EURO(UnderlyingPrice,$D60,IntRate,Yield,$I60,$D$6,L$12,0)</f>
        <v>1.4150645905686616</v>
      </c>
      <c r="M60" s="58">
        <f ca="1">_xll.EURO(UnderlyingPrice,$D60,IntRate,Yield,$I60,$D$6,M$12,0)</f>
        <v>0.2511303592905777</v>
      </c>
      <c r="O60" s="58">
        <f ca="1">_xll.EURO(UnderlyingPrice,$D60*(1+$P$8),IntRate,Yield,$H60,Expiry-Today,O$12,0)</f>
        <v>1.4137365690063075</v>
      </c>
      <c r="P60" s="58">
        <f ca="1">_xll.EURO(UnderlyingPrice,$D60*(1+$P$8),IntRate,Yield,$H60,Expiry-Today,P$12,0)</f>
        <v>0.25174678108357662</v>
      </c>
      <c r="R60" s="58">
        <f ca="1">_xll.EURO(UnderlyingPrice,$D60*(1-$P$8),IntRate,Yield,$J60,Expiry-Today,R$12,0)</f>
        <v>1.4163935573379316</v>
      </c>
      <c r="S60" s="58">
        <f ca="1">_xll.EURO(UnderlyingPrice,$D60*(1-$P$8),IntRate,Yield,$J60,Expiry-Today,S$12,0)</f>
        <v>0.25051488270449429</v>
      </c>
      <c r="U60" s="59">
        <f t="shared" ca="1" si="31"/>
        <v>0.23796456585700904</v>
      </c>
      <c r="V60" s="59"/>
      <c r="W60" s="62">
        <f t="shared" ca="1" si="30"/>
        <v>0.24390701762906322</v>
      </c>
      <c r="Z60" s="59">
        <f t="shared" ca="1" si="11"/>
        <v>0.254100164496741</v>
      </c>
      <c r="AA60" s="59">
        <f t="shared" ca="1" si="12"/>
        <v>-0.18425164668121952</v>
      </c>
      <c r="AB60" s="59">
        <f t="shared" ca="1" si="4"/>
        <v>-3.3948669304740949E-2</v>
      </c>
      <c r="AC60" s="59">
        <f t="shared" ca="1" si="13"/>
        <v>-0.10941002307123708</v>
      </c>
      <c r="AD60" s="60">
        <f t="shared" ca="1" si="5"/>
        <v>0.896362812706754</v>
      </c>
      <c r="AE60" s="60">
        <f t="shared" ca="1" si="14"/>
        <v>0.22776593815754764</v>
      </c>
      <c r="AF60" s="60"/>
      <c r="AG60" s="97">
        <f t="shared" ca="1" si="15"/>
        <v>-0.46778204982927052</v>
      </c>
      <c r="AH60" s="97">
        <f t="shared" ca="1" si="16"/>
        <v>-0.4665129563049854</v>
      </c>
      <c r="AI60" s="97">
        <f t="shared" ca="1" si="17"/>
        <v>-0.46905177805902032</v>
      </c>
      <c r="AJ60" s="62"/>
      <c r="AK60" s="97">
        <f t="shared" ca="1" si="18"/>
        <v>0.38293880644606837</v>
      </c>
      <c r="AL60" s="97"/>
      <c r="AM60" s="95">
        <v>1.6</v>
      </c>
      <c r="AN60" s="96">
        <f t="shared" si="6"/>
        <v>0.11092083467945553</v>
      </c>
      <c r="AX60" s="107">
        <f t="shared" ca="1" si="19"/>
        <v>0.49256052307664311</v>
      </c>
      <c r="AY60" s="107">
        <f t="shared" ca="1" si="20"/>
        <v>0.49254067344541036</v>
      </c>
      <c r="AZ60" s="107">
        <f t="shared" ca="1" si="21"/>
        <v>0.49258044097121756</v>
      </c>
      <c r="BB60" s="39">
        <f ca="1">_xll.EURO(UnderlyingPrice,$D60,IntRate,Yield,AX60,$D$6,1,0)</f>
        <v>1.3977589143283442</v>
      </c>
      <c r="BC60" s="39">
        <f ca="1">_xll.EURO(UnderlyingPrice,$D60*(1+$P$8),IntRate,Yield,AY60,$D$6,1,0)</f>
        <v>1.3963846388576009</v>
      </c>
      <c r="BD60" s="39">
        <f ca="1">_xll.EURO(UnderlyingPrice,$D60*(1-$P$8),IntRate,Yield,AZ60,$D$6,1,0)</f>
        <v>1.3991341216659383</v>
      </c>
      <c r="BF60" s="59">
        <f t="shared" ca="1" si="22"/>
        <v>0.23460608134370048</v>
      </c>
      <c r="BG60" s="39">
        <f t="shared" ca="1" si="23"/>
        <v>0.2404646650315479</v>
      </c>
      <c r="BI60" s="58">
        <f t="shared" ca="1" si="24"/>
        <v>-1.7305676240317425E-2</v>
      </c>
      <c r="BJ60" s="46">
        <f t="shared" ca="1" si="25"/>
        <v>-1.2381016542207643E-2</v>
      </c>
    </row>
    <row r="61" spans="3:62" x14ac:dyDescent="0.2">
      <c r="C61" s="56">
        <v>48</v>
      </c>
      <c r="D61" s="63">
        <f t="shared" ca="1" si="26"/>
        <v>4.0239999999999911</v>
      </c>
      <c r="E61" s="45">
        <f t="shared" ca="1" si="7"/>
        <v>-0.22301602625989747</v>
      </c>
      <c r="F61" s="45">
        <f t="shared" ca="1" si="8"/>
        <v>-0.22262753427302751</v>
      </c>
      <c r="G61" s="45">
        <f t="shared" ca="1" si="9"/>
        <v>-0.22340451824676744</v>
      </c>
      <c r="H61" s="45">
        <f t="shared" ca="1" si="27"/>
        <v>0.50934393765009667</v>
      </c>
      <c r="I61" s="45">
        <f t="shared" ca="1" si="28"/>
        <v>0.50933766959963311</v>
      </c>
      <c r="J61" s="45">
        <f t="shared" ca="1" si="29"/>
        <v>0.50933144039407685</v>
      </c>
      <c r="L61" s="58">
        <f ca="1">_xll.EURO(UnderlyingPrice,$D61,IntRate,Yield,$I61,$D$6,L$12,0)</f>
        <v>1.3899066494619294</v>
      </c>
      <c r="M61" s="58">
        <f ca="1">_xll.EURO(UnderlyingPrice,$D61,IntRate,Yield,$I61,$D$6,M$12,0)</f>
        <v>0.26304660157744642</v>
      </c>
      <c r="O61" s="58">
        <f ca="1">_xll.EURO(UnderlyingPrice,$D61*(1+$P$8),IntRate,Yield,$H61,Expiry-Today,O$12,0)</f>
        <v>1.3885842142792022</v>
      </c>
      <c r="P61" s="58">
        <f ca="1">_xll.EURO(UnderlyingPrice,$D61*(1+$P$8),IntRate,Yield,$H61,Expiry-Today,P$12,0)</f>
        <v>0.2636871468417703</v>
      </c>
      <c r="R61" s="58">
        <f ca="1">_xll.EURO(UnderlyingPrice,$D61*(1-$P$8),IntRate,Yield,$J61,Expiry-Today,R$12,0)</f>
        <v>1.3912300527408865</v>
      </c>
      <c r="S61" s="58">
        <f ca="1">_xll.EURO(UnderlyingPrice,$D61*(1-$P$8),IntRate,Yield,$J61,Expiry-Today,S$12,0)</f>
        <v>0.26240702440935304</v>
      </c>
      <c r="U61" s="59">
        <f t="shared" ca="1" si="31"/>
        <v>0.23914569981885725</v>
      </c>
      <c r="V61" s="59"/>
      <c r="W61" s="62">
        <f t="shared" ca="1" si="30"/>
        <v>0.24511764687135096</v>
      </c>
      <c r="Z61" s="59">
        <f t="shared" ca="1" si="11"/>
        <v>0.25170061025944568</v>
      </c>
      <c r="AA61" s="59">
        <f t="shared" ca="1" si="12"/>
        <v>-0.17476343567438446</v>
      </c>
      <c r="AB61" s="59">
        <f t="shared" ca="1" si="4"/>
        <v>-3.0542258448714714E-2</v>
      </c>
      <c r="AC61" s="59">
        <f t="shared" ca="1" si="13"/>
        <v>-9.8431816915277512E-2</v>
      </c>
      <c r="AD61" s="60">
        <f t="shared" ca="1" si="5"/>
        <v>0.90625748193842481</v>
      </c>
      <c r="AE61" s="60">
        <f t="shared" ca="1" si="14"/>
        <v>0.22810556125609011</v>
      </c>
      <c r="AF61" s="60"/>
      <c r="AG61" s="97">
        <f t="shared" ca="1" si="15"/>
        <v>-0.44369317532564662</v>
      </c>
      <c r="AH61" s="97">
        <f t="shared" ca="1" si="16"/>
        <v>-0.44242408180136167</v>
      </c>
      <c r="AI61" s="97">
        <f t="shared" ca="1" si="17"/>
        <v>-0.44496290355539642</v>
      </c>
      <c r="AJ61" s="62"/>
      <c r="AK61" s="97">
        <f t="shared" ca="1" si="18"/>
        <v>0.388508334404643</v>
      </c>
      <c r="AL61" s="97"/>
      <c r="AM61" s="95">
        <v>1.7</v>
      </c>
      <c r="AN61" s="96">
        <f t="shared" si="6"/>
        <v>9.4049077376886933E-2</v>
      </c>
      <c r="AX61" s="107">
        <f t="shared" ca="1" si="19"/>
        <v>0.49219377235888284</v>
      </c>
      <c r="AY61" s="107">
        <f t="shared" ca="1" si="20"/>
        <v>0.49217504098911213</v>
      </c>
      <c r="AZ61" s="107">
        <f t="shared" ca="1" si="21"/>
        <v>0.49221257261585438</v>
      </c>
      <c r="BB61" s="39">
        <f ca="1">_xll.EURO(UnderlyingPrice,$D61,IntRate,Yield,AX61,$D$6,1,0)</f>
        <v>1.3717169663372708</v>
      </c>
      <c r="BC61" s="39">
        <f ca="1">_xll.EURO(UnderlyingPrice,$D61*(1+$P$8),IntRate,Yield,AY61,$D$6,1,0)</f>
        <v>1.3703476132004613</v>
      </c>
      <c r="BD61" s="39">
        <f ca="1">_xll.EURO(UnderlyingPrice,$D61*(1-$P$8),IntRate,Yield,AZ61,$D$6,1,0)</f>
        <v>1.3730872773548475</v>
      </c>
      <c r="BF61" s="59">
        <f t="shared" ca="1" si="22"/>
        <v>0.23662220690507474</v>
      </c>
      <c r="BG61" s="39">
        <f t="shared" ca="1" si="23"/>
        <v>0.2425311372858078</v>
      </c>
      <c r="BI61" s="58">
        <f t="shared" ca="1" si="24"/>
        <v>-1.8189683124658629E-2</v>
      </c>
      <c r="BJ61" s="46">
        <f t="shared" ca="1" si="25"/>
        <v>-1.3260522083668857E-2</v>
      </c>
    </row>
    <row r="62" spans="3:62" x14ac:dyDescent="0.2">
      <c r="C62" s="56">
        <v>49</v>
      </c>
      <c r="D62" s="63">
        <f t="shared" ca="1" si="26"/>
        <v>4.0619999999999914</v>
      </c>
      <c r="E62" s="45">
        <f t="shared" ca="1" si="7"/>
        <v>-0.21567870245221255</v>
      </c>
      <c r="F62" s="45">
        <f t="shared" ca="1" si="8"/>
        <v>-0.21528654180343876</v>
      </c>
      <c r="G62" s="45">
        <f t="shared" ca="1" si="9"/>
        <v>-0.21607086310098633</v>
      </c>
      <c r="H62" s="45">
        <f t="shared" ca="1" si="27"/>
        <v>0.5094697224592265</v>
      </c>
      <c r="I62" s="45">
        <f t="shared" ca="1" si="28"/>
        <v>0.50946264852876477</v>
      </c>
      <c r="J62" s="45">
        <f t="shared" ca="1" si="29"/>
        <v>0.50945561478143953</v>
      </c>
      <c r="L62" s="58">
        <f ca="1">_xll.EURO(UnderlyingPrice,$D62,IntRate,Yield,$I62,$D$6,L$12,0)</f>
        <v>1.3650940161962586</v>
      </c>
      <c r="M62" s="58">
        <f ca="1">_xll.EURO(UnderlyingPrice,$D62,IntRate,Yield,$I62,$D$6,M$12,0)</f>
        <v>0.2753081517053777</v>
      </c>
      <c r="O62" s="58">
        <f ca="1">_xll.EURO(UnderlyingPrice,$D62*(1+$P$8),IntRate,Yield,$H62,Expiry-Today,O$12,0)</f>
        <v>1.3637775969295531</v>
      </c>
      <c r="P62" s="58">
        <f ca="1">_xll.EURO(UnderlyingPrice,$D62*(1+$P$8),IntRate,Yield,$H62,Expiry-Today,P$12,0)</f>
        <v>0.27597324997741901</v>
      </c>
      <c r="R62" s="58">
        <f ca="1">_xll.EURO(UnderlyingPrice,$D62*(1-$P$8),IntRate,Yield,$J62,Expiry-Today,R$12,0)</f>
        <v>1.3664114261641718</v>
      </c>
      <c r="S62" s="58">
        <f ca="1">_xll.EURO(UnderlyingPrice,$D62*(1-$P$8),IntRate,Yield,$J62,Expiry-Today,S$12,0)</f>
        <v>0.27464404413454302</v>
      </c>
      <c r="U62" s="59">
        <f t="shared" ca="1" si="31"/>
        <v>0.24017226047398665</v>
      </c>
      <c r="V62" s="59"/>
      <c r="W62" s="62">
        <f t="shared" ca="1" si="30"/>
        <v>0.246169842801893</v>
      </c>
      <c r="Z62" s="59">
        <f t="shared" ca="1" si="11"/>
        <v>0.24934595167011561</v>
      </c>
      <c r="AA62" s="59">
        <f t="shared" ca="1" si="12"/>
        <v>-0.16536440531362953</v>
      </c>
      <c r="AB62" s="59">
        <f t="shared" ca="1" si="4"/>
        <v>-2.7345386544730347E-2</v>
      </c>
      <c r="AC62" s="59">
        <f t="shared" ca="1" si="13"/>
        <v>-8.8128914447112905E-2</v>
      </c>
      <c r="AD62" s="60">
        <f t="shared" ca="1" si="5"/>
        <v>0.91564282952537335</v>
      </c>
      <c r="AE62" s="60">
        <f t="shared" ca="1" si="14"/>
        <v>0.22831183271792166</v>
      </c>
      <c r="AF62" s="60"/>
      <c r="AG62" s="97">
        <f t="shared" ca="1" si="15"/>
        <v>-0.41983071456746202</v>
      </c>
      <c r="AH62" s="97">
        <f t="shared" ca="1" si="16"/>
        <v>-0.41856162104317718</v>
      </c>
      <c r="AI62" s="97">
        <f t="shared" ca="1" si="17"/>
        <v>-0.42110044279721182</v>
      </c>
      <c r="AJ62" s="62"/>
      <c r="AK62" s="97">
        <f t="shared" ca="1" si="18"/>
        <v>0.39386061659200877</v>
      </c>
      <c r="AL62" s="97"/>
      <c r="AM62" s="95">
        <v>1.8</v>
      </c>
      <c r="AN62" s="96">
        <f t="shared" si="6"/>
        <v>7.8950158300894135E-2</v>
      </c>
      <c r="AX62" s="107">
        <f t="shared" ca="1" si="19"/>
        <v>0.49185159416574686</v>
      </c>
      <c r="AY62" s="107">
        <f t="shared" ca="1" si="20"/>
        <v>0.49183399270651335</v>
      </c>
      <c r="AZ62" s="107">
        <f t="shared" ca="1" si="21"/>
        <v>0.49186926512249346</v>
      </c>
      <c r="BB62" s="39">
        <f ca="1">_xll.EURO(UnderlyingPrice,$D62,IntRate,Yield,AX62,$D$6,1,0)</f>
        <v>1.3460166794356634</v>
      </c>
      <c r="BC62" s="39">
        <f ca="1">_xll.EURO(UnderlyingPrice,$D62*(1+$P$8),IntRate,Yield,AY62,$D$6,1,0)</f>
        <v>1.3446527374935586</v>
      </c>
      <c r="BD62" s="39">
        <f ca="1">_xll.EURO(UnderlyingPrice,$D62*(1-$P$8),IntRate,Yield,AZ62,$D$6,1,0)</f>
        <v>1.3473816050168015</v>
      </c>
      <c r="BF62" s="59">
        <f t="shared" ca="1" si="22"/>
        <v>0.23846020200826318</v>
      </c>
      <c r="BG62" s="39">
        <f t="shared" ca="1" si="23"/>
        <v>0.2444150308076059</v>
      </c>
      <c r="BI62" s="58">
        <f t="shared" ca="1" si="24"/>
        <v>-1.9077336760595198E-2</v>
      </c>
      <c r="BJ62" s="46">
        <f t="shared" ca="1" si="25"/>
        <v>-1.4173180059398403E-2</v>
      </c>
    </row>
    <row r="63" spans="3:62" x14ac:dyDescent="0.2">
      <c r="C63" s="56">
        <v>50</v>
      </c>
      <c r="D63" s="63">
        <f t="shared" ca="1" si="26"/>
        <v>4.0999999999999917</v>
      </c>
      <c r="E63" s="45">
        <f t="shared" ca="1" si="7"/>
        <v>-0.20834137864452762</v>
      </c>
      <c r="F63" s="45">
        <f t="shared" ca="1" si="8"/>
        <v>-0.2079455493338499</v>
      </c>
      <c r="G63" s="45">
        <f t="shared" ca="1" si="9"/>
        <v>-0.20873720795520534</v>
      </c>
      <c r="H63" s="45">
        <f t="shared" ca="1" si="27"/>
        <v>0.50960959926264837</v>
      </c>
      <c r="I63" s="45">
        <f t="shared" ca="1" si="28"/>
        <v>0.50960169412392364</v>
      </c>
      <c r="J63" s="45">
        <f t="shared" ca="1" si="29"/>
        <v>0.50959383053609109</v>
      </c>
      <c r="L63" s="58">
        <f ca="1">_xll.EURO(UnderlyingPrice,$D63,IntRate,Yield,$I63,$D$6,L$12,0)</f>
        <v>1.340628173258458</v>
      </c>
      <c r="M63" s="58">
        <f ca="1">_xll.EURO(UnderlyingPrice,$D63,IntRate,Yield,$I63,$D$6,M$12,0)</f>
        <v>0.28791649216117898</v>
      </c>
      <c r="O63" s="58">
        <f ca="1">_xll.EURO(UnderlyingPrice,$D63*(1+$P$8),IntRate,Yield,$H63,Expiry-Today,O$12,0)</f>
        <v>1.3393181898206152</v>
      </c>
      <c r="P63" s="58">
        <f ca="1">_xll.EURO(UnderlyingPrice,$D63*(1+$P$8),IntRate,Yield,$H63,Expiry-Today,P$12,0)</f>
        <v>0.2886065633537791</v>
      </c>
      <c r="R63" s="58">
        <f ca="1">_xll.EURO(UnderlyingPrice,$D63*(1-$P$8),IntRate,Yield,$J63,Expiry-Today,R$12,0)</f>
        <v>1.3419391696893985</v>
      </c>
      <c r="S63" s="58">
        <f ca="1">_xll.EURO(UnderlyingPrice,$D63*(1-$P$8),IntRate,Yield,$J63,Expiry-Today,S$12,0)</f>
        <v>0.2872274339616756</v>
      </c>
      <c r="U63" s="59">
        <f t="shared" ca="1" si="31"/>
        <v>0.24104535344405467</v>
      </c>
      <c r="V63" s="59"/>
      <c r="W63" s="62">
        <f t="shared" ca="1" si="30"/>
        <v>0.24706473865193379</v>
      </c>
      <c r="Z63" s="59">
        <f t="shared" ca="1" si="11"/>
        <v>0.24703494041073398</v>
      </c>
      <c r="AA63" s="59">
        <f t="shared" ca="1" si="12"/>
        <v>-0.15605289476156028</v>
      </c>
      <c r="AB63" s="59">
        <f t="shared" ca="1" si="4"/>
        <v>-2.4352505963462608E-2</v>
      </c>
      <c r="AC63" s="59">
        <f t="shared" ca="1" si="13"/>
        <v>-7.8483436725833508E-2</v>
      </c>
      <c r="AD63" s="60">
        <f t="shared" ca="1" si="5"/>
        <v>0.9245173728394549</v>
      </c>
      <c r="AE63" s="60">
        <f t="shared" ca="1" si="14"/>
        <v>0.22838809410808308</v>
      </c>
      <c r="AF63" s="60"/>
      <c r="AG63" s="97">
        <f t="shared" ca="1" si="15"/>
        <v>-0.39619045098496125</v>
      </c>
      <c r="AH63" s="97">
        <f t="shared" ca="1" si="16"/>
        <v>-0.39492135746067608</v>
      </c>
      <c r="AI63" s="97">
        <f t="shared" ca="1" si="17"/>
        <v>-0.39746017921471127</v>
      </c>
      <c r="AJ63" s="62"/>
      <c r="AK63" s="97">
        <f t="shared" ca="1" si="18"/>
        <v>0.39899036900204743</v>
      </c>
      <c r="AL63" s="97"/>
      <c r="AM63" s="95">
        <v>1.9</v>
      </c>
      <c r="AN63" s="96">
        <f t="shared" si="6"/>
        <v>6.5615814774676581E-2</v>
      </c>
      <c r="AX63" s="107">
        <f t="shared" ca="1" si="19"/>
        <v>0.49153374454416959</v>
      </c>
      <c r="AY63" s="107">
        <f t="shared" ca="1" si="20"/>
        <v>0.49151728427843561</v>
      </c>
      <c r="AZ63" s="107">
        <f t="shared" ca="1" si="21"/>
        <v>0.49155027490381575</v>
      </c>
      <c r="BB63" s="39">
        <f ca="1">_xll.EURO(UnderlyingPrice,$D63,IntRate,Yield,AX63,$D$6,1,0)</f>
        <v>1.3206607074582455</v>
      </c>
      <c r="BC63" s="39">
        <f ca="1">_xll.EURO(UnderlyingPrice,$D63*(1+$P$8),IntRate,Yield,AY63,$D$6,1,0)</f>
        <v>1.3193026557686056</v>
      </c>
      <c r="BD63" s="39">
        <f ca="1">_xll.EURO(UnderlyingPrice,$D63*(1-$P$8),IntRate,Yield,AZ63,$D$6,1,0)</f>
        <v>1.3220197682443535</v>
      </c>
      <c r="BF63" s="59">
        <f t="shared" ca="1" si="22"/>
        <v>0.24011813638621179</v>
      </c>
      <c r="BG63" s="39">
        <f t="shared" ca="1" si="23"/>
        <v>0.24611436712725415</v>
      </c>
      <c r="BI63" s="58">
        <f t="shared" ca="1" si="24"/>
        <v>-1.9967465800212469E-2</v>
      </c>
      <c r="BJ63" s="46">
        <f t="shared" ca="1" si="25"/>
        <v>-1.5119300277087837E-2</v>
      </c>
    </row>
    <row r="64" spans="3:62" x14ac:dyDescent="0.2">
      <c r="C64" s="56">
        <v>51</v>
      </c>
      <c r="D64" s="63">
        <f t="shared" ca="1" si="26"/>
        <v>4.1379999999999919</v>
      </c>
      <c r="E64" s="45">
        <f t="shared" ca="1" si="7"/>
        <v>-0.20100405483684269</v>
      </c>
      <c r="F64" s="45">
        <f t="shared" ca="1" si="8"/>
        <v>-0.20060455686426115</v>
      </c>
      <c r="G64" s="45">
        <f t="shared" ca="1" si="9"/>
        <v>-0.20140355280942424</v>
      </c>
      <c r="H64" s="45">
        <f t="shared" ca="1" si="27"/>
        <v>0.50976377880434609</v>
      </c>
      <c r="I64" s="45">
        <f t="shared" ca="1" si="28"/>
        <v>0.50975501681329327</v>
      </c>
      <c r="J64" s="45">
        <f t="shared" ca="1" si="29"/>
        <v>0.5097462977707311</v>
      </c>
      <c r="L64" s="58">
        <f ca="1">_xll.EURO(UnderlyingPrice,$D64,IntRate,Yield,$I64,$D$6,L$12,0)</f>
        <v>1.3165103815591066</v>
      </c>
      <c r="M64" s="58">
        <f ca="1">_xll.EURO(UnderlyingPrice,$D64,IntRate,Yield,$I64,$D$6,M$12,0)</f>
        <v>0.30087288385542932</v>
      </c>
      <c r="O64" s="58">
        <f ca="1">_xll.EURO(UnderlyingPrice,$D64*(1+$P$8),IntRate,Yield,$H64,Expiry-Today,O$12,0)</f>
        <v>1.3152072438921407</v>
      </c>
      <c r="P64" s="58">
        <f ca="1">_xll.EURO(UnderlyingPrice,$D64*(1+$P$8),IntRate,Yield,$H64,Expiry-Today,P$12,0)</f>
        <v>0.30158833791060435</v>
      </c>
      <c r="R64" s="58">
        <f ca="1">_xll.EURO(UnderlyingPrice,$D64*(1-$P$8),IntRate,Yield,$J64,Expiry-Today,R$12,0)</f>
        <v>1.3178145541700044</v>
      </c>
      <c r="S64" s="58">
        <f ca="1">_xll.EURO(UnderlyingPrice,$D64*(1-$P$8),IntRate,Yield,$J64,Expiry-Today,S$12,0)</f>
        <v>0.30015846474418661</v>
      </c>
      <c r="U64" s="59">
        <f t="shared" ca="1" si="31"/>
        <v>0.24176634292079605</v>
      </c>
      <c r="V64" s="59"/>
      <c r="W64" s="62">
        <f t="shared" ca="1" si="30"/>
        <v>0.24780373267980765</v>
      </c>
      <c r="Z64" s="59">
        <f t="shared" ca="1" si="11"/>
        <v>0.24476637401740198</v>
      </c>
      <c r="AA64" s="59">
        <f t="shared" ca="1" si="12"/>
        <v>-0.14682728914847104</v>
      </c>
      <c r="AB64" s="59">
        <f t="shared" ca="1" si="4"/>
        <v>-2.1558252838688723E-2</v>
      </c>
      <c r="AC64" s="59">
        <f t="shared" ca="1" si="13"/>
        <v>-6.9478097043618237E-2</v>
      </c>
      <c r="AD64" s="60">
        <f t="shared" ca="1" si="5"/>
        <v>0.9328805660031344</v>
      </c>
      <c r="AE64" s="60">
        <f t="shared" ca="1" si="14"/>
        <v>0.22833779353188885</v>
      </c>
      <c r="AF64" s="60"/>
      <c r="AG64" s="97">
        <f t="shared" ca="1" si="15"/>
        <v>-0.37276828471214718</v>
      </c>
      <c r="AH64" s="97">
        <f t="shared" ca="1" si="16"/>
        <v>-0.37149919118786207</v>
      </c>
      <c r="AI64" s="97">
        <f t="shared" ca="1" si="17"/>
        <v>-0.3740380129418972</v>
      </c>
      <c r="AJ64" s="62"/>
      <c r="AK64" s="97">
        <f t="shared" ca="1" si="18"/>
        <v>0.4038928074408058</v>
      </c>
      <c r="AL64" s="97"/>
      <c r="AM64" s="95">
        <v>2</v>
      </c>
      <c r="AN64" s="96">
        <f t="shared" si="6"/>
        <v>5.3990966513188049E-2</v>
      </c>
      <c r="AX64" s="107">
        <f t="shared" ca="1" si="19"/>
        <v>0.49123997954108545</v>
      </c>
      <c r="AY64" s="107">
        <f t="shared" ca="1" si="20"/>
        <v>0.49122467138570081</v>
      </c>
      <c r="AZ64" s="107">
        <f t="shared" ca="1" si="21"/>
        <v>0.49125535837250245</v>
      </c>
      <c r="BB64" s="39">
        <f ca="1">_xll.EURO(UnderlyingPrice,$D64,IntRate,Yield,AX64,$D$6,1,0)</f>
        <v>1.2956514442920568</v>
      </c>
      <c r="BC64" s="39">
        <f ca="1">_xll.EURO(UnderlyingPrice,$D64*(1+$P$8),IntRate,Yield,AY64,$D$6,1,0)</f>
        <v>1.2942997514606631</v>
      </c>
      <c r="BD64" s="39">
        <f ca="1">_xll.EURO(UnderlyingPrice,$D64*(1-$P$8),IntRate,Yield,AZ64,$D$6,1,0)</f>
        <v>1.2970041713321172</v>
      </c>
      <c r="BF64" s="59">
        <f t="shared" ca="1" si="22"/>
        <v>0.24159458253004487</v>
      </c>
      <c r="BG64" s="39">
        <f t="shared" ca="1" si="23"/>
        <v>0.24762768308812139</v>
      </c>
      <c r="BI64" s="58">
        <f t="shared" ca="1" si="24"/>
        <v>-2.0858937267049793E-2</v>
      </c>
      <c r="BJ64" s="46">
        <f t="shared" ca="1" si="25"/>
        <v>-1.6099188835811552E-2</v>
      </c>
    </row>
    <row r="65" spans="3:62" x14ac:dyDescent="0.2">
      <c r="C65" s="56">
        <v>52</v>
      </c>
      <c r="D65" s="63">
        <f t="shared" ca="1" si="26"/>
        <v>4.1759999999999922</v>
      </c>
      <c r="E65" s="45">
        <f t="shared" ca="1" si="7"/>
        <v>-0.19366673102915777</v>
      </c>
      <c r="F65" s="45">
        <f t="shared" ca="1" si="8"/>
        <v>-0.1932635643946724</v>
      </c>
      <c r="G65" s="45">
        <f t="shared" ca="1" si="9"/>
        <v>-0.19406989766364313</v>
      </c>
      <c r="H65" s="45">
        <f t="shared" ca="1" si="27"/>
        <v>0.50993247182830315</v>
      </c>
      <c r="I65" s="45">
        <f t="shared" ca="1" si="28"/>
        <v>0.50992282702505687</v>
      </c>
      <c r="J65" s="45">
        <f t="shared" ca="1" si="29"/>
        <v>0.50991322659805838</v>
      </c>
      <c r="L65" s="58">
        <f ca="1">_xll.EURO(UnderlyingPrice,$D65,IntRate,Yield,$I65,$D$6,L$12,0)</f>
        <v>1.2927416824018181</v>
      </c>
      <c r="M65" s="58">
        <f ca="1">_xll.EURO(UnderlyingPrice,$D65,IntRate,Yield,$I65,$D$6,M$12,0)</f>
        <v>0.31417836809174249</v>
      </c>
      <c r="O65" s="58">
        <f ca="1">_xll.EURO(UnderlyingPrice,$D65*(1+$P$8),IntRate,Yield,$H65,Expiry-Today,O$12,0)</f>
        <v>1.2914457901542251</v>
      </c>
      <c r="P65" s="58">
        <f ca="1">_xll.EURO(UnderlyingPrice,$D65*(1+$P$8),IntRate,Yield,$H65,Expiry-Today,P$12,0)</f>
        <v>0.31491960465798741</v>
      </c>
      <c r="R65" s="58">
        <f ca="1">_xll.EURO(UnderlyingPrice,$D65*(1-$P$8),IntRate,Yield,$J65,Expiry-Today,R$12,0)</f>
        <v>1.2940386311760066</v>
      </c>
      <c r="S65" s="58">
        <f ca="1">_xll.EURO(UnderlyingPrice,$D65*(1-$P$8),IntRate,Yield,$J65,Expiry-Today,S$12,0)</f>
        <v>0.313438188052094</v>
      </c>
      <c r="U65" s="59">
        <f t="shared" ca="1" si="31"/>
        <v>0.24233684260916033</v>
      </c>
      <c r="V65" s="59"/>
      <c r="W65" s="62">
        <f t="shared" ca="1" si="30"/>
        <v>0.24838847888790846</v>
      </c>
      <c r="Z65" s="59">
        <f t="shared" ca="1" si="11"/>
        <v>0.24253909379406352</v>
      </c>
      <c r="AA65" s="59">
        <f t="shared" ca="1" si="12"/>
        <v>-0.13768601789148466</v>
      </c>
      <c r="AB65" s="59">
        <f t="shared" ca="1" si="4"/>
        <v>-1.8957439522814232E-2</v>
      </c>
      <c r="AC65" s="59">
        <f t="shared" ca="1" si="13"/>
        <v>-6.1096176611347558E-2</v>
      </c>
      <c r="AD65" s="60">
        <f t="shared" ca="1" si="5"/>
        <v>0.94073275893607111</v>
      </c>
      <c r="AE65" s="60">
        <f t="shared" ca="1" si="14"/>
        <v>0.22816447085474389</v>
      </c>
      <c r="AF65" s="60"/>
      <c r="AG65" s="97">
        <f t="shared" ca="1" si="15"/>
        <v>-0.34956022831937716</v>
      </c>
      <c r="AH65" s="97">
        <f t="shared" ca="1" si="16"/>
        <v>-0.34829113479509211</v>
      </c>
      <c r="AI65" s="97">
        <f t="shared" ca="1" si="17"/>
        <v>-0.35082995654912708</v>
      </c>
      <c r="AJ65" s="62"/>
      <c r="AK65" s="97">
        <f t="shared" ca="1" si="18"/>
        <v>0.40856365209072348</v>
      </c>
      <c r="AL65" s="97"/>
      <c r="AM65" s="95">
        <v>2.1</v>
      </c>
      <c r="AN65" s="96">
        <f t="shared" si="6"/>
        <v>4.3983595980427184E-2</v>
      </c>
      <c r="AX65" s="107">
        <f t="shared" ca="1" si="19"/>
        <v>0.49097005520342885</v>
      </c>
      <c r="AY65" s="107">
        <f t="shared" ca="1" si="20"/>
        <v>0.49095590970913078</v>
      </c>
      <c r="AZ65" s="107">
        <f t="shared" ca="1" si="21"/>
        <v>0.49098427194123462</v>
      </c>
      <c r="BB65" s="39">
        <f ca="1">_xll.EURO(UnderlyingPrice,$D65,IntRate,Yield,AX65,$D$6,1,0)</f>
        <v>1.2709910218145364</v>
      </c>
      <c r="BC65" s="39">
        <f ca="1">_xll.EURO(UnderlyingPrice,$D65*(1+$P$8),IntRate,Yield,AY65,$D$6,1,0)</f>
        <v>1.269646145380066</v>
      </c>
      <c r="BD65" s="39">
        <f ca="1">_xll.EURO(UnderlyingPrice,$D65*(1-$P$8),IntRate,Yield,AZ65,$D$6,1,0)</f>
        <v>1.2723369571811762</v>
      </c>
      <c r="BF65" s="59">
        <f t="shared" ca="1" si="22"/>
        <v>0.2428886121539432</v>
      </c>
      <c r="BG65" s="39">
        <f t="shared" ca="1" si="23"/>
        <v>0.24895402722323248</v>
      </c>
      <c r="BI65" s="58">
        <f t="shared" ca="1" si="24"/>
        <v>-2.17506605872817E-2</v>
      </c>
      <c r="BJ65" s="46">
        <f t="shared" ca="1" si="25"/>
        <v>-1.711315045815923E-2</v>
      </c>
    </row>
    <row r="66" spans="3:62" x14ac:dyDescent="0.2">
      <c r="C66" s="56">
        <v>53</v>
      </c>
      <c r="D66" s="63">
        <f t="shared" ca="1" si="26"/>
        <v>4.2139999999999924</v>
      </c>
      <c r="E66" s="45">
        <f t="shared" ca="1" si="7"/>
        <v>-0.18632940722147284</v>
      </c>
      <c r="F66" s="45">
        <f t="shared" ref="F66:F113" ca="1" si="32">+D66*(1+$P$8)/UnderlyingPrice-1</f>
        <v>-0.18592257192508366</v>
      </c>
      <c r="G66" s="45">
        <f t="shared" ref="G66:G113" ca="1" si="33">+D66*(1-$P$8)/UnderlyingPrice-1</f>
        <v>-0.18673624251786203</v>
      </c>
      <c r="H66" s="45">
        <f t="shared" ref="H66:H113" ca="1" si="34">OFFSET(VolSkewCoef,0,impvol_order-2)+OFFSET(VolSkewCoef,1,impvol_order-2)*F66+OFFSET(VolSkewCoef,2,impvol_order-2)*F66^2+IF(impvol_order&gt;2,OFFSET(VolSkewCoef,3,impvol_order-2)*F66^3,0)+IF(impvol_order&gt;3,OFFSET(VolSkewCoef,4,impvol_order-2)*F66^4,0)+IF(impvol_order&gt;4,OFFSET(VolSkewCoef,5,impvol_order-2)*F66^5,0)</f>
        <v>0.51011588907850336</v>
      </c>
      <c r="I66" s="45">
        <f t="shared" ca="1" si="28"/>
        <v>0.5101053351873982</v>
      </c>
      <c r="J66" s="45">
        <f t="shared" ref="J66:J113" ca="1" si="35">OFFSET(VolSkewCoef,0,impvol_order-2)+OFFSET(VolSkewCoef,1,impvol_order-2)*G66+OFFSET(VolSkewCoef,2,impvol_order-2)*G66^2+IF(impvol_order&gt;2,OFFSET(VolSkewCoef,3,impvol_order-2)*G66^3,0)+IF(impvol_order&gt;3,OFFSET(VolSkewCoef,4,impvol_order-2)*G66^4,0)+IF(impvol_order&gt;4,OFFSET(VolSkewCoef,5,impvol_order-2)*G66^5,0)</f>
        <v>0.51009482713077181</v>
      </c>
      <c r="L66" s="58">
        <f ca="1">_xll.EURO(UnderlyingPrice,$D66,IntRate,Yield,$I66,$D$6,L$12,0)</f>
        <v>1.2693228998111015</v>
      </c>
      <c r="M66" s="58">
        <f ca="1">_xll.EURO(UnderlyingPrice,$D66,IntRate,Yield,$I66,$D$6,M$12,0)</f>
        <v>0.32783376889462801</v>
      </c>
      <c r="O66" s="58">
        <f ca="1">_xll.EURO(UnderlyingPrice,$D66*(1+$P$8),IntRate,Yield,$H66,Expiry-Today,O$12,0)</f>
        <v>1.2680346420400648</v>
      </c>
      <c r="P66" s="58">
        <f ca="1">_xll.EURO(UnderlyingPrice,$D66*(1+$P$8),IntRate,Yield,$H66,Expiry-Today,P$12,0)</f>
        <v>0.32860117702912639</v>
      </c>
      <c r="R66" s="58">
        <f ca="1">_xll.EURO(UnderlyingPrice,$D66*(1-$P$8),IntRate,Yield,$J66,Expiry-Today,R$12,0)</f>
        <v>1.2706122352970182</v>
      </c>
      <c r="S66" s="58">
        <f ca="1">_xll.EURO(UnderlyingPrice,$D66*(1-$P$8),IntRate,Yield,$J66,Expiry-Today,S$12,0)</f>
        <v>0.32706743847501074</v>
      </c>
      <c r="U66" s="59">
        <f t="shared" ca="1" si="31"/>
        <v>0.24275870271390093</v>
      </c>
      <c r="V66" s="59"/>
      <c r="W66" s="62">
        <f t="shared" ref="W66:W112" ca="1" si="36">U66/$D$9</f>
        <v>0.24882087368430766</v>
      </c>
      <c r="Z66" s="59">
        <f t="shared" ca="1" si="11"/>
        <v>0.24035198283910988</v>
      </c>
      <c r="AA66" s="59">
        <f t="shared" ca="1" si="12"/>
        <v>-0.12862755308982488</v>
      </c>
      <c r="AB66" s="59">
        <f t="shared" ca="1" si="4"/>
        <v>-1.6545047413875715E-2</v>
      </c>
      <c r="AC66" s="59">
        <f t="shared" ca="1" si="13"/>
        <v>-5.3321501441414634E-2</v>
      </c>
      <c r="AD66" s="60">
        <f t="shared" ca="1" si="5"/>
        <v>0.94807515594980951</v>
      </c>
      <c r="AE66" s="60">
        <f t="shared" ca="1" si="14"/>
        <v>0.22787174361303505</v>
      </c>
      <c r="AF66" s="60"/>
      <c r="AG66" s="97">
        <f t="shared" ca="1" si="15"/>
        <v>-0.32656240273924564</v>
      </c>
      <c r="AH66" s="97">
        <f t="shared" ca="1" si="16"/>
        <v>-0.32529330921496069</v>
      </c>
      <c r="AI66" s="97">
        <f t="shared" ca="1" si="17"/>
        <v>-0.32783213096899555</v>
      </c>
      <c r="AJ66" s="62"/>
      <c r="AK66" s="97">
        <f t="shared" ca="1" si="18"/>
        <v>0.4129991245109183</v>
      </c>
      <c r="AL66" s="97"/>
      <c r="AM66" s="95">
        <v>2.2000000000000002</v>
      </c>
      <c r="AN66" s="96">
        <f t="shared" si="6"/>
        <v>3.5474592846231418E-2</v>
      </c>
      <c r="AX66" s="107">
        <f t="shared" ca="1" si="19"/>
        <v>0.49072372757813421</v>
      </c>
      <c r="AY66" s="107">
        <f t="shared" ca="1" si="20"/>
        <v>0.49071075492954735</v>
      </c>
      <c r="AZ66" s="107">
        <f t="shared" ca="1" si="21"/>
        <v>0.49073677202269322</v>
      </c>
      <c r="BB66" s="39">
        <f ca="1">_xll.EURO(UnderlyingPrice,$D66,IntRate,Yield,AX66,$D$6,1,0)</f>
        <v>1.2466813085541024</v>
      </c>
      <c r="BC66" s="39">
        <f ca="1">_xll.EURO(UnderlyingPrice,$D66*(1+$P$8),IntRate,Yield,AY66,$D$6,1,0)</f>
        <v>1.2453436944087493</v>
      </c>
      <c r="BD66" s="39">
        <f ca="1">_xll.EURO(UnderlyingPrice,$D66*(1-$P$8),IntRate,Yield,AZ66,$D$6,1,0)</f>
        <v>1.2480200059240998</v>
      </c>
      <c r="BF66" s="59">
        <f t="shared" ca="1" si="22"/>
        <v>0.24399979461526974</v>
      </c>
      <c r="BG66" s="39">
        <f t="shared" ca="1" si="23"/>
        <v>0.25009295813594129</v>
      </c>
      <c r="BI66" s="58">
        <f t="shared" ca="1" si="24"/>
        <v>-2.264159125699905E-2</v>
      </c>
      <c r="BJ66" s="46">
        <f t="shared" ca="1" si="25"/>
        <v>-1.8161490913230025E-2</v>
      </c>
    </row>
    <row r="67" spans="3:62" x14ac:dyDescent="0.2">
      <c r="C67" s="56">
        <v>54</v>
      </c>
      <c r="D67" s="63">
        <f t="shared" ca="1" si="26"/>
        <v>4.2519999999999927</v>
      </c>
      <c r="E67" s="45">
        <f t="shared" ca="1" si="7"/>
        <v>-0.17899208341378792</v>
      </c>
      <c r="F67" s="45">
        <f t="shared" ca="1" si="32"/>
        <v>-0.17858157945549491</v>
      </c>
      <c r="G67" s="45">
        <f t="shared" ca="1" si="33"/>
        <v>-0.17940258737208092</v>
      </c>
      <c r="H67" s="45">
        <f t="shared" ca="1" si="34"/>
        <v>0.51031424129893022</v>
      </c>
      <c r="I67" s="45">
        <f t="shared" ca="1" si="28"/>
        <v>0.5103027517285007</v>
      </c>
      <c r="J67" s="45">
        <f t="shared" ca="1" si="35"/>
        <v>0.51029130948157053</v>
      </c>
      <c r="L67" s="58">
        <f ca="1">_xll.EURO(UnderlyingPrice,$D67,IntRate,Yield,$I67,$D$6,L$12,0)</f>
        <v>1.2462546432047215</v>
      </c>
      <c r="M67" s="58">
        <f ca="1">_xll.EURO(UnderlyingPrice,$D67,IntRate,Yield,$I67,$D$6,M$12,0)</f>
        <v>0.3418396956818508</v>
      </c>
      <c r="O67" s="58">
        <f ca="1">_xll.EURO(UnderlyingPrice,$D67*(1+$P$8),IntRate,Yield,$H67,Expiry-Today,O$12,0)</f>
        <v>1.2449743981034938</v>
      </c>
      <c r="P67" s="58">
        <f ca="1">_xll.EURO(UnderlyingPrice,$D67*(1+$P$8),IntRate,Yield,$H67,Expiry-Today,P$12,0)</f>
        <v>0.3426336535778538</v>
      </c>
      <c r="R67" s="58">
        <f ca="1">_xll.EURO(UnderlyingPrice,$D67*(1-$P$8),IntRate,Yield,$J67,Expiry-Today,R$12,0)</f>
        <v>1.247535986789519</v>
      </c>
      <c r="S67" s="58">
        <f ca="1">_xll.EURO(UnderlyingPrice,$D67*(1-$P$8),IntRate,Yield,$J67,Expiry-Today,S$12,0)</f>
        <v>0.34104683626941701</v>
      </c>
      <c r="U67" s="59">
        <f t="shared" ca="1" si="31"/>
        <v>0.24303400577438772</v>
      </c>
      <c r="V67" s="59"/>
      <c r="W67" s="62">
        <f t="shared" ca="1" si="36"/>
        <v>0.24910305161355378</v>
      </c>
      <c r="Z67" s="59">
        <f t="shared" ca="1" si="11"/>
        <v>0.23820396417780082</v>
      </c>
      <c r="AA67" s="59">
        <f t="shared" ca="1" si="12"/>
        <v>-0.11965040799212059</v>
      </c>
      <c r="AB67" s="59">
        <f t="shared" ca="1" si="4"/>
        <v>-1.4316220132680916E-2</v>
      </c>
      <c r="AC67" s="59">
        <f t="shared" ca="1" si="13"/>
        <v>-4.6138420358961992E-2</v>
      </c>
      <c r="AD67" s="60">
        <f t="shared" ca="1" si="5"/>
        <v>0.95490977408845779</v>
      </c>
      <c r="AE67" s="60">
        <f t="shared" ca="1" si="14"/>
        <v>0.22746329361999887</v>
      </c>
      <c r="AF67" s="60"/>
      <c r="AG67" s="97">
        <f t="shared" ca="1" si="15"/>
        <v>-0.30377103337534334</v>
      </c>
      <c r="AH67" s="97">
        <f t="shared" ca="1" si="16"/>
        <v>-0.3025019398510585</v>
      </c>
      <c r="AI67" s="97">
        <f t="shared" ca="1" si="17"/>
        <v>-0.30504076160509319</v>
      </c>
      <c r="AJ67" s="62"/>
      <c r="AK67" s="97">
        <f t="shared" ca="1" si="18"/>
        <v>0.41719595862827769</v>
      </c>
      <c r="AL67" s="97"/>
      <c r="AM67" s="95">
        <v>2.2999999999999998</v>
      </c>
      <c r="AN67" s="96">
        <f t="shared" si="6"/>
        <v>2.8327037741601183E-2</v>
      </c>
      <c r="AX67" s="107">
        <f t="shared" ca="1" si="19"/>
        <v>0.49050075271213589</v>
      </c>
      <c r="AY67" s="107">
        <f t="shared" ca="1" si="20"/>
        <v>0.49048896272777232</v>
      </c>
      <c r="AZ67" s="107">
        <f t="shared" ca="1" si="21"/>
        <v>0.49051261502955945</v>
      </c>
      <c r="BB67" s="39">
        <f ca="1">_xll.EURO(UnderlyingPrice,$D67,IntRate,Yield,AX67,$D$6,1,0)</f>
        <v>1.2227239090665809</v>
      </c>
      <c r="BC67" s="39">
        <f ca="1">_xll.EURO(UnderlyingPrice,$D67*(1+$P$8),IntRate,Yield,AY67,$D$6,1,0)</f>
        <v>1.2213939909141054</v>
      </c>
      <c r="BD67" s="39">
        <f ca="1">_xll.EURO(UnderlyingPrice,$D67*(1-$P$8),IntRate,Yield,AZ67,$D$6,1,0)</f>
        <v>1.2240549342640934</v>
      </c>
      <c r="BF67" s="59">
        <f t="shared" ca="1" si="22"/>
        <v>0.24492818762602003</v>
      </c>
      <c r="BG67" s="39">
        <f t="shared" ca="1" si="23"/>
        <v>0.25104453497942747</v>
      </c>
      <c r="BI67" s="58">
        <f t="shared" ca="1" si="24"/>
        <v>-2.3530734138140552E-2</v>
      </c>
      <c r="BJ67" s="46">
        <f t="shared" ca="1" si="25"/>
        <v>-1.9244519522075718E-2</v>
      </c>
    </row>
    <row r="68" spans="3:62" x14ac:dyDescent="0.2">
      <c r="C68" s="56">
        <v>55</v>
      </c>
      <c r="D68" s="63">
        <f t="shared" ca="1" si="26"/>
        <v>4.2899999999999929</v>
      </c>
      <c r="E68" s="45">
        <f t="shared" ca="1" si="7"/>
        <v>-0.17165475960610299</v>
      </c>
      <c r="F68" s="45">
        <f t="shared" ca="1" si="32"/>
        <v>-0.17124058698590605</v>
      </c>
      <c r="G68" s="45">
        <f t="shared" ca="1" si="33"/>
        <v>-0.17206893222629982</v>
      </c>
      <c r="H68" s="45">
        <f t="shared" ca="1" si="34"/>
        <v>0.51052773923356709</v>
      </c>
      <c r="I68" s="45">
        <f t="shared" ca="1" si="28"/>
        <v>0.51051528707654792</v>
      </c>
      <c r="J68" s="45">
        <f t="shared" ca="1" si="35"/>
        <v>0.51050288376315345</v>
      </c>
      <c r="L68" s="58">
        <f ca="1">_xll.EURO(UnderlyingPrice,$D68,IntRate,Yield,$I68,$D$6,L$12,0)</f>
        <v>1.2235373103961211</v>
      </c>
      <c r="M68" s="58">
        <f ca="1">_xll.EURO(UnderlyingPrice,$D68,IntRate,Yield,$I68,$D$6,M$12,0)</f>
        <v>0.35619654626685193</v>
      </c>
      <c r="O68" s="58">
        <f ca="1">_xll.EURO(UnderlyingPrice,$D68*(1+$P$8),IntRate,Yield,$H68,Expiry-Today,O$12,0)</f>
        <v>1.2222654450467272</v>
      </c>
      <c r="P68" s="58">
        <f ca="1">_xll.EURO(UnderlyingPrice,$D68*(1+$P$8),IntRate,Yield,$H68,Expiry-Today,P$12,0)</f>
        <v>0.35701742100638567</v>
      </c>
      <c r="R68" s="58">
        <f ca="1">_xll.EURO(UnderlyingPrice,$D68*(1-$P$8),IntRate,Yield,$J68,Expiry-Today,R$12,0)</f>
        <v>1.2248102945539796</v>
      </c>
      <c r="S68" s="58">
        <f ca="1">_xll.EURO(UnderlyingPrice,$D68*(1-$P$8),IntRate,Yield,$J68,Expiry-Today,S$12,0)</f>
        <v>0.35537679033578273</v>
      </c>
      <c r="U68" s="59">
        <f t="shared" ca="1" si="31"/>
        <v>0.24316504790556778</v>
      </c>
      <c r="V68" s="59"/>
      <c r="W68" s="62">
        <f t="shared" ca="1" si="36"/>
        <v>0.24923736612918251</v>
      </c>
      <c r="Z68" s="59">
        <f t="shared" ca="1" si="11"/>
        <v>0.23609399899394148</v>
      </c>
      <c r="AA68" s="59">
        <f t="shared" ca="1" si="12"/>
        <v>-0.11075313553189642</v>
      </c>
      <c r="AB68" s="59">
        <f t="shared" ca="1" si="4"/>
        <v>-1.2266257030146617E-2</v>
      </c>
      <c r="AC68" s="59">
        <f t="shared" ca="1" si="13"/>
        <v>-3.9531784077281848E-2</v>
      </c>
      <c r="AD68" s="60">
        <f t="shared" ca="1" si="5"/>
        <v>0.96123940139763742</v>
      </c>
      <c r="AE68" s="60">
        <f t="shared" ca="1" si="14"/>
        <v>0.22694285426651073</v>
      </c>
      <c r="AF68" s="60"/>
      <c r="AG68" s="97">
        <f t="shared" ca="1" si="15"/>
        <v>-0.2811824463841292</v>
      </c>
      <c r="AH68" s="97">
        <f t="shared" ca="1" si="16"/>
        <v>-0.27991335285984403</v>
      </c>
      <c r="AI68" s="97">
        <f t="shared" ca="1" si="17"/>
        <v>-0.282452174613879</v>
      </c>
      <c r="AJ68" s="62"/>
      <c r="AK68" s="97">
        <f t="shared" ca="1" si="18"/>
        <v>0.42115138606909208</v>
      </c>
      <c r="AL68" s="97"/>
      <c r="AM68" s="95">
        <v>2.4000000000000101</v>
      </c>
      <c r="AN68" s="96">
        <f t="shared" si="6"/>
        <v>2.2394530294842351E-2</v>
      </c>
      <c r="AX68" s="107">
        <f t="shared" ca="1" si="19"/>
        <v>0.49030088665236843</v>
      </c>
      <c r="AY68" s="107">
        <f t="shared" ca="1" si="20"/>
        <v>0.4902902887846276</v>
      </c>
      <c r="AZ68" s="107">
        <f t="shared" ca="1" si="21"/>
        <v>0.49031155737451437</v>
      </c>
      <c r="BB68" s="39">
        <f ca="1">_xll.EURO(UnderlyingPrice,$D68,IntRate,Yield,AX68,$D$6,1,0)</f>
        <v>1.1991201640174198</v>
      </c>
      <c r="BC68" s="39">
        <f ca="1">_xll.EURO(UnderlyingPrice,$D68*(1+$P$8),IntRate,Yield,AY68,$D$6,1,0)</f>
        <v>1.1977983628700977</v>
      </c>
      <c r="BD68" s="39">
        <f ca="1">_xll.EURO(UnderlyingPrice,$D68*(1-$P$8),IntRate,Yield,AZ68,$D$6,1,0)</f>
        <v>1.2004430955184731</v>
      </c>
      <c r="BF68" s="59">
        <f t="shared" ca="1" si="22"/>
        <v>0.24567432932016237</v>
      </c>
      <c r="BG68" s="39">
        <f t="shared" ca="1" si="23"/>
        <v>0.2518093093259422</v>
      </c>
      <c r="BI68" s="58">
        <f t="shared" ca="1" si="24"/>
        <v>-2.4417146378701293E-2</v>
      </c>
      <c r="BJ68" s="46">
        <f t="shared" ca="1" si="25"/>
        <v>-2.036255173701389E-2</v>
      </c>
    </row>
    <row r="69" spans="3:62" x14ac:dyDescent="0.2">
      <c r="C69" s="56">
        <v>56</v>
      </c>
      <c r="D69" s="63">
        <f t="shared" ca="1" si="26"/>
        <v>4.3279999999999932</v>
      </c>
      <c r="E69" s="45">
        <f t="shared" ca="1" si="7"/>
        <v>-0.16431743579841807</v>
      </c>
      <c r="F69" s="45">
        <f t="shared" ca="1" si="32"/>
        <v>-0.1638995945163173</v>
      </c>
      <c r="G69" s="45">
        <f t="shared" ca="1" si="33"/>
        <v>-0.16473527708051872</v>
      </c>
      <c r="H69" s="45">
        <f t="shared" ca="1" si="34"/>
        <v>0.51075659362639814</v>
      </c>
      <c r="I69" s="45">
        <f t="shared" ca="1" si="28"/>
        <v>0.51074315165972339</v>
      </c>
      <c r="J69" s="45">
        <f t="shared" ca="1" si="35"/>
        <v>0.5107297600882198</v>
      </c>
      <c r="L69" s="58">
        <f ca="1">_xll.EURO(UnderlyingPrice,$D69,IntRate,Yield,$I69,$D$6,L$12,0)</f>
        <v>1.2011710909119726</v>
      </c>
      <c r="M69" s="58">
        <f ca="1">_xll.EURO(UnderlyingPrice,$D69,IntRate,Yield,$I69,$D$6,M$12,0)</f>
        <v>0.37090451017630532</v>
      </c>
      <c r="O69" s="58">
        <f ca="1">_xll.EURO(UnderlyingPrice,$D69*(1+$P$8),IntRate,Yield,$H69,Expiry-Today,O$12,0)</f>
        <v>1.1999079610633809</v>
      </c>
      <c r="P69" s="58">
        <f ca="1">_xll.EURO(UnderlyingPrice,$D69*(1+$P$8),IntRate,Yield,$H69,Expiry-Today,P$12,0)</f>
        <v>0.37175265750833764</v>
      </c>
      <c r="R69" s="58">
        <f ca="1">_xll.EURO(UnderlyingPrice,$D69*(1-$P$8),IntRate,Yield,$J69,Expiry-Today,R$12,0)</f>
        <v>1.2024353594270307</v>
      </c>
      <c r="S69" s="58">
        <f ca="1">_xll.EURO(UnderlyingPrice,$D69*(1-$P$8),IntRate,Yield,$J69,Expiry-Today,S$12,0)</f>
        <v>0.37005750151073946</v>
      </c>
      <c r="U69" s="59">
        <f t="shared" ca="1" si="31"/>
        <v>0.24315433578905588</v>
      </c>
      <c r="V69" s="59"/>
      <c r="W69" s="62">
        <f t="shared" ca="1" si="36"/>
        <v>0.24922638650966855</v>
      </c>
      <c r="Z69" s="59">
        <f t="shared" ca="1" si="11"/>
        <v>0.23402108495471557</v>
      </c>
      <c r="AA69" s="59">
        <f t="shared" ca="1" si="12"/>
        <v>-0.10193432692764157</v>
      </c>
      <c r="AB69" s="59">
        <f t="shared" ca="1" si="4"/>
        <v>-1.0390607006191313E-2</v>
      </c>
      <c r="AC69" s="59">
        <f t="shared" ca="1" si="13"/>
        <v>-3.3486925277297665E-2</v>
      </c>
      <c r="AD69" s="60">
        <f t="shared" ca="1" si="5"/>
        <v>0.96706755528886379</v>
      </c>
      <c r="AE69" s="60">
        <f t="shared" ca="1" si="14"/>
        <v>0.22631419851320431</v>
      </c>
      <c r="AF69" s="60"/>
      <c r="AG69" s="97">
        <f t="shared" ca="1" si="15"/>
        <v>-0.25879306512075495</v>
      </c>
      <c r="AH69" s="97">
        <f t="shared" ca="1" si="16"/>
        <v>-0.25752397159646984</v>
      </c>
      <c r="AI69" s="97">
        <f t="shared" ca="1" si="17"/>
        <v>-0.26006279335050464</v>
      </c>
      <c r="AJ69" s="62"/>
      <c r="AK69" s="97">
        <f t="shared" ca="1" si="18"/>
        <v>0.42486314728460339</v>
      </c>
      <c r="AL69" s="97"/>
      <c r="AM69" s="95">
        <v>2.5</v>
      </c>
      <c r="AN69" s="96">
        <f t="shared" si="6"/>
        <v>1.7528300493568537E-2</v>
      </c>
      <c r="AX69" s="107">
        <f t="shared" ca="1" si="19"/>
        <v>0.49012388544576607</v>
      </c>
      <c r="AY69" s="107">
        <f t="shared" ca="1" si="20"/>
        <v>0.49011448878093483</v>
      </c>
      <c r="AZ69" s="107">
        <f t="shared" ca="1" si="21"/>
        <v>0.49013335547023901</v>
      </c>
      <c r="BB69" s="39">
        <f ca="1">_xll.EURO(UnderlyingPrice,$D69,IntRate,Yield,AX69,$D$6,1,0)</f>
        <v>1.175871150956517</v>
      </c>
      <c r="BC69" s="39">
        <f ca="1">_xll.EURO(UnderlyingPrice,$D69*(1+$P$8),IntRate,Yield,AY69,$D$6,1,0)</f>
        <v>1.1745578746722427</v>
      </c>
      <c r="BD69" s="39">
        <f ca="1">_xll.EURO(UnderlyingPrice,$D69*(1-$P$8),IntRate,Yield,AZ69,$D$6,1,0)</f>
        <v>1.1771855803534708</v>
      </c>
      <c r="BF69" s="59">
        <f t="shared" ca="1" si="22"/>
        <v>0.24623922452342845</v>
      </c>
      <c r="BG69" s="39">
        <f t="shared" ca="1" si="23"/>
        <v>0.252388311093728</v>
      </c>
      <c r="BI69" s="58">
        <f t="shared" ca="1" si="24"/>
        <v>-2.5299939955455653E-2</v>
      </c>
      <c r="BJ69" s="46">
        <f t="shared" ca="1" si="25"/>
        <v>-2.1515911785806904E-2</v>
      </c>
    </row>
    <row r="70" spans="3:62" x14ac:dyDescent="0.2">
      <c r="C70" s="56">
        <v>57</v>
      </c>
      <c r="D70" s="63">
        <f t="shared" ca="1" si="26"/>
        <v>4.3659999999999934</v>
      </c>
      <c r="E70" s="45">
        <f t="shared" ca="1" si="7"/>
        <v>-0.15698011199073314</v>
      </c>
      <c r="F70" s="45">
        <f t="shared" ca="1" si="32"/>
        <v>-0.15655860204672856</v>
      </c>
      <c r="G70" s="45">
        <f t="shared" ca="1" si="33"/>
        <v>-0.15740162193473772</v>
      </c>
      <c r="H70" s="45">
        <f t="shared" ca="1" si="34"/>
        <v>0.51100101522140673</v>
      </c>
      <c r="I70" s="45">
        <f t="shared" ca="1" si="28"/>
        <v>0.51098655590621045</v>
      </c>
      <c r="J70" s="45">
        <f t="shared" ca="1" si="35"/>
        <v>0.51097214856946838</v>
      </c>
      <c r="L70" s="58">
        <f ca="1">_xll.EURO(UnderlyingPrice,$D70,IntRate,Yield,$I70,$D$6,L$12,0)</f>
        <v>1.179155969609686</v>
      </c>
      <c r="M70" s="58">
        <f ca="1">_xll.EURO(UnderlyingPrice,$D70,IntRate,Yield,$I70,$D$6,M$12,0)</f>
        <v>0.3859635722676209</v>
      </c>
      <c r="O70" s="58">
        <f ca="1">_xll.EURO(UnderlyingPrice,$D70*(1+$P$8),IntRate,Yield,$H70,Expiry-Today,O$12,0)</f>
        <v>1.1779019194814642</v>
      </c>
      <c r="P70" s="58">
        <f ca="1">_xll.EURO(UnderlyingPrice,$D70*(1+$P$8),IntRate,Yield,$H70,Expiry-Today,P$12,0)</f>
        <v>0.38683933641172086</v>
      </c>
      <c r="R70" s="58">
        <f ca="1">_xll.EURO(UnderlyingPrice,$D70*(1-$P$8),IntRate,Yield,$J70,Expiry-Today,R$12,0)</f>
        <v>1.1804111777735282</v>
      </c>
      <c r="S70" s="58">
        <f ca="1">_xll.EURO(UnderlyingPrice,$D70*(1-$P$8),IntRate,Yield,$J70,Expiry-Today,S$12,0)</f>
        <v>0.3850889661591419</v>
      </c>
      <c r="U70" s="59">
        <f t="shared" ca="1" si="31"/>
        <v>0.24300457314781462</v>
      </c>
      <c r="V70" s="59"/>
      <c r="W70" s="62">
        <f t="shared" ca="1" si="36"/>
        <v>0.24907288399535155</v>
      </c>
      <c r="Z70" s="59">
        <f t="shared" ca="1" si="11"/>
        <v>0.2319842546229979</v>
      </c>
      <c r="AA70" s="59">
        <f t="shared" ca="1" si="12"/>
        <v>-9.3192610344069754E-2</v>
      </c>
      <c r="AB70" s="59">
        <f t="shared" ca="1" si="4"/>
        <v>-8.6848626227416167E-3</v>
      </c>
      <c r="AC70" s="59">
        <f t="shared" ca="1" si="13"/>
        <v>-2.7989639634917515E-2</v>
      </c>
      <c r="AD70" s="60">
        <f t="shared" ca="1" si="5"/>
        <v>0.97239844115191576</v>
      </c>
      <c r="AE70" s="60">
        <f t="shared" ca="1" si="14"/>
        <v>0.22558112756719226</v>
      </c>
      <c r="AF70" s="60"/>
      <c r="AG70" s="97">
        <f t="shared" ca="1" si="15"/>
        <v>-0.23659940674024316</v>
      </c>
      <c r="AH70" s="97">
        <f t="shared" ca="1" si="16"/>
        <v>-0.23533031321595807</v>
      </c>
      <c r="AI70" s="97">
        <f t="shared" ca="1" si="17"/>
        <v>-0.23786913496999312</v>
      </c>
      <c r="AJ70" s="62"/>
      <c r="AK70" s="97">
        <f t="shared" ca="1" si="18"/>
        <v>0.42832948386209901</v>
      </c>
      <c r="AL70" s="97"/>
      <c r="AM70" s="95">
        <v>2.6</v>
      </c>
      <c r="AN70" s="96">
        <f t="shared" si="6"/>
        <v>1.3582969233685611E-2</v>
      </c>
      <c r="AX70" s="107">
        <f t="shared" ca="1" si="19"/>
        <v>0.48996950513926335</v>
      </c>
      <c r="AY70" s="107">
        <f t="shared" ca="1" si="20"/>
        <v>0.489961318397516</v>
      </c>
      <c r="AZ70" s="107">
        <f t="shared" ca="1" si="21"/>
        <v>0.48997776572941448</v>
      </c>
      <c r="BB70" s="39">
        <f ca="1">_xll.EURO(UnderlyingPrice,$D70,IntRate,Yield,AX70,$D$6,1,0)</f>
        <v>1.1529776857693426</v>
      </c>
      <c r="BC70" s="39">
        <f ca="1">_xll.EURO(UnderlyingPrice,$D70*(1+$P$8),IntRate,Yield,AY70,$D$6,1,0)</f>
        <v>1.1516733286299243</v>
      </c>
      <c r="BD70" s="39">
        <f ca="1">_xll.EURO(UnderlyingPrice,$D70*(1-$P$8),IntRate,Yield,AZ70,$D$6,1,0)</f>
        <v>1.1542832181943159</v>
      </c>
      <c r="BF70" s="59">
        <f t="shared" ca="1" si="22"/>
        <v>0.24662433490025809</v>
      </c>
      <c r="BG70" s="39">
        <f t="shared" ca="1" si="23"/>
        <v>0.252783038447913</v>
      </c>
      <c r="BI70" s="58">
        <f t="shared" ca="1" si="24"/>
        <v>-2.6178283840343486E-2</v>
      </c>
      <c r="BJ70" s="46">
        <f t="shared" ca="1" si="25"/>
        <v>-2.2704935371646515E-2</v>
      </c>
    </row>
    <row r="71" spans="3:62" x14ac:dyDescent="0.2">
      <c r="C71" s="56">
        <v>58</v>
      </c>
      <c r="D71" s="63">
        <f t="shared" ca="1" si="26"/>
        <v>4.4039999999999937</v>
      </c>
      <c r="E71" s="45">
        <f t="shared" ca="1" si="7"/>
        <v>-0.14964278818304821</v>
      </c>
      <c r="F71" s="45">
        <f t="shared" ca="1" si="32"/>
        <v>-0.14921760957713981</v>
      </c>
      <c r="G71" s="45">
        <f t="shared" ca="1" si="33"/>
        <v>-0.15006796678895662</v>
      </c>
      <c r="H71" s="45">
        <f t="shared" ca="1" si="34"/>
        <v>0.51126121476257635</v>
      </c>
      <c r="I71" s="45">
        <f t="shared" ca="1" si="28"/>
        <v>0.51124571024419263</v>
      </c>
      <c r="J71" s="45">
        <f t="shared" ca="1" si="35"/>
        <v>0.51123025931959842</v>
      </c>
      <c r="L71" s="58">
        <f ca="1">_xll.EURO(UnderlyingPrice,$D71,IntRate,Yield,$I71,$D$6,L$12,0)</f>
        <v>1.1574917305793262</v>
      </c>
      <c r="M71" s="58">
        <f ca="1">_xll.EURO(UnderlyingPrice,$D71,IntRate,Yield,$I71,$D$6,M$12,0)</f>
        <v>0.40137351663086274</v>
      </c>
      <c r="O71" s="58">
        <f ca="1">_xll.EURO(UnderlyingPrice,$D71*(1+$P$8),IntRate,Yield,$H71,Expiry-Today,O$12,0)</f>
        <v>1.1562470926907409</v>
      </c>
      <c r="P71" s="58">
        <f ca="1">_xll.EURO(UnderlyingPrice,$D71*(1+$P$8),IntRate,Yield,$H71,Expiry-Today,P$12,0)</f>
        <v>0.40227723010629646</v>
      </c>
      <c r="R71" s="58">
        <f ca="1">_xll.EURO(UnderlyingPrice,$D71*(1-$P$8),IntRate,Yield,$J71,Expiry-Today,R$12,0)</f>
        <v>1.1587375453630631</v>
      </c>
      <c r="S71" s="58">
        <f ca="1">_xll.EURO(UnderlyingPrice,$D71*(1-$P$8),IntRate,Yield,$J71,Expiry-Today,S$12,0)</f>
        <v>0.40047098005058168</v>
      </c>
      <c r="U71" s="59">
        <f t="shared" ca="1" si="31"/>
        <v>0.24271864805333765</v>
      </c>
      <c r="V71" s="59"/>
      <c r="W71" s="62">
        <f t="shared" ca="1" si="36"/>
        <v>0.24877981877865415</v>
      </c>
      <c r="Z71" s="59">
        <f t="shared" ca="1" si="11"/>
        <v>0.22998257395186394</v>
      </c>
      <c r="AA71" s="59">
        <f t="shared" ca="1" si="12"/>
        <v>-8.452664961138831E-2</v>
      </c>
      <c r="AB71" s="59">
        <f t="shared" ca="1" si="4"/>
        <v>-7.1447544945264117E-3</v>
      </c>
      <c r="AC71" s="59">
        <f t="shared" ca="1" si="13"/>
        <v>-2.302616774364389E-2</v>
      </c>
      <c r="AD71" s="60">
        <f t="shared" ca="1" si="5"/>
        <v>0.9772369113537166</v>
      </c>
      <c r="AE71" s="60">
        <f t="shared" ca="1" si="14"/>
        <v>0.22474746023389724</v>
      </c>
      <c r="AF71" s="60"/>
      <c r="AG71" s="97">
        <f t="shared" ca="1" si="15"/>
        <v>-0.21459807894593971</v>
      </c>
      <c r="AH71" s="97">
        <f t="shared" ca="1" si="16"/>
        <v>-0.21332898542165471</v>
      </c>
      <c r="AI71" s="97">
        <f t="shared" ca="1" si="17"/>
        <v>-0.2158678071756896</v>
      </c>
      <c r="AJ71" s="62"/>
      <c r="AK71" s="97">
        <f t="shared" ca="1" si="18"/>
        <v>0.43154913107229348</v>
      </c>
      <c r="AL71" s="97"/>
      <c r="AM71" s="95">
        <v>2.7000000000000099</v>
      </c>
      <c r="AN71" s="96">
        <f t="shared" si="6"/>
        <v>1.0420934814422318E-2</v>
      </c>
      <c r="AX71" s="107">
        <f t="shared" ca="1" si="19"/>
        <v>0.48983750177979474</v>
      </c>
      <c r="AY71" s="107">
        <f t="shared" ca="1" si="20"/>
        <v>0.48983053331519288</v>
      </c>
      <c r="AZ71" s="107">
        <f t="shared" ca="1" si="21"/>
        <v>0.48984454456472187</v>
      </c>
      <c r="BB71" s="39">
        <f ca="1">_xll.EURO(UnderlyingPrice,$D71,IntRate,Yield,AX71,$D$6,1,0)</f>
        <v>1.1304403247852908</v>
      </c>
      <c r="BC71" s="39">
        <f ca="1">_xll.EURO(UnderlyingPrice,$D71*(1+$P$8),IntRate,Yield,AY71,$D$6,1,0)</f>
        <v>1.1291452671167446</v>
      </c>
      <c r="BD71" s="39">
        <f ca="1">_xll.EURO(UnderlyingPrice,$D71*(1-$P$8),IntRate,Yield,AZ71,$D$6,1,0)</f>
        <v>1.1317365792917093</v>
      </c>
      <c r="BF71" s="59">
        <f t="shared" ca="1" si="22"/>
        <v>0.24683156348734467</v>
      </c>
      <c r="BG71" s="39">
        <f t="shared" ca="1" si="23"/>
        <v>0.25299544194782797</v>
      </c>
      <c r="BI71" s="58">
        <f t="shared" ca="1" si="24"/>
        <v>-2.7051405794035421E-2</v>
      </c>
      <c r="BJ71" s="46">
        <f t="shared" ca="1" si="25"/>
        <v>-2.3929972419529006E-2</v>
      </c>
    </row>
    <row r="72" spans="3:62" x14ac:dyDescent="0.2">
      <c r="C72" s="56">
        <v>59</v>
      </c>
      <c r="D72" s="63">
        <f t="shared" ca="1" si="26"/>
        <v>4.441999999999994</v>
      </c>
      <c r="E72" s="45">
        <f t="shared" ca="1" si="7"/>
        <v>-0.14230546437536329</v>
      </c>
      <c r="F72" s="45">
        <f t="shared" ca="1" si="32"/>
        <v>-0.14187661710755106</v>
      </c>
      <c r="G72" s="45">
        <f t="shared" ca="1" si="33"/>
        <v>-0.14273431164317552</v>
      </c>
      <c r="H72" s="45">
        <f t="shared" ca="1" si="34"/>
        <v>0.51153740299389072</v>
      </c>
      <c r="I72" s="45">
        <f t="shared" ca="1" si="28"/>
        <v>0.51152082510185382</v>
      </c>
      <c r="J72" s="45">
        <f t="shared" ca="1" si="35"/>
        <v>0.51150430245130873</v>
      </c>
      <c r="L72" s="58">
        <f ca="1">_xll.EURO(UnderlyingPrice,$D72,IntRate,Yield,$I72,$D$6,L$12,0)</f>
        <v>1.1361779613140923</v>
      </c>
      <c r="M72" s="58">
        <f ca="1">_xll.EURO(UnderlyingPrice,$D72,IntRate,Yield,$I72,$D$6,M$12,0)</f>
        <v>0.41713393075923122</v>
      </c>
      <c r="O72" s="58">
        <f ca="1">_xll.EURO(UnderlyingPrice,$D72*(1+$P$8),IntRate,Yield,$H72,Expiry-Today,O$12,0)</f>
        <v>1.1349430563385754</v>
      </c>
      <c r="P72" s="58">
        <f ca="1">_xll.EURO(UnderlyingPrice,$D72*(1+$P$8),IntRate,Yield,$H72,Expiry-Today,P$12,0)</f>
        <v>0.41806591423942918</v>
      </c>
      <c r="R72" s="58">
        <f ca="1">_xll.EURO(UnderlyingPrice,$D72*(1-$P$8),IntRate,Yield,$J72,Expiry-Today,R$12,0)</f>
        <v>1.1374140615151376</v>
      </c>
      <c r="S72" s="58">
        <f ca="1">_xll.EURO(UnderlyingPrice,$D72*(1-$P$8),IntRate,Yield,$J72,Expiry-Today,S$12,0)</f>
        <v>0.41620314250456136</v>
      </c>
      <c r="U72" s="59">
        <f t="shared" ca="1" si="31"/>
        <v>0.24229962577906511</v>
      </c>
      <c r="V72" s="59"/>
      <c r="W72" s="62">
        <f t="shared" ca="1" si="36"/>
        <v>0.24835033267903303</v>
      </c>
      <c r="Z72" s="59">
        <f t="shared" ca="1" si="11"/>
        <v>0.22801514085637295</v>
      </c>
      <c r="AA72" s="59">
        <f t="shared" ca="1" si="12"/>
        <v>-7.5935142999586064E-2</v>
      </c>
      <c r="AB72" s="59">
        <f t="shared" ca="1" si="4"/>
        <v>-5.7661459423675844E-3</v>
      </c>
      <c r="AC72" s="59">
        <f t="shared" ca="1" si="13"/>
        <v>-1.8583177883159489E-2</v>
      </c>
      <c r="AD72" s="60">
        <f t="shared" ca="1" si="5"/>
        <v>0.98158842474880359</v>
      </c>
      <c r="AE72" s="60">
        <f t="shared" ca="1" si="14"/>
        <v>0.22381702293208369</v>
      </c>
      <c r="AF72" s="60"/>
      <c r="AG72" s="97">
        <f t="shared" ca="1" si="15"/>
        <v>-0.19278577687764981</v>
      </c>
      <c r="AH72" s="97">
        <f t="shared" ca="1" si="16"/>
        <v>-0.19151668335336486</v>
      </c>
      <c r="AI72" s="97">
        <f t="shared" ca="1" si="17"/>
        <v>-0.19405550510739969</v>
      </c>
      <c r="AJ72" s="62"/>
      <c r="AK72" s="97">
        <f t="shared" ca="1" si="18"/>
        <v>0.43452131919345777</v>
      </c>
      <c r="AL72" s="97"/>
      <c r="AM72" s="95">
        <v>2.80000000000001</v>
      </c>
      <c r="AN72" s="96">
        <f t="shared" si="6"/>
        <v>7.9154515829797413E-3</v>
      </c>
      <c r="AX72" s="107">
        <f t="shared" ca="1" si="19"/>
        <v>0.48972763141429448</v>
      </c>
      <c r="AY72" s="107">
        <f t="shared" ca="1" si="20"/>
        <v>0.48972188921478721</v>
      </c>
      <c r="AZ72" s="107">
        <f t="shared" ca="1" si="21"/>
        <v>0.4897334483888422</v>
      </c>
      <c r="BB72" s="39">
        <f ca="1">_xll.EURO(UnderlyingPrice,$D72,IntRate,Yield,AX72,$D$6,1,0)</f>
        <v>1.1082593675214709</v>
      </c>
      <c r="BC72" s="39">
        <f ca="1">_xll.EURO(UnderlyingPrice,$D72*(1+$P$8),IntRate,Yield,AY72,$D$6,1,0)</f>
        <v>1.1069739753568872</v>
      </c>
      <c r="BD72" s="39">
        <f ca="1">_xll.EURO(UnderlyingPrice,$D72*(1-$P$8),IntRate,Yield,AZ72,$D$6,1,0)</f>
        <v>1.109545977423128</v>
      </c>
      <c r="BF72" s="59">
        <f t="shared" ca="1" si="22"/>
        <v>0.24686323224286358</v>
      </c>
      <c r="BG72" s="39">
        <f t="shared" ca="1" si="23"/>
        <v>0.25302790153559401</v>
      </c>
      <c r="BI72" s="58">
        <f t="shared" ca="1" si="24"/>
        <v>-2.7918593792621405E-2</v>
      </c>
      <c r="BJ72" s="46">
        <f t="shared" ca="1" si="25"/>
        <v>-2.5191389859450498E-2</v>
      </c>
    </row>
    <row r="73" spans="3:62" x14ac:dyDescent="0.2">
      <c r="C73" s="56">
        <v>60</v>
      </c>
      <c r="D73" s="63">
        <f t="shared" ca="1" si="26"/>
        <v>4.4799999999999942</v>
      </c>
      <c r="E73" s="45">
        <f t="shared" ca="1" si="7"/>
        <v>-0.13496814056767836</v>
      </c>
      <c r="F73" s="45">
        <f t="shared" ca="1" si="32"/>
        <v>-0.1345356246379622</v>
      </c>
      <c r="G73" s="45">
        <f t="shared" ca="1" si="33"/>
        <v>-0.13540065649739441</v>
      </c>
      <c r="H73" s="45">
        <f t="shared" ca="1" si="34"/>
        <v>0.51182979065933365</v>
      </c>
      <c r="I73" s="45">
        <f t="shared" ca="1" si="28"/>
        <v>0.51181211090737688</v>
      </c>
      <c r="J73" s="45">
        <f t="shared" ca="1" si="35"/>
        <v>0.51179448807729855</v>
      </c>
      <c r="L73" s="58">
        <f ca="1">_xll.EURO(UnderlyingPrice,$D73,IntRate,Yield,$I73,$D$6,L$12,0)</f>
        <v>1.115214057133382</v>
      </c>
      <c r="M73" s="58">
        <f ca="1">_xll.EURO(UnderlyingPrice,$D73,IntRate,Yield,$I73,$D$6,M$12,0)</f>
        <v>0.43324420997212343</v>
      </c>
      <c r="O73" s="58">
        <f ca="1">_xll.EURO(UnderlyingPrice,$D73*(1+$P$8),IntRate,Yield,$H73,Expiry-Today,O$12,0)</f>
        <v>1.1139891937781607</v>
      </c>
      <c r="P73" s="58">
        <f ca="1">_xll.EURO(UnderlyingPrice,$D73*(1+$P$8),IntRate,Yield,$H73,Expiry-Today,P$12,0)</f>
        <v>0.43420477216431341</v>
      </c>
      <c r="R73" s="58">
        <f ca="1">_xll.EURO(UnderlyingPrice,$D73*(1-$P$8),IntRate,Yield,$J73,Expiry-Today,R$12,0)</f>
        <v>1.1164401334970817</v>
      </c>
      <c r="S73" s="58">
        <f ca="1">_xll.EURO(UnderlyingPrice,$D73*(1-$P$8),IntRate,Yield,$J73,Expiry-Today,S$12,0)</f>
        <v>0.43228486078841066</v>
      </c>
      <c r="U73" s="59">
        <f t="shared" ca="1" si="31"/>
        <v>0.24175073312960502</v>
      </c>
      <c r="V73" s="59"/>
      <c r="W73" s="62">
        <f t="shared" ca="1" si="36"/>
        <v>0.24778773308086943</v>
      </c>
      <c r="Z73" s="59">
        <f t="shared" ca="1" si="11"/>
        <v>0.22608108385803766</v>
      </c>
      <c r="AA73" s="59">
        <f t="shared" ca="1" si="12"/>
        <v>-6.741682204492791E-2</v>
      </c>
      <c r="AB73" s="59">
        <f t="shared" ca="1" si="4"/>
        <v>-4.5450278946374779E-3</v>
      </c>
      <c r="AC73" s="59">
        <f t="shared" ca="1" si="13"/>
        <v>-1.464774958770647E-2</v>
      </c>
      <c r="AD73" s="60">
        <f t="shared" ca="1" si="5"/>
        <v>0.98545900681363841</v>
      </c>
      <c r="AE73" s="60">
        <f t="shared" ca="1" si="14"/>
        <v>0.22279364035809268</v>
      </c>
      <c r="AF73" s="60"/>
      <c r="AG73" s="97">
        <f t="shared" ca="1" si="15"/>
        <v>-0.1711592801323169</v>
      </c>
      <c r="AH73" s="97">
        <f t="shared" ca="1" si="16"/>
        <v>-0.16989018660803171</v>
      </c>
      <c r="AI73" s="97">
        <f t="shared" ca="1" si="17"/>
        <v>-0.17242900836206673</v>
      </c>
      <c r="AJ73" s="62"/>
      <c r="AK73" s="97">
        <f t="shared" ca="1" si="18"/>
        <v>0.43724575876112448</v>
      </c>
      <c r="AL73" s="97"/>
      <c r="AM73" s="95">
        <v>2.9000000000000101</v>
      </c>
      <c r="AN73" s="96">
        <f t="shared" si="6"/>
        <v>5.9525324197756786E-3</v>
      </c>
      <c r="AX73" s="107">
        <f t="shared" ca="1" si="19"/>
        <v>0.48963965008969706</v>
      </c>
      <c r="AY73" s="107">
        <f t="shared" ca="1" si="20"/>
        <v>0.48963514177712092</v>
      </c>
      <c r="AZ73" s="107">
        <f t="shared" ca="1" si="21"/>
        <v>0.48964423361445658</v>
      </c>
      <c r="BB73" s="39">
        <f ca="1">_xll.EURO(UnderlyingPrice,$D73,IntRate,Yield,AX73,$D$6,1,0)</f>
        <v>1.0864348600376807</v>
      </c>
      <c r="BC73" s="39">
        <f ca="1">_xll.EURO(UnderlyingPrice,$D73*(1+$P$8),IntRate,Yield,AY73,$D$6,1,0)</f>
        <v>1.0851594848230652</v>
      </c>
      <c r="BD73" s="39">
        <f ca="1">_xll.EURO(UnderlyingPrice,$D73*(1-$P$8),IntRate,Yield,AZ73,$D$6,1,0)</f>
        <v>1.0877114732049775</v>
      </c>
      <c r="BF73" s="59">
        <f t="shared" ca="1" si="22"/>
        <v>0.24672207454848671</v>
      </c>
      <c r="BG73" s="39">
        <f t="shared" ca="1" si="23"/>
        <v>0.25288321885089737</v>
      </c>
      <c r="BI73" s="58">
        <f t="shared" ca="1" si="24"/>
        <v>-2.8779197095701203E-2</v>
      </c>
      <c r="BJ73" s="46">
        <f t="shared" ca="1" si="25"/>
        <v>-2.6489574436798776E-2</v>
      </c>
    </row>
    <row r="74" spans="3:62" x14ac:dyDescent="0.2">
      <c r="C74" s="56">
        <v>61</v>
      </c>
      <c r="D74" s="63">
        <f t="shared" ca="1" si="26"/>
        <v>4.5179999999999945</v>
      </c>
      <c r="E74" s="45">
        <f t="shared" ca="1" si="7"/>
        <v>-0.12763081675999344</v>
      </c>
      <c r="F74" s="45">
        <f t="shared" ca="1" si="32"/>
        <v>-0.12719463216837346</v>
      </c>
      <c r="G74" s="45">
        <f t="shared" ca="1" si="33"/>
        <v>-0.12806700135161331</v>
      </c>
      <c r="H74" s="45">
        <f t="shared" ca="1" si="34"/>
        <v>0.51213858850288851</v>
      </c>
      <c r="I74" s="45">
        <f t="shared" ca="1" si="28"/>
        <v>0.51211977808894582</v>
      </c>
      <c r="J74" s="45">
        <f t="shared" ca="1" si="35"/>
        <v>0.51210102631026677</v>
      </c>
      <c r="L74" s="58">
        <f ca="1">_xll.EURO(UnderlyingPrice,$D74,IntRate,Yield,$I74,$D$6,L$12,0)</f>
        <v>1.0945992258421109</v>
      </c>
      <c r="M74" s="58">
        <f ca="1">_xll.EURO(UnderlyingPrice,$D74,IntRate,Yield,$I74,$D$6,M$12,0)</f>
        <v>0.44970356207445406</v>
      </c>
      <c r="O74" s="58">
        <f ca="1">_xll.EURO(UnderlyingPrice,$D74*(1+$P$8),IntRate,Yield,$H74,Expiry-Today,O$12,0)</f>
        <v>1.0933847007527828</v>
      </c>
      <c r="P74" s="58">
        <f ca="1">_xll.EURO(UnderlyingPrice,$D74*(1+$P$8),IntRate,Yield,$H74,Expiry-Today,P$12,0)</f>
        <v>0.45069299962423504</v>
      </c>
      <c r="R74" s="58">
        <f ca="1">_xll.EURO(UnderlyingPrice,$D74*(1-$P$8),IntRate,Yield,$J74,Expiry-Today,R$12,0)</f>
        <v>1.095814981158477</v>
      </c>
      <c r="S74" s="58">
        <f ca="1">_xll.EURO(UnderlyingPrice,$D74*(1-$P$8),IntRate,Yield,$J74,Expiry-Today,S$12,0)</f>
        <v>0.44871535475171132</v>
      </c>
      <c r="U74" s="59">
        <f t="shared" ca="1" si="31"/>
        <v>0.24107534997352206</v>
      </c>
      <c r="V74" s="59"/>
      <c r="W74" s="62">
        <f t="shared" ca="1" si="36"/>
        <v>0.24709548425481487</v>
      </c>
      <c r="Z74" s="59">
        <f t="shared" ca="1" si="11"/>
        <v>0.22417956079769999</v>
      </c>
      <c r="AA74" s="59">
        <f t="shared" ca="1" si="12"/>
        <v>-5.8970450426010124E-2</v>
      </c>
      <c r="AB74" s="59">
        <f t="shared" ca="1" si="4"/>
        <v>-3.4775140234465174E-3</v>
      </c>
      <c r="AC74" s="59">
        <f t="shared" ca="1" si="13"/>
        <v>-1.1207357970955888E-2</v>
      </c>
      <c r="AD74" s="60">
        <f t="shared" ca="1" si="5"/>
        <v>0.98885521050481384</v>
      </c>
      <c r="AE74" s="60">
        <f t="shared" ca="1" si="14"/>
        <v>0.22168112678348634</v>
      </c>
      <c r="AF74" s="60"/>
      <c r="AG74" s="97">
        <f t="shared" ca="1" si="15"/>
        <v>-0.14971544991052785</v>
      </c>
      <c r="AH74" s="97">
        <f t="shared" ca="1" si="16"/>
        <v>-0.14844635638624271</v>
      </c>
      <c r="AI74" s="97">
        <f t="shared" ca="1" si="17"/>
        <v>-0.15098517814027759</v>
      </c>
      <c r="AJ74" s="62"/>
      <c r="AK74" s="97">
        <f t="shared" ca="1" si="18"/>
        <v>0.43972263751443796</v>
      </c>
      <c r="AL74" s="97"/>
      <c r="AM74" s="95">
        <v>3</v>
      </c>
      <c r="AN74" s="96">
        <f t="shared" si="6"/>
        <v>4.4318484119380067E-3</v>
      </c>
      <c r="AX74" s="107">
        <f t="shared" ca="1" si="19"/>
        <v>0.4895733138529369</v>
      </c>
      <c r="AY74" s="107">
        <f t="shared" ca="1" si="20"/>
        <v>0.48957004668301574</v>
      </c>
      <c r="AZ74" s="107">
        <f t="shared" ca="1" si="21"/>
        <v>0.48957665665424616</v>
      </c>
      <c r="BB74" s="39">
        <f ca="1">_xll.EURO(UnderlyingPrice,$D74,IntRate,Yield,AX74,$D$6,1,0)</f>
        <v>1.0649665988761803</v>
      </c>
      <c r="BC74" s="39">
        <f ca="1">_xll.EURO(UnderlyingPrice,$D74*(1+$P$8),IntRate,Yield,AY74,$D$6,1,0)</f>
        <v>1.0637015772193812</v>
      </c>
      <c r="BD74" s="39">
        <f ca="1">_xll.EURO(UnderlyingPrice,$D74*(1-$P$8),IntRate,Yield,AZ74,$D$6,1,0)</f>
        <v>1.0662328779893095</v>
      </c>
      <c r="BF74" s="59">
        <f t="shared" ca="1" si="22"/>
        <v>0.24641120338332956</v>
      </c>
      <c r="BG74" s="39">
        <f t="shared" ca="1" si="23"/>
        <v>0.25256458461017639</v>
      </c>
      <c r="BI74" s="58">
        <f t="shared" ca="1" si="24"/>
        <v>-2.9632626965930609E-2</v>
      </c>
      <c r="BJ74" s="46">
        <f t="shared" ca="1" si="25"/>
        <v>-2.7824935539951037E-2</v>
      </c>
    </row>
    <row r="75" spans="3:62" x14ac:dyDescent="0.2">
      <c r="C75" s="56">
        <v>62</v>
      </c>
      <c r="D75" s="63">
        <f t="shared" ca="1" si="26"/>
        <v>4.5559999999999947</v>
      </c>
      <c r="E75" s="45">
        <f t="shared" ca="1" si="7"/>
        <v>-0.12029349295230851</v>
      </c>
      <c r="F75" s="45">
        <f t="shared" ca="1" si="32"/>
        <v>-0.11985363969878471</v>
      </c>
      <c r="G75" s="45">
        <f t="shared" ca="1" si="33"/>
        <v>-0.1207333462058322</v>
      </c>
      <c r="H75" s="45">
        <f t="shared" ca="1" si="34"/>
        <v>0.51246400726853925</v>
      </c>
      <c r="I75" s="45">
        <f t="shared" ca="1" si="28"/>
        <v>0.51244403707474384</v>
      </c>
      <c r="J75" s="45">
        <f t="shared" ca="1" si="35"/>
        <v>0.51242412726291253</v>
      </c>
      <c r="L75" s="58">
        <f ca="1">_xll.EURO(UnderlyingPrice,$D75,IntRate,Yield,$I75,$D$6,L$12,0)</f>
        <v>1.0743324926099307</v>
      </c>
      <c r="M75" s="58">
        <f ca="1">_xll.EURO(UnderlyingPrice,$D75,IntRate,Yield,$I75,$D$6,M$12,0)</f>
        <v>0.4665110122358751</v>
      </c>
      <c r="O75" s="58">
        <f ca="1">_xll.EURO(UnderlyingPrice,$D75*(1+$P$8),IntRate,Yield,$H75,Expiry-Today,O$12,0)</f>
        <v>1.073128590299659</v>
      </c>
      <c r="P75" s="58">
        <f ca="1">_xll.EURO(UnderlyingPrice,$D75*(1+$P$8),IntRate,Yield,$H75,Expiry-Today,P$12,0)</f>
        <v>0.46752960965641055</v>
      </c>
      <c r="R75" s="58">
        <f ca="1">_xll.EURO(UnderlyingPrice,$D75*(1-$P$8),IntRate,Yield,$J75,Expiry-Today,R$12,0)</f>
        <v>1.0755376417857745</v>
      </c>
      <c r="S75" s="58">
        <f ca="1">_xll.EURO(UnderlyingPrice,$D75*(1-$P$8),IntRate,Yield,$J75,Expiry-Today,S$12,0)</f>
        <v>0.46549366168091399</v>
      </c>
      <c r="U75" s="59">
        <f t="shared" ca="1" si="31"/>
        <v>0.24027699623383131</v>
      </c>
      <c r="V75" s="59"/>
      <c r="W75" s="62">
        <f t="shared" ca="1" si="36"/>
        <v>0.24627719402341131</v>
      </c>
      <c r="Z75" s="59">
        <f t="shared" ca="1" si="11"/>
        <v>0.22230975761282012</v>
      </c>
      <c r="AA75" s="59">
        <f t="shared" ca="1" si="12"/>
        <v>-5.0594822886885882E-2</v>
      </c>
      <c r="AB75" s="59">
        <f t="shared" ca="1" si="4"/>
        <v>-2.5598361029553515E-3</v>
      </c>
      <c r="AC75" s="59">
        <f t="shared" ca="1" si="13"/>
        <v>-8.2498587667416603E-3</v>
      </c>
      <c r="AD75" s="60">
        <f t="shared" ca="1" si="5"/>
        <v>0.99178407792965251</v>
      </c>
      <c r="AE75" s="60">
        <f t="shared" ca="1" si="14"/>
        <v>0.22048327796879535</v>
      </c>
      <c r="AF75" s="60"/>
      <c r="AG75" s="97">
        <f t="shared" ca="1" si="15"/>
        <v>-0.12845122628252062</v>
      </c>
      <c r="AH75" s="97">
        <f t="shared" ca="1" si="16"/>
        <v>-0.12718213275823556</v>
      </c>
      <c r="AI75" s="97">
        <f t="shared" ca="1" si="17"/>
        <v>-0.12972095451227031</v>
      </c>
      <c r="AJ75" s="62"/>
      <c r="AK75" s="97">
        <f t="shared" ca="1" si="18"/>
        <v>0.44195260820791904</v>
      </c>
      <c r="AL75" s="97"/>
      <c r="AM75" s="95">
        <v>3.1000000000000099</v>
      </c>
      <c r="AN75" s="96">
        <f t="shared" si="6"/>
        <v>3.2668190561998198E-3</v>
      </c>
      <c r="AX75" s="107">
        <f t="shared" ca="1" si="19"/>
        <v>0.48952837875094851</v>
      </c>
      <c r="AY75" s="107">
        <f t="shared" ca="1" si="20"/>
        <v>0.48952635961329349</v>
      </c>
      <c r="AZ75" s="107">
        <f t="shared" ca="1" si="21"/>
        <v>0.48953047392089188</v>
      </c>
      <c r="BB75" s="39">
        <f ca="1">_xll.EURO(UnderlyingPrice,$D75,IntRate,Yield,AX75,$D$6,1,0)</f>
        <v>1.0438541355577344</v>
      </c>
      <c r="BC75" s="39">
        <f ca="1">_xll.EURO(UnderlyingPrice,$D75*(1+$P$8),IntRate,Yield,AY75,$D$6,1,0)</f>
        <v>1.0425997890204526</v>
      </c>
      <c r="BD75" s="39">
        <f ca="1">_xll.EURO(UnderlyingPrice,$D75*(1-$P$8),IntRate,Yield,AZ75,$D$6,1,0)</f>
        <v>1.0451097583169036</v>
      </c>
      <c r="BF75" s="59">
        <f t="shared" ca="1" si="22"/>
        <v>0.24593409944046793</v>
      </c>
      <c r="BG75" s="39">
        <f t="shared" ca="1" si="23"/>
        <v>0.25207556642638357</v>
      </c>
      <c r="BI75" s="58">
        <f t="shared" ca="1" si="24"/>
        <v>-3.0478357052196259E-2</v>
      </c>
      <c r="BJ75" s="46">
        <f t="shared" ca="1" si="25"/>
        <v>-2.9197908035217563E-2</v>
      </c>
    </row>
    <row r="76" spans="3:62" x14ac:dyDescent="0.2">
      <c r="C76" s="56">
        <v>63</v>
      </c>
      <c r="D76" s="63">
        <f t="shared" ca="1" si="26"/>
        <v>4.593999999999995</v>
      </c>
      <c r="E76" s="45">
        <f t="shared" ca="1" si="7"/>
        <v>-0.11295616914462348</v>
      </c>
      <c r="F76" s="45">
        <f t="shared" ca="1" si="32"/>
        <v>-0.11251264722919596</v>
      </c>
      <c r="G76" s="45">
        <f t="shared" ca="1" si="33"/>
        <v>-0.1133996910600511</v>
      </c>
      <c r="H76" s="45">
        <f t="shared" ca="1" si="34"/>
        <v>0.51280625770026911</v>
      </c>
      <c r="I76" s="45">
        <f t="shared" ca="1" si="28"/>
        <v>0.51278509829295471</v>
      </c>
      <c r="J76" s="45">
        <f t="shared" ca="1" si="35"/>
        <v>0.51276400104793463</v>
      </c>
      <c r="L76" s="58">
        <f ca="1">_xll.EURO(UnderlyingPrice,$D76,IntRate,Yield,$I76,$D$6,L$12,0)</f>
        <v>1.054412705053783</v>
      </c>
      <c r="M76" s="58">
        <f ca="1">_xll.EURO(UnderlyingPrice,$D76,IntRate,Yield,$I76,$D$6,M$12,0)</f>
        <v>0.48366540807332914</v>
      </c>
      <c r="O76" s="58">
        <f ca="1">_xll.EURO(UnderlyingPrice,$D76*(1+$P$8),IntRate,Yield,$H76,Expiry-Today,O$12,0)</f>
        <v>1.0532196978567767</v>
      </c>
      <c r="P76" s="58">
        <f ca="1">_xll.EURO(UnderlyingPrice,$D76*(1+$P$8),IntRate,Yield,$H76,Expiry-Today,P$12,0)</f>
        <v>0.48471343769882624</v>
      </c>
      <c r="R76" s="58">
        <f ca="1">_xll.EURO(UnderlyingPrice,$D76*(1-$P$8),IntRate,Yield,$J76,Expiry-Today,R$12,0)</f>
        <v>1.0556069751606074</v>
      </c>
      <c r="S76" s="58">
        <f ca="1">_xll.EURO(UnderlyingPrice,$D76*(1-$P$8),IntRate,Yield,$J76,Expiry-Today,S$12,0)</f>
        <v>0.48261864135765209</v>
      </c>
      <c r="U76" s="59">
        <f t="shared" ca="1" si="31"/>
        <v>0.23935932372203308</v>
      </c>
      <c r="V76" s="59"/>
      <c r="W76" s="62">
        <f t="shared" ca="1" si="36"/>
        <v>0.24533660539120558</v>
      </c>
      <c r="Z76" s="59">
        <f t="shared" ca="1" si="11"/>
        <v>0.22047088717544808</v>
      </c>
      <c r="AA76" s="59">
        <f t="shared" ca="1" si="12"/>
        <v>-4.2288764204914883E-2</v>
      </c>
      <c r="AB76" s="59">
        <f t="shared" ca="1" si="4"/>
        <v>-1.7883395779788903E-3</v>
      </c>
      <c r="AC76" s="59">
        <f t="shared" ca="1" si="13"/>
        <v>-5.763474047524815E-3</v>
      </c>
      <c r="AD76" s="60">
        <f t="shared" ca="1" si="5"/>
        <v>0.99425310290678492</v>
      </c>
      <c r="AE76" s="60">
        <f t="shared" ca="1" si="14"/>
        <v>0.21920386367480094</v>
      </c>
      <c r="AF76" s="60"/>
      <c r="AG76" s="97">
        <f t="shared" ca="1" si="15"/>
        <v>-0.10736362556773885</v>
      </c>
      <c r="AH76" s="97">
        <f t="shared" ca="1" si="16"/>
        <v>-0.10609453204345416</v>
      </c>
      <c r="AI76" s="97">
        <f t="shared" ca="1" si="17"/>
        <v>-0.10863335379748883</v>
      </c>
      <c r="AJ76" s="62"/>
      <c r="AK76" s="97">
        <f t="shared" ca="1" si="18"/>
        <v>0.44393678420947086</v>
      </c>
      <c r="AL76" s="97"/>
      <c r="AM76" s="95"/>
      <c r="AN76" s="96"/>
      <c r="AX76" s="107">
        <f t="shared" ca="1" si="19"/>
        <v>0.4895046008306661</v>
      </c>
      <c r="AY76" s="107">
        <f t="shared" ca="1" si="20"/>
        <v>0.48950383624877608</v>
      </c>
      <c r="AZ76" s="107">
        <f t="shared" ca="1" si="21"/>
        <v>0.48950544182707489</v>
      </c>
      <c r="BB76" s="39">
        <f ca="1">_xll.EURO(UnderlyingPrice,$D76,IntRate,Yield,AX76,$D$6,1,0)</f>
        <v>1.0230967816037722</v>
      </c>
      <c r="BC76" s="39">
        <f ca="1">_xll.EURO(UnderlyingPrice,$D76*(1+$P$8),IntRate,Yield,AY76,$D$6,1,0)</f>
        <v>1.0218534165363455</v>
      </c>
      <c r="BD76" s="39">
        <f ca="1">_xll.EURO(UnderlyingPrice,$D76*(1-$P$8),IntRate,Yield,AZ76,$D$6,1,0)</f>
        <v>1.0243414408966971</v>
      </c>
      <c r="BF76" s="59">
        <f t="shared" ca="1" si="22"/>
        <v>0.24529458524619729</v>
      </c>
      <c r="BG76" s="39">
        <f t="shared" ca="1" si="23"/>
        <v>0.25142008228195117</v>
      </c>
      <c r="BI76" s="58">
        <f t="shared" ca="1" si="24"/>
        <v>-3.1315923450010885E-2</v>
      </c>
      <c r="BJ76" s="46">
        <f t="shared" ca="1" si="25"/>
        <v>-3.0608955098970301E-2</v>
      </c>
    </row>
    <row r="77" spans="3:62" x14ac:dyDescent="0.2">
      <c r="C77" s="56">
        <v>64</v>
      </c>
      <c r="D77" s="63">
        <f t="shared" ca="1" si="26"/>
        <v>4.6319999999999952</v>
      </c>
      <c r="E77" s="45">
        <f t="shared" ca="1" si="7"/>
        <v>-0.10561884533693855</v>
      </c>
      <c r="F77" s="45">
        <f t="shared" ca="1" si="32"/>
        <v>-0.1051716547596071</v>
      </c>
      <c r="G77" s="45">
        <f t="shared" ca="1" si="33"/>
        <v>-0.10606603591427</v>
      </c>
      <c r="H77" s="45">
        <f t="shared" ca="1" si="34"/>
        <v>0.51316555054206192</v>
      </c>
      <c r="I77" s="45">
        <f t="shared" ref="I77:I113" ca="1" si="37">OFFSET(VolSkewCoef,0,impvol_order-2)+OFFSET(VolSkewCoef,1,impvol_order-2)*E77+OFFSET(VolSkewCoef,2,impvol_order-2)*E77^2+IF(impvol_order&gt;2,OFFSET(VolSkewCoef,3,impvol_order-2)*E77^3,0)+IF(impvol_order&gt;3,OFFSET(VolSkewCoef,4,impvol_order-2)*E77^4,0)+IF(impvol_order&gt;4,OFFSET(VolSkewCoef,5,impvol_order-2)*E77^5,0)</f>
        <v>0.51314317217176164</v>
      </c>
      <c r="J77" s="45">
        <f t="shared" ca="1" si="35"/>
        <v>0.51312085777803229</v>
      </c>
      <c r="L77" s="58">
        <f ca="1">_xll.EURO(UnderlyingPrice,$D77,IntRate,Yield,$I77,$D$6,L$12,0)</f>
        <v>1.0348385385071883</v>
      </c>
      <c r="M77" s="58">
        <f ca="1">_xll.EURO(UnderlyingPrice,$D77,IntRate,Yield,$I77,$D$6,M$12,0)</f>
        <v>0.50116542492033656</v>
      </c>
      <c r="O77" s="58">
        <f ca="1">_xll.EURO(UnderlyingPrice,$D77*(1+$P$8),IntRate,Yield,$H77,Expiry-Today,O$12,0)</f>
        <v>1.0336566865559886</v>
      </c>
      <c r="P77" s="58">
        <f ca="1">_xll.EURO(UnderlyingPrice,$D77*(1+$P$8),IntRate,Yield,$H77,Expiry-Today,P$12,0)</f>
        <v>0.5022431468833366</v>
      </c>
      <c r="R77" s="58">
        <f ca="1">_xll.EURO(UnderlyingPrice,$D77*(1-$P$8),IntRate,Yield,$J77,Expiry-Today,R$12,0)</f>
        <v>1.0360216688052692</v>
      </c>
      <c r="S77" s="58">
        <f ca="1">_xll.EURO(UnderlyingPrice,$D77*(1-$P$8),IntRate,Yield,$J77,Expiry-Today,S$12,0)</f>
        <v>0.50008898130421886</v>
      </c>
      <c r="U77" s="59">
        <f t="shared" ca="1" si="31"/>
        <v>0.23832609996230378</v>
      </c>
      <c r="V77" s="59"/>
      <c r="W77" s="62">
        <f t="shared" ca="1" si="36"/>
        <v>0.24427757996499783</v>
      </c>
      <c r="Z77" s="59">
        <f t="shared" ca="1" si="11"/>
        <v>0.21866218818739386</v>
      </c>
      <c r="AA77" s="59">
        <f t="shared" ca="1" si="12"/>
        <v>-3.4051128201127212E-2</v>
      </c>
      <c r="AB77" s="59">
        <f t="shared" ref="AB77:AB143" ca="1" si="38">-(AA77^2)</f>
        <v>-1.1594793317696009E-3</v>
      </c>
      <c r="AC77" s="59">
        <f t="shared" ca="1" si="13"/>
        <v>-3.7367785847741224E-3</v>
      </c>
      <c r="AD77" s="60">
        <f t="shared" ref="AD77:AD143" ca="1" si="39">EXP(AC77)</f>
        <v>0.99627019448401299</v>
      </c>
      <c r="AE77" s="60">
        <f t="shared" ca="1" si="14"/>
        <v>0.21784662075175473</v>
      </c>
      <c r="AF77" s="60"/>
      <c r="AG77" s="97">
        <f t="shared" ca="1" si="15"/>
        <v>-8.6449737822322195E-2</v>
      </c>
      <c r="AH77" s="97">
        <f t="shared" ca="1" si="16"/>
        <v>-8.518064429803722E-2</v>
      </c>
      <c r="AI77" s="97">
        <f t="shared" ca="1" si="17"/>
        <v>-8.7719466052072093E-2</v>
      </c>
      <c r="AJ77" s="62"/>
      <c r="AK77" s="97">
        <f t="shared" ca="1" si="18"/>
        <v>0.44567671936780118</v>
      </c>
      <c r="AL77" s="97"/>
      <c r="AM77" s="95"/>
      <c r="AN77" s="96"/>
      <c r="AX77" s="107">
        <f t="shared" ca="1" si="19"/>
        <v>0.48950173613902415</v>
      </c>
      <c r="AY77" s="107">
        <f t="shared" ca="1" si="20"/>
        <v>0.48950223227028528</v>
      </c>
      <c r="AZ77" s="107">
        <f t="shared" ca="1" si="21"/>
        <v>0.48950131678547631</v>
      </c>
      <c r="BB77" s="39">
        <f ca="1">_xll.EURO(UnderlyingPrice,$D77,IntRate,Yield,AX77,$D$6,1,0)</f>
        <v>1.0026936140528777</v>
      </c>
      <c r="BC77" s="39">
        <f ca="1">_xll.EURO(UnderlyingPrice,$D77*(1+$P$8),IntRate,Yield,AY77,$D$6,1,0)</f>
        <v>1.0014615214714215</v>
      </c>
      <c r="BD77" s="39">
        <f ca="1">_xll.EURO(UnderlyingPrice,$D77*(1-$P$8),IntRate,Yield,AZ77,$D$6,1,0)</f>
        <v>1.0039270180799655</v>
      </c>
      <c r="BF77" s="59">
        <f t="shared" ca="1" si="22"/>
        <v>0.24449680074307317</v>
      </c>
      <c r="BG77" s="39">
        <f t="shared" ca="1" si="23"/>
        <v>0.2506023755020913</v>
      </c>
      <c r="BI77" s="58">
        <f t="shared" ca="1" si="24"/>
        <v>-3.2144924454310608E-2</v>
      </c>
      <c r="BJ77" s="46">
        <f t="shared" ca="1" si="25"/>
        <v>-3.2058571036850572E-2</v>
      </c>
    </row>
    <row r="78" spans="3:62" x14ac:dyDescent="0.2">
      <c r="C78" s="56">
        <v>65</v>
      </c>
      <c r="D78" s="63">
        <f t="shared" ca="1" si="26"/>
        <v>4.6699999999999955</v>
      </c>
      <c r="E78" s="45">
        <f t="shared" ref="E78:E146" ca="1" si="40">+D78/UnderlyingPrice-1</f>
        <v>-9.8281521529253624E-2</v>
      </c>
      <c r="F78" s="45">
        <f t="shared" ca="1" si="32"/>
        <v>-9.7830662290018355E-2</v>
      </c>
      <c r="G78" s="45">
        <f t="shared" ca="1" si="33"/>
        <v>-9.8732380768489003E-2</v>
      </c>
      <c r="H78" s="45">
        <f t="shared" ca="1" si="34"/>
        <v>0.51354209653790117</v>
      </c>
      <c r="I78" s="45">
        <f t="shared" ca="1" si="37"/>
        <v>0.51351846913934851</v>
      </c>
      <c r="J78" s="45">
        <f t="shared" ca="1" si="35"/>
        <v>0.51349490756590443</v>
      </c>
      <c r="L78" s="58">
        <f ca="1">_xll.EURO(UnderlyingPrice,$D78,IntRate,Yield,$I78,$D$6,L$12,0)</f>
        <v>1.0156085014595937</v>
      </c>
      <c r="M78" s="58">
        <f ca="1">_xll.EURO(UnderlyingPrice,$D78,IntRate,Yield,$I78,$D$6,M$12,0)</f>
        <v>0.5190095712663445</v>
      </c>
      <c r="O78" s="58">
        <f ca="1">_xll.EURO(UnderlyingPrice,$D78*(1+$P$8),IntRate,Yield,$H78,Expiry-Today,O$12,0)</f>
        <v>1.0144380526857013</v>
      </c>
      <c r="P78" s="58">
        <f ca="1">_xll.EURO(UnderlyingPrice,$D78*(1+$P$8),IntRate,Yield,$H78,Expiry-Today,P$12,0)</f>
        <v>0.52011723349834704</v>
      </c>
      <c r="R78" s="58">
        <f ca="1">_xll.EURO(UnderlyingPrice,$D78*(1-$P$8),IntRate,Yield,$J78,Expiry-Today,R$12,0)</f>
        <v>1.0167802433987436</v>
      </c>
      <c r="S78" s="58">
        <f ca="1">_xll.EURO(UnderlyingPrice,$D78*(1-$P$8),IntRate,Yield,$J78,Expiry-Today,S$12,0)</f>
        <v>0.51790320219959907</v>
      </c>
      <c r="U78" s="59">
        <f t="shared" ref="U78:U113" ca="1" si="41">(O78+R78-2*L78)/($P$8*D78)^2</f>
        <v>0.23718119805092353</v>
      </c>
      <c r="V78" s="59"/>
      <c r="W78" s="62">
        <f t="shared" ca="1" si="36"/>
        <v>0.24310408756003879</v>
      </c>
      <c r="Z78" s="59">
        <f t="shared" ref="Z78:Z113" ca="1" si="42">(1/(D78*SQRT(2*PI()*T/365.25*ATMImpVol^2)))</f>
        <v>0.21688292412933799</v>
      </c>
      <c r="AA78" s="59">
        <f t="shared" ref="AA78:AA113" ca="1" si="43">LN(D78/UnderlyingPrice)+0.5*T/365.25*ATMImpVol^2</f>
        <v>-2.5880796791015334E-2</v>
      </c>
      <c r="AB78" s="59">
        <f t="shared" ca="1" si="38"/>
        <v>-6.6981564253782962E-4</v>
      </c>
      <c r="AC78" s="59">
        <f t="shared" ref="AC78:AC141" ca="1" si="44">AB78/(2*T/365.25*ATMImpVol^2)</f>
        <v>-2.1586868176098201E-3</v>
      </c>
      <c r="AD78" s="60">
        <f t="shared" ca="1" si="39"/>
        <v>0.99784364147112836</v>
      </c>
      <c r="AE78" s="60">
        <f t="shared" ref="AE78:AE141" ca="1" si="45">AD78*Z78</f>
        <v>0.21641524678612506</v>
      </c>
      <c r="AF78" s="60"/>
      <c r="AG78" s="97">
        <f t="shared" ref="AG78:AG113" ca="1" si="46">(LN($D78/UnderlyingPrice)+0.5*ATMImpVol^2*(T/365.25))/(ATMImpVol*SQRT(T/365.25))</f>
        <v>-6.5706724429236613E-2</v>
      </c>
      <c r="AH78" s="97">
        <f t="shared" ref="AH78:AH141" ca="1" si="47">(LN(($D78*(1+$P$8))/UnderlyingPrice)+0.5*ATMImpVol^2*(T/365.25))/(ATMImpVol*SQRT(T/365.25))</f>
        <v>-6.443763090495172E-2</v>
      </c>
      <c r="AI78" s="97">
        <f t="shared" ref="AI78:AI141" ca="1" si="48">(LN($D78*(1-$P$8)/UnderlyingPrice)+0.5*ATMImpVol^2*(T/365.25))/(ATMImpVol*SQRT(T/365.25))</f>
        <v>-6.697645265898676E-2</v>
      </c>
      <c r="AJ78" s="62"/>
      <c r="AK78" s="97">
        <f t="shared" ref="AK78:AK141" ca="1" si="49">W78/(AH78-AI78)*(D78*2*$P$8)</f>
        <v>0.4471743977697582</v>
      </c>
      <c r="AL78" s="97"/>
      <c r="AM78" s="95"/>
      <c r="AN78" s="96"/>
      <c r="AX78" s="107">
        <f t="shared" ref="AX78:AX141" ca="1" si="50">OFFSET(ENAVolCoef,0,impvol_order-2)+OFFSET(ENAVolCoef,1,impvol_order-2)*E78+OFFSET(ENAVolCoef,2,impvol_order-2)*E78^2+IF(impvol_order&gt;2,OFFSET(ENAVolCoef,3,impvol_order-2)*E78^3,0)+IF(impvol_order&gt;3,OFFSET(ENAVolCoef,4,impvol_order-2)*E78^4,0)+IF(impvol_order&gt;4,OFFSET(ENAVolCoef,5,impvol_order-2)*E78^5,0)</f>
        <v>0.48951954072295722</v>
      </c>
      <c r="AY78" s="107">
        <f t="shared" ref="AY78:AY141" ca="1" si="51">OFFSET(ENAVolCoef,0,impvol_order-2)+OFFSET(ENAVolCoef,1,impvol_order-2)*F78+OFFSET(ENAVolCoef,2,impvol_order-2)*F78^2+IF(impvol_order&gt;2,OFFSET(ENAVolCoef,3,impvol_order-2)*F78^3,0)+IF(impvol_order&gt;3,OFFSET(ENAVolCoef,4,impvol_order-2)*F78^4,0)+IF(impvol_order&gt;4,OFFSET(ENAVolCoef,5,impvol_order-2)*F78^5,0)</f>
        <v>0.48952130335864286</v>
      </c>
      <c r="AZ78" s="107">
        <f t="shared" ref="AZ78:AZ141" ca="1" si="52">OFFSET(ENAVolCoef,0,impvol_order-2)+OFFSET(ENAVolCoef,1,impvol_order-2)*G78+OFFSET(ENAVolCoef,2,impvol_order-2)*G78^2+IF(impvol_order&gt;2,OFFSET(ENAVolCoef,3,impvol_order-2)*G78^3,0)+IF(impvol_order&gt;3,OFFSET(ENAVolCoef,4,impvol_order-2)*G78^4,0)+IF(impvol_order&gt;4,OFFSET(ENAVolCoef,5,impvol_order-2)*G78^5,0)</f>
        <v>0.48951785520877716</v>
      </c>
      <c r="BB78" s="39">
        <f ca="1">_xll.EURO(UnderlyingPrice,$D78,IntRate,Yield,AX78,$D$6,1,0)</f>
        <v>0.98264348143856362</v>
      </c>
      <c r="BC78" s="39">
        <f ca="1">_xll.EURO(UnderlyingPrice,$D78*(1+$P$8),IntRate,Yield,AY78,$D$6,1,0)</f>
        <v>0.98142293694382765</v>
      </c>
      <c r="BD78" s="39">
        <f ca="1">_xll.EURO(UnderlyingPrice,$D78*(1-$P$8),IntRate,Yield,AZ78,$D$6,1,0)</f>
        <v>0.98386535379644879</v>
      </c>
      <c r="BF78" s="59">
        <f t="shared" ref="BF78:BF141" ca="1" si="53">(BC78+BD78-2*BB78)/($P$8*$D78)^2</f>
        <v>0.24354518553694757</v>
      </c>
      <c r="BG78" s="39">
        <f t="shared" ref="BG78:BG141" ca="1" si="54">+BF78/$D$9</f>
        <v>0.24962699655850507</v>
      </c>
      <c r="BI78" s="58">
        <f t="shared" ref="BI78:BI113" ca="1" si="55">+BB78-L78</f>
        <v>-3.2965020021030078E-2</v>
      </c>
      <c r="BJ78" s="46">
        <f t="shared" ref="BJ78:BJ113" ca="1" si="56">+BI78/BB78</f>
        <v>-3.3547284079847736E-2</v>
      </c>
    </row>
    <row r="79" spans="3:62" x14ac:dyDescent="0.2">
      <c r="C79" s="56">
        <v>66</v>
      </c>
      <c r="D79" s="63">
        <f t="shared" ref="D79:D113" ca="1" si="57">D78+(ROUNDUP(MAX(StrikeRange),1)-ROUNDDOWN(MIN(StrikeRange),1))/100</f>
        <v>4.7079999999999957</v>
      </c>
      <c r="E79" s="45">
        <f t="shared" ca="1" si="40"/>
        <v>-9.0944197721568698E-2</v>
      </c>
      <c r="F79" s="45">
        <f t="shared" ca="1" si="32"/>
        <v>-9.0489669820429608E-2</v>
      </c>
      <c r="G79" s="45">
        <f t="shared" ca="1" si="33"/>
        <v>-9.1398725622707899E-2</v>
      </c>
      <c r="H79" s="45">
        <f t="shared" ca="1" si="34"/>
        <v>0.5139361064317709</v>
      </c>
      <c r="I79" s="45">
        <f t="shared" ca="1" si="37"/>
        <v>0.51391119962389842</v>
      </c>
      <c r="J79" s="45">
        <f t="shared" ca="1" si="35"/>
        <v>0.5138863605242503</v>
      </c>
      <c r="L79" s="58">
        <f ca="1">_xll.EURO(UnderlyingPrice,$D79,IntRate,Yield,$I79,$D$6,L$12,0)</f>
        <v>0.99672094114910115</v>
      </c>
      <c r="M79" s="58">
        <f ca="1">_xll.EURO(UnderlyingPrice,$D79,IntRate,Yield,$I79,$D$6,M$12,0)</f>
        <v>0.53719619434945387</v>
      </c>
      <c r="O79" s="58">
        <f ca="1">_xll.EURO(UnderlyingPrice,$D79*(1+$P$8),IntRate,Yield,$H79,Expiry-Today,O$12,0)</f>
        <v>0.99556213130640625</v>
      </c>
      <c r="P79" s="58">
        <f ca="1">_xll.EURO(UnderlyingPrice,$D79*(1+$P$8),IntRate,Yield,$H79,Expiry-Today,P$12,0)</f>
        <v>0.5383340326043522</v>
      </c>
      <c r="R79" s="58">
        <f ca="1">_xll.EURO(UnderlyingPrice,$D79*(1-$P$8),IntRate,Yield,$J79,Expiry-Today,R$12,0)</f>
        <v>0.99788105834665108</v>
      </c>
      <c r="S79" s="58">
        <f ca="1">_xll.EURO(UnderlyingPrice,$D79*(1-$P$8),IntRate,Yield,$J79,Expiry-Today,S$12,0)</f>
        <v>0.53605966344941103</v>
      </c>
      <c r="U79" s="59">
        <f t="shared" ca="1" si="41"/>
        <v>0.2359285871876266</v>
      </c>
      <c r="V79" s="59"/>
      <c r="W79" s="62">
        <f t="shared" ca="1" si="36"/>
        <v>0.24182019649492911</v>
      </c>
      <c r="Z79" s="59">
        <f t="shared" ca="1" si="42"/>
        <v>0.21513238226083436</v>
      </c>
      <c r="AA79" s="59">
        <f t="shared" ca="1" si="43"/>
        <v>-1.7776679073790935E-2</v>
      </c>
      <c r="AB79" s="59">
        <f t="shared" ca="1" si="38"/>
        <v>-3.1601031889255654E-4</v>
      </c>
      <c r="AC79" s="59">
        <f t="shared" ca="1" si="44"/>
        <v>-1.0184403980734297E-3</v>
      </c>
      <c r="AD79" s="60">
        <f t="shared" ca="1" si="39"/>
        <v>0.99898207803633565</v>
      </c>
      <c r="AE79" s="60">
        <f t="shared" ca="1" si="45"/>
        <v>0.21491339428383563</v>
      </c>
      <c r="AF79" s="60"/>
      <c r="AG79" s="97">
        <f t="shared" ca="1" si="46"/>
        <v>-4.5131815786060049E-2</v>
      </c>
      <c r="AH79" s="97">
        <f t="shared" ca="1" si="47"/>
        <v>-4.3862722261775192E-2</v>
      </c>
      <c r="AI79" s="97">
        <f t="shared" ca="1" si="48"/>
        <v>-4.6401544015810169E-2</v>
      </c>
      <c r="AJ79" s="62"/>
      <c r="AK79" s="97">
        <f t="shared" ca="1" si="49"/>
        <v>0.44843222384112297</v>
      </c>
      <c r="AL79" s="97"/>
      <c r="AM79" s="95"/>
      <c r="AN79" s="96"/>
      <c r="AX79" s="107">
        <f t="shared" ca="1" si="50"/>
        <v>0.48955777062939959</v>
      </c>
      <c r="AY79" s="107">
        <f t="shared" ca="1" si="51"/>
        <v>0.48956080519467071</v>
      </c>
      <c r="AZ79" s="107">
        <f t="shared" ca="1" si="52"/>
        <v>0.48955481350965852</v>
      </c>
      <c r="BB79" s="39">
        <f ca="1">_xll.EURO(UnderlyingPrice,$D79,IntRate,Yield,AX79,$D$6,1,0)</f>
        <v>0.96294501019429868</v>
      </c>
      <c r="BC79" s="39">
        <f ca="1">_xll.EURO(UnderlyingPrice,$D79*(1+$P$8),IntRate,Yield,AY79,$D$6,1,0)</f>
        <v>0.96173627393141059</v>
      </c>
      <c r="BD79" s="39">
        <f ca="1">_xll.EURO(UnderlyingPrice,$D79*(1-$P$8),IntRate,Yield,AZ79,$D$6,1,0)</f>
        <v>0.96415508991848675</v>
      </c>
      <c r="BF79" s="59">
        <f t="shared" ca="1" si="53"/>
        <v>0.24244444821143493</v>
      </c>
      <c r="BG79" s="39">
        <f t="shared" ca="1" si="54"/>
        <v>0.2484987716175695</v>
      </c>
      <c r="BI79" s="58">
        <f t="shared" ca="1" si="55"/>
        <v>-3.3775930954802469E-2</v>
      </c>
      <c r="BJ79" s="46">
        <f t="shared" ca="1" si="56"/>
        <v>-3.5075659146919839E-2</v>
      </c>
    </row>
    <row r="80" spans="3:62" x14ac:dyDescent="0.2">
      <c r="C80" s="56">
        <v>67</v>
      </c>
      <c r="D80" s="63">
        <f t="shared" ca="1" si="57"/>
        <v>4.745999999999996</v>
      </c>
      <c r="E80" s="45">
        <f t="shared" ca="1" si="40"/>
        <v>-8.3606873913883772E-2</v>
      </c>
      <c r="F80" s="45">
        <f t="shared" ca="1" si="32"/>
        <v>-8.3148677350840861E-2</v>
      </c>
      <c r="G80" s="45">
        <f t="shared" ca="1" si="33"/>
        <v>-8.4065070476926795E-2</v>
      </c>
      <c r="H80" s="45">
        <f t="shared" ca="1" si="34"/>
        <v>0.51434779096765415</v>
      </c>
      <c r="I80" s="45">
        <f t="shared" ca="1" si="37"/>
        <v>0.51432157405359524</v>
      </c>
      <c r="J80" s="45">
        <f t="shared" ca="1" si="35"/>
        <v>0.51429542676576856</v>
      </c>
      <c r="L80" s="58">
        <f ca="1">_xll.EURO(UnderlyingPrice,$D80,IntRate,Yield,$I80,$D$6,L$12,0)</f>
        <v>0.97817404929197727</v>
      </c>
      <c r="M80" s="58">
        <f ca="1">_xll.EURO(UnderlyingPrice,$D80,IntRate,Yield,$I80,$D$6,M$12,0)</f>
        <v>0.55572348588593257</v>
      </c>
      <c r="O80" s="58">
        <f ca="1">_xll.EURO(UnderlyingPrice,$D80*(1+$P$8),IntRate,Yield,$H80,Expiry-Today,O$12,0)</f>
        <v>0.97702710200236487</v>
      </c>
      <c r="P80" s="58">
        <f ca="1">_xll.EURO(UnderlyingPrice,$D80*(1+$P$8),IntRate,Yield,$H80,Expiry-Today,P$12,0)</f>
        <v>0.55689172378560925</v>
      </c>
      <c r="R80" s="58">
        <f ca="1">_xll.EURO(UnderlyingPrice,$D80*(1-$P$8),IntRate,Yield,$J80,Expiry-Today,R$12,0)</f>
        <v>0.97932231748857523</v>
      </c>
      <c r="S80" s="58">
        <f ca="1">_xll.EURO(UnderlyingPrice,$D80*(1-$P$8),IntRate,Yield,$J80,Expiry-Today,S$12,0)</f>
        <v>0.55455656889324034</v>
      </c>
      <c r="U80" s="59">
        <f t="shared" ca="1" si="41"/>
        <v>0.23457231854732571</v>
      </c>
      <c r="V80" s="59"/>
      <c r="W80" s="62">
        <f t="shared" ca="1" si="36"/>
        <v>0.24043005911053217</v>
      </c>
      <c r="Z80" s="59">
        <f t="shared" ca="1" si="42"/>
        <v>0.21340987266835404</v>
      </c>
      <c r="AA80" s="59">
        <f t="shared" ca="1" si="43"/>
        <v>-9.7377104582493379E-3</v>
      </c>
      <c r="AB80" s="59">
        <f t="shared" ca="1" si="38"/>
        <v>-9.4823004968698531E-5</v>
      </c>
      <c r="AC80" s="59">
        <f t="shared" ca="1" si="44"/>
        <v>-3.0559628326464383E-4</v>
      </c>
      <c r="AD80" s="60">
        <f t="shared" ca="1" si="39"/>
        <v>0.99969445040652338</v>
      </c>
      <c r="AE80" s="60">
        <f t="shared" ca="1" si="45"/>
        <v>0.21334466536851632</v>
      </c>
      <c r="AF80" s="60"/>
      <c r="AG80" s="97">
        <f t="shared" ca="1" si="46"/>
        <v>-2.4722309085708147E-2</v>
      </c>
      <c r="AH80" s="97">
        <f t="shared" ca="1" si="47"/>
        <v>-2.3453215561423359E-2</v>
      </c>
      <c r="AI80" s="97">
        <f t="shared" ca="1" si="48"/>
        <v>-2.5992037315458193E-2</v>
      </c>
      <c r="AJ80" s="62"/>
      <c r="AK80" s="97">
        <f t="shared" ca="1" si="49"/>
        <v>0.44945300264782906</v>
      </c>
      <c r="AL80" s="97"/>
      <c r="AM80" s="95"/>
      <c r="AN80" s="96"/>
      <c r="AX80" s="107">
        <f t="shared" ca="1" si="50"/>
        <v>0.48961618190528566</v>
      </c>
      <c r="AY80" s="107">
        <f t="shared" ca="1" si="51"/>
        <v>0.48962049345919062</v>
      </c>
      <c r="AZ80" s="107">
        <f t="shared" ca="1" si="52"/>
        <v>0.4896119481008015</v>
      </c>
      <c r="BB80" s="39">
        <f ca="1">_xll.EURO(UnderlyingPrice,$D80,IntRate,Yield,AX80,$D$6,1,0)</f>
        <v>0.94359661145081297</v>
      </c>
      <c r="BC80" s="39">
        <f ca="1">_xll.EURO(UnderlyingPrice,$D80*(1+$P$8),IntRate,Yield,AY80,$D$6,1,0)</f>
        <v>0.94239992810895146</v>
      </c>
      <c r="BD80" s="39">
        <f ca="1">_xll.EURO(UnderlyingPrice,$D80*(1-$P$8),IntRate,Yield,AZ80,$D$6,1,0)</f>
        <v>0.94479465301843346</v>
      </c>
      <c r="BF80" s="59">
        <f t="shared" ca="1" si="53"/>
        <v>0.24119954612546299</v>
      </c>
      <c r="BG80" s="39">
        <f t="shared" ca="1" si="54"/>
        <v>0.24722278183339269</v>
      </c>
      <c r="BI80" s="58">
        <f t="shared" ca="1" si="55"/>
        <v>-3.4577437841164294E-2</v>
      </c>
      <c r="BJ80" s="46">
        <f t="shared" ca="1" si="56"/>
        <v>-3.6644300563988111E-2</v>
      </c>
    </row>
    <row r="81" spans="3:62" x14ac:dyDescent="0.2">
      <c r="C81" s="56">
        <v>68</v>
      </c>
      <c r="D81" s="63">
        <f t="shared" ca="1" si="57"/>
        <v>4.7839999999999963</v>
      </c>
      <c r="E81" s="45">
        <f t="shared" ca="1" si="40"/>
        <v>-7.6269550106198847E-2</v>
      </c>
      <c r="F81" s="45">
        <f t="shared" ca="1" si="32"/>
        <v>-7.5807684881252113E-2</v>
      </c>
      <c r="G81" s="45">
        <f t="shared" ca="1" si="33"/>
        <v>-7.6731415331145691E-2</v>
      </c>
      <c r="H81" s="45">
        <f t="shared" ca="1" si="34"/>
        <v>0.51477736088953496</v>
      </c>
      <c r="I81" s="45">
        <f t="shared" ca="1" si="37"/>
        <v>0.51474980285662209</v>
      </c>
      <c r="J81" s="45">
        <f t="shared" ca="1" si="35"/>
        <v>0.51472231640315835</v>
      </c>
      <c r="L81" s="58">
        <f ca="1">_xll.EURO(UnderlyingPrice,$D81,IntRate,Yield,$I81,$D$6,L$12,0)</f>
        <v>0.95996586793233751</v>
      </c>
      <c r="M81" s="58">
        <f ca="1">_xll.EURO(UnderlyingPrice,$D81,IntRate,Yield,$I81,$D$6,M$12,0)</f>
        <v>0.57458948791989517</v>
      </c>
      <c r="O81" s="58">
        <f ca="1">_xll.EURO(UnderlyingPrice,$D81*(1+$P$8),IntRate,Yield,$H81,Expiry-Today,O$12,0)</f>
        <v>0.95883099475282263</v>
      </c>
      <c r="P81" s="58">
        <f ca="1">_xll.EURO(UnderlyingPrice,$D81*(1+$P$8),IntRate,Yield,$H81,Expiry-Today,P$12,0)</f>
        <v>0.57578833702136545</v>
      </c>
      <c r="R81" s="58">
        <f ca="1">_xll.EURO(UnderlyingPrice,$D81*(1-$P$8),IntRate,Yield,$J81,Expiry-Today,R$12,0)</f>
        <v>0.961102074926242</v>
      </c>
      <c r="S81" s="58">
        <f ca="1">_xll.EURO(UnderlyingPrice,$D81*(1-$P$8),IntRate,Yield,$J81,Expiry-Today,S$12,0)</f>
        <v>0.5733919726328125</v>
      </c>
      <c r="U81" s="59">
        <f t="shared" ca="1" si="41"/>
        <v>0.23311651813241083</v>
      </c>
      <c r="V81" s="59"/>
      <c r="W81" s="62">
        <f t="shared" ca="1" si="36"/>
        <v>0.23893790444378063</v>
      </c>
      <c r="Z81" s="59">
        <f t="shared" ca="1" si="42"/>
        <v>0.21171472735869734</v>
      </c>
      <c r="AA81" s="59">
        <f t="shared" ca="1" si="43"/>
        <v>-1.7628518234904939E-3</v>
      </c>
      <c r="AB81" s="59">
        <f t="shared" ca="1" si="38"/>
        <v>-3.1076465515837591E-6</v>
      </c>
      <c r="AC81" s="59">
        <f t="shared" ca="1" si="44"/>
        <v>-1.0015346341087577E-5</v>
      </c>
      <c r="AD81" s="60">
        <f t="shared" ca="1" si="39"/>
        <v>0.99998998470381228</v>
      </c>
      <c r="AE81" s="60">
        <f t="shared" ca="1" si="45"/>
        <v>0.21171260697299554</v>
      </c>
      <c r="AF81" s="60"/>
      <c r="AG81" s="97">
        <f t="shared" ca="1" si="46"/>
        <v>-4.4755661856546317E-3</v>
      </c>
      <c r="AH81" s="97">
        <f t="shared" ca="1" si="47"/>
        <v>-3.2064726613699151E-3</v>
      </c>
      <c r="AI81" s="97">
        <f t="shared" ca="1" si="48"/>
        <v>-5.7452944154046462E-3</v>
      </c>
      <c r="AJ81" s="62"/>
      <c r="AK81" s="97">
        <f t="shared" ca="1" si="49"/>
        <v>0.45023993237904503</v>
      </c>
      <c r="AL81" s="97"/>
      <c r="AM81" s="95"/>
      <c r="AN81" s="96"/>
      <c r="AX81" s="107">
        <f t="shared" ca="1" si="50"/>
        <v>0.48969453059754997</v>
      </c>
      <c r="AY81" s="107">
        <f t="shared" ca="1" si="51"/>
        <v>0.48970012383302447</v>
      </c>
      <c r="AZ81" s="107">
        <f t="shared" ca="1" si="52"/>
        <v>0.48968901539488713</v>
      </c>
      <c r="BB81" s="39">
        <f ca="1">_xll.EURO(UnderlyingPrice,$D81,IntRate,Yield,AX81,$D$6,1,0)</f>
        <v>0.92459648819024975</v>
      </c>
      <c r="BC81" s="39">
        <f ca="1">_xll.EURO(UnderlyingPrice,$D81*(1+$P$8),IntRate,Yield,AY81,$D$6,1,0)</f>
        <v>0.92341208704109379</v>
      </c>
      <c r="BD81" s="39">
        <f ca="1">_xll.EURO(UnderlyingPrice,$D81*(1-$P$8),IntRate,Yield,AZ81,$D$6,1,0)</f>
        <v>0.92578226148400899</v>
      </c>
      <c r="BF81" s="59">
        <f t="shared" ca="1" si="53"/>
        <v>0.23981565559831652</v>
      </c>
      <c r="BG81" s="39">
        <f t="shared" ca="1" si="54"/>
        <v>0.24580433278831834</v>
      </c>
      <c r="BI81" s="58">
        <f t="shared" ca="1" si="55"/>
        <v>-3.5369379742087759E-2</v>
      </c>
      <c r="BJ81" s="46">
        <f t="shared" ca="1" si="56"/>
        <v>-3.8253854728907397E-2</v>
      </c>
    </row>
    <row r="82" spans="3:62" x14ac:dyDescent="0.2">
      <c r="C82" s="56">
        <v>69</v>
      </c>
      <c r="D82" s="63">
        <f t="shared" ca="1" si="57"/>
        <v>4.8219999999999965</v>
      </c>
      <c r="E82" s="45">
        <f t="shared" ca="1" si="40"/>
        <v>-6.8932226298513921E-2</v>
      </c>
      <c r="F82" s="45">
        <f t="shared" ca="1" si="32"/>
        <v>-6.8466692411663255E-2</v>
      </c>
      <c r="G82" s="45">
        <f t="shared" ca="1" si="33"/>
        <v>-6.9397760185364588E-2</v>
      </c>
      <c r="H82" s="45">
        <f t="shared" ca="1" si="34"/>
        <v>0.51522502694139671</v>
      </c>
      <c r="I82" s="45">
        <f t="shared" ca="1" si="37"/>
        <v>0.51519609646116271</v>
      </c>
      <c r="J82" s="45">
        <f t="shared" ca="1" si="35"/>
        <v>0.51516723954911892</v>
      </c>
      <c r="L82" s="58">
        <f ca="1">_xll.EURO(UnderlyingPrice,$D82,IntRate,Yield,$I82,$D$6,L$12,0)</f>
        <v>0.94209425752598852</v>
      </c>
      <c r="M82" s="58">
        <f ca="1">_xll.EURO(UnderlyingPrice,$D82,IntRate,Yield,$I82,$D$6,M$12,0)</f>
        <v>0.59379206090714676</v>
      </c>
      <c r="O82" s="58">
        <f ca="1">_xll.EURO(UnderlyingPrice,$D82*(1+$P$8),IntRate,Yield,$H82,Expiry-Today,O$12,0)</f>
        <v>0.94097164846805192</v>
      </c>
      <c r="P82" s="58">
        <f ca="1">_xll.EURO(UnderlyingPrice,$D82*(1+$P$8),IntRate,Yield,$H82,Expiry-Today,P$12,0)</f>
        <v>0.59502171122189407</v>
      </c>
      <c r="R82" s="58">
        <f ca="1">_xll.EURO(UnderlyingPrice,$D82*(1-$P$8),IntRate,Yield,$J82,Expiry-Today,R$12,0)</f>
        <v>0.94321821170143405</v>
      </c>
      <c r="S82" s="58">
        <f ca="1">_xll.EURO(UnderlyingPrice,$D82*(1-$P$8),IntRate,Yield,$J82,Expiry-Today,S$12,0)</f>
        <v>0.59256375570991016</v>
      </c>
      <c r="U82" s="59">
        <f t="shared" ca="1" si="41"/>
        <v>0.23140130563153363</v>
      </c>
      <c r="V82" s="59"/>
      <c r="W82" s="62">
        <f t="shared" ca="1" si="36"/>
        <v>0.23717985965176555</v>
      </c>
      <c r="Z82" s="59">
        <f t="shared" ca="1" si="42"/>
        <v>0.21004629939527336</v>
      </c>
      <c r="AA82" s="59">
        <f t="shared" ca="1" si="43"/>
        <v>6.1489112871582485E-3</v>
      </c>
      <c r="AB82" s="59">
        <f t="shared" ca="1" si="38"/>
        <v>-3.7809110017342109E-5</v>
      </c>
      <c r="AC82" s="59">
        <f t="shared" ca="1" si="44"/>
        <v>-1.218514800143477E-4</v>
      </c>
      <c r="AD82" s="60">
        <f t="shared" ca="1" si="39"/>
        <v>0.99987815594357576</v>
      </c>
      <c r="AE82" s="60">
        <f t="shared" ca="1" si="45"/>
        <v>0.21002070650211815</v>
      </c>
      <c r="AF82" s="60"/>
      <c r="AG82" s="97">
        <f t="shared" ca="1" si="46"/>
        <v>1.5610988438554919E-2</v>
      </c>
      <c r="AH82" s="97">
        <f t="shared" ca="1" si="47"/>
        <v>1.6880081962839917E-2</v>
      </c>
      <c r="AI82" s="97">
        <f t="shared" ca="1" si="48"/>
        <v>1.4341260208804975E-2</v>
      </c>
      <c r="AJ82" s="62"/>
      <c r="AK82" s="97">
        <f t="shared" ca="1" si="49"/>
        <v>0.4504771874682274</v>
      </c>
      <c r="AL82" s="97"/>
      <c r="AM82" s="95"/>
      <c r="AN82" s="96"/>
      <c r="AX82" s="107">
        <f t="shared" ca="1" si="50"/>
        <v>0.48979257275312676</v>
      </c>
      <c r="AY82" s="107">
        <f t="shared" ca="1" si="51"/>
        <v>0.48979945199699393</v>
      </c>
      <c r="AZ82" s="107">
        <f t="shared" ca="1" si="52"/>
        <v>0.48978577180459648</v>
      </c>
      <c r="BB82" s="39">
        <f ca="1">_xll.EURO(UnderlyingPrice,$D82,IntRate,Yield,AX82,$D$6,1,0)</f>
        <v>0.90594264272127578</v>
      </c>
      <c r="BC82" s="39">
        <f ca="1">_xll.EURO(UnderlyingPrice,$D82*(1+$P$8),IntRate,Yield,AY82,$D$6,1,0)</f>
        <v>0.90477073769500116</v>
      </c>
      <c r="BD82" s="39">
        <f ca="1">_xll.EURO(UnderlyingPrice,$D82*(1-$P$8),IntRate,Yield,AZ82,$D$6,1,0)</f>
        <v>0.90711593295590021</v>
      </c>
      <c r="BF82" s="59">
        <f t="shared" ca="1" si="53"/>
        <v>0.23829815505875127</v>
      </c>
      <c r="BG82" s="39">
        <f t="shared" ca="1" si="54"/>
        <v>0.24424893722123941</v>
      </c>
      <c r="BI82" s="58">
        <f t="shared" ca="1" si="55"/>
        <v>-3.6151614804712739E-2</v>
      </c>
      <c r="BJ82" s="46">
        <f t="shared" ca="1" si="56"/>
        <v>-3.9904970910873902E-2</v>
      </c>
    </row>
    <row r="83" spans="3:62" x14ac:dyDescent="0.2">
      <c r="C83" s="56">
        <v>70</v>
      </c>
      <c r="D83" s="63">
        <f t="shared" ca="1" si="57"/>
        <v>4.8599999999999968</v>
      </c>
      <c r="E83" s="45">
        <f t="shared" ca="1" si="40"/>
        <v>-6.1594902490828995E-2</v>
      </c>
      <c r="F83" s="45">
        <f t="shared" ca="1" si="32"/>
        <v>-6.1125699942074507E-2</v>
      </c>
      <c r="G83" s="45">
        <f t="shared" ca="1" si="33"/>
        <v>-6.2064105039583484E-2</v>
      </c>
      <c r="H83" s="45">
        <f t="shared" ca="1" si="34"/>
        <v>0.51569099986722333</v>
      </c>
      <c r="I83" s="45">
        <f t="shared" ca="1" si="37"/>
        <v>0.51566066529540078</v>
      </c>
      <c r="J83" s="45">
        <f t="shared" ca="1" si="35"/>
        <v>0.51563040631634915</v>
      </c>
      <c r="L83" s="58">
        <f ca="1">_xll.EURO(UnderlyingPrice,$D83,IntRate,Yield,$I83,$D$6,L$12,0)</f>
        <v>0.92455679147757364</v>
      </c>
      <c r="M83" s="58">
        <f ca="1">_xll.EURO(UnderlyingPrice,$D83,IntRate,Yield,$I83,$D$6,M$12,0)</f>
        <v>0.61332877825233467</v>
      </c>
      <c r="O83" s="58">
        <f ca="1">_xll.EURO(UnderlyingPrice,$D83*(1+$P$8),IntRate,Yield,$H83,Expiry-Today,O$12,0)</f>
        <v>0.92344662831025826</v>
      </c>
      <c r="P83" s="58">
        <f ca="1">_xll.EURO(UnderlyingPrice,$D83*(1+$P$8),IntRate,Yield,$H83,Expiry-Today,P$12,0)</f>
        <v>0.61458941154939772</v>
      </c>
      <c r="R83" s="58">
        <f ca="1">_xll.EURO(UnderlyingPrice,$D83*(1-$P$8),IntRate,Yield,$J83,Expiry-Today,R$12,0)</f>
        <v>0.92566831130929295</v>
      </c>
      <c r="S83" s="58">
        <f ca="1">_xll.EURO(UnderlyingPrice,$D83*(1-$P$8),IntRate,Yield,$J83,Expiry-Today,S$12,0)</f>
        <v>0.61206950161967333</v>
      </c>
      <c r="U83" s="59">
        <f t="shared" ca="1" si="41"/>
        <v>0.22975230807103883</v>
      </c>
      <c r="V83" s="59"/>
      <c r="W83" s="62">
        <f t="shared" ca="1" si="36"/>
        <v>0.23548968331980036</v>
      </c>
      <c r="Z83" s="59">
        <f t="shared" ca="1" si="42"/>
        <v>0.20840396207489878</v>
      </c>
      <c r="AA83" s="59">
        <f t="shared" ca="1" si="43"/>
        <v>1.3998569440581393E-2</v>
      </c>
      <c r="AB83" s="59">
        <f t="shared" ca="1" si="38"/>
        <v>-1.9595994638277927E-4</v>
      </c>
      <c r="AC83" s="59">
        <f t="shared" ca="1" si="44"/>
        <v>-6.3154116770592109E-4</v>
      </c>
      <c r="AD83" s="60">
        <f t="shared" ca="1" si="39"/>
        <v>0.99936865821244292</v>
      </c>
      <c r="AE83" s="60">
        <f t="shared" ca="1" si="45"/>
        <v>0.20827238794494843</v>
      </c>
      <c r="AF83" s="60"/>
      <c r="AG83" s="97">
        <f t="shared" ca="1" si="46"/>
        <v>3.5539869659466136E-2</v>
      </c>
      <c r="AH83" s="97">
        <f t="shared" ca="1" si="47"/>
        <v>3.680896318375107E-2</v>
      </c>
      <c r="AI83" s="97">
        <f t="shared" ca="1" si="48"/>
        <v>3.4270141429716267E-2</v>
      </c>
      <c r="AJ83" s="62"/>
      <c r="AK83" s="97">
        <f t="shared" ca="1" si="49"/>
        <v>0.45079173404567413</v>
      </c>
      <c r="AL83" s="97"/>
      <c r="AM83" s="95"/>
      <c r="AN83" s="96"/>
      <c r="AX83" s="107">
        <f t="shared" ca="1" si="50"/>
        <v>0.48991006441895057</v>
      </c>
      <c r="AY83" s="107">
        <f t="shared" ca="1" si="51"/>
        <v>0.48991823363192094</v>
      </c>
      <c r="AZ83" s="107">
        <f t="shared" ca="1" si="52"/>
        <v>0.48990197374261074</v>
      </c>
      <c r="BB83" s="39">
        <f ca="1">_xll.EURO(UnderlyingPrice,$D83,IntRate,Yield,AX83,$D$6,1,0)</f>
        <v>0.88763283020118244</v>
      </c>
      <c r="BC83" s="39">
        <f ca="1">_xll.EURO(UnderlyingPrice,$D83*(1+$P$8),IntRate,Yield,AY83,$D$6,1,0)</f>
        <v>0.88647360833597899</v>
      </c>
      <c r="BD83" s="39">
        <f ca="1">_xll.EURO(UnderlyingPrice,$D83*(1-$P$8),IntRate,Yield,AZ83,$D$6,1,0)</f>
        <v>0.88879344843440311</v>
      </c>
      <c r="BF83" s="59">
        <f t="shared" ca="1" si="53"/>
        <v>0.23647614984413909</v>
      </c>
      <c r="BG83" s="39">
        <f t="shared" ca="1" si="54"/>
        <v>0.24238143288755767</v>
      </c>
      <c r="BI83" s="58">
        <f t="shared" ca="1" si="55"/>
        <v>-3.6923961276391193E-2</v>
      </c>
      <c r="BJ83" s="46">
        <f t="shared" ca="1" si="56"/>
        <v>-4.159823749198456E-2</v>
      </c>
    </row>
    <row r="84" spans="3:62" x14ac:dyDescent="0.2">
      <c r="C84" s="56">
        <v>71</v>
      </c>
      <c r="D84" s="63">
        <f t="shared" ca="1" si="57"/>
        <v>4.897999999999997</v>
      </c>
      <c r="E84" s="45">
        <f t="shared" ca="1" si="40"/>
        <v>-5.425757868314407E-2</v>
      </c>
      <c r="F84" s="45">
        <f t="shared" ca="1" si="32"/>
        <v>-5.378470747248576E-2</v>
      </c>
      <c r="G84" s="45">
        <f t="shared" ca="1" si="33"/>
        <v>-5.473044989380238E-2</v>
      </c>
      <c r="H84" s="45">
        <f t="shared" ca="1" si="34"/>
        <v>0.51617549041099831</v>
      </c>
      <c r="I84" s="45">
        <f t="shared" ca="1" si="37"/>
        <v>0.51614371978751949</v>
      </c>
      <c r="J84" s="45">
        <f t="shared" ca="1" si="35"/>
        <v>0.51611202681754798</v>
      </c>
      <c r="L84" s="58">
        <f ca="1">_xll.EURO(UnderlyingPrice,$D84,IntRate,Yield,$I84,$D$6,L$12,0)</f>
        <v>0.90735107660911041</v>
      </c>
      <c r="M84" s="58">
        <f ca="1">_xll.EURO(UnderlyingPrice,$D84,IntRate,Yield,$I84,$D$6,M$12,0)</f>
        <v>0.6331972467774738</v>
      </c>
      <c r="O84" s="58">
        <f ca="1">_xll.EURO(UnderlyingPrice,$D84*(1+$P$8),IntRate,Yield,$H84,Expiry-Today,O$12,0)</f>
        <v>0.90625353412380294</v>
      </c>
      <c r="P84" s="58">
        <f ca="1">_xll.EURO(UnderlyingPrice,$D84*(1+$P$8),IntRate,Yield,$H84,Expiry-Today,P$12,0)</f>
        <v>0.63448903784824284</v>
      </c>
      <c r="R84" s="58">
        <f ca="1">_xll.EURO(UnderlyingPrice,$D84*(1-$P$8),IntRate,Yield,$J84,Expiry-Today,R$12,0)</f>
        <v>0.90844998660888709</v>
      </c>
      <c r="S84" s="58">
        <f ca="1">_xll.EURO(UnderlyingPrice,$D84*(1-$P$8),IntRate,Yield,$J84,Expiry-Today,S$12,0)</f>
        <v>0.63190682322117331</v>
      </c>
      <c r="U84" s="59">
        <f t="shared" ca="1" si="41"/>
        <v>0.22801024429923661</v>
      </c>
      <c r="V84" s="59"/>
      <c r="W84" s="62">
        <f t="shared" ca="1" si="36"/>
        <v>0.23370411672685124</v>
      </c>
      <c r="Z84" s="59">
        <f t="shared" ca="1" si="42"/>
        <v>0.20678710814291709</v>
      </c>
      <c r="AA84" s="59">
        <f t="shared" ca="1" si="43"/>
        <v>2.1787090058155045E-2</v>
      </c>
      <c r="AB84" s="59">
        <f t="shared" ca="1" si="38"/>
        <v>-4.7467729320215842E-4</v>
      </c>
      <c r="AC84" s="59">
        <f t="shared" ca="1" si="44"/>
        <v>-1.5297934989571991E-3</v>
      </c>
      <c r="AD84" s="60">
        <f t="shared" ca="1" si="39"/>
        <v>0.99847137603865788</v>
      </c>
      <c r="AE84" s="60">
        <f t="shared" ca="1" si="45"/>
        <v>0.20647100841451319</v>
      </c>
      <c r="AF84" s="60"/>
      <c r="AG84" s="97">
        <f t="shared" ca="1" si="46"/>
        <v>5.5313533587309331E-2</v>
      </c>
      <c r="AH84" s="97">
        <f t="shared" ca="1" si="47"/>
        <v>5.6582627111594203E-2</v>
      </c>
      <c r="AI84" s="97">
        <f t="shared" ca="1" si="48"/>
        <v>5.404380535755951E-2</v>
      </c>
      <c r="AJ84" s="62"/>
      <c r="AK84" s="97">
        <f t="shared" ca="1" si="49"/>
        <v>0.45087165410844149</v>
      </c>
      <c r="AL84" s="97"/>
      <c r="AM84" s="95"/>
      <c r="AN84" s="96"/>
      <c r="AX84" s="107">
        <f t="shared" ca="1" si="50"/>
        <v>0.49004676164195571</v>
      </c>
      <c r="AY84" s="107">
        <f t="shared" ca="1" si="51"/>
        <v>0.4900562244186274</v>
      </c>
      <c r="AZ84" s="107">
        <f t="shared" ca="1" si="52"/>
        <v>0.49003737762161087</v>
      </c>
      <c r="BB84" s="39">
        <f ca="1">_xll.EURO(UnderlyingPrice,$D84,IntRate,Yield,AX84,$D$6,1,0)</f>
        <v>0.86966448026954035</v>
      </c>
      <c r="BC84" s="39">
        <f ca="1">_xll.EURO(UnderlyingPrice,$D84*(1+$P$8),IntRate,Yield,AY84,$D$6,1,0)</f>
        <v>0.86851811994442585</v>
      </c>
      <c r="BD84" s="39">
        <f ca="1">_xll.EURO(UnderlyingPrice,$D84*(1-$P$8),IntRate,Yield,AZ84,$D$6,1,0)</f>
        <v>0.87081224822734038</v>
      </c>
      <c r="BF84" s="59">
        <f t="shared" ca="1" si="53"/>
        <v>0.23469928818604457</v>
      </c>
      <c r="BG84" s="39">
        <f t="shared" ca="1" si="54"/>
        <v>0.24056019943540713</v>
      </c>
      <c r="BI84" s="58">
        <f t="shared" ca="1" si="55"/>
        <v>-3.7686596339570055E-2</v>
      </c>
      <c r="BJ84" s="46">
        <f t="shared" ca="1" si="56"/>
        <v>-4.3334639041357217E-2</v>
      </c>
    </row>
    <row r="85" spans="3:62" x14ac:dyDescent="0.2">
      <c r="C85" s="56">
        <v>72</v>
      </c>
      <c r="D85" s="63">
        <f t="shared" ca="1" si="57"/>
        <v>4.9359999999999973</v>
      </c>
      <c r="E85" s="45">
        <f t="shared" ca="1" si="40"/>
        <v>-4.6920254875459144E-2</v>
      </c>
      <c r="F85" s="45">
        <f t="shared" ca="1" si="32"/>
        <v>-4.6443715002897012E-2</v>
      </c>
      <c r="G85" s="45">
        <f t="shared" ca="1" si="33"/>
        <v>-4.7396794748021276E-2</v>
      </c>
      <c r="H85" s="45">
        <f t="shared" ca="1" si="34"/>
        <v>0.51667870931670501</v>
      </c>
      <c r="I85" s="45">
        <f t="shared" ca="1" si="37"/>
        <v>0.51664547036570241</v>
      </c>
      <c r="J85" s="45">
        <f t="shared" ca="1" si="35"/>
        <v>0.51661231116541462</v>
      </c>
      <c r="L85" s="58">
        <f ca="1">_xll.EURO(UnderlyingPrice,$D85,IntRate,Yield,$I85,$D$6,L$12,0)</f>
        <v>0.89047459792092987</v>
      </c>
      <c r="M85" s="58">
        <f ca="1">_xll.EURO(UnderlyingPrice,$D85,IntRate,Yield,$I85,$D$6,M$12,0)</f>
        <v>0.6533949514828945</v>
      </c>
      <c r="O85" s="58">
        <f ca="1">_xll.EURO(UnderlyingPrice,$D85*(1+$P$8),IntRate,Yield,$H85,Expiry-Today,O$12,0)</f>
        <v>0.88938983871777877</v>
      </c>
      <c r="P85" s="58">
        <f ca="1">_xll.EURO(UnderlyingPrice,$D85*(1+$P$8),IntRate,Yield,$H85,Expiry-Today,P$12,0)</f>
        <v>0.65471806292751666</v>
      </c>
      <c r="R85" s="58">
        <f ca="1">_xll.EURO(UnderlyingPrice,$D85*(1-$P$8),IntRate,Yield,$J85,Expiry-Today,R$12,0)</f>
        <v>0.89156073478955067</v>
      </c>
      <c r="S85" s="58">
        <f ca="1">_xll.EURO(UnderlyingPrice,$D85*(1-$P$8),IntRate,Yield,$J85,Expiry-Today,S$12,0)</f>
        <v>0.65207321770374205</v>
      </c>
      <c r="U85" s="59">
        <f t="shared" ca="1" si="41"/>
        <v>0.22617961605535811</v>
      </c>
      <c r="V85" s="59"/>
      <c r="W85" s="62">
        <f t="shared" ca="1" si="36"/>
        <v>0.2318277740295934</v>
      </c>
      <c r="Z85" s="59">
        <f t="shared" ca="1" si="42"/>
        <v>0.20519514904457212</v>
      </c>
      <c r="AA85" s="59">
        <f t="shared" ca="1" si="43"/>
        <v>2.9515418131265792E-2</v>
      </c>
      <c r="AB85" s="59">
        <f t="shared" ca="1" si="38"/>
        <v>-8.7115990746345338E-4</v>
      </c>
      <c r="AC85" s="59">
        <f t="shared" ca="1" si="44"/>
        <v>-2.8075806070255189E-3</v>
      </c>
      <c r="AD85" s="60">
        <f t="shared" ca="1" si="39"/>
        <v>0.99719635696153119</v>
      </c>
      <c r="AE85" s="60">
        <f t="shared" ca="1" si="45"/>
        <v>0.20461985509342573</v>
      </c>
      <c r="AF85" s="60"/>
      <c r="AG85" s="97">
        <f t="shared" ca="1" si="46"/>
        <v>7.4934379386574199E-2</v>
      </c>
      <c r="AH85" s="97">
        <f t="shared" ca="1" si="47"/>
        <v>7.6203472910859021E-2</v>
      </c>
      <c r="AI85" s="97">
        <f t="shared" ca="1" si="48"/>
        <v>7.3664651156824412E-2</v>
      </c>
      <c r="AJ85" s="62"/>
      <c r="AK85" s="97">
        <f t="shared" ca="1" si="49"/>
        <v>0.45072163525918546</v>
      </c>
      <c r="AL85" s="97"/>
      <c r="AM85" s="95"/>
      <c r="AN85" s="96"/>
      <c r="AX85" s="107">
        <f t="shared" ca="1" si="50"/>
        <v>0.49020242046907675</v>
      </c>
      <c r="AY85" s="107">
        <f t="shared" ca="1" si="51"/>
        <v>0.49021318003793496</v>
      </c>
      <c r="AZ85" s="107">
        <f t="shared" ca="1" si="52"/>
        <v>0.49019173985427794</v>
      </c>
      <c r="BB85" s="39">
        <f ca="1">_xll.EURO(UnderlyingPrice,$D85,IntRate,Yield,AX85,$D$6,1,0)</f>
        <v>0.8520350212819765</v>
      </c>
      <c r="BC85" s="39">
        <f ca="1">_xll.EURO(UnderlyingPrice,$D85*(1+$P$8),IntRate,Yield,AY85,$D$6,1,0)</f>
        <v>0.85090168975267</v>
      </c>
      <c r="BD85" s="39">
        <f ca="1">_xll.EURO(UnderlyingPrice,$D85*(1-$P$8),IntRate,Yield,AZ85,$D$6,1,0)</f>
        <v>0.8531697707936905</v>
      </c>
      <c r="BF85" s="59">
        <f t="shared" ca="1" si="53"/>
        <v>0.23279868992344271</v>
      </c>
      <c r="BG85" s="39">
        <f t="shared" ca="1" si="54"/>
        <v>0.23861213942793208</v>
      </c>
      <c r="BI85" s="58">
        <f t="shared" ca="1" si="55"/>
        <v>-3.8439576638953366E-2</v>
      </c>
      <c r="BJ85" s="46">
        <f t="shared" ca="1" si="56"/>
        <v>-4.5115019545930134E-2</v>
      </c>
    </row>
    <row r="86" spans="3:62" x14ac:dyDescent="0.2">
      <c r="C86" s="56">
        <v>73</v>
      </c>
      <c r="D86" s="63">
        <f t="shared" ca="1" si="57"/>
        <v>4.9739999999999975</v>
      </c>
      <c r="E86" s="45">
        <f t="shared" ca="1" si="40"/>
        <v>-3.9582931067774219E-2</v>
      </c>
      <c r="F86" s="45">
        <f t="shared" ca="1" si="32"/>
        <v>-3.9102722533308265E-2</v>
      </c>
      <c r="G86" s="45">
        <f t="shared" ca="1" si="33"/>
        <v>-4.0063139602240283E-2</v>
      </c>
      <c r="H86" s="45">
        <f t="shared" ca="1" si="34"/>
        <v>0.51720086732832748</v>
      </c>
      <c r="I86" s="45">
        <f t="shared" ca="1" si="37"/>
        <v>0.51716612745813317</v>
      </c>
      <c r="J86" s="45">
        <f t="shared" ca="1" si="35"/>
        <v>0.51713146947264776</v>
      </c>
      <c r="L86" s="58">
        <f ca="1">_xll.EURO(UnderlyingPrice,$D86,IntRate,Yield,$I86,$D$6,L$12,0)</f>
        <v>0.87392471252137849</v>
      </c>
      <c r="M86" s="58">
        <f ca="1">_xll.EURO(UnderlyingPrice,$D86,IntRate,Yield,$I86,$D$6,M$12,0)</f>
        <v>0.67391924947694526</v>
      </c>
      <c r="O86" s="58">
        <f ca="1">_xll.EURO(UnderlyingPrice,$D86*(1+$P$8),IntRate,Yield,$H86,Expiry-Today,O$12,0)</f>
        <v>0.87285288717140253</v>
      </c>
      <c r="P86" s="58">
        <f ca="1">_xll.EURO(UnderlyingPrice,$D86*(1+$P$8),IntRate,Yield,$H86,Expiry-Today,P$12,0)</f>
        <v>0.67527383186643886</v>
      </c>
      <c r="R86" s="58">
        <f ca="1">_xll.EURO(UnderlyingPrice,$D86*(1-$P$8),IntRate,Yield,$J86,Expiry-Today,R$12,0)</f>
        <v>0.87499792498760254</v>
      </c>
      <c r="S86" s="58">
        <f ca="1">_xll.EURO(UnderlyingPrice,$D86*(1-$P$8),IntRate,Yield,$J86,Expiry-Today,S$12,0)</f>
        <v>0.67256605420369908</v>
      </c>
      <c r="U86" s="59">
        <f t="shared" ca="1" si="41"/>
        <v>0.22426489043162356</v>
      </c>
      <c r="V86" s="59"/>
      <c r="W86" s="62">
        <f t="shared" ca="1" si="36"/>
        <v>0.22986523387248586</v>
      </c>
      <c r="Z86" s="59">
        <f t="shared" ca="1" si="42"/>
        <v>0.20362751421069719</v>
      </c>
      <c r="AA86" s="59">
        <f t="shared" ca="1" si="43"/>
        <v>3.7184476909392077E-2</v>
      </c>
      <c r="AB86" s="59">
        <f t="shared" ca="1" si="38"/>
        <v>-1.3826853230251126E-3</v>
      </c>
      <c r="AC86" s="59">
        <f t="shared" ca="1" si="44"/>
        <v>-4.4561285078502967E-3</v>
      </c>
      <c r="AD86" s="60">
        <f t="shared" ca="1" si="39"/>
        <v>0.995553785301586</v>
      </c>
      <c r="AE86" s="60">
        <f t="shared" ca="1" si="45"/>
        <v>0.20272214256401208</v>
      </c>
      <c r="AF86" s="60"/>
      <c r="AG86" s="97">
        <f t="shared" ca="1" si="46"/>
        <v>9.4404751022925698E-2</v>
      </c>
      <c r="AH86" s="97">
        <f t="shared" ca="1" si="47"/>
        <v>9.5673844547210465E-2</v>
      </c>
      <c r="AI86" s="97">
        <f t="shared" ca="1" si="48"/>
        <v>9.313502279317569E-2</v>
      </c>
      <c r="AJ86" s="62"/>
      <c r="AK86" s="97">
        <f t="shared" ca="1" si="49"/>
        <v>0.45034657177672938</v>
      </c>
      <c r="AL86" s="97"/>
      <c r="AM86" s="95"/>
      <c r="AN86" s="96"/>
      <c r="AX86" s="107">
        <f t="shared" ca="1" si="50"/>
        <v>0.49037679694724795</v>
      </c>
      <c r="AY86" s="107">
        <f t="shared" ca="1" si="51"/>
        <v>0.49038885617066547</v>
      </c>
      <c r="AZ86" s="107">
        <f t="shared" ca="1" si="52"/>
        <v>0.49036481685329308</v>
      </c>
      <c r="BB86" s="39">
        <f ca="1">_xll.EURO(UnderlyingPrice,$D86,IntRate,Yield,AX86,$D$6,1,0)</f>
        <v>0.83474170950108606</v>
      </c>
      <c r="BC86" s="39">
        <f ca="1">_xll.EURO(UnderlyingPrice,$D86*(1+$P$8),IntRate,Yield,AY86,$D$6,1,0)</f>
        <v>0.83362155863081444</v>
      </c>
      <c r="BD86" s="39">
        <f ca="1">_xll.EURO(UnderlyingPrice,$D86*(1-$P$8),IntRate,Yield,AZ86,$D$6,1,0)</f>
        <v>0.8358632877871881</v>
      </c>
      <c r="BF86" s="59">
        <f t="shared" ca="1" si="53"/>
        <v>0.23078040881727577</v>
      </c>
      <c r="BG86" s="39">
        <f t="shared" ca="1" si="54"/>
        <v>0.23654345780060917</v>
      </c>
      <c r="BI86" s="58">
        <f t="shared" ca="1" si="55"/>
        <v>-3.9183003020292428E-2</v>
      </c>
      <c r="BJ86" s="46">
        <f t="shared" ca="1" si="56"/>
        <v>-4.6940272151623504E-2</v>
      </c>
    </row>
    <row r="87" spans="3:62" x14ac:dyDescent="0.2">
      <c r="C87" s="56">
        <v>74</v>
      </c>
      <c r="D87" s="63">
        <f t="shared" ca="1" si="57"/>
        <v>5.0119999999999978</v>
      </c>
      <c r="E87" s="45">
        <f t="shared" ca="1" si="40"/>
        <v>-3.2245607260089293E-2</v>
      </c>
      <c r="F87" s="45">
        <f t="shared" ca="1" si="32"/>
        <v>-3.1761730063719407E-2</v>
      </c>
      <c r="G87" s="45">
        <f t="shared" ca="1" si="33"/>
        <v>-3.2729484456459179E-2</v>
      </c>
      <c r="H87" s="45">
        <f t="shared" ca="1" si="34"/>
        <v>0.517742175189849</v>
      </c>
      <c r="I87" s="45">
        <f t="shared" ca="1" si="37"/>
        <v>0.51770590149299511</v>
      </c>
      <c r="J87" s="45">
        <f t="shared" ca="1" si="35"/>
        <v>0.51766971185194688</v>
      </c>
      <c r="L87" s="58">
        <f ca="1">_xll.EURO(UnderlyingPrice,$D87,IntRate,Yield,$I87,$D$6,L$12,0)</f>
        <v>0.85769865607892415</v>
      </c>
      <c r="M87" s="58">
        <f ca="1">_xll.EURO(UnderlyingPrice,$D87,IntRate,Yield,$I87,$D$6,M$12,0)</f>
        <v>0.69476737642809283</v>
      </c>
      <c r="O87" s="58">
        <f ca="1">_xll.EURO(UnderlyingPrice,$D87*(1+$P$8),IntRate,Yield,$H87,Expiry-Today,O$12,0)</f>
        <v>0.85663990329912343</v>
      </c>
      <c r="P87" s="58">
        <f ca="1">_xll.EURO(UnderlyingPrice,$D87*(1+$P$8),IntRate,Yield,$H87,Expiry-Today,P$12,0)</f>
        <v>0.69615356847945931</v>
      </c>
      <c r="R87" s="58">
        <f ca="1">_xll.EURO(UnderlyingPrice,$D87*(1-$P$8),IntRate,Yield,$J87,Expiry-Today,R$12,0)</f>
        <v>0.85875880472548038</v>
      </c>
      <c r="S87" s="58">
        <f ca="1">_xll.EURO(UnderlyingPrice,$D87*(1-$P$8),IntRate,Yield,$J87,Expiry-Today,S$12,0)</f>
        <v>0.69338258024348187</v>
      </c>
      <c r="U87" s="59">
        <f t="shared" ca="1" si="41"/>
        <v>0.22227050219391112</v>
      </c>
      <c r="V87" s="59"/>
      <c r="W87" s="62">
        <f t="shared" ca="1" si="36"/>
        <v>0.22782104176639209</v>
      </c>
      <c r="Z87" s="59">
        <f t="shared" ca="1" si="42"/>
        <v>0.2020836503758994</v>
      </c>
      <c r="AA87" s="59">
        <f t="shared" ca="1" si="43"/>
        <v>4.4795168562001074E-2</v>
      </c>
      <c r="AB87" s="59">
        <f t="shared" ca="1" si="38"/>
        <v>-2.0066071264980894E-3</v>
      </c>
      <c r="AC87" s="59">
        <f t="shared" ca="1" si="44"/>
        <v>-6.4669083207454445E-3</v>
      </c>
      <c r="AD87" s="60">
        <f t="shared" ca="1" si="39"/>
        <v>0.99355395712832484</v>
      </c>
      <c r="AE87" s="60">
        <f t="shared" ca="1" si="45"/>
        <v>0.20078101050191174</v>
      </c>
      <c r="AF87" s="60"/>
      <c r="AG87" s="97">
        <f t="shared" ca="1" si="46"/>
        <v>0.11372693894364204</v>
      </c>
      <c r="AH87" s="97">
        <f t="shared" ca="1" si="47"/>
        <v>0.11499603246792704</v>
      </c>
      <c r="AI87" s="97">
        <f t="shared" ca="1" si="48"/>
        <v>0.11245721071389206</v>
      </c>
      <c r="AJ87" s="62"/>
      <c r="AK87" s="97">
        <f t="shared" ca="1" si="49"/>
        <v>0.44975156665426258</v>
      </c>
      <c r="AL87" s="97"/>
      <c r="AM87" s="95"/>
      <c r="AN87" s="96"/>
      <c r="AX87" s="107">
        <f t="shared" ca="1" si="50"/>
        <v>0.49056964712340373</v>
      </c>
      <c r="AY87" s="107">
        <f t="shared" ca="1" si="51"/>
        <v>0.49058300849764075</v>
      </c>
      <c r="AZ87" s="107">
        <f t="shared" ca="1" si="52"/>
        <v>0.49055636503133743</v>
      </c>
      <c r="BB87" s="39">
        <f ca="1">_xll.EURO(UnderlyingPrice,$D87,IntRate,Yield,AX87,$D$6,1,0)</f>
        <v>0.81778163125707204</v>
      </c>
      <c r="BC87" s="39">
        <f ca="1">_xll.EURO(UnderlyingPrice,$D87*(1+$P$8),IntRate,Yield,AY87,$D$6,1,0)</f>
        <v>0.81667479774644791</v>
      </c>
      <c r="BD87" s="39">
        <f ca="1">_xll.EURO(UnderlyingPrice,$D87*(1-$P$8),IntRate,Yield,AZ87,$D$6,1,0)</f>
        <v>0.81888990070117806</v>
      </c>
      <c r="BF87" s="59">
        <f t="shared" ca="1" si="53"/>
        <v>0.22865051759209151</v>
      </c>
      <c r="BG87" s="39">
        <f t="shared" ca="1" si="54"/>
        <v>0.23436037892607975</v>
      </c>
      <c r="BI87" s="58">
        <f t="shared" ca="1" si="55"/>
        <v>-3.991702482185211E-2</v>
      </c>
      <c r="BJ87" s="46">
        <f t="shared" ca="1" si="56"/>
        <v>-4.8811349260184198E-2</v>
      </c>
    </row>
    <row r="88" spans="3:62" x14ac:dyDescent="0.2">
      <c r="C88" s="56">
        <v>75</v>
      </c>
      <c r="D88" s="63">
        <f t="shared" ca="1" si="57"/>
        <v>5.049999999999998</v>
      </c>
      <c r="E88" s="45">
        <f t="shared" ca="1" si="40"/>
        <v>-2.4908283452404367E-2</v>
      </c>
      <c r="F88" s="45">
        <f t="shared" ca="1" si="32"/>
        <v>-2.4420737594130659E-2</v>
      </c>
      <c r="G88" s="45">
        <f t="shared" ca="1" si="33"/>
        <v>-2.5395829310678075E-2</v>
      </c>
      <c r="H88" s="45">
        <f t="shared" ca="1" si="34"/>
        <v>0.51830284364525336</v>
      </c>
      <c r="I88" s="45">
        <f t="shared" ca="1" si="37"/>
        <v>0.51826500289847188</v>
      </c>
      <c r="J88" s="45">
        <f t="shared" ca="1" si="35"/>
        <v>0.51822724841601064</v>
      </c>
      <c r="L88" s="58">
        <f ca="1">_xll.EURO(UnderlyingPrice,$D88,IntRate,Yield,$I88,$D$6,L$12,0)</f>
        <v>0.84179354922362037</v>
      </c>
      <c r="M88" s="58">
        <f ca="1">_xll.EURO(UnderlyingPrice,$D88,IntRate,Yield,$I88,$D$6,M$12,0)</f>
        <v>0.71593645296639075</v>
      </c>
      <c r="O88" s="58">
        <f ca="1">_xll.EURO(UnderlyingPrice,$D88*(1+$P$8),IntRate,Yield,$H88,Expiry-Today,O$12,0)</f>
        <v>0.84074799606462758</v>
      </c>
      <c r="P88" s="58">
        <f ca="1">_xll.EURO(UnderlyingPrice,$D88*(1+$P$8),IntRate,Yield,$H88,Expiry-Today,P$12,0)</f>
        <v>0.71735438173026145</v>
      </c>
      <c r="R88" s="58">
        <f ca="1">_xll.EURO(UnderlyingPrice,$D88*(1-$P$8),IntRate,Yield,$J88,Expiry-Today,R$12,0)</f>
        <v>0.84284050630062879</v>
      </c>
      <c r="S88" s="58">
        <f ca="1">_xll.EURO(UnderlyingPrice,$D88*(1-$P$8),IntRate,Yield,$J88,Expiry-Today,S$12,0)</f>
        <v>0.71451992812053611</v>
      </c>
      <c r="U88" s="59">
        <f t="shared" ca="1" si="41"/>
        <v>0.22020084550438584</v>
      </c>
      <c r="V88" s="59"/>
      <c r="W88" s="62">
        <f t="shared" ca="1" si="36"/>
        <v>0.22569970160450648</v>
      </c>
      <c r="Z88" s="59">
        <f t="shared" ca="1" si="42"/>
        <v>0.20056302092752629</v>
      </c>
      <c r="AA88" s="59">
        <f t="shared" ca="1" si="43"/>
        <v>5.2348374815447712E-2</v>
      </c>
      <c r="AB88" s="59">
        <f t="shared" ca="1" si="38"/>
        <v>-2.7403523458186005E-3</v>
      </c>
      <c r="AC88" s="59">
        <f t="shared" ca="1" si="44"/>
        <v>-8.831627852272296E-3</v>
      </c>
      <c r="AD88" s="60">
        <f t="shared" ca="1" si="39"/>
        <v>0.99120725641832208</v>
      </c>
      <c r="AE88" s="60">
        <f t="shared" ca="1" si="45"/>
        <v>0.19879952171254384</v>
      </c>
      <c r="AF88" s="60"/>
      <c r="AG88" s="97">
        <f t="shared" ca="1" si="46"/>
        <v>0.13290318169458767</v>
      </c>
      <c r="AH88" s="97">
        <f t="shared" ca="1" si="47"/>
        <v>0.13417227521887265</v>
      </c>
      <c r="AI88" s="97">
        <f t="shared" ca="1" si="48"/>
        <v>0.13163345346483776</v>
      </c>
      <c r="AJ88" s="62"/>
      <c r="AK88" s="97">
        <f t="shared" ca="1" si="49"/>
        <v>0.44894191224386965</v>
      </c>
      <c r="AL88" s="97"/>
      <c r="AM88" s="95"/>
      <c r="AN88" s="96"/>
      <c r="AX88" s="107">
        <f t="shared" ca="1" si="50"/>
        <v>0.49078072704447867</v>
      </c>
      <c r="AY88" s="107">
        <f t="shared" ca="1" si="51"/>
        <v>0.49079539269968275</v>
      </c>
      <c r="AZ88" s="107">
        <f t="shared" ca="1" si="52"/>
        <v>0.49076614080109193</v>
      </c>
      <c r="BB88" s="39">
        <f ca="1">_xll.EURO(UnderlyingPrice,$D88,IntRate,Yield,AX88,$D$6,1,0)</f>
        <v>0.80115171171634003</v>
      </c>
      <c r="BC88" s="39">
        <f ca="1">_xll.EURO(UnderlyingPrice,$D88*(1+$P$8),IntRate,Yield,AY88,$D$6,1,0)</f>
        <v>0.80005831735629451</v>
      </c>
      <c r="BD88" s="39">
        <f ca="1">_xll.EURO(UnderlyingPrice,$D88*(1-$P$8),IntRate,Yield,AZ88,$D$6,1,0)</f>
        <v>0.80224654961412378</v>
      </c>
      <c r="BF88" s="59">
        <f t="shared" ca="1" si="53"/>
        <v>0.22641509471348972</v>
      </c>
      <c r="BG88" s="39">
        <f t="shared" ca="1" si="54"/>
        <v>0.23206913306140273</v>
      </c>
      <c r="BI88" s="58">
        <f t="shared" ca="1" si="55"/>
        <v>-4.0641837507280343E-2</v>
      </c>
      <c r="BJ88" s="46">
        <f t="shared" ca="1" si="56"/>
        <v>-5.0729265022990057E-2</v>
      </c>
    </row>
    <row r="89" spans="3:62" x14ac:dyDescent="0.2">
      <c r="C89" s="56">
        <v>76</v>
      </c>
      <c r="D89" s="63">
        <f t="shared" ca="1" si="57"/>
        <v>5.0879999999999983</v>
      </c>
      <c r="E89" s="45">
        <f t="shared" ca="1" si="40"/>
        <v>-1.7570959644719442E-2</v>
      </c>
      <c r="F89" s="45">
        <f t="shared" ca="1" si="32"/>
        <v>-1.7079745124541912E-2</v>
      </c>
      <c r="G89" s="45">
        <f t="shared" ca="1" si="33"/>
        <v>-1.8062174164896971E-2</v>
      </c>
      <c r="H89" s="45">
        <f t="shared" ca="1" si="34"/>
        <v>0.51888308343852418</v>
      </c>
      <c r="I89" s="45">
        <f t="shared" ca="1" si="37"/>
        <v>0.51884364210274692</v>
      </c>
      <c r="J89" s="45">
        <f t="shared" ca="1" si="35"/>
        <v>0.5188042892775383</v>
      </c>
      <c r="L89" s="58">
        <f ca="1">_xll.EURO(UnderlyingPrice,$D89,IntRate,Yield,$I89,$D$6,L$12,0)</f>
        <v>0.82620640389295597</v>
      </c>
      <c r="M89" s="58">
        <f ca="1">_xll.EURO(UnderlyingPrice,$D89,IntRate,Yield,$I89,$D$6,M$12,0)</f>
        <v>0.73742349102932847</v>
      </c>
      <c r="O89" s="58">
        <f ca="1">_xll.EURO(UnderlyingPrice,$D89*(1+$P$8),IntRate,Yield,$H89,Expiry-Today,O$12,0)</f>
        <v>0.82517416593872239</v>
      </c>
      <c r="P89" s="58">
        <f ca="1">_xll.EURO(UnderlyingPrice,$D89*(1+$P$8),IntRate,Yield,$H89,Expiry-Today,P$12,0)</f>
        <v>0.73887327208965559</v>
      </c>
      <c r="R89" s="58">
        <f ca="1">_xll.EURO(UnderlyingPrice,$D89*(1-$P$8),IntRate,Yield,$J89,Expiry-Today,R$12,0)</f>
        <v>0.82724005311931847</v>
      </c>
      <c r="S89" s="58">
        <f ca="1">_xll.EURO(UnderlyingPrice,$D89*(1-$P$8),IntRate,Yield,$J89,Expiry-Today,S$12,0)</f>
        <v>0.73597512124113074</v>
      </c>
      <c r="U89" s="59">
        <f t="shared" ca="1" si="41"/>
        <v>0.21806027268149963</v>
      </c>
      <c r="V89" s="59"/>
      <c r="W89" s="62">
        <f t="shared" ca="1" si="36"/>
        <v>0.22350567439138885</v>
      </c>
      <c r="Z89" s="59">
        <f t="shared" ca="1" si="42"/>
        <v>0.19906510528380655</v>
      </c>
      <c r="AA89" s="59">
        <f t="shared" ca="1" si="43"/>
        <v>5.984495756600032E-2</v>
      </c>
      <c r="AB89" s="59">
        <f t="shared" ca="1" si="38"/>
        <v>-3.581418946076379E-3</v>
      </c>
      <c r="AC89" s="59">
        <f t="shared" ca="1" si="44"/>
        <v>-1.1542223525776343E-2</v>
      </c>
      <c r="AD89" s="60">
        <f t="shared" ca="1" si="39"/>
        <v>0.98852413239253267</v>
      </c>
      <c r="AE89" s="60">
        <f t="shared" ca="1" si="45"/>
        <v>0.19678066049030304</v>
      </c>
      <c r="AF89" s="60"/>
      <c r="AG89" s="97">
        <f t="shared" ca="1" si="46"/>
        <v>0.15193566747657603</v>
      </c>
      <c r="AH89" s="97">
        <f t="shared" ca="1" si="47"/>
        <v>0.15320476100086095</v>
      </c>
      <c r="AI89" s="97">
        <f t="shared" ca="1" si="48"/>
        <v>0.15066593924682614</v>
      </c>
      <c r="AJ89" s="62"/>
      <c r="AK89" s="97">
        <f t="shared" ca="1" si="49"/>
        <v>0.44792308459469615</v>
      </c>
      <c r="AL89" s="97"/>
      <c r="AM89" s="95"/>
      <c r="AN89" s="96"/>
      <c r="AX89" s="107">
        <f t="shared" ca="1" si="50"/>
        <v>0.49100979275740703</v>
      </c>
      <c r="AY89" s="107">
        <f t="shared" ca="1" si="51"/>
        <v>0.49102576445761315</v>
      </c>
      <c r="AZ89" s="107">
        <f t="shared" ca="1" si="52"/>
        <v>0.49099390057523773</v>
      </c>
      <c r="BB89" s="39">
        <f ca="1">_xll.EURO(UnderlyingPrice,$D89,IntRate,Yield,AX89,$D$6,1,0)</f>
        <v>0.78484872365659353</v>
      </c>
      <c r="BC89" s="39">
        <f ca="1">_xll.EURO(UnderlyingPrice,$D89*(1+$P$8),IntRate,Yield,AY89,$D$6,1,0)</f>
        <v>0.7837688756029042</v>
      </c>
      <c r="BD89" s="39">
        <f ca="1">_xll.EURO(UnderlyingPrice,$D89*(1-$P$8),IntRate,Yield,AZ89,$D$6,1,0)</f>
        <v>0.7859300219430474</v>
      </c>
      <c r="BF89" s="59">
        <f t="shared" ca="1" si="53"/>
        <v>0.2240802079229173</v>
      </c>
      <c r="BG89" s="39">
        <f t="shared" ca="1" si="54"/>
        <v>0.22967593947168055</v>
      </c>
      <c r="BI89" s="58">
        <f t="shared" ca="1" si="55"/>
        <v>-4.1357680236362437E-2</v>
      </c>
      <c r="BJ89" s="46">
        <f t="shared" ca="1" si="56"/>
        <v>-5.2695097780981137E-2</v>
      </c>
    </row>
    <row r="90" spans="3:62" x14ac:dyDescent="0.2">
      <c r="C90" s="56">
        <v>77</v>
      </c>
      <c r="D90" s="63">
        <f t="shared" ca="1" si="57"/>
        <v>5.1259999999999986</v>
      </c>
      <c r="E90" s="45">
        <f t="shared" ca="1" si="40"/>
        <v>-1.0233635837034516E-2</v>
      </c>
      <c r="F90" s="45">
        <f t="shared" ca="1" si="32"/>
        <v>-9.7387526549531644E-3</v>
      </c>
      <c r="G90" s="45">
        <f t="shared" ca="1" si="33"/>
        <v>-1.0728519019115867E-2</v>
      </c>
      <c r="H90" s="45">
        <f t="shared" ca="1" si="34"/>
        <v>0.51948310531364517</v>
      </c>
      <c r="I90" s="45">
        <f t="shared" ca="1" si="37"/>
        <v>0.51944202953400376</v>
      </c>
      <c r="J90" s="45">
        <f t="shared" ca="1" si="35"/>
        <v>0.51940104454922864</v>
      </c>
      <c r="L90" s="58">
        <f ca="1">_xll.EURO(UnderlyingPrice,$D90,IntRate,Yield,$I90,$D$6,L$12,0)</f>
        <v>0.81093412961686662</v>
      </c>
      <c r="M90" s="58">
        <f ca="1">_xll.EURO(UnderlyingPrice,$D90,IntRate,Yield,$I90,$D$6,M$12,0)</f>
        <v>0.75922540014684126</v>
      </c>
      <c r="O90" s="58">
        <f ca="1">_xll.EURO(UnderlyingPrice,$D90*(1+$P$8),IntRate,Yield,$H90,Expiry-Today,O$12,0)</f>
        <v>0.80991531119585503</v>
      </c>
      <c r="P90" s="58">
        <f ca="1">_xll.EURO(UnderlyingPrice,$D90*(1+$P$8),IntRate,Yield,$H90,Expiry-Today,P$12,0)</f>
        <v>0.7607071378320871</v>
      </c>
      <c r="R90" s="58">
        <f ca="1">_xll.EURO(UnderlyingPrice,$D90*(1-$P$8),IntRate,Yield,$J90,Expiry-Today,R$12,0)</f>
        <v>0.81195436597014625</v>
      </c>
      <c r="S90" s="58">
        <f ca="1">_xll.EURO(UnderlyingPrice,$D90*(1-$P$8),IntRate,Yield,$J90,Expiry-Today,S$12,0)</f>
        <v>0.75774508039386346</v>
      </c>
      <c r="U90" s="59">
        <f t="shared" ca="1" si="41"/>
        <v>0.21585309171714745</v>
      </c>
      <c r="V90" s="59"/>
      <c r="W90" s="62">
        <f t="shared" ca="1" si="36"/>
        <v>0.22124337569811922</v>
      </c>
      <c r="Z90" s="59">
        <f t="shared" ca="1" si="42"/>
        <v>0.19758939829965033</v>
      </c>
      <c r="AA90" s="59">
        <f t="shared" ca="1" si="43"/>
        <v>6.7285759470058715E-2</v>
      </c>
      <c r="AB90" s="59">
        <f t="shared" ca="1" si="38"/>
        <v>-4.527373427462596E-3</v>
      </c>
      <c r="AC90" s="59">
        <f t="shared" ca="1" si="44"/>
        <v>-1.4590852640035993E-2</v>
      </c>
      <c r="AD90" s="60">
        <f t="shared" ca="1" si="39"/>
        <v>0.98551507801830562</v>
      </c>
      <c r="AE90" s="60">
        <f t="shared" ca="1" si="45"/>
        <v>0.19472733128086997</v>
      </c>
      <c r="AF90" s="60"/>
      <c r="AG90" s="97">
        <f t="shared" ca="1" si="46"/>
        <v>0.17082653564382783</v>
      </c>
      <c r="AH90" s="97">
        <f t="shared" ca="1" si="47"/>
        <v>0.17209562916811266</v>
      </c>
      <c r="AI90" s="97">
        <f t="shared" ca="1" si="48"/>
        <v>0.16955680741407803</v>
      </c>
      <c r="AJ90" s="62"/>
      <c r="AK90" s="97">
        <f t="shared" ca="1" si="49"/>
        <v>0.44670073510528396</v>
      </c>
      <c r="AL90" s="97"/>
      <c r="AM90" s="95"/>
      <c r="AN90" s="96"/>
      <c r="AX90" s="107">
        <f t="shared" ca="1" si="50"/>
        <v>0.49125660030912321</v>
      </c>
      <c r="AY90" s="107">
        <f t="shared" ca="1" si="51"/>
        <v>0.49127387945225376</v>
      </c>
      <c r="AZ90" s="107">
        <f t="shared" ca="1" si="52"/>
        <v>0.49123940076645589</v>
      </c>
      <c r="BB90" s="39">
        <f ca="1">_xll.EURO(UnderlyingPrice,$D90,IntRate,Yield,AX90,$D$6,1,0)</f>
        <v>0.76886929622571687</v>
      </c>
      <c r="BC90" s="39">
        <f ca="1">_xll.EURO(UnderlyingPrice,$D90*(1+$P$8),IntRate,Yield,AY90,$D$6,1,0)</f>
        <v>0.76780308729356417</v>
      </c>
      <c r="BD90" s="39">
        <f ca="1">_xll.EURO(UnderlyingPrice,$D90*(1-$P$8),IntRate,Yield,AZ90,$D$6,1,0)</f>
        <v>0.7699369611823097</v>
      </c>
      <c r="BF90" s="59">
        <f t="shared" ca="1" si="53"/>
        <v>0.22165189699135132</v>
      </c>
      <c r="BG90" s="39">
        <f t="shared" ca="1" si="54"/>
        <v>0.22718698875306723</v>
      </c>
      <c r="BI90" s="58">
        <f t="shared" ca="1" si="55"/>
        <v>-4.2064833391149747E-2</v>
      </c>
      <c r="BJ90" s="46">
        <f t="shared" ca="1" si="56"/>
        <v>-5.4709992449484914E-2</v>
      </c>
    </row>
    <row r="91" spans="3:62" x14ac:dyDescent="0.2">
      <c r="C91" s="56">
        <v>78</v>
      </c>
      <c r="D91" s="63">
        <f t="shared" ca="1" si="57"/>
        <v>5.1639999999999988</v>
      </c>
      <c r="E91" s="45">
        <f t="shared" ca="1" si="40"/>
        <v>-2.8963120293495903E-3</v>
      </c>
      <c r="F91" s="45">
        <f t="shared" ca="1" si="32"/>
        <v>-2.397760185364417E-3</v>
      </c>
      <c r="G91" s="45">
        <f t="shared" ca="1" si="33"/>
        <v>-3.3948638733347636E-3</v>
      </c>
      <c r="H91" s="45">
        <f t="shared" ca="1" si="34"/>
        <v>0.52010312001459968</v>
      </c>
      <c r="I91" s="45">
        <f t="shared" ca="1" si="37"/>
        <v>0.52006037562042573</v>
      </c>
      <c r="J91" s="45">
        <f t="shared" ca="1" si="35"/>
        <v>0.52001772434378091</v>
      </c>
      <c r="L91" s="58">
        <f ca="1">_xll.EURO(UnderlyingPrice,$D91,IntRate,Yield,$I91,$D$6,L$12,0)</f>
        <v>0.79597353973654172</v>
      </c>
      <c r="M91" s="58">
        <f ca="1">_xll.EURO(UnderlyingPrice,$D91,IntRate,Yield,$I91,$D$6,M$12,0)</f>
        <v>0.78133899366011805</v>
      </c>
      <c r="O91" s="58">
        <f ca="1">_xll.EURO(UnderlyingPrice,$D91*(1+$P$8),IntRate,Yield,$H91,Expiry-Today,O$12,0)</f>
        <v>0.79496823414385043</v>
      </c>
      <c r="P91" s="58">
        <f ca="1">_xll.EURO(UnderlyingPrice,$D91*(1+$P$8),IntRate,Yield,$H91,Expiry-Today,P$12,0)</f>
        <v>0.78285278126538049</v>
      </c>
      <c r="R91" s="58">
        <f ca="1">_xll.EURO(UnderlyingPrice,$D91*(1-$P$8),IntRate,Yield,$J91,Expiry-Today,R$12,0)</f>
        <v>0.79698026923187815</v>
      </c>
      <c r="S91" s="58">
        <f ca="1">_xll.EURO(UnderlyingPrice,$D91*(1-$P$8),IntRate,Yield,$J91,Expiry-Today,S$12,0)</f>
        <v>0.77982662995750029</v>
      </c>
      <c r="U91" s="59">
        <f t="shared" ca="1" si="41"/>
        <v>0.21358355995024061</v>
      </c>
      <c r="V91" s="59"/>
      <c r="W91" s="62">
        <f t="shared" ca="1" si="36"/>
        <v>0.21891716917788759</v>
      </c>
      <c r="Z91" s="59">
        <f t="shared" ca="1" si="42"/>
        <v>0.19613540969868468</v>
      </c>
      <c r="AA91" s="59">
        <f t="shared" ca="1" si="43"/>
        <v>7.4671604512575457E-2</v>
      </c>
      <c r="AB91" s="59">
        <f t="shared" ca="1" si="38"/>
        <v>-5.5758485204824796E-3</v>
      </c>
      <c r="AC91" s="59">
        <f t="shared" ca="1" si="44"/>
        <v>-1.7969885941376704E-2</v>
      </c>
      <c r="AD91" s="60">
        <f t="shared" ca="1" si="39"/>
        <v>0.98219060965855076</v>
      </c>
      <c r="AE91" s="60">
        <f t="shared" ca="1" si="45"/>
        <v>0.19264235762758072</v>
      </c>
      <c r="AF91" s="60"/>
      <c r="AG91" s="97">
        <f t="shared" ca="1" si="46"/>
        <v>0.18957787814709129</v>
      </c>
      <c r="AH91" s="97">
        <f t="shared" ca="1" si="47"/>
        <v>0.19084697167137613</v>
      </c>
      <c r="AI91" s="97">
        <f t="shared" ca="1" si="48"/>
        <v>0.18830814991734152</v>
      </c>
      <c r="AJ91" s="62"/>
      <c r="AK91" s="97">
        <f t="shared" ca="1" si="49"/>
        <v>0.44528067393391363</v>
      </c>
      <c r="AL91" s="97"/>
      <c r="AM91" s="95"/>
      <c r="AN91" s="96"/>
      <c r="AX91" s="107">
        <f t="shared" ca="1" si="50"/>
        <v>0.49152090574656171</v>
      </c>
      <c r="AY91" s="107">
        <f t="shared" ca="1" si="51"/>
        <v>0.49153949336442654</v>
      </c>
      <c r="AZ91" s="107">
        <f t="shared" ca="1" si="52"/>
        <v>0.49150239778742755</v>
      </c>
      <c r="BB91" s="39">
        <f ca="1">_xll.EURO(UnderlyingPrice,$D91,IntRate,Yield,AX91,$D$6,1,0)</f>
        <v>0.75320992366246831</v>
      </c>
      <c r="BC91" s="39">
        <f ca="1">_xll.EURO(UnderlyingPrice,$D91*(1+$P$8),IntRate,Yield,AY91,$D$6,1,0)</f>
        <v>0.75215743263951929</v>
      </c>
      <c r="BD91" s="39">
        <f ca="1">_xll.EURO(UnderlyingPrice,$D91*(1-$P$8),IntRate,Yield,AZ91,$D$6,1,0)</f>
        <v>0.75426387560572428</v>
      </c>
      <c r="BF91" s="59">
        <f t="shared" ca="1" si="53"/>
        <v>0.21913616147157766</v>
      </c>
      <c r="BG91" s="39">
        <f t="shared" ca="1" si="54"/>
        <v>0.22460843027919677</v>
      </c>
      <c r="BI91" s="58">
        <f t="shared" ca="1" si="55"/>
        <v>-4.2763616074073418E-2</v>
      </c>
      <c r="BJ91" s="46">
        <f t="shared" ca="1" si="56"/>
        <v>-5.677516284721288E-2</v>
      </c>
    </row>
    <row r="92" spans="3:62" x14ac:dyDescent="0.2">
      <c r="C92" s="56">
        <v>79</v>
      </c>
      <c r="D92" s="63">
        <f t="shared" ca="1" si="57"/>
        <v>5.2019999999999991</v>
      </c>
      <c r="E92" s="45">
        <f t="shared" ca="1" si="40"/>
        <v>4.4410117783353353E-3</v>
      </c>
      <c r="F92" s="45">
        <f t="shared" ca="1" si="32"/>
        <v>4.9432322842244414E-3</v>
      </c>
      <c r="G92" s="45">
        <f t="shared" ca="1" si="33"/>
        <v>3.9387912724462293E-3</v>
      </c>
      <c r="H92" s="45">
        <f t="shared" ca="1" si="34"/>
        <v>0.52074333828537178</v>
      </c>
      <c r="I92" s="45">
        <f t="shared" ca="1" si="37"/>
        <v>0.52069889079019671</v>
      </c>
      <c r="J92" s="45">
        <f t="shared" ca="1" si="35"/>
        <v>0.52065453877389412</v>
      </c>
      <c r="L92" s="58">
        <f ca="1">_xll.EURO(UnderlyingPrice,$D92,IntRate,Yield,$I92,$D$6,L$12,0)</f>
        <v>0.78132135755154319</v>
      </c>
      <c r="M92" s="58">
        <f ca="1">_xll.EURO(UnderlyingPrice,$D92,IntRate,Yield,$I92,$D$6,M$12,0)</f>
        <v>0.8037609948687221</v>
      </c>
      <c r="O92" s="58">
        <f ca="1">_xll.EURO(UnderlyingPrice,$D92*(1+$P$8),IntRate,Yield,$H92,Expiry-Today,O$12,0)</f>
        <v>0.78032964728138721</v>
      </c>
      <c r="P92" s="58">
        <f ca="1">_xll.EURO(UnderlyingPrice,$D92*(1+$P$8),IntRate,Yield,$H92,Expiry-Today,P$12,0)</f>
        <v>0.80530691488821704</v>
      </c>
      <c r="R92" s="58">
        <f ca="1">_xll.EURO(UnderlyingPrice,$D92*(1-$P$8),IntRate,Yield,$J92,Expiry-Today,R$12,0)</f>
        <v>0.78231449701018985</v>
      </c>
      <c r="S92" s="58">
        <f ca="1">_xll.EURO(UnderlyingPrice,$D92*(1-$P$8),IntRate,Yield,$J92,Expiry-Today,S$12,0)</f>
        <v>0.80221650403771783</v>
      </c>
      <c r="U92" s="59">
        <f t="shared" ca="1" si="41"/>
        <v>0.21125588000485976</v>
      </c>
      <c r="V92" s="59"/>
      <c r="W92" s="62">
        <f t="shared" ca="1" si="36"/>
        <v>0.21653136240271428</v>
      </c>
      <c r="Z92" s="59">
        <f t="shared" ca="1" si="42"/>
        <v>0.19470266353018215</v>
      </c>
      <c r="AA92" s="59">
        <f t="shared" ca="1" si="43"/>
        <v>8.200329855463924E-2</v>
      </c>
      <c r="AB92" s="59">
        <f t="shared" ca="1" si="38"/>
        <v>-6.7245409738412977E-3</v>
      </c>
      <c r="AC92" s="59">
        <f t="shared" ca="1" si="44"/>
        <v>-2.1671900494453548E-2</v>
      </c>
      <c r="AD92" s="60">
        <f t="shared" ca="1" si="39"/>
        <v>0.97856124784782617</v>
      </c>
      <c r="AE92" s="60">
        <f t="shared" ca="1" si="45"/>
        <v>0.19052848138339049</v>
      </c>
      <c r="AF92" s="60"/>
      <c r="AG92" s="97">
        <f t="shared" ca="1" si="46"/>
        <v>0.20819174092385867</v>
      </c>
      <c r="AH92" s="97">
        <f t="shared" ca="1" si="47"/>
        <v>0.2094608344481437</v>
      </c>
      <c r="AI92" s="97">
        <f t="shared" ca="1" si="48"/>
        <v>0.2069220126941087</v>
      </c>
      <c r="AJ92" s="62"/>
      <c r="AK92" s="97">
        <f t="shared" ca="1" si="49"/>
        <v>0.44366885758274155</v>
      </c>
      <c r="AL92" s="97"/>
      <c r="AM92" s="95"/>
      <c r="AN92" s="96"/>
      <c r="AX92" s="107">
        <f t="shared" ca="1" si="50"/>
        <v>0.49180246511665693</v>
      </c>
      <c r="AY92" s="107">
        <f t="shared" ca="1" si="51"/>
        <v>0.4918223618749531</v>
      </c>
      <c r="AZ92" s="107">
        <f t="shared" ca="1" si="52"/>
        <v>0.49178264805083372</v>
      </c>
      <c r="BB92" s="39">
        <f ca="1">_xll.EURO(UnderlyingPrice,$D92,IntRate,Yield,AX92,$D$6,1,0)</f>
        <v>0.73786697395786449</v>
      </c>
      <c r="BC92" s="39">
        <f ca="1">_xll.EURO(UnderlyingPrice,$D92*(1+$P$8),IntRate,Yield,AY92,$D$6,1,0)</f>
        <v>0.73682826593427952</v>
      </c>
      <c r="BD92" s="39">
        <f ca="1">_xll.EURO(UnderlyingPrice,$D92*(1-$P$8),IntRate,Yield,AZ92,$D$6,1,0)</f>
        <v>0.73890714691094406</v>
      </c>
      <c r="BF92" s="59">
        <f t="shared" ca="1" si="53"/>
        <v>0.21653894608585569</v>
      </c>
      <c r="BG92" s="39">
        <f t="shared" ca="1" si="54"/>
        <v>0.22194635722394865</v>
      </c>
      <c r="BI92" s="58">
        <f t="shared" ca="1" si="55"/>
        <v>-4.3454383593678703E-2</v>
      </c>
      <c r="BJ92" s="46">
        <f t="shared" ca="1" si="56"/>
        <v>-5.8891893969169766E-2</v>
      </c>
    </row>
    <row r="93" spans="3:62" x14ac:dyDescent="0.2">
      <c r="C93" s="56">
        <v>80</v>
      </c>
      <c r="D93" s="63">
        <f t="shared" ca="1" si="57"/>
        <v>5.2399999999999993</v>
      </c>
      <c r="E93" s="45">
        <f t="shared" ca="1" si="40"/>
        <v>1.1778335586020372E-2</v>
      </c>
      <c r="F93" s="45">
        <f t="shared" ca="1" si="32"/>
        <v>1.2284224753813078E-2</v>
      </c>
      <c r="G93" s="45">
        <f t="shared" ca="1" si="33"/>
        <v>1.1272446418227444E-2</v>
      </c>
      <c r="H93" s="45">
        <f t="shared" ca="1" si="34"/>
        <v>0.52140397086994472</v>
      </c>
      <c r="I93" s="45">
        <f t="shared" ca="1" si="37"/>
        <v>0.52135778547149991</v>
      </c>
      <c r="J93" s="45">
        <f t="shared" ca="1" si="35"/>
        <v>0.52131169795226706</v>
      </c>
      <c r="L93" s="58">
        <f ca="1">_xll.EURO(UnderlyingPrice,$D93,IntRate,Yield,$I93,$D$6,L$12,0)</f>
        <v>0.76697422238969581</v>
      </c>
      <c r="M93" s="58">
        <f ca="1">_xll.EURO(UnderlyingPrice,$D93,IntRate,Yield,$I93,$D$6,M$12,0)</f>
        <v>0.82648804310047685</v>
      </c>
      <c r="O93" s="58">
        <f ca="1">_xll.EURO(UnderlyingPrice,$D93*(1+$P$8),IntRate,Yield,$H93,Expiry-Today,O$12,0)</f>
        <v>0.76599617937763886</v>
      </c>
      <c r="P93" s="58">
        <f ca="1">_xll.EURO(UnderlyingPrice,$D93*(1+$P$8),IntRate,Yield,$H93,Expiry-Today,P$12,0)</f>
        <v>0.82806616746976669</v>
      </c>
      <c r="R93" s="58">
        <f ca="1">_xll.EURO(UnderlyingPrice,$D93*(1-$P$8),IntRate,Yield,$J93,Expiry-Today,R$12,0)</f>
        <v>0.76795369919780621</v>
      </c>
      <c r="S93" s="58">
        <f ca="1">_xll.EURO(UnderlyingPrice,$D93*(1-$P$8),IntRate,Yield,$J93,Expiry-Today,S$12,0)</f>
        <v>0.82491135252723913</v>
      </c>
      <c r="U93" s="59">
        <f t="shared" ca="1" si="41"/>
        <v>0.20887419926585238</v>
      </c>
      <c r="V93" s="59"/>
      <c r="W93" s="62">
        <f t="shared" ca="1" si="36"/>
        <v>0.21409020632595227</v>
      </c>
      <c r="Z93" s="59">
        <f t="shared" ca="1" si="42"/>
        <v>0.19329069764961973</v>
      </c>
      <c r="AA93" s="59">
        <f t="shared" ca="1" si="43"/>
        <v>8.928162986113039E-2</v>
      </c>
      <c r="AB93" s="59">
        <f t="shared" ca="1" si="38"/>
        <v>-7.9712094306598896E-3</v>
      </c>
      <c r="AC93" s="59">
        <f t="shared" ca="1" si="44"/>
        <v>-2.5689672837702879E-2</v>
      </c>
      <c r="AD93" s="60">
        <f t="shared" ca="1" si="39"/>
        <v>0.9746374991727581</v>
      </c>
      <c r="AE93" s="60">
        <f t="shared" ca="1" si="45"/>
        <v>0.18838836217058308</v>
      </c>
      <c r="AF93" s="60"/>
      <c r="AG93" s="97">
        <f t="shared" ca="1" si="46"/>
        <v>0.2266701252379893</v>
      </c>
      <c r="AH93" s="97">
        <f t="shared" ca="1" si="47"/>
        <v>0.22793921876227372</v>
      </c>
      <c r="AI93" s="97">
        <f t="shared" ca="1" si="48"/>
        <v>0.22540039700823936</v>
      </c>
      <c r="AJ93" s="62"/>
      <c r="AK93" s="97">
        <f t="shared" ca="1" si="49"/>
        <v>0.4418713835917476</v>
      </c>
      <c r="AL93" s="97"/>
      <c r="AM93" s="95"/>
      <c r="AN93" s="96"/>
      <c r="AX93" s="107">
        <f t="shared" ca="1" si="50"/>
        <v>0.49210103446634329</v>
      </c>
      <c r="AY93" s="107">
        <f t="shared" ca="1" si="51"/>
        <v>0.49212224066465549</v>
      </c>
      <c r="AZ93" s="107">
        <f t="shared" ca="1" si="52"/>
        <v>0.49207990796935541</v>
      </c>
      <c r="BB93" s="39">
        <f ca="1">_xll.EURO(UnderlyingPrice,$D93,IntRate,Yield,AX93,$D$6,1,0)</f>
        <v>0.72283669743708057</v>
      </c>
      <c r="BC93" s="39">
        <f ca="1">_xll.EURO(UnderlyingPrice,$D93*(1+$P$8),IntRate,Yield,AY93,$D$6,1,0)</f>
        <v>0.72181182415089928</v>
      </c>
      <c r="BD93" s="39">
        <f ca="1">_xll.EURO(UnderlyingPrice,$D93*(1-$P$8),IntRate,Yield,AZ93,$D$6,1,0)</f>
        <v>0.72386303878589819</v>
      </c>
      <c r="BF93" s="59">
        <f t="shared" ca="1" si="53"/>
        <v>0.2138661261501405</v>
      </c>
      <c r="BG93" s="39">
        <f t="shared" ca="1" si="54"/>
        <v>0.21920679162168358</v>
      </c>
      <c r="BI93" s="58">
        <f t="shared" ca="1" si="55"/>
        <v>-4.4137524952615248E-2</v>
      </c>
      <c r="BJ93" s="46">
        <f t="shared" ca="1" si="56"/>
        <v>-6.1061544203706131E-2</v>
      </c>
    </row>
    <row r="94" spans="3:62" x14ac:dyDescent="0.2">
      <c r="C94" s="56">
        <v>81</v>
      </c>
      <c r="D94" s="63">
        <f t="shared" ca="1" si="57"/>
        <v>5.2779999999999996</v>
      </c>
      <c r="E94" s="45">
        <f t="shared" ca="1" si="40"/>
        <v>1.9115659393705187E-2</v>
      </c>
      <c r="F94" s="45">
        <f t="shared" ca="1" si="32"/>
        <v>1.9625217223401936E-2</v>
      </c>
      <c r="G94" s="45">
        <f t="shared" ca="1" si="33"/>
        <v>1.8606101564008437E-2</v>
      </c>
      <c r="H94" s="45">
        <f t="shared" ca="1" si="34"/>
        <v>0.52208522851230232</v>
      </c>
      <c r="I94" s="45">
        <f t="shared" ca="1" si="37"/>
        <v>0.52203727009251877</v>
      </c>
      <c r="J94" s="45">
        <f t="shared" ca="1" si="35"/>
        <v>0.52198941199159909</v>
      </c>
      <c r="L94" s="58">
        <f ca="1">_xll.EURO(UnderlyingPrice,$D94,IntRate,Yield,$I94,$D$6,L$12,0)</f>
        <v>0.7529286955942851</v>
      </c>
      <c r="M94" s="58">
        <f ca="1">_xll.EURO(UnderlyingPrice,$D94,IntRate,Yield,$I94,$D$6,M$12,0)</f>
        <v>0.84951669969866783</v>
      </c>
      <c r="O94" s="58">
        <f ca="1">_xll.EURO(UnderlyingPrice,$D94*(1+$P$8),IntRate,Yield,$H94,Expiry-Today,O$12,0)</f>
        <v>0.75196438146860345</v>
      </c>
      <c r="P94" s="58">
        <f ca="1">_xll.EURO(UnderlyingPrice,$D94*(1+$P$8),IntRate,Yield,$H94,Expiry-Today,P$12,0)</f>
        <v>0.8511270900460306</v>
      </c>
      <c r="R94" s="58">
        <f ca="1">_xll.EURO(UnderlyingPrice,$D94*(1-$P$8),IntRate,Yield,$J94,Expiry-Today,R$12,0)</f>
        <v>0.75389444745252909</v>
      </c>
      <c r="S94" s="58">
        <f ca="1">_xll.EURO(UnderlyingPrice,$D94*(1-$P$8),IntRate,Yield,$J94,Expiry-Today,S$12,0)</f>
        <v>0.84790774708386651</v>
      </c>
      <c r="U94" s="59">
        <f t="shared" ca="1" si="41"/>
        <v>0.20644260400075562</v>
      </c>
      <c r="V94" s="59"/>
      <c r="W94" s="62">
        <f t="shared" ca="1" si="36"/>
        <v>0.21159788925742251</v>
      </c>
      <c r="Z94" s="59">
        <f t="shared" ca="1" si="42"/>
        <v>0.1918990632216763</v>
      </c>
      <c r="AA94" s="59">
        <f t="shared" ca="1" si="43"/>
        <v>9.650736960931186E-2</v>
      </c>
      <c r="AB94" s="59">
        <f t="shared" ca="1" si="38"/>
        <v>-9.3136723889083312E-3</v>
      </c>
      <c r="AC94" s="59">
        <f t="shared" ca="1" si="44"/>
        <v>-3.0016172410212823E-2</v>
      </c>
      <c r="AD94" s="60">
        <f t="shared" ca="1" si="39"/>
        <v>0.9704298392321582</v>
      </c>
      <c r="AE94" s="60">
        <f t="shared" ca="1" si="45"/>
        <v>0.18622457707101309</v>
      </c>
      <c r="AF94" s="60"/>
      <c r="AG94" s="97">
        <f t="shared" ca="1" si="46"/>
        <v>0.24501498897093138</v>
      </c>
      <c r="AH94" s="97">
        <f t="shared" ca="1" si="47"/>
        <v>0.2462840824952163</v>
      </c>
      <c r="AI94" s="97">
        <f t="shared" ca="1" si="48"/>
        <v>0.24374526074118147</v>
      </c>
      <c r="AJ94" s="62"/>
      <c r="AK94" s="97">
        <f t="shared" ca="1" si="49"/>
        <v>0.43989447377539442</v>
      </c>
      <c r="AL94" s="97"/>
      <c r="AM94" s="95"/>
      <c r="AN94" s="96"/>
      <c r="AX94" s="107">
        <f t="shared" ca="1" si="50"/>
        <v>0.49241636984255505</v>
      </c>
      <c r="AY94" s="107">
        <f t="shared" ca="1" si="51"/>
        <v>0.49243888541435532</v>
      </c>
      <c r="AZ94" s="107">
        <f t="shared" ca="1" si="52"/>
        <v>0.49239393395567388</v>
      </c>
      <c r="BB94" s="39">
        <f ca="1">_xll.EURO(UnderlyingPrice,$D94,IntRate,Yield,AX94,$D$6,1,0)</f>
        <v>0.70811523524267672</v>
      </c>
      <c r="BC94" s="39">
        <f ca="1">_xll.EURO(UnderlyingPrice,$D94*(1+$P$8),IntRate,Yield,AY94,$D$6,1,0)</f>
        <v>0.70710423543900669</v>
      </c>
      <c r="BD94" s="39">
        <f ca="1">_xll.EURO(UnderlyingPrice,$D94*(1-$P$8),IntRate,Yield,AZ94,$D$6,1,0)</f>
        <v>0.70912770537815417</v>
      </c>
      <c r="BF94" s="59">
        <f t="shared" ca="1" si="53"/>
        <v>0.21112349752664911</v>
      </c>
      <c r="BG94" s="39">
        <f t="shared" ca="1" si="54"/>
        <v>0.21639567406890536</v>
      </c>
      <c r="BI94" s="58">
        <f t="shared" ca="1" si="55"/>
        <v>-4.4813460351608381E-2</v>
      </c>
      <c r="BJ94" s="46">
        <f t="shared" ca="1" si="56"/>
        <v>-6.328554749461146E-2</v>
      </c>
    </row>
    <row r="95" spans="3:62" x14ac:dyDescent="0.2">
      <c r="C95" s="56">
        <v>82</v>
      </c>
      <c r="D95" s="63">
        <f t="shared" ca="1" si="57"/>
        <v>5.3159999999999998</v>
      </c>
      <c r="E95" s="45">
        <f t="shared" ca="1" si="40"/>
        <v>2.6452983201390223E-2</v>
      </c>
      <c r="F95" s="45">
        <f t="shared" ca="1" si="32"/>
        <v>2.6966209692990795E-2</v>
      </c>
      <c r="G95" s="45">
        <f t="shared" ca="1" si="33"/>
        <v>2.5939756709789652E-2</v>
      </c>
      <c r="H95" s="45">
        <f t="shared" ca="1" si="34"/>
        <v>0.52278732195642796</v>
      </c>
      <c r="I95" s="45">
        <f t="shared" ca="1" si="37"/>
        <v>0.52273755508143704</v>
      </c>
      <c r="J95" s="45">
        <f t="shared" ca="1" si="35"/>
        <v>0.5226878910045889</v>
      </c>
      <c r="L95" s="58">
        <f ca="1">_xll.EURO(UnderlyingPrice,$D95,IntRate,Yield,$I95,$D$6,L$12,0)</f>
        <v>0.73918126642309634</v>
      </c>
      <c r="M95" s="58">
        <f ca="1">_xll.EURO(UnderlyingPrice,$D95,IntRate,Yield,$I95,$D$6,M$12,0)</f>
        <v>0.87284345392108031</v>
      </c>
      <c r="O95" s="58">
        <f ca="1">_xll.EURO(UnderlyingPrice,$D95*(1+$P$8),IntRate,Yield,$H95,Expiry-Today,O$12,0)</f>
        <v>0.73823073276461537</v>
      </c>
      <c r="P95" s="58">
        <f ca="1">_xll.EURO(UnderlyingPrice,$D95*(1+$P$8),IntRate,Yield,$H95,Expiry-Today,P$12,0)</f>
        <v>0.87448616182734229</v>
      </c>
      <c r="R95" s="58">
        <f ca="1">_xll.EURO(UnderlyingPrice,$D95*(1-$P$8),IntRate,Yield,$J95,Expiry-Today,R$12,0)</f>
        <v>0.74013324108775702</v>
      </c>
      <c r="S95" s="58">
        <f ca="1">_xll.EURO(UnderlyingPrice,$D95*(1-$P$8),IntRate,Yield,$J95,Expiry-Today,S$12,0)</f>
        <v>0.87120218702100116</v>
      </c>
      <c r="U95" s="59">
        <f t="shared" ca="1" si="41"/>
        <v>0.20396511287450603</v>
      </c>
      <c r="V95" s="59"/>
      <c r="W95" s="62">
        <f t="shared" ca="1" si="36"/>
        <v>0.20905853021617302</v>
      </c>
      <c r="Z95" s="59">
        <f t="shared" ca="1" si="42"/>
        <v>0.19052732424454616</v>
      </c>
      <c r="AA95" s="59">
        <f t="shared" ca="1" si="43"/>
        <v>0.10368127237917858</v>
      </c>
      <c r="AB95" s="59">
        <f t="shared" ca="1" si="38"/>
        <v>-1.074980624216542E-2</v>
      </c>
      <c r="AC95" s="59">
        <f t="shared" ca="1" si="44"/>
        <v>-3.4644555237468434E-2</v>
      </c>
      <c r="AD95" s="60">
        <f t="shared" ca="1" si="39"/>
        <v>0.96594869665044203</v>
      </c>
      <c r="AE95" s="60">
        <f t="shared" ca="1" si="45"/>
        <v>0.18403962053031553</v>
      </c>
      <c r="AF95" s="60"/>
      <c r="AG95" s="97">
        <f t="shared" ca="1" si="46"/>
        <v>0.26322824786663163</v>
      </c>
      <c r="AH95" s="97">
        <f t="shared" ca="1" si="47"/>
        <v>0.26449734139091652</v>
      </c>
      <c r="AI95" s="97">
        <f t="shared" ca="1" si="48"/>
        <v>0.26195851963688177</v>
      </c>
      <c r="AJ95" s="62"/>
      <c r="AK95" s="97">
        <f t="shared" ca="1" si="49"/>
        <v>0.43774445561725123</v>
      </c>
      <c r="AL95" s="97"/>
      <c r="AM95" s="95"/>
      <c r="AN95" s="96"/>
      <c r="AX95" s="107">
        <f t="shared" ca="1" si="50"/>
        <v>0.49274822729222684</v>
      </c>
      <c r="AY95" s="107">
        <f t="shared" ca="1" si="51"/>
        <v>0.4927720518048746</v>
      </c>
      <c r="AZ95" s="107">
        <f t="shared" ca="1" si="52"/>
        <v>0.49272448242247008</v>
      </c>
      <c r="BB95" s="39">
        <f ca="1">_xll.EURO(UnderlyingPrice,$D95,IntRate,Yield,AX95,$D$6,1,0)</f>
        <v>0.69369862770109902</v>
      </c>
      <c r="BC95" s="39">
        <f ca="1">_xll.EURO(UnderlyingPrice,$D95*(1+$P$8),IntRate,Yield,AY95,$D$6,1,0)</f>
        <v>0.69270152750355329</v>
      </c>
      <c r="BD95" s="39">
        <f ca="1">_xll.EURO(UnderlyingPrice,$D95*(1-$P$8),IntRate,Yield,AZ95,$D$6,1,0)</f>
        <v>0.69469719964905252</v>
      </c>
      <c r="BF95" s="59">
        <f t="shared" ca="1" si="53"/>
        <v>0.20831675968435118</v>
      </c>
      <c r="BG95" s="39">
        <f t="shared" ca="1" si="54"/>
        <v>0.2135188463617379</v>
      </c>
      <c r="BI95" s="58">
        <f t="shared" ca="1" si="55"/>
        <v>-4.5482638721997315E-2</v>
      </c>
      <c r="BJ95" s="46">
        <f t="shared" ca="1" si="56"/>
        <v>-6.5565415449538533E-2</v>
      </c>
    </row>
    <row r="96" spans="3:62" x14ac:dyDescent="0.2">
      <c r="C96" s="56">
        <v>83</v>
      </c>
      <c r="D96" s="63">
        <f t="shared" ca="1" si="57"/>
        <v>5.3540000000000001</v>
      </c>
      <c r="E96" s="45">
        <f t="shared" ca="1" si="40"/>
        <v>3.3790307009075038E-2</v>
      </c>
      <c r="F96" s="45">
        <f t="shared" ca="1" si="32"/>
        <v>3.4307202162579431E-2</v>
      </c>
      <c r="G96" s="45">
        <f t="shared" ca="1" si="33"/>
        <v>3.3273411855570645E-2</v>
      </c>
      <c r="H96" s="45">
        <f t="shared" ca="1" si="34"/>
        <v>0.52351046194630557</v>
      </c>
      <c r="I96" s="45">
        <f t="shared" ca="1" si="37"/>
        <v>0.52345885086643817</v>
      </c>
      <c r="J96" s="45">
        <f t="shared" ca="1" si="35"/>
        <v>0.52340734510393572</v>
      </c>
      <c r="L96" s="58">
        <f ca="1">_xll.EURO(UnderlyingPrice,$D96,IntRate,Yield,$I96,$D$6,L$12,0)</f>
        <v>0.72572835785397194</v>
      </c>
      <c r="M96" s="58">
        <f ca="1">_xll.EURO(UnderlyingPrice,$D96,IntRate,Yield,$I96,$D$6,M$12,0)</f>
        <v>0.89646472874555849</v>
      </c>
      <c r="O96" s="58">
        <f ca="1">_xll.EURO(UnderlyingPrice,$D96*(1+$P$8),IntRate,Yield,$H96,Expiry-Today,O$12,0)</f>
        <v>0.72479164646378802</v>
      </c>
      <c r="P96" s="58">
        <f ca="1">_xll.EURO(UnderlyingPrice,$D96*(1+$P$8),IntRate,Yield,$H96,Expiry-Today,P$12,0)</f>
        <v>0.89813979601181249</v>
      </c>
      <c r="R96" s="58">
        <f ca="1">_xll.EURO(UnderlyingPrice,$D96*(1-$P$8),IntRate,Yield,$J96,Expiry-Today,R$12,0)</f>
        <v>0.72666651287018302</v>
      </c>
      <c r="S96" s="58">
        <f ca="1">_xll.EURO(UnderlyingPrice,$D96*(1-$P$8),IntRate,Yield,$J96,Expiry-Today,S$12,0)</f>
        <v>0.89479110510533166</v>
      </c>
      <c r="U96" s="59">
        <f t="shared" ca="1" si="41"/>
        <v>0.20144568120782802</v>
      </c>
      <c r="V96" s="59"/>
      <c r="W96" s="62">
        <f t="shared" ca="1" si="36"/>
        <v>0.20647618329520787</v>
      </c>
      <c r="Z96" s="59">
        <f t="shared" ca="1" si="42"/>
        <v>0.18917505709451016</v>
      </c>
      <c r="AA96" s="59">
        <f t="shared" ca="1" si="43"/>
        <v>0.11080407662634038</v>
      </c>
      <c r="AB96" s="59">
        <f t="shared" ca="1" si="38"/>
        <v>-1.2277543397015912E-2</v>
      </c>
      <c r="AC96" s="59">
        <f t="shared" ca="1" si="44"/>
        <v>-3.9568157864085553E-2</v>
      </c>
      <c r="AD96" s="60">
        <f t="shared" ca="1" si="39"/>
        <v>0.96120443811646095</v>
      </c>
      <c r="AE96" s="60">
        <f t="shared" ca="1" si="45"/>
        <v>0.18183590446017805</v>
      </c>
      <c r="AF96" s="60"/>
      <c r="AG96" s="97">
        <f t="shared" ca="1" si="46"/>
        <v>0.28131177673210034</v>
      </c>
      <c r="AH96" s="97">
        <f t="shared" ca="1" si="47"/>
        <v>0.28258087025638517</v>
      </c>
      <c r="AI96" s="97">
        <f t="shared" ca="1" si="48"/>
        <v>0.28004204850235054</v>
      </c>
      <c r="AJ96" s="62"/>
      <c r="AK96" s="97">
        <f t="shared" ca="1" si="49"/>
        <v>0.43542776628794444</v>
      </c>
      <c r="AL96" s="97"/>
      <c r="AM96" s="95"/>
      <c r="AN96" s="96"/>
      <c r="AX96" s="107">
        <f t="shared" ca="1" si="50"/>
        <v>0.49309636286229297</v>
      </c>
      <c r="AY96" s="107">
        <f t="shared" ca="1" si="51"/>
        <v>0.49312149551703499</v>
      </c>
      <c r="AZ96" s="107">
        <f t="shared" ca="1" si="52"/>
        <v>0.49307130978242503</v>
      </c>
      <c r="BB96" s="39">
        <f ca="1">_xll.EURO(UnderlyingPrice,$D96,IntRate,Yield,AX96,$D$6,1,0)</f>
        <v>0.67958282255544766</v>
      </c>
      <c r="BC96" s="39">
        <f ca="1">_xll.EURO(UnderlyingPrice,$D96*(1+$P$8),IntRate,Yield,AY96,$D$6,1,0)</f>
        <v>0.67859963584833549</v>
      </c>
      <c r="BD96" s="39">
        <f ca="1">_xll.EURO(UnderlyingPrice,$D96*(1-$P$8),IntRate,Yield,AZ96,$D$6,1,0)</f>
        <v>0.6805674815957059</v>
      </c>
      <c r="BF96" s="59">
        <f t="shared" ca="1" si="53"/>
        <v>0.20545151444605034</v>
      </c>
      <c r="BG96" s="39">
        <f t="shared" ca="1" si="54"/>
        <v>0.2105820502117188</v>
      </c>
      <c r="BI96" s="58">
        <f t="shared" ca="1" si="55"/>
        <v>-4.6145535298524276E-2</v>
      </c>
      <c r="BJ96" s="46">
        <f t="shared" ca="1" si="56"/>
        <v>-6.7902739396799902E-2</v>
      </c>
    </row>
    <row r="97" spans="3:62" x14ac:dyDescent="0.2">
      <c r="C97" s="56">
        <v>84</v>
      </c>
      <c r="D97" s="63">
        <f t="shared" ca="1" si="57"/>
        <v>5.3920000000000003</v>
      </c>
      <c r="E97" s="45">
        <f t="shared" ca="1" si="40"/>
        <v>4.1127630816760075E-2</v>
      </c>
      <c r="F97" s="45">
        <f t="shared" ca="1" si="32"/>
        <v>4.1648194632168289E-2</v>
      </c>
      <c r="G97" s="45">
        <f t="shared" ca="1" si="33"/>
        <v>4.0607067001351638E-2</v>
      </c>
      <c r="H97" s="45">
        <f t="shared" ca="1" si="34"/>
        <v>0.52425485922591852</v>
      </c>
      <c r="I97" s="45">
        <f t="shared" ca="1" si="37"/>
        <v>0.52420136787570548</v>
      </c>
      <c r="J97" s="45">
        <f t="shared" ca="1" si="35"/>
        <v>0.52414798440233845</v>
      </c>
      <c r="L97" s="58">
        <f ca="1">_xll.EURO(UnderlyingPrice,$D97,IntRate,Yield,$I97,$D$6,L$12,0)</f>
        <v>0.71256633229173438</v>
      </c>
      <c r="M97" s="58">
        <f ca="1">_xll.EURO(UnderlyingPrice,$D97,IntRate,Yield,$I97,$D$6,M$12,0)</f>
        <v>0.92037688657692218</v>
      </c>
      <c r="O97" s="58">
        <f ca="1">_xll.EURO(UnderlyingPrice,$D97*(1+$P$8),IntRate,Yield,$H97,Expiry-Today,O$12,0)</f>
        <v>0.71164347546609186</v>
      </c>
      <c r="P97" s="58">
        <f ca="1">_xll.EURO(UnderlyingPrice,$D97*(1+$P$8),IntRate,Yield,$H97,Expiry-Today,P$12,0)</f>
        <v>0.92208434549941476</v>
      </c>
      <c r="R97" s="58">
        <f ca="1">_xll.EURO(UnderlyingPrice,$D97*(1-$P$8),IntRate,Yield,$J97,Expiry-Today,R$12,0)</f>
        <v>0.71349063471945628</v>
      </c>
      <c r="S97" s="58">
        <f ca="1">_xll.EURO(UnderlyingPrice,$D97*(1-$P$8),IntRate,Yield,$J97,Expiry-Today,S$12,0)</f>
        <v>0.91867087325651031</v>
      </c>
      <c r="U97" s="59">
        <f t="shared" ca="1" si="41"/>
        <v>0.19888818683123852</v>
      </c>
      <c r="V97" s="59"/>
      <c r="W97" s="62">
        <f t="shared" ca="1" si="36"/>
        <v>0.20385482316223799</v>
      </c>
      <c r="Z97" s="59">
        <f t="shared" ca="1" si="42"/>
        <v>0.18784185008976395</v>
      </c>
      <c r="AA97" s="59">
        <f t="shared" ca="1" si="43"/>
        <v>0.11787650513818568</v>
      </c>
      <c r="AB97" s="59">
        <f t="shared" ca="1" si="38"/>
        <v>-1.3894870463592715E-2</v>
      </c>
      <c r="AC97" s="59">
        <f t="shared" ca="1" si="44"/>
        <v>-4.4780491522276769E-2</v>
      </c>
      <c r="AD97" s="60">
        <f t="shared" ca="1" si="39"/>
        <v>0.95620735441860749</v>
      </c>
      <c r="AE97" s="60">
        <f t="shared" ca="1" si="45"/>
        <v>0.17961575852342987</v>
      </c>
      <c r="AF97" s="60"/>
      <c r="AG97" s="97">
        <f t="shared" ca="1" si="46"/>
        <v>0.29926741059552991</v>
      </c>
      <c r="AH97" s="97">
        <f t="shared" ca="1" si="47"/>
        <v>0.30053650411981475</v>
      </c>
      <c r="AI97" s="97">
        <f t="shared" ca="1" si="48"/>
        <v>0.29799768236577967</v>
      </c>
      <c r="AJ97" s="62"/>
      <c r="AK97" s="97">
        <f t="shared" ca="1" si="49"/>
        <v>0.43295091699281185</v>
      </c>
      <c r="AL97" s="97"/>
      <c r="AM97" s="95"/>
      <c r="AN97" s="96"/>
      <c r="AX97" s="107">
        <f t="shared" ca="1" si="50"/>
        <v>0.49346053259968786</v>
      </c>
      <c r="AY97" s="107">
        <f t="shared" ca="1" si="51"/>
        <v>0.49348697223165844</v>
      </c>
      <c r="AZ97" s="107">
        <f t="shared" ca="1" si="52"/>
        <v>0.49343417244822002</v>
      </c>
      <c r="BB97" s="39">
        <f ca="1">_xll.EURO(UnderlyingPrice,$D97,IntRate,Yield,AX97,$D$6,1,0)</f>
        <v>0.66576368304884603</v>
      </c>
      <c r="BC97" s="39">
        <f ca="1">_xll.EURO(UnderlyingPrice,$D97*(1+$P$8),IntRate,Yield,AY97,$D$6,1,0)</f>
        <v>0.66479441186855848</v>
      </c>
      <c r="BD97" s="39">
        <f ca="1">_xll.EURO(UnderlyingPrice,$D97*(1-$P$8),IntRate,Yield,AZ97,$D$6,1,0)</f>
        <v>0.66673442632502056</v>
      </c>
      <c r="BF97" s="59">
        <f t="shared" ca="1" si="53"/>
        <v>0.20253324616634422</v>
      </c>
      <c r="BG97" s="39">
        <f t="shared" ca="1" si="54"/>
        <v>0.20759090692876328</v>
      </c>
      <c r="BI97" s="58">
        <f t="shared" ca="1" si="55"/>
        <v>-4.680264924288835E-2</v>
      </c>
      <c r="BJ97" s="46">
        <f t="shared" ca="1" si="56"/>
        <v>-7.029919239294781E-2</v>
      </c>
    </row>
    <row r="98" spans="3:62" x14ac:dyDescent="0.2">
      <c r="C98" s="56">
        <v>85</v>
      </c>
      <c r="D98" s="63">
        <f t="shared" ca="1" si="57"/>
        <v>5.4300000000000006</v>
      </c>
      <c r="E98" s="45">
        <f t="shared" ca="1" si="40"/>
        <v>4.8464954624444889E-2</v>
      </c>
      <c r="F98" s="45">
        <f t="shared" ca="1" si="32"/>
        <v>4.8989187101756926E-2</v>
      </c>
      <c r="G98" s="45">
        <f t="shared" ca="1" si="33"/>
        <v>4.7940722147132853E-2</v>
      </c>
      <c r="H98" s="45">
        <f t="shared" ca="1" si="34"/>
        <v>0.52502072453925064</v>
      </c>
      <c r="I98" s="45">
        <f t="shared" ca="1" si="37"/>
        <v>0.52496531653742273</v>
      </c>
      <c r="J98" s="45">
        <f t="shared" ca="1" si="35"/>
        <v>0.52491001901249634</v>
      </c>
      <c r="L98" s="58">
        <f ca="1">_xll.EURO(UnderlyingPrice,$D98,IntRate,Yield,$I98,$D$6,L$12,0)</f>
        <v>0.69969149717142876</v>
      </c>
      <c r="M98" s="58">
        <f ca="1">_xll.EURO(UnderlyingPrice,$D98,IntRate,Yield,$I98,$D$6,M$12,0)</f>
        <v>0.9445762348502198</v>
      </c>
      <c r="O98" s="58">
        <f ca="1">_xll.EURO(UnderlyingPrice,$D98*(1+$P$8),IntRate,Yield,$H98,Expiry-Today,O$12,0)</f>
        <v>0.69878251798317637</v>
      </c>
      <c r="P98" s="58">
        <f ca="1">_xll.EURO(UnderlyingPrice,$D98*(1+$P$8),IntRate,Yield,$H98,Expiry-Today,P$12,0)</f>
        <v>0.94631610850179948</v>
      </c>
      <c r="R98" s="58">
        <f ca="1">_xll.EURO(UnderlyingPrice,$D98*(1-$P$8),IntRate,Yield,$J98,Expiry-Today,R$12,0)</f>
        <v>0.70060192330489235</v>
      </c>
      <c r="S98" s="58">
        <f ca="1">_xll.EURO(UnderlyingPrice,$D98*(1-$P$8),IntRate,Yield,$J98,Expiry-Today,S$12,0)</f>
        <v>0.94283780814385132</v>
      </c>
      <c r="U98" s="59">
        <f t="shared" ca="1" si="41"/>
        <v>0.19629643800089441</v>
      </c>
      <c r="V98" s="59"/>
      <c r="W98" s="62">
        <f t="shared" ca="1" si="36"/>
        <v>0.20119835317320317</v>
      </c>
      <c r="Z98" s="59">
        <f t="shared" ca="1" si="42"/>
        <v>0.18652730307256118</v>
      </c>
      <c r="AA98" s="59">
        <f t="shared" ca="1" si="43"/>
        <v>0.12489926547402377</v>
      </c>
      <c r="AB98" s="59">
        <f t="shared" ca="1" si="38"/>
        <v>-1.5599826515950667E-2</v>
      </c>
      <c r="AC98" s="59">
        <f t="shared" ca="1" si="44"/>
        <v>-5.0275236525371143E-2</v>
      </c>
      <c r="AD98" s="60">
        <f t="shared" ca="1" si="39"/>
        <v>0.95096764744603968</v>
      </c>
      <c r="AE98" s="60">
        <f t="shared" ca="1" si="45"/>
        <v>0.17738143058736797</v>
      </c>
      <c r="AF98" s="60"/>
      <c r="AG98" s="97">
        <f t="shared" ca="1" si="46"/>
        <v>0.31709694582373743</v>
      </c>
      <c r="AH98" s="97">
        <f t="shared" ca="1" si="47"/>
        <v>0.31836603934802216</v>
      </c>
      <c r="AI98" s="97">
        <f t="shared" ca="1" si="48"/>
        <v>0.31582721759398774</v>
      </c>
      <c r="AJ98" s="62"/>
      <c r="AK98" s="97">
        <f t="shared" ca="1" si="49"/>
        <v>0.4303205043813737</v>
      </c>
      <c r="AL98" s="97"/>
      <c r="AM98" s="95"/>
      <c r="AN98" s="96"/>
      <c r="AX98" s="107">
        <f t="shared" ca="1" si="50"/>
        <v>0.49384049255134588</v>
      </c>
      <c r="AY98" s="107">
        <f t="shared" ca="1" si="51"/>
        <v>0.49386823762956666</v>
      </c>
      <c r="AZ98" s="107">
        <f t="shared" ca="1" si="52"/>
        <v>0.49381282683253597</v>
      </c>
      <c r="BB98" s="39">
        <f ca="1">_xll.EURO(UnderlyingPrice,$D98,IntRate,Yield,AX98,$D$6,1,0)</f>
        <v>0.65223699584373884</v>
      </c>
      <c r="BC98" s="39">
        <f ca="1">_xll.EURO(UnderlyingPrice,$D98*(1+$P$8),IntRate,Yield,AY98,$D$6,1,0)</f>
        <v>0.65128163077790435</v>
      </c>
      <c r="BD98" s="39">
        <f ca="1">_xll.EURO(UnderlyingPrice,$D98*(1-$P$8),IntRate,Yield,AZ98,$D$6,1,0)</f>
        <v>0.65319383196516156</v>
      </c>
      <c r="BF98" s="59">
        <f t="shared" ca="1" si="53"/>
        <v>0.19956731591171764</v>
      </c>
      <c r="BG98" s="39">
        <f t="shared" ca="1" si="54"/>
        <v>0.20455091145592272</v>
      </c>
      <c r="BI98" s="58">
        <f t="shared" ca="1" si="55"/>
        <v>-4.7454501327689913E-2</v>
      </c>
      <c r="BJ98" s="46">
        <f t="shared" ca="1" si="56"/>
        <v>-7.275653118434719E-2</v>
      </c>
    </row>
    <row r="99" spans="3:62" x14ac:dyDescent="0.2">
      <c r="C99" s="56">
        <v>86</v>
      </c>
      <c r="D99" s="63">
        <f t="shared" ca="1" si="57"/>
        <v>5.4680000000000009</v>
      </c>
      <c r="E99" s="45">
        <f t="shared" ca="1" si="40"/>
        <v>5.5802278432129926E-2</v>
      </c>
      <c r="F99" s="45">
        <f t="shared" ca="1" si="32"/>
        <v>5.6330179571345784E-2</v>
      </c>
      <c r="G99" s="45">
        <f t="shared" ca="1" si="33"/>
        <v>5.5274377292913845E-2</v>
      </c>
      <c r="H99" s="45">
        <f t="shared" ca="1" si="34"/>
        <v>0.52580826863028562</v>
      </c>
      <c r="I99" s="45">
        <f t="shared" ca="1" si="37"/>
        <v>0.52575090727977325</v>
      </c>
      <c r="J99" s="45">
        <f t="shared" ca="1" si="35"/>
        <v>0.5256936590471083</v>
      </c>
      <c r="L99" s="58">
        <f ca="1">_xll.EURO(UnderlyingPrice,$D99,IntRate,Yield,$I99,$D$6,L$12,0)</f>
        <v>0.68710011045316399</v>
      </c>
      <c r="M99" s="58">
        <f ca="1">_xll.EURO(UnderlyingPrice,$D99,IntRate,Yield,$I99,$D$6,M$12,0)</f>
        <v>0.96905903152555695</v>
      </c>
      <c r="O99" s="58">
        <f ca="1">_xll.EURO(UnderlyingPrice,$D99*(1+$P$8),IntRate,Yield,$H99,Expiry-Today,O$12,0)</f>
        <v>0.68620502303907904</v>
      </c>
      <c r="P99" s="58">
        <f ca="1">_xll.EURO(UnderlyingPrice,$D99*(1+$P$8),IntRate,Yield,$H99,Expiry-Today,P$12,0)</f>
        <v>0.97083133404300037</v>
      </c>
      <c r="R99" s="58">
        <f ca="1">_xll.EURO(UnderlyingPrice,$D99*(1-$P$8),IntRate,Yield,$J99,Expiry-Today,R$12,0)</f>
        <v>0.68799664553433582</v>
      </c>
      <c r="S99" s="58">
        <f ca="1">_xll.EURO(UnderlyingPrice,$D99*(1-$P$8),IntRate,Yield,$J99,Expiry-Today,S$12,0)</f>
        <v>0.96728817667519973</v>
      </c>
      <c r="U99" s="59">
        <f t="shared" ca="1" si="41"/>
        <v>0.1936741596479529</v>
      </c>
      <c r="V99" s="59"/>
      <c r="W99" s="62">
        <f t="shared" ca="1" si="36"/>
        <v>0.19851059127825138</v>
      </c>
      <c r="Z99" s="59">
        <f t="shared" ca="1" si="42"/>
        <v>0.18523102700877966</v>
      </c>
      <c r="AA99" s="59">
        <f t="shared" ca="1" si="43"/>
        <v>0.13187305038988298</v>
      </c>
      <c r="AB99" s="59">
        <f t="shared" ca="1" si="38"/>
        <v>-1.7390501419132617E-2</v>
      </c>
      <c r="AC99" s="59">
        <f t="shared" ca="1" si="44"/>
        <v>-5.6046236876270389E-2</v>
      </c>
      <c r="AD99" s="60">
        <f t="shared" ca="1" si="39"/>
        <v>0.94549541812505555</v>
      </c>
      <c r="AE99" s="60">
        <f t="shared" ca="1" si="45"/>
        <v>0.1751350873313996</v>
      </c>
      <c r="AF99" s="60"/>
      <c r="AG99" s="97">
        <f t="shared" ca="1" si="46"/>
        <v>0.3348021412006511</v>
      </c>
      <c r="AH99" s="97">
        <f t="shared" ca="1" si="47"/>
        <v>0.33607123472493583</v>
      </c>
      <c r="AI99" s="97">
        <f t="shared" ca="1" si="48"/>
        <v>0.33353241297090092</v>
      </c>
      <c r="AJ99" s="62"/>
      <c r="AK99" s="97">
        <f t="shared" ca="1" si="49"/>
        <v>0.42754317485439003</v>
      </c>
      <c r="AL99" s="97"/>
      <c r="AM99" s="95"/>
      <c r="AN99" s="96"/>
      <c r="AX99" s="107">
        <f t="shared" ca="1" si="50"/>
        <v>0.4942359987642016</v>
      </c>
      <c r="AY99" s="107">
        <f t="shared" ca="1" si="51"/>
        <v>0.49426504739158156</v>
      </c>
      <c r="AZ99" s="107">
        <f t="shared" ca="1" si="52"/>
        <v>0.49420702934805388</v>
      </c>
      <c r="BB99" s="39">
        <f ca="1">_xll.EURO(UnderlyingPrice,$D99,IntRate,Yield,AX99,$D$6,1,0)</f>
        <v>0.6389984787638523</v>
      </c>
      <c r="BC99" s="39">
        <f ca="1">_xll.EURO(UnderlyingPrice,$D99*(1+$P$8),IntRate,Yield,AY99,$D$6,1,0)</f>
        <v>0.63805699935681615</v>
      </c>
      <c r="BD99" s="39">
        <f ca="1">_xll.EURO(UnderlyingPrice,$D99*(1-$P$8),IntRate,Yield,AZ99,$D$6,1,0)</f>
        <v>0.63994142740111459</v>
      </c>
      <c r="BF99" s="59">
        <f t="shared" ca="1" si="53"/>
        <v>0.19655895472007967</v>
      </c>
      <c r="BG99" s="39">
        <f t="shared" ca="1" si="54"/>
        <v>0.20146742546059876</v>
      </c>
      <c r="BI99" s="58">
        <f t="shared" ca="1" si="55"/>
        <v>-4.8101631689311697E-2</v>
      </c>
      <c r="BJ99" s="46">
        <f t="shared" ca="1" si="56"/>
        <v>-7.5276598126437944E-2</v>
      </c>
    </row>
    <row r="100" spans="3:62" x14ac:dyDescent="0.2">
      <c r="C100" s="56">
        <v>87</v>
      </c>
      <c r="D100" s="63">
        <f t="shared" ca="1" si="57"/>
        <v>5.5060000000000011</v>
      </c>
      <c r="E100" s="45">
        <f t="shared" ca="1" si="40"/>
        <v>6.3139602239814741E-2</v>
      </c>
      <c r="F100" s="45">
        <f t="shared" ca="1" si="32"/>
        <v>6.3671172040934643E-2</v>
      </c>
      <c r="G100" s="45">
        <f t="shared" ca="1" si="33"/>
        <v>6.260803243869506E-2</v>
      </c>
      <c r="H100" s="45">
        <f t="shared" ca="1" si="34"/>
        <v>0.52661770224300686</v>
      </c>
      <c r="I100" s="45">
        <f t="shared" ca="1" si="37"/>
        <v>0.52655835053094069</v>
      </c>
      <c r="J100" s="45">
        <f t="shared" ca="1" si="35"/>
        <v>0.52649911461887311</v>
      </c>
      <c r="L100" s="58">
        <f ca="1">_xll.EURO(UnderlyingPrice,$D100,IntRate,Yield,$I100,$D$6,L$12,0)</f>
        <v>0.67478838600392743</v>
      </c>
      <c r="M100" s="58">
        <f ca="1">_xll.EURO(UnderlyingPrice,$D100,IntRate,Yield,$I100,$D$6,M$12,0)</f>
        <v>0.99382149046992252</v>
      </c>
      <c r="O100" s="58">
        <f ca="1">_xll.EURO(UnderlyingPrice,$D100*(1+$P$8),IntRate,Yield,$H100,Expiry-Today,O$12,0)</f>
        <v>0.67390719585728776</v>
      </c>
      <c r="P100" s="58">
        <f ca="1">_xll.EURO(UnderlyingPrice,$D100*(1+$P$8),IntRate,Yield,$H100,Expiry-Today,P$12,0)</f>
        <v>0.99562622734650752</v>
      </c>
      <c r="R100" s="58">
        <f ca="1">_xll.EURO(UnderlyingPrice,$D100*(1-$P$8),IntRate,Yield,$J100,Expiry-Today,R$12,0)</f>
        <v>0.67567102393075507</v>
      </c>
      <c r="S100" s="58">
        <f ca="1">_xll.EURO(UnderlyingPrice,$D100*(1-$P$8),IntRate,Yield,$J100,Expiry-Today,S$12,0)</f>
        <v>0.99201820137352437</v>
      </c>
      <c r="U100" s="59">
        <f t="shared" ca="1" si="41"/>
        <v>0.19102499917305116</v>
      </c>
      <c r="V100" s="59"/>
      <c r="W100" s="62">
        <f t="shared" ca="1" si="36"/>
        <v>0.1957952759609182</v>
      </c>
      <c r="Z100" s="59">
        <f t="shared" ca="1" si="42"/>
        <v>0.1839526436040696</v>
      </c>
      <c r="AA100" s="59">
        <f t="shared" ca="1" si="43"/>
        <v>0.13879853824859537</v>
      </c>
      <c r="AB100" s="59">
        <f t="shared" ca="1" si="38"/>
        <v>-1.926503421994679E-2</v>
      </c>
      <c r="AC100" s="59">
        <f t="shared" ca="1" si="44"/>
        <v>-6.2087495081234199E-2</v>
      </c>
      <c r="AD100" s="60">
        <f t="shared" ca="1" si="39"/>
        <v>0.93980065525903822</v>
      </c>
      <c r="AE100" s="60">
        <f t="shared" ca="1" si="45"/>
        <v>0.17287881499573693</v>
      </c>
      <c r="AF100" s="60"/>
      <c r="AG100" s="97">
        <f t="shared" ca="1" si="46"/>
        <v>0.35238471896844276</v>
      </c>
      <c r="AH100" s="97">
        <f t="shared" ca="1" si="47"/>
        <v>0.35365381249272787</v>
      </c>
      <c r="AI100" s="97">
        <f t="shared" ca="1" si="48"/>
        <v>0.35111499073869312</v>
      </c>
      <c r="AJ100" s="62"/>
      <c r="AK100" s="97">
        <f t="shared" ca="1" si="49"/>
        <v>0.42462563105407403</v>
      </c>
      <c r="AL100" s="97"/>
      <c r="AM100" s="95"/>
      <c r="AN100" s="96"/>
      <c r="AX100" s="107">
        <f t="shared" ca="1" si="50"/>
        <v>0.49464680728518917</v>
      </c>
      <c r="AY100" s="107">
        <f t="shared" ca="1" si="51"/>
        <v>0.4946771571985249</v>
      </c>
      <c r="AZ100" s="107">
        <f t="shared" ca="1" si="52"/>
        <v>0.49461653640745501</v>
      </c>
      <c r="BB100" s="39">
        <f ca="1">_xll.EURO(UnderlyingPrice,$D100,IntRate,Yield,AX100,$D$6,1,0)</f>
        <v>0.62604378834670449</v>
      </c>
      <c r="BC100" s="39">
        <f ca="1">_xll.EURO(UnderlyingPrice,$D100*(1+$P$8),IntRate,Yield,AY100,$D$6,1,0)</f>
        <v>0.62511616350996824</v>
      </c>
      <c r="BD100" s="39">
        <f ca="1">_xll.EURO(UnderlyingPrice,$D100*(1-$P$8),IntRate,Yield,AZ100,$D$6,1,0)</f>
        <v>0.62697287982215211</v>
      </c>
      <c r="BF100" s="59">
        <f t="shared" ca="1" si="53"/>
        <v>0.1935132563329976</v>
      </c>
      <c r="BG100" s="39">
        <f t="shared" ca="1" si="54"/>
        <v>0.19834566988528668</v>
      </c>
      <c r="BI100" s="58">
        <f t="shared" ca="1" si="55"/>
        <v>-4.8744597657222943E-2</v>
      </c>
      <c r="BJ100" s="46">
        <f t="shared" ca="1" si="56"/>
        <v>-7.7861323064878127E-2</v>
      </c>
    </row>
    <row r="101" spans="3:62" x14ac:dyDescent="0.2">
      <c r="C101" s="56">
        <v>88</v>
      </c>
      <c r="D101" s="63">
        <f t="shared" ca="1" si="57"/>
        <v>5.5440000000000014</v>
      </c>
      <c r="E101" s="45">
        <f t="shared" ca="1" si="40"/>
        <v>7.0476926047499777E-2</v>
      </c>
      <c r="F101" s="45">
        <f t="shared" ca="1" si="32"/>
        <v>7.1012164510523279E-2</v>
      </c>
      <c r="G101" s="45">
        <f t="shared" ca="1" si="33"/>
        <v>6.9941687584476053E-2</v>
      </c>
      <c r="H101" s="45">
        <f t="shared" ca="1" si="34"/>
        <v>0.52744923612139794</v>
      </c>
      <c r="I101" s="45">
        <f t="shared" ca="1" si="37"/>
        <v>0.52738785671910826</v>
      </c>
      <c r="J101" s="45">
        <f t="shared" ca="1" si="35"/>
        <v>0.52732659584049013</v>
      </c>
      <c r="L101" s="58">
        <f ca="1">_xll.EURO(UnderlyingPrice,$D101,IntRate,Yield,$I101,$D$6,L$12,0)</f>
        <v>0.66275249886215781</v>
      </c>
      <c r="M101" s="58">
        <f ca="1">_xll.EURO(UnderlyingPrice,$D101,IntRate,Yield,$I101,$D$6,M$12,0)</f>
        <v>1.0188597867217535</v>
      </c>
      <c r="O101" s="58">
        <f ca="1">_xll.EURO(UnderlyingPrice,$D101*(1+$P$8),IntRate,Yield,$H101,Expiry-Today,O$12,0)</f>
        <v>0.66188520312988608</v>
      </c>
      <c r="P101" s="58">
        <f ca="1">_xll.EURO(UnderlyingPrice,$D101*(1+$P$8),IntRate,Yield,$H101,Expiry-Today,P$12,0)</f>
        <v>1.0206969551044045</v>
      </c>
      <c r="R101" s="58">
        <f ca="1">_xll.EURO(UnderlyingPrice,$D101*(1-$P$8),IntRate,Yield,$J101,Expiry-Today,R$12,0)</f>
        <v>0.66362124189216054</v>
      </c>
      <c r="S101" s="58">
        <f ca="1">_xll.EURO(UnderlyingPrice,$D101*(1-$P$8),IntRate,Yield,$J101,Expiry-Today,S$12,0)</f>
        <v>1.0170240656368343</v>
      </c>
      <c r="U101" s="59">
        <f t="shared" ca="1" si="41"/>
        <v>0.1883525175214158</v>
      </c>
      <c r="V101" s="59"/>
      <c r="W101" s="62">
        <f t="shared" ca="1" si="36"/>
        <v>0.19305605709036394</v>
      </c>
      <c r="Z101" s="59">
        <f t="shared" ca="1" si="42"/>
        <v>0.18269178493578772</v>
      </c>
      <c r="AA101" s="59">
        <f t="shared" ca="1" si="43"/>
        <v>0.14567639341578204</v>
      </c>
      <c r="AB101" s="59">
        <f t="shared" ca="1" si="38"/>
        <v>-2.1221611598629703E-2</v>
      </c>
      <c r="AC101" s="59">
        <f t="shared" ca="1" si="44"/>
        <v>-6.8393167159888052E-2</v>
      </c>
      <c r="AD101" s="60">
        <f t="shared" ca="1" si="39"/>
        <v>0.93389322523994522</v>
      </c>
      <c r="AE101" s="60">
        <f t="shared" ca="1" si="45"/>
        <v>0.17061462025852522</v>
      </c>
      <c r="AF101" s="60"/>
      <c r="AG101" s="97">
        <f t="shared" ca="1" si="46"/>
        <v>0.36984636583286318</v>
      </c>
      <c r="AH101" s="97">
        <f t="shared" ca="1" si="47"/>
        <v>0.37111545935714785</v>
      </c>
      <c r="AI101" s="97">
        <f t="shared" ca="1" si="48"/>
        <v>0.36857663760311304</v>
      </c>
      <c r="AJ101" s="62"/>
      <c r="AK101" s="97">
        <f t="shared" ca="1" si="49"/>
        <v>0.42157460593994328</v>
      </c>
      <c r="AL101" s="97"/>
      <c r="AM101" s="95"/>
      <c r="AN101" s="96"/>
      <c r="AX101" s="107">
        <f t="shared" ca="1" si="50"/>
        <v>0.49507267416124329</v>
      </c>
      <c r="AY101" s="107">
        <f t="shared" ca="1" si="51"/>
        <v>0.49510432273121852</v>
      </c>
      <c r="AZ101" s="107">
        <f t="shared" ca="1" si="52"/>
        <v>0.49504110442342036</v>
      </c>
      <c r="BB101" s="39">
        <f ca="1">_xll.EURO(UnderlyingPrice,$D101,IntRate,Yield,AX101,$D$6,1,0)</f>
        <v>0.61336852719580093</v>
      </c>
      <c r="BC101" s="39">
        <f ca="1">_xll.EURO(UnderlyingPrice,$D101*(1+$P$8),IntRate,Yield,AY101,$D$6,1,0)</f>
        <v>0.61245471562204945</v>
      </c>
      <c r="BD101" s="39">
        <f ca="1">_xll.EURO(UnderlyingPrice,$D101*(1-$P$8),IntRate,Yield,AZ101,$D$6,1,0)</f>
        <v>0.61428380207032673</v>
      </c>
      <c r="BF101" s="59">
        <f t="shared" ca="1" si="53"/>
        <v>0.19043516674803229</v>
      </c>
      <c r="BG101" s="39">
        <f t="shared" ca="1" si="54"/>
        <v>0.1951907142390116</v>
      </c>
      <c r="BI101" s="58">
        <f t="shared" ca="1" si="55"/>
        <v>-4.9383971666356885E-2</v>
      </c>
      <c r="BJ101" s="46">
        <f t="shared" ca="1" si="56"/>
        <v>-8.0512725183554165E-2</v>
      </c>
    </row>
    <row r="102" spans="3:62" x14ac:dyDescent="0.2">
      <c r="C102" s="56">
        <v>89</v>
      </c>
      <c r="D102" s="63">
        <f t="shared" ca="1" si="57"/>
        <v>5.5820000000000016</v>
      </c>
      <c r="E102" s="45">
        <f t="shared" ca="1" si="40"/>
        <v>7.7814249855184592E-2</v>
      </c>
      <c r="F102" s="45">
        <f t="shared" ca="1" si="32"/>
        <v>7.8353156980112137E-2</v>
      </c>
      <c r="G102" s="45">
        <f t="shared" ca="1" si="33"/>
        <v>7.7275342730257268E-2</v>
      </c>
      <c r="H102" s="45">
        <f t="shared" ca="1" si="34"/>
        <v>0.52830308100944279</v>
      </c>
      <c r="I102" s="45">
        <f t="shared" ca="1" si="37"/>
        <v>0.52823963627245973</v>
      </c>
      <c r="J102" s="45">
        <f t="shared" ca="1" si="35"/>
        <v>0.52817631282465827</v>
      </c>
      <c r="L102" s="58">
        <f ca="1">_xll.EURO(UnderlyingPrice,$D102,IntRate,Yield,$I102,$D$6,L$12,0)</f>
        <v>0.65098859038097112</v>
      </c>
      <c r="M102" s="58">
        <f ca="1">_xll.EURO(UnderlyingPrice,$D102,IntRate,Yield,$I102,$D$6,M$12,0)</f>
        <v>1.0441700616341691</v>
      </c>
      <c r="O102" s="58">
        <f ca="1">_xll.EURO(UnderlyingPrice,$D102*(1+$P$8),IntRate,Yield,$H102,Expiry-Today,O$12,0)</f>
        <v>0.65013517816474287</v>
      </c>
      <c r="P102" s="58">
        <f ca="1">_xll.EURO(UnderlyingPrice,$D102*(1+$P$8),IntRate,Yield,$H102,Expiry-Today,P$12,0)</f>
        <v>1.0460396506245604</v>
      </c>
      <c r="R102" s="58">
        <f ca="1">_xll.EURO(UnderlyingPrice,$D102*(1-$P$8),IntRate,Yield,$J102,Expiry-Today,R$12,0)</f>
        <v>0.65184344883086509</v>
      </c>
      <c r="S102" s="58">
        <f ca="1">_xll.EURO(UnderlyingPrice,$D102*(1-$P$8),IntRate,Yield,$J102,Expiry-Today,S$12,0)</f>
        <v>1.0423019188774449</v>
      </c>
      <c r="U102" s="59">
        <f t="shared" ca="1" si="41"/>
        <v>0.18566019143966825</v>
      </c>
      <c r="V102" s="59"/>
      <c r="W102" s="62">
        <f t="shared" ca="1" si="36"/>
        <v>0.1902964982345359</v>
      </c>
      <c r="Z102" s="59">
        <f t="shared" ca="1" si="42"/>
        <v>0.18144809309996543</v>
      </c>
      <c r="AA102" s="59">
        <f t="shared" ca="1" si="43"/>
        <v>0.15250726664231029</v>
      </c>
      <c r="AB102" s="59">
        <f t="shared" ca="1" si="38"/>
        <v>-2.325846637870873E-2</v>
      </c>
      <c r="AC102" s="59">
        <f t="shared" ca="1" si="44"/>
        <v>-7.4957557842797215E-2</v>
      </c>
      <c r="AD102" s="60">
        <f t="shared" ca="1" si="39"/>
        <v>0.92778286259904452</v>
      </c>
      <c r="AE102" s="60">
        <f t="shared" ca="1" si="45"/>
        <v>0.16834443122942386</v>
      </c>
      <c r="AF102" s="60"/>
      <c r="AG102" s="97">
        <f t="shared" ca="1" si="46"/>
        <v>0.38718873393423314</v>
      </c>
      <c r="AH102" s="97">
        <f t="shared" ca="1" si="47"/>
        <v>0.3884578274585182</v>
      </c>
      <c r="AI102" s="97">
        <f t="shared" ca="1" si="48"/>
        <v>0.38591900570448368</v>
      </c>
      <c r="AJ102" s="62"/>
      <c r="AK102" s="97">
        <f t="shared" ca="1" si="49"/>
        <v>0.41839686124366421</v>
      </c>
      <c r="AL102" s="97"/>
      <c r="AM102" s="95"/>
      <c r="AN102" s="96"/>
      <c r="AX102" s="107">
        <f t="shared" ca="1" si="50"/>
        <v>0.4955133554392982</v>
      </c>
      <c r="AY102" s="107">
        <f t="shared" ca="1" si="51"/>
        <v>0.49554629967048419</v>
      </c>
      <c r="AZ102" s="107">
        <f t="shared" ca="1" si="52"/>
        <v>0.49548048980863102</v>
      </c>
      <c r="BB102" s="39">
        <f ca="1">_xll.EURO(UnderlyingPrice,$D102,IntRate,Yield,AX102,$D$6,1,0)</f>
        <v>0.60096828520611845</v>
      </c>
      <c r="BC102" s="39">
        <f ca="1">_xll.EURO(UnderlyingPrice,$D102*(1+$P$8),IntRate,Yield,AY102,$D$6,1,0)</f>
        <v>0.60006824535063319</v>
      </c>
      <c r="BD102" s="39">
        <f ca="1">_xll.EURO(UnderlyingPrice,$D102*(1-$P$8),IntRate,Yield,AZ102,$D$6,1,0)</f>
        <v>0.6018697853173085</v>
      </c>
      <c r="BF102" s="59">
        <f t="shared" ca="1" si="53"/>
        <v>0.18746027017015848</v>
      </c>
      <c r="BG102" s="39">
        <f t="shared" ca="1" si="54"/>
        <v>0.19214152853587582</v>
      </c>
      <c r="BI102" s="58">
        <f t="shared" ca="1" si="55"/>
        <v>-5.0020305174852675E-2</v>
      </c>
      <c r="BJ102" s="46">
        <f t="shared" ca="1" si="56"/>
        <v>-8.3232853390419512E-2</v>
      </c>
    </row>
    <row r="103" spans="3:62" x14ac:dyDescent="0.2">
      <c r="C103" s="56">
        <v>90</v>
      </c>
      <c r="D103" s="63">
        <f t="shared" ca="1" si="57"/>
        <v>5.6200000000000019</v>
      </c>
      <c r="E103" s="45">
        <f t="shared" ca="1" si="40"/>
        <v>8.5151573662869628E-2</v>
      </c>
      <c r="F103" s="45">
        <f t="shared" ca="1" si="32"/>
        <v>8.5694149449700996E-2</v>
      </c>
      <c r="G103" s="45">
        <f t="shared" ca="1" si="33"/>
        <v>8.4608997876038261E-2</v>
      </c>
      <c r="H103" s="45">
        <f t="shared" ca="1" si="34"/>
        <v>0.5291794476511249</v>
      </c>
      <c r="I103" s="45">
        <f t="shared" ca="1" si="37"/>
        <v>0.52911389961917865</v>
      </c>
      <c r="J103" s="45">
        <f t="shared" ca="1" si="35"/>
        <v>0.52904847568407642</v>
      </c>
      <c r="L103" s="58">
        <f ca="1">_xll.EURO(UnderlyingPrice,$D103,IntRate,Yield,$I103,$D$6,L$12,0)</f>
        <v>0.63949277004579019</v>
      </c>
      <c r="M103" s="58">
        <f ca="1">_xll.EURO(UnderlyingPrice,$D103,IntRate,Yield,$I103,$D$6,M$12,0)</f>
        <v>1.069748424692591</v>
      </c>
      <c r="O103" s="58">
        <f ca="1">_xll.EURO(UnderlyingPrice,$D103*(1+$P$8),IntRate,Yield,$H103,Expiry-Today,O$12,0)</f>
        <v>0.63865322534064028</v>
      </c>
      <c r="P103" s="58">
        <f ca="1">_xll.EURO(UnderlyingPrice,$D103*(1+$P$8),IntRate,Yield,$H103,Expiry-Today,P$12,0)</f>
        <v>1.0716504182857562</v>
      </c>
      <c r="R103" s="58">
        <f ca="1">_xll.EURO(UnderlyingPrice,$D103*(1-$P$8),IntRate,Yield,$J103,Expiry-Today,R$12,0)</f>
        <v>0.64033376020771815</v>
      </c>
      <c r="S103" s="58">
        <f ca="1">_xll.EURO(UnderlyingPrice,$D103*(1-$P$8),IntRate,Yield,$J103,Expiry-Today,S$12,0)</f>
        <v>1.0678478765562027</v>
      </c>
      <c r="U103" s="59">
        <f t="shared" ca="1" si="41"/>
        <v>0.18305958359805932</v>
      </c>
      <c r="V103" s="59"/>
      <c r="W103" s="62">
        <f t="shared" ca="1" si="36"/>
        <v>0.18763094800698335</v>
      </c>
      <c r="Z103" s="59">
        <f t="shared" ca="1" si="42"/>
        <v>0.18022121987259912</v>
      </c>
      <c r="AA103" s="59">
        <f t="shared" ca="1" si="43"/>
        <v>0.15929179543377972</v>
      </c>
      <c r="AB103" s="59">
        <f t="shared" ca="1" si="38"/>
        <v>-2.5373876092517126E-2</v>
      </c>
      <c r="AC103" s="59">
        <f t="shared" ca="1" si="44"/>
        <v>-8.1775115948397953E-2</v>
      </c>
      <c r="AD103" s="60">
        <f t="shared" ca="1" si="39"/>
        <v>0.92147916136446217</v>
      </c>
      <c r="AE103" s="60">
        <f t="shared" ca="1" si="45"/>
        <v>0.16607009854828297</v>
      </c>
      <c r="AF103" s="60"/>
      <c r="AG103" s="97">
        <f t="shared" ca="1" si="46"/>
        <v>0.40441344178550231</v>
      </c>
      <c r="AH103" s="97">
        <f t="shared" ca="1" si="47"/>
        <v>0.40568253530978732</v>
      </c>
      <c r="AI103" s="97">
        <f t="shared" ca="1" si="48"/>
        <v>0.40314371355575235</v>
      </c>
      <c r="AJ103" s="62"/>
      <c r="AK103" s="97">
        <f t="shared" ca="1" si="49"/>
        <v>0.41534460862537659</v>
      </c>
      <c r="AL103" s="97"/>
      <c r="AM103" s="95"/>
      <c r="AN103" s="96"/>
      <c r="AX103" s="107">
        <f t="shared" ca="1" si="50"/>
        <v>0.49596860716628838</v>
      </c>
      <c r="AY103" s="107">
        <f t="shared" ca="1" si="51"/>
        <v>0.49600284369714381</v>
      </c>
      <c r="AZ103" s="107">
        <f t="shared" ca="1" si="52"/>
        <v>0.49593444897576799</v>
      </c>
      <c r="BB103" s="39">
        <f ca="1">_xll.EURO(UnderlyingPrice,$D103,IntRate,Yield,AX103,$D$6,1,0)</f>
        <v>0.58883872784660851</v>
      </c>
      <c r="BC103" s="39">
        <f ca="1">_xll.EURO(UnderlyingPrice,$D103*(1+$P$8),IntRate,Yield,AY103,$D$6,1,0)</f>
        <v>0.58795240369687218</v>
      </c>
      <c r="BD103" s="39">
        <f ca="1">_xll.EURO(UnderlyingPrice,$D103*(1-$P$8),IntRate,Yield,AZ103,$D$6,1,0)</f>
        <v>0.58972650750363353</v>
      </c>
      <c r="BF103" s="59">
        <f t="shared" ca="1" si="53"/>
        <v>0.18433242850199336</v>
      </c>
      <c r="BG103" s="39">
        <f t="shared" ca="1" si="54"/>
        <v>0.18893557839724681</v>
      </c>
      <c r="BI103" s="58">
        <f t="shared" ca="1" si="55"/>
        <v>-5.0654042199181681E-2</v>
      </c>
      <c r="BJ103" s="46">
        <f t="shared" ca="1" si="56"/>
        <v>-8.6023625491523328E-2</v>
      </c>
    </row>
    <row r="104" spans="3:62" x14ac:dyDescent="0.2">
      <c r="C104" s="56">
        <v>91</v>
      </c>
      <c r="D104" s="63">
        <f t="shared" ca="1" si="57"/>
        <v>5.6580000000000021</v>
      </c>
      <c r="E104" s="45">
        <f t="shared" ca="1" si="40"/>
        <v>9.2488897470554443E-2</v>
      </c>
      <c r="F104" s="45">
        <f t="shared" ca="1" si="32"/>
        <v>9.3035141919289632E-2</v>
      </c>
      <c r="G104" s="45">
        <f t="shared" ca="1" si="33"/>
        <v>9.1942653021819476E-2</v>
      </c>
      <c r="H104" s="45">
        <f t="shared" ca="1" si="34"/>
        <v>0.53007854679042787</v>
      </c>
      <c r="I104" s="45">
        <f t="shared" ca="1" si="37"/>
        <v>0.53001085718744845</v>
      </c>
      <c r="J104" s="45">
        <f t="shared" ca="1" si="35"/>
        <v>0.52994329453144395</v>
      </c>
      <c r="L104" s="58">
        <f ca="1">_xll.EURO(UnderlyingPrice,$D104,IntRate,Yield,$I104,$D$6,L$12,0)</f>
        <v>0.62826124050764154</v>
      </c>
      <c r="M104" s="58">
        <f ca="1">_xll.EURO(UnderlyingPrice,$D104,IntRate,Yield,$I104,$D$6,M$12,0)</f>
        <v>1.0955910785480447</v>
      </c>
      <c r="O104" s="58">
        <f ca="1">_xll.EURO(UnderlyingPrice,$D104*(1+$P$8),IntRate,Yield,$H104,Expiry-Today,O$12,0)</f>
        <v>0.62743554612370045</v>
      </c>
      <c r="P104" s="58">
        <f ca="1">_xll.EURO(UnderlyingPrice,$D104*(1+$P$8),IntRate,Yield,$H104,Expiry-Today,P$12,0)</f>
        <v>1.0975254595541157</v>
      </c>
      <c r="R104" s="58">
        <f ca="1">_xll.EURO(UnderlyingPrice,$D104*(1-$P$8),IntRate,Yield,$J104,Expiry-Today,R$12,0)</f>
        <v>0.62908837816196361</v>
      </c>
      <c r="S104" s="58">
        <f ca="1">_xll.EURO(UnderlyingPrice,$D104*(1-$P$8),IntRate,Yield,$J104,Expiry-Today,S$12,0)</f>
        <v>1.0936581408123534</v>
      </c>
      <c r="U104" s="59">
        <f t="shared" ca="1" si="41"/>
        <v>0.18033573910684916</v>
      </c>
      <c r="V104" s="59"/>
      <c r="W104" s="62">
        <f t="shared" ca="1" si="36"/>
        <v>0.18483908366388771</v>
      </c>
      <c r="Z104" s="59">
        <f t="shared" ca="1" si="42"/>
        <v>0.17901082638458943</v>
      </c>
      <c r="AA104" s="59">
        <f t="shared" ca="1" si="43"/>
        <v>0.1660306044075554</v>
      </c>
      <c r="AB104" s="59">
        <f t="shared" ca="1" si="38"/>
        <v>-2.7566161599938157E-2</v>
      </c>
      <c r="AC104" s="59">
        <f t="shared" ca="1" si="44"/>
        <v>-8.8840429931475853E-2</v>
      </c>
      <c r="AD104" s="60">
        <f t="shared" ca="1" si="39"/>
        <v>0.91499156719311237</v>
      </c>
      <c r="AE104" s="60">
        <f t="shared" ca="1" si="45"/>
        <v>0.16379339657816963</v>
      </c>
      <c r="AF104" s="60"/>
      <c r="AG104" s="97">
        <f t="shared" ca="1" si="46"/>
        <v>0.42152207517869295</v>
      </c>
      <c r="AH104" s="97">
        <f t="shared" ca="1" si="47"/>
        <v>0.42279116870297784</v>
      </c>
      <c r="AI104" s="97">
        <f t="shared" ca="1" si="48"/>
        <v>0.42025234694894353</v>
      </c>
      <c r="AJ104" s="62"/>
      <c r="AK104" s="97">
        <f t="shared" ca="1" si="49"/>
        <v>0.41193105963757481</v>
      </c>
      <c r="AL104" s="97"/>
      <c r="AM104" s="95"/>
      <c r="AN104" s="96"/>
      <c r="AX104" s="107">
        <f t="shared" ca="1" si="50"/>
        <v>0.49643818538914813</v>
      </c>
      <c r="AY104" s="107">
        <f t="shared" ca="1" si="51"/>
        <v>0.49647371049201916</v>
      </c>
      <c r="AZ104" s="107">
        <f t="shared" ca="1" si="52"/>
        <v>0.49640273833751253</v>
      </c>
      <c r="BB104" s="39">
        <f ca="1">_xll.EURO(UnderlyingPrice,$D104,IntRate,Yield,AX104,$D$6,1,0)</f>
        <v>0.57697534473355039</v>
      </c>
      <c r="BC104" s="39">
        <f ca="1">_xll.EURO(UnderlyingPrice,$D104*(1+$P$8),IntRate,Yield,AY104,$D$6,1,0)</f>
        <v>0.57610266731313042</v>
      </c>
      <c r="BD104" s="39">
        <f ca="1">_xll.EURO(UnderlyingPrice,$D104*(1-$P$8),IntRate,Yield,AZ104,$D$6,1,0)</f>
        <v>0.577849472258821</v>
      </c>
      <c r="BF104" s="59">
        <f t="shared" ca="1" si="53"/>
        <v>0.1811897018523019</v>
      </c>
      <c r="BG104" s="39">
        <f t="shared" ca="1" si="54"/>
        <v>0.18571437156929319</v>
      </c>
      <c r="BI104" s="58">
        <f t="shared" ca="1" si="55"/>
        <v>-5.128589577409115E-2</v>
      </c>
      <c r="BJ104" s="46">
        <f t="shared" ca="1" si="56"/>
        <v>-8.8887499686447075E-2</v>
      </c>
    </row>
    <row r="105" spans="3:62" x14ac:dyDescent="0.2">
      <c r="C105" s="56">
        <v>92</v>
      </c>
      <c r="D105" s="63">
        <f t="shared" ca="1" si="57"/>
        <v>5.6960000000000024</v>
      </c>
      <c r="E105" s="45">
        <f t="shared" ca="1" si="40"/>
        <v>9.982622127823948E-2</v>
      </c>
      <c r="F105" s="45">
        <f t="shared" ca="1" si="32"/>
        <v>0.10037613438887849</v>
      </c>
      <c r="G105" s="45">
        <f t="shared" ca="1" si="33"/>
        <v>9.9276308167600469E-2</v>
      </c>
      <c r="H105" s="45">
        <f t="shared" ca="1" si="34"/>
        <v>0.53100058917133519</v>
      </c>
      <c r="I105" s="45">
        <f t="shared" ca="1" si="37"/>
        <v>0.53093071940545244</v>
      </c>
      <c r="J105" s="45">
        <f t="shared" ca="1" si="35"/>
        <v>0.53086097947945943</v>
      </c>
      <c r="L105" s="58">
        <f ca="1">_xll.EURO(UnderlyingPrice,$D105,IntRate,Yield,$I105,$D$6,L$12,0)</f>
        <v>0.61729011488047369</v>
      </c>
      <c r="M105" s="58">
        <f ca="1">_xll.EURO(UnderlyingPrice,$D105,IntRate,Yield,$I105,$D$6,M$12,0)</f>
        <v>1.1216941363144781</v>
      </c>
      <c r="O105" s="58">
        <f ca="1">_xll.EURO(UnderlyingPrice,$D105*(1+$P$8),IntRate,Yield,$H105,Expiry-Today,O$12,0)</f>
        <v>0.61647823771541232</v>
      </c>
      <c r="P105" s="58">
        <f ca="1">_xll.EURO(UnderlyingPrice,$D105*(1+$P$8),IntRate,Yield,$H105,Expiry-Today,P$12,0)</f>
        <v>1.123660871631126</v>
      </c>
      <c r="R105" s="58">
        <f ca="1">_xll.EURO(UnderlyingPrice,$D105*(1-$P$8),IntRate,Yield,$J105,Expiry-Today,R$12,0)</f>
        <v>0.61810343261330192</v>
      </c>
      <c r="S105" s="58">
        <f ca="1">_xll.EURO(UnderlyingPrice,$D105*(1-$P$8),IntRate,Yield,$J105,Expiry-Today,S$12,0)</f>
        <v>1.1197288415655979</v>
      </c>
      <c r="U105" s="59">
        <f t="shared" ca="1" si="41"/>
        <v>0.17760440093638924</v>
      </c>
      <c r="V105" s="59"/>
      <c r="W105" s="62">
        <f t="shared" ca="1" si="36"/>
        <v>0.18203953850936411</v>
      </c>
      <c r="Z105" s="59">
        <f t="shared" ca="1" si="42"/>
        <v>0.17781658280969223</v>
      </c>
      <c r="AA105" s="59">
        <f t="shared" ca="1" si="43"/>
        <v>0.17272430563785474</v>
      </c>
      <c r="AB105" s="59">
        <f t="shared" ca="1" si="38"/>
        <v>-2.9833685758079057E-2</v>
      </c>
      <c r="AC105" s="59">
        <f t="shared" ca="1" si="44"/>
        <v>-9.6148223595781193E-2</v>
      </c>
      <c r="AD105" s="60">
        <f t="shared" ca="1" si="39"/>
        <v>0.90832937024469729</v>
      </c>
      <c r="AE105" s="60">
        <f t="shared" ca="1" si="45"/>
        <v>0.1615160246825918</v>
      </c>
      <c r="AF105" s="60"/>
      <c r="AG105" s="97">
        <f t="shared" ca="1" si="46"/>
        <v>0.43851618806101372</v>
      </c>
      <c r="AH105" s="97">
        <f t="shared" ca="1" si="47"/>
        <v>0.43978528158529867</v>
      </c>
      <c r="AI105" s="97">
        <f t="shared" ca="1" si="48"/>
        <v>0.43724645983126381</v>
      </c>
      <c r="AJ105" s="62"/>
      <c r="AK105" s="97">
        <f t="shared" ca="1" si="49"/>
        <v>0.40841670341820357</v>
      </c>
      <c r="AL105" s="97"/>
      <c r="AM105" s="95"/>
      <c r="AN105" s="96"/>
      <c r="AX105" s="107">
        <f t="shared" ca="1" si="50"/>
        <v>0.496921846154812</v>
      </c>
      <c r="AY105" s="107">
        <f t="shared" ca="1" si="51"/>
        <v>0.49695865573593212</v>
      </c>
      <c r="AZ105" s="107">
        <f t="shared" ca="1" si="52"/>
        <v>0.49688511430654553</v>
      </c>
      <c r="BB105" s="39">
        <f ca="1">_xll.EURO(UnderlyingPrice,$D105,IntRate,Yield,AX105,$D$6,1,0)</f>
        <v>0.56537359825164901</v>
      </c>
      <c r="BC105" s="39">
        <f ca="1">_xll.EURO(UnderlyingPrice,$D105*(1+$P$8),IntRate,Yield,AY105,$D$6,1,0)</f>
        <v>0.56451449041076684</v>
      </c>
      <c r="BD105" s="39">
        <f ca="1">_xll.EURO(UnderlyingPrice,$D105*(1-$P$8),IntRate,Yield,AZ105,$D$6,1,0)</f>
        <v>0.56623415016196899</v>
      </c>
      <c r="BF105" s="59">
        <f t="shared" ca="1" si="53"/>
        <v>0.17803611417212123</v>
      </c>
      <c r="BG105" s="39">
        <f t="shared" ca="1" si="54"/>
        <v>0.18248203248916803</v>
      </c>
      <c r="BI105" s="58">
        <f t="shared" ca="1" si="55"/>
        <v>-5.1916516628824683E-2</v>
      </c>
      <c r="BJ105" s="46">
        <f t="shared" ca="1" si="56"/>
        <v>-9.1826920799574607E-2</v>
      </c>
    </row>
    <row r="106" spans="3:62" x14ac:dyDescent="0.2">
      <c r="C106" s="56">
        <v>93</v>
      </c>
      <c r="D106" s="63">
        <f t="shared" ca="1" si="57"/>
        <v>5.7340000000000027</v>
      </c>
      <c r="E106" s="45">
        <f t="shared" ca="1" si="40"/>
        <v>0.10716354508592429</v>
      </c>
      <c r="F106" s="45">
        <f t="shared" ca="1" si="32"/>
        <v>0.10771712685846713</v>
      </c>
      <c r="G106" s="45">
        <f t="shared" ca="1" si="33"/>
        <v>0.10660996331338146</v>
      </c>
      <c r="H106" s="45">
        <f t="shared" ca="1" si="34"/>
        <v>0.53194578553783067</v>
      </c>
      <c r="I106" s="45">
        <f t="shared" ca="1" si="37"/>
        <v>0.5318736967013743</v>
      </c>
      <c r="J106" s="45">
        <f t="shared" ca="1" si="35"/>
        <v>0.53180174064082231</v>
      </c>
      <c r="L106" s="58">
        <f ca="1">_xll.EURO(UnderlyingPrice,$D106,IntRate,Yield,$I106,$D$6,L$12,0)</f>
        <v>0.60657544945134534</v>
      </c>
      <c r="M106" s="58">
        <f ca="1">_xll.EURO(UnderlyingPrice,$D106,IntRate,Yield,$I106,$D$6,M$12,0)</f>
        <v>1.1480536542789523</v>
      </c>
      <c r="O106" s="58">
        <f ca="1">_xll.EURO(UnderlyingPrice,$D106*(1+$P$8),IntRate,Yield,$H106,Expiry-Today,O$12,0)</f>
        <v>0.60577734984067289</v>
      </c>
      <c r="P106" s="58">
        <f ca="1">_xll.EURO(UnderlyingPrice,$D106*(1+$P$8),IntRate,Yield,$H106,Expiry-Today,P$12,0)</f>
        <v>1.1500527042416855</v>
      </c>
      <c r="R106" s="58">
        <f ca="1">_xll.EURO(UnderlyingPrice,$D106*(1-$P$8),IntRate,Yield,$J106,Expiry-Today,R$12,0)</f>
        <v>0.60737498642594034</v>
      </c>
      <c r="S106" s="58">
        <f ca="1">_xll.EURO(UnderlyingPrice,$D106*(1-$P$8),IntRate,Yield,$J106,Expiry-Today,S$12,0)</f>
        <v>1.1460560416801409</v>
      </c>
      <c r="U106" s="59">
        <f t="shared" ca="1" si="41"/>
        <v>0.17486840713216528</v>
      </c>
      <c r="V106" s="59"/>
      <c r="W106" s="62">
        <f t="shared" ca="1" si="36"/>
        <v>0.17923522146057771</v>
      </c>
      <c r="Z106" s="59">
        <f t="shared" ca="1" si="42"/>
        <v>0.17663816806487737</v>
      </c>
      <c r="AA106" s="59">
        <f t="shared" ca="1" si="43"/>
        <v>0.17937349898935812</v>
      </c>
      <c r="AB106" s="59">
        <f t="shared" ca="1" si="38"/>
        <v>-3.217485213968526E-2</v>
      </c>
      <c r="AC106" s="59">
        <f t="shared" ca="1" si="44"/>
        <v>-0.10369335196372487</v>
      </c>
      <c r="AD106" s="60">
        <f t="shared" ca="1" si="39"/>
        <v>0.9015016987656993</v>
      </c>
      <c r="AE106" s="60">
        <f t="shared" ca="1" si="45"/>
        <v>0.15923960857734804</v>
      </c>
      <c r="AF106" s="60"/>
      <c r="AG106" s="97">
        <f t="shared" ca="1" si="46"/>
        <v>0.45539730338183781</v>
      </c>
      <c r="AH106" s="97">
        <f t="shared" ca="1" si="47"/>
        <v>0.45666639690612276</v>
      </c>
      <c r="AI106" s="97">
        <f t="shared" ca="1" si="48"/>
        <v>0.45412757515208801</v>
      </c>
      <c r="AJ106" s="62"/>
      <c r="AK106" s="97">
        <f t="shared" ca="1" si="49"/>
        <v>0.40480776494909732</v>
      </c>
      <c r="AL106" s="97"/>
      <c r="AM106" s="95"/>
      <c r="AN106" s="96"/>
      <c r="AX106" s="107">
        <f t="shared" ca="1" si="50"/>
        <v>0.49741934551021438</v>
      </c>
      <c r="AY106" s="107">
        <f t="shared" ca="1" si="51"/>
        <v>0.49745743510970436</v>
      </c>
      <c r="AZ106" s="107">
        <f t="shared" ca="1" si="52"/>
        <v>0.49738133329554807</v>
      </c>
      <c r="BB106" s="39">
        <f ca="1">_xll.EURO(UnderlyingPrice,$D106,IntRate,Yield,AX106,$D$6,1,0)</f>
        <v>0.55402893508522677</v>
      </c>
      <c r="BC106" s="39">
        <f ca="1">_xll.EURO(UnderlyingPrice,$D106*(1+$P$8),IntRate,Yield,AY106,$D$6,1,0)</f>
        <v>0.55318331189521452</v>
      </c>
      <c r="BD106" s="39">
        <f ca="1">_xll.EURO(UnderlyingPrice,$D106*(1-$P$8),IntRate,Yield,AZ106,$D$6,1,0)</f>
        <v>0.55487599569792678</v>
      </c>
      <c r="BF106" s="59">
        <f t="shared" ca="1" si="53"/>
        <v>0.17487555645556627</v>
      </c>
      <c r="BG106" s="39">
        <f t="shared" ca="1" si="54"/>
        <v>0.1792425493169017</v>
      </c>
      <c r="BI106" s="58">
        <f t="shared" ca="1" si="55"/>
        <v>-5.2546514366118569E-2</v>
      </c>
      <c r="BJ106" s="46">
        <f t="shared" ca="1" si="56"/>
        <v>-9.4844350246860831E-2</v>
      </c>
    </row>
    <row r="107" spans="3:62" x14ac:dyDescent="0.2">
      <c r="C107" s="56">
        <v>94</v>
      </c>
      <c r="D107" s="63">
        <f t="shared" ca="1" si="57"/>
        <v>5.7720000000000029</v>
      </c>
      <c r="E107" s="45">
        <f t="shared" ca="1" si="40"/>
        <v>0.11450086889360933</v>
      </c>
      <c r="F107" s="45">
        <f t="shared" ca="1" si="32"/>
        <v>0.11505811932805599</v>
      </c>
      <c r="G107" s="45">
        <f t="shared" ca="1" si="33"/>
        <v>0.11394361845916268</v>
      </c>
      <c r="H107" s="45">
        <f t="shared" ca="1" si="34"/>
        <v>0.53291434663389803</v>
      </c>
      <c r="I107" s="45">
        <f t="shared" ca="1" si="37"/>
        <v>0.53283999950339755</v>
      </c>
      <c r="J107" s="45">
        <f t="shared" ca="1" si="35"/>
        <v>0.53276578812823128</v>
      </c>
      <c r="L107" s="58">
        <f ca="1">_xll.EURO(UnderlyingPrice,$D107,IntRate,Yield,$I107,$D$6,L$12,0)</f>
        <v>0.59611329377658961</v>
      </c>
      <c r="M107" s="58">
        <f ca="1">_xll.EURO(UnderlyingPrice,$D107,IntRate,Yield,$I107,$D$6,M$12,0)</f>
        <v>1.1746656819977983</v>
      </c>
      <c r="O107" s="58">
        <f ca="1">_xll.EURO(UnderlyingPrice,$D107*(1+$P$8),IntRate,Yield,$H107,Expiry-Today,O$12,0)</f>
        <v>0.59532892578390295</v>
      </c>
      <c r="P107" s="58">
        <f ca="1">_xll.EURO(UnderlyingPrice,$D107*(1+$P$8),IntRate,Yield,$H107,Expiry-Today,P$12,0)</f>
        <v>1.1766970006702144</v>
      </c>
      <c r="R107" s="58">
        <f ca="1">_xll.EURO(UnderlyingPrice,$D107*(1-$P$8),IntRate,Yield,$J107,Expiry-Today,R$12,0)</f>
        <v>0.59689909544373765</v>
      </c>
      <c r="S107" s="58">
        <f ca="1">_xll.EURO(UnderlyingPrice,$D107*(1-$P$8),IntRate,Yield,$J107,Expiry-Today,S$12,0)</f>
        <v>1.172635796999844</v>
      </c>
      <c r="U107" s="59">
        <f t="shared" ca="1" si="41"/>
        <v>0.17213052586059224</v>
      </c>
      <c r="V107" s="59"/>
      <c r="W107" s="62">
        <f t="shared" ca="1" si="36"/>
        <v>0.17642896981060258</v>
      </c>
      <c r="Z107" s="59">
        <f t="shared" ca="1" si="42"/>
        <v>0.17547526952252371</v>
      </c>
      <c r="AA107" s="59">
        <f t="shared" ca="1" si="43"/>
        <v>0.1859787724398046</v>
      </c>
      <c r="AB107" s="59">
        <f t="shared" ca="1" si="38"/>
        <v>-3.458810379821662E-2</v>
      </c>
      <c r="AC107" s="59">
        <f t="shared" ca="1" si="44"/>
        <v>-0.1114707972964568</v>
      </c>
      <c r="AD107" s="60">
        <f t="shared" ca="1" si="39"/>
        <v>0.8945175133516069</v>
      </c>
      <c r="AE107" s="60">
        <f t="shared" ca="1" si="45"/>
        <v>0.15696570174799093</v>
      </c>
      <c r="AF107" s="60"/>
      <c r="AG107" s="97">
        <f t="shared" ca="1" si="46"/>
        <v>0.47216691391171567</v>
      </c>
      <c r="AH107" s="97">
        <f t="shared" ca="1" si="47"/>
        <v>0.47343600743600056</v>
      </c>
      <c r="AI107" s="97">
        <f t="shared" ca="1" si="48"/>
        <v>0.47089718568196587</v>
      </c>
      <c r="AJ107" s="62"/>
      <c r="AK107" s="97">
        <f t="shared" ca="1" si="49"/>
        <v>0.401110480532334</v>
      </c>
      <c r="AL107" s="97"/>
      <c r="AM107" s="95"/>
      <c r="AN107" s="96"/>
      <c r="AX107" s="107">
        <f t="shared" ca="1" si="50"/>
        <v>0.4979304395022896</v>
      </c>
      <c r="AY107" s="107">
        <f t="shared" ca="1" si="51"/>
        <v>0.49796980429415783</v>
      </c>
      <c r="AZ107" s="107">
        <f t="shared" ca="1" si="52"/>
        <v>0.49789115171720139</v>
      </c>
      <c r="BB107" s="39">
        <f ca="1">_xll.EURO(UnderlyingPrice,$D107,IntRate,Yield,AX107,$D$6,1,0)</f>
        <v>0.54293679183842447</v>
      </c>
      <c r="BC107" s="39">
        <f ca="1">_xll.EURO(UnderlyingPrice,$D107*(1+$P$8),IntRate,Yield,AY107,$D$6,1,0)</f>
        <v>0.54210456098565851</v>
      </c>
      <c r="BD107" s="39">
        <f ca="1">_xll.EURO(UnderlyingPrice,$D107*(1-$P$8),IntRate,Yield,AZ107,$D$6,1,0)</f>
        <v>0.54377045287795145</v>
      </c>
      <c r="BF107" s="59">
        <f t="shared" ca="1" si="53"/>
        <v>0.17171178387167232</v>
      </c>
      <c r="BG107" s="39">
        <f t="shared" ca="1" si="54"/>
        <v>0.17599977099562064</v>
      </c>
      <c r="BI107" s="58">
        <f t="shared" ca="1" si="55"/>
        <v>-5.3176501938165144E-2</v>
      </c>
      <c r="BJ107" s="46">
        <f t="shared" ca="1" si="56"/>
        <v>-9.7942343818891955E-2</v>
      </c>
    </row>
    <row r="108" spans="3:62" x14ac:dyDescent="0.2">
      <c r="C108" s="56">
        <v>95</v>
      </c>
      <c r="D108" s="63">
        <f t="shared" ca="1" si="57"/>
        <v>5.8100000000000032</v>
      </c>
      <c r="E108" s="45">
        <f t="shared" ca="1" si="40"/>
        <v>0.12183819270129415</v>
      </c>
      <c r="F108" s="45">
        <f t="shared" ca="1" si="32"/>
        <v>0.12239911179764484</v>
      </c>
      <c r="G108" s="45">
        <f t="shared" ca="1" si="33"/>
        <v>0.12127727360494367</v>
      </c>
      <c r="H108" s="45">
        <f t="shared" ca="1" si="34"/>
        <v>0.53390648320352074</v>
      </c>
      <c r="I108" s="45">
        <f t="shared" ca="1" si="37"/>
        <v>0.53382983823970565</v>
      </c>
      <c r="J108" s="45">
        <f t="shared" ca="1" si="35"/>
        <v>0.53375333205438558</v>
      </c>
      <c r="L108" s="58">
        <f ca="1">_xll.EURO(UnderlyingPrice,$D108,IntRate,Yield,$I108,$D$6,L$12,0)</f>
        <v>0.58589969467761716</v>
      </c>
      <c r="M108" s="58">
        <f ca="1">_xll.EURO(UnderlyingPrice,$D108,IntRate,Yield,$I108,$D$6,M$12,0)</f>
        <v>1.2015262662924266</v>
      </c>
      <c r="O108" s="58">
        <f ca="1">_xll.EURO(UnderlyingPrice,$D108*(1+$P$8),IntRate,Yield,$H108,Expiry-Today,O$12,0)</f>
        <v>0.58512900638680487</v>
      </c>
      <c r="P108" s="58">
        <f ca="1">_xll.EURO(UnderlyingPrice,$D108*(1+$P$8),IntRate,Yield,$H108,Expiry-Today,P$12,0)</f>
        <v>1.2035898017584157</v>
      </c>
      <c r="R108" s="58">
        <f ca="1">_xll.EURO(UnderlyingPrice,$D108*(1-$P$8),IntRate,Yield,$J108,Expiry-Today,R$12,0)</f>
        <v>0.58667181248397382</v>
      </c>
      <c r="S108" s="58">
        <f ca="1">_xll.EURO(UnderlyingPrice,$D108*(1-$P$8),IntRate,Yield,$J108,Expiry-Today,S$12,0)</f>
        <v>1.1994641603419844</v>
      </c>
      <c r="U108" s="59">
        <f t="shared" ca="1" si="41"/>
        <v>0.16939344822206315</v>
      </c>
      <c r="V108" s="59"/>
      <c r="W108" s="62">
        <f t="shared" ca="1" si="36"/>
        <v>0.17362354186199791</v>
      </c>
      <c r="Z108" s="59">
        <f t="shared" ca="1" si="42"/>
        <v>0.17432758273390822</v>
      </c>
      <c r="AA108" s="59">
        <f t="shared" ca="1" si="43"/>
        <v>0.19254070239199994</v>
      </c>
      <c r="AB108" s="59">
        <f t="shared" ca="1" si="38"/>
        <v>-3.7071922077604694E-2</v>
      </c>
      <c r="AC108" s="59">
        <f t="shared" ca="1" si="44"/>
        <v>-0.11947566525794295</v>
      </c>
      <c r="AD108" s="60">
        <f t="shared" ca="1" si="39"/>
        <v>0.8873856018560331</v>
      </c>
      <c r="AE108" s="60">
        <f t="shared" ca="1" si="45"/>
        <v>0.15469578692443656</v>
      </c>
      <c r="AF108" s="60"/>
      <c r="AG108" s="97">
        <f t="shared" ca="1" si="46"/>
        <v>0.48882648303450771</v>
      </c>
      <c r="AH108" s="97">
        <f t="shared" ca="1" si="47"/>
        <v>0.49009557655879304</v>
      </c>
      <c r="AI108" s="97">
        <f t="shared" ca="1" si="48"/>
        <v>0.48755675480475802</v>
      </c>
      <c r="AJ108" s="62"/>
      <c r="AK108" s="97">
        <f t="shared" ca="1" si="49"/>
        <v>0.39733107557274061</v>
      </c>
      <c r="AL108" s="97"/>
      <c r="AM108" s="95"/>
      <c r="AN108" s="96"/>
      <c r="AX108" s="107">
        <f t="shared" ca="1" si="50"/>
        <v>0.49845488417797212</v>
      </c>
      <c r="AY108" s="107">
        <f t="shared" ca="1" si="51"/>
        <v>0.49849551897011435</v>
      </c>
      <c r="AZ108" s="107">
        <f t="shared" ca="1" si="52"/>
        <v>0.49841432598418645</v>
      </c>
      <c r="BB108" s="39">
        <f ca="1">_xll.EURO(UnderlyingPrice,$D108,IntRate,Yield,AX108,$D$6,1,0)</f>
        <v>0.5320926004562323</v>
      </c>
      <c r="BC108" s="39">
        <f ca="1">_xll.EURO(UnderlyingPrice,$D108*(1+$P$8),IntRate,Yield,AY108,$D$6,1,0)</f>
        <v>0.5312736626342589</v>
      </c>
      <c r="BD108" s="39">
        <f ca="1">_xll.EURO(UnderlyingPrice,$D108*(1-$P$8),IntRate,Yield,AZ108,$D$6,1,0)</f>
        <v>0.53291296066243943</v>
      </c>
      <c r="BF108" s="59">
        <f t="shared" ca="1" si="53"/>
        <v>0.16854840858145209</v>
      </c>
      <c r="BG108" s="39">
        <f t="shared" ca="1" si="54"/>
        <v>0.17275739988923197</v>
      </c>
      <c r="BI108" s="58">
        <f t="shared" ca="1" si="55"/>
        <v>-5.3807094221384855E-2</v>
      </c>
      <c r="BJ108" s="46">
        <f t="shared" ca="1" si="56"/>
        <v>-0.10112355288393228</v>
      </c>
    </row>
    <row r="109" spans="3:62" x14ac:dyDescent="0.2">
      <c r="C109" s="56">
        <v>96</v>
      </c>
      <c r="D109" s="63">
        <f t="shared" ca="1" si="57"/>
        <v>5.8480000000000034</v>
      </c>
      <c r="E109" s="45">
        <f t="shared" ca="1" si="40"/>
        <v>0.12917551650897918</v>
      </c>
      <c r="F109" s="45">
        <f t="shared" ca="1" si="32"/>
        <v>0.12974010426723348</v>
      </c>
      <c r="G109" s="45">
        <f t="shared" ca="1" si="33"/>
        <v>0.12861092875072488</v>
      </c>
      <c r="H109" s="45">
        <f t="shared" ca="1" si="34"/>
        <v>0.5349224059906823</v>
      </c>
      <c r="I109" s="45">
        <f t="shared" ca="1" si="37"/>
        <v>0.53484342333848212</v>
      </c>
      <c r="J109" s="45">
        <f t="shared" ca="1" si="35"/>
        <v>0.53476458253198411</v>
      </c>
      <c r="L109" s="58">
        <f ca="1">_xll.EURO(UnderlyingPrice,$D109,IntRate,Yield,$I109,$D$6,L$12,0)</f>
        <v>0.57593070012727021</v>
      </c>
      <c r="M109" s="58">
        <f ca="1">_xll.EURO(UnderlyingPrice,$D109,IntRate,Yield,$I109,$D$6,M$12,0)</f>
        <v>1.2286314551356829</v>
      </c>
      <c r="O109" s="58">
        <f ca="1">_xll.EURO(UnderlyingPrice,$D109*(1+$P$8),IntRate,Yield,$H109,Expiry-Today,O$12,0)</f>
        <v>0.57517363393590237</v>
      </c>
      <c r="P109" s="58">
        <f ca="1">_xll.EURO(UnderlyingPrice,$D109*(1+$P$8),IntRate,Yield,$H109,Expiry-Today,P$12,0)</f>
        <v>1.2307271497928118</v>
      </c>
      <c r="R109" s="58">
        <f ca="1">_xll.EURO(UnderlyingPrice,$D109*(1-$P$8),IntRate,Yield,$J109,Expiry-Today,R$12,0)</f>
        <v>0.57668919122248496</v>
      </c>
      <c r="S109" s="58">
        <f ca="1">_xll.EURO(UnderlyingPrice,$D109*(1-$P$8),IntRate,Yield,$J109,Expiry-Today,S$12,0)</f>
        <v>1.2265371853824014</v>
      </c>
      <c r="U109" s="59">
        <f t="shared" ca="1" si="41"/>
        <v>0.16665978698317335</v>
      </c>
      <c r="V109" s="59"/>
      <c r="W109" s="62">
        <f t="shared" ca="1" si="36"/>
        <v>0.17082161562737341</v>
      </c>
      <c r="Z109" s="59">
        <f t="shared" ca="1" si="42"/>
        <v>0.17319481116347585</v>
      </c>
      <c r="AA109" s="59">
        <f t="shared" ca="1" si="43"/>
        <v>0.19905985397565762</v>
      </c>
      <c r="AB109" s="59">
        <f t="shared" ca="1" si="38"/>
        <v>-3.9624825464810137E-2</v>
      </c>
      <c r="AC109" s="59">
        <f t="shared" ca="1" si="44"/>
        <v>-0.12770318121697882</v>
      </c>
      <c r="AD109" s="60">
        <f t="shared" ca="1" si="39"/>
        <v>0.88011457491586642</v>
      </c>
      <c r="AE109" s="60">
        <f t="shared" ca="1" si="45"/>
        <v>0.15243127760477629</v>
      </c>
      <c r="AF109" s="60"/>
      <c r="AG109" s="97">
        <f t="shared" ca="1" si="46"/>
        <v>0.50537744551370467</v>
      </c>
      <c r="AH109" s="97">
        <f t="shared" ca="1" si="47"/>
        <v>0.50664653903798951</v>
      </c>
      <c r="AI109" s="97">
        <f t="shared" ca="1" si="48"/>
        <v>0.50410771728395498</v>
      </c>
      <c r="AJ109" s="62"/>
      <c r="AK109" s="97">
        <f t="shared" ca="1" si="49"/>
        <v>0.3934757556734309</v>
      </c>
      <c r="AL109" s="97"/>
      <c r="AM109" s="95"/>
      <c r="AN109" s="96"/>
      <c r="AX109" s="107">
        <f t="shared" ca="1" si="50"/>
        <v>0.49899243558419648</v>
      </c>
      <c r="AY109" s="107">
        <f t="shared" ca="1" si="51"/>
        <v>0.4990343348183956</v>
      </c>
      <c r="AZ109" s="107">
        <f t="shared" ca="1" si="52"/>
        <v>0.49895061250918427</v>
      </c>
      <c r="BB109" s="39">
        <f ca="1">_xll.EURO(UnderlyingPrice,$D109,IntRate,Yield,AX109,$D$6,1,0)</f>
        <v>0.52149179343833207</v>
      </c>
      <c r="BC109" s="39">
        <f ca="1">_xll.EURO(UnderlyingPrice,$D109*(1+$P$8),IntRate,Yield,AY109,$D$6,1,0)</f>
        <v>0.5206860427370319</v>
      </c>
      <c r="BD109" s="39">
        <f ca="1">_xll.EURO(UnderlyingPrice,$D109*(1-$P$8),IntRate,Yield,AZ109,$D$6,1,0)</f>
        <v>0.52229895817760941</v>
      </c>
      <c r="BF109" s="59">
        <f t="shared" ca="1" si="53"/>
        <v>0.16538889172702709</v>
      </c>
      <c r="BG109" s="39">
        <f t="shared" ca="1" si="54"/>
        <v>0.16951898357150749</v>
      </c>
      <c r="BI109" s="58">
        <f t="shared" ca="1" si="55"/>
        <v>-5.4438906688938138E-2</v>
      </c>
      <c r="BJ109" s="46">
        <f t="shared" ca="1" si="56"/>
        <v>-0.10439072555678808</v>
      </c>
    </row>
    <row r="110" spans="3:62" x14ac:dyDescent="0.2">
      <c r="C110" s="56">
        <v>97</v>
      </c>
      <c r="D110" s="63">
        <f t="shared" ca="1" si="57"/>
        <v>5.8860000000000037</v>
      </c>
      <c r="E110" s="45">
        <f t="shared" ca="1" si="40"/>
        <v>0.136512840316664</v>
      </c>
      <c r="F110" s="45">
        <f t="shared" ca="1" si="32"/>
        <v>0.13708109673682234</v>
      </c>
      <c r="G110" s="45">
        <f t="shared" ca="1" si="33"/>
        <v>0.13594458389650588</v>
      </c>
      <c r="H110" s="45">
        <f t="shared" ca="1" si="34"/>
        <v>0.53596232573936664</v>
      </c>
      <c r="I110" s="45">
        <f t="shared" ca="1" si="37"/>
        <v>0.53588096522791051</v>
      </c>
      <c r="J110" s="45">
        <f t="shared" ca="1" si="35"/>
        <v>0.53579974967372579</v>
      </c>
      <c r="L110" s="58">
        <f ca="1">_xll.EURO(UnderlyingPrice,$D110,IntRate,Yield,$I110,$D$6,L$12,0)</f>
        <v>0.56620236302074556</v>
      </c>
      <c r="M110" s="58">
        <f ca="1">_xll.EURO(UnderlyingPrice,$D110,IntRate,Yield,$I110,$D$6,M$12,0)</f>
        <v>1.2559773014227598</v>
      </c>
      <c r="O110" s="58">
        <f ca="1">_xll.EURO(UnderlyingPrice,$D110*(1+$P$8),IntRate,Yield,$H110,Expiry-Today,O$12,0)</f>
        <v>0.56545885593383538</v>
      </c>
      <c r="P110" s="58">
        <f ca="1">_xll.EURO(UnderlyingPrice,$D110*(1+$P$8),IntRate,Yield,$H110,Expiry-Today,P$12,0)</f>
        <v>1.2581050922760437</v>
      </c>
      <c r="R110" s="58">
        <f ca="1">_xll.EURO(UnderlyingPrice,$D110*(1-$P$8),IntRate,Yield,$J110,Expiry-Today,R$12,0)</f>
        <v>0.56694728996412858</v>
      </c>
      <c r="S110" s="58">
        <f ca="1">_xll.EURO(UnderlyingPrice,$D110*(1-$P$8),IntRate,Yield,$J110,Expiry-Today,S$12,0)</f>
        <v>1.25385093042595</v>
      </c>
      <c r="U110" s="59">
        <f t="shared" ca="1" si="41"/>
        <v>0.1639320694786163</v>
      </c>
      <c r="V110" s="59"/>
      <c r="W110" s="62">
        <f t="shared" ca="1" si="36"/>
        <v>0.16802578155403125</v>
      </c>
      <c r="Z110" s="59">
        <f t="shared" ca="1" si="42"/>
        <v>0.17207666593340243</v>
      </c>
      <c r="AA110" s="59">
        <f t="shared" ca="1" si="43"/>
        <v>0.20553678133946121</v>
      </c>
      <c r="AB110" s="59">
        <f t="shared" ca="1" si="38"/>
        <v>-4.224536848338549E-2</v>
      </c>
      <c r="AC110" s="59">
        <f t="shared" ca="1" si="44"/>
        <v>-0.13614868668135527</v>
      </c>
      <c r="AD110" s="60">
        <f t="shared" ca="1" si="39"/>
        <v>0.87271286206215526</v>
      </c>
      <c r="AE110" s="60">
        <f t="shared" ca="1" si="45"/>
        <v>0.15017351962085301</v>
      </c>
      <c r="AF110" s="60"/>
      <c r="AG110" s="97">
        <f t="shared" ca="1" si="46"/>
        <v>0.5218212082339222</v>
      </c>
      <c r="AH110" s="97">
        <f t="shared" ca="1" si="47"/>
        <v>0.52309030175820748</v>
      </c>
      <c r="AI110" s="97">
        <f t="shared" ca="1" si="48"/>
        <v>0.52055148000417251</v>
      </c>
      <c r="AJ110" s="62"/>
      <c r="AK110" s="97">
        <f t="shared" ca="1" si="49"/>
        <v>0.38955068375919</v>
      </c>
      <c r="AL110" s="97"/>
      <c r="AM110" s="95"/>
      <c r="AN110" s="96"/>
      <c r="AX110" s="107">
        <f t="shared" ca="1" si="50"/>
        <v>0.49954284976789676</v>
      </c>
      <c r="AY110" s="107">
        <f t="shared" ca="1" si="51"/>
        <v>0.49958600751982357</v>
      </c>
      <c r="AZ110" s="107">
        <f t="shared" ca="1" si="52"/>
        <v>0.49949976770487609</v>
      </c>
      <c r="BB110" s="39">
        <f ca="1">_xll.EURO(UnderlyingPrice,$D110,IntRate,Yield,AX110,$D$6,1,0)</f>
        <v>0.51112980883930814</v>
      </c>
      <c r="BC110" s="39">
        <f ca="1">_xll.EURO(UnderlyingPrice,$D110*(1+$P$8),IntRate,Yield,AY110,$D$6,1,0)</f>
        <v>0.51033713313004991</v>
      </c>
      <c r="BD110" s="39">
        <f ca="1">_xll.EURO(UnderlyingPrice,$D110*(1-$P$8),IntRate,Yield,AZ110,$D$6,1,0)</f>
        <v>0.51192388971969538</v>
      </c>
      <c r="BF110" s="59">
        <f t="shared" ca="1" si="53"/>
        <v>0.16223654683172464</v>
      </c>
      <c r="BG110" s="39">
        <f t="shared" ca="1" si="54"/>
        <v>0.16628791831108786</v>
      </c>
      <c r="BI110" s="58">
        <f t="shared" ca="1" si="55"/>
        <v>-5.5072554181437416E-2</v>
      </c>
      <c r="BJ110" s="46">
        <f t="shared" ca="1" si="56"/>
        <v>-0.10774670784022193</v>
      </c>
    </row>
    <row r="111" spans="3:62" x14ac:dyDescent="0.2">
      <c r="C111" s="56">
        <v>98</v>
      </c>
      <c r="D111" s="63">
        <f t="shared" ca="1" si="57"/>
        <v>5.9240000000000039</v>
      </c>
      <c r="E111" s="45">
        <f t="shared" ca="1" si="40"/>
        <v>0.14385016412434903</v>
      </c>
      <c r="F111" s="45">
        <f t="shared" ca="1" si="32"/>
        <v>0.14442208920641098</v>
      </c>
      <c r="G111" s="45">
        <f t="shared" ca="1" si="33"/>
        <v>0.14327823904228709</v>
      </c>
      <c r="H111" s="45">
        <f t="shared" ca="1" si="34"/>
        <v>0.53702645319355702</v>
      </c>
      <c r="I111" s="45">
        <f t="shared" ca="1" si="37"/>
        <v>0.53694267433617426</v>
      </c>
      <c r="J111" s="45">
        <f t="shared" ca="1" si="35"/>
        <v>0.53685904359231007</v>
      </c>
      <c r="L111" s="58">
        <f ca="1">_xll.EURO(UnderlyingPrice,$D111,IntRate,Yield,$I111,$D$6,L$12,0)</f>
        <v>0.55671074482589389</v>
      </c>
      <c r="M111" s="58">
        <f ca="1">_xll.EURO(UnderlyingPrice,$D111,IntRate,Yield,$I111,$D$6,M$12,0)</f>
        <v>1.2835598666215109</v>
      </c>
      <c r="O111" s="58">
        <f ca="1">_xll.EURO(UnderlyingPrice,$D111*(1+$P$8),IntRate,Yield,$H111,Expiry-Today,O$12,0)</f>
        <v>0.55598072874935056</v>
      </c>
      <c r="P111" s="58">
        <f ca="1">_xll.EURO(UnderlyingPrice,$D111*(1+$P$8),IntRate,Yield,$H111,Expiry-Today,P$12,0)</f>
        <v>1.2857196855768573</v>
      </c>
      <c r="R111" s="58">
        <f ca="1">_xll.EURO(UnderlyingPrice,$D111*(1-$P$8),IntRate,Yield,$J111,Expiry-Today,R$12,0)</f>
        <v>0.55744217529336271</v>
      </c>
      <c r="S111" s="58">
        <f ca="1">_xll.EURO(UnderlyingPrice,$D111*(1-$P$8),IntRate,Yield,$J111,Expiry-Today,S$12,0)</f>
        <v>1.2814014620570897</v>
      </c>
      <c r="U111" s="59">
        <f t="shared" ca="1" si="41"/>
        <v>0.16121273760812263</v>
      </c>
      <c r="V111" s="59"/>
      <c r="W111" s="62">
        <f t="shared" ca="1" si="36"/>
        <v>0.16523854252082862</v>
      </c>
      <c r="Z111" s="59">
        <f t="shared" ca="1" si="42"/>
        <v>0.17097286557798896</v>
      </c>
      <c r="AA111" s="59">
        <f t="shared" ca="1" si="43"/>
        <v>0.21197202793373265</v>
      </c>
      <c r="AB111" s="59">
        <f t="shared" ca="1" si="38"/>
        <v>-4.4932140626339136E-2</v>
      </c>
      <c r="AC111" s="59">
        <f t="shared" ca="1" si="44"/>
        <v>-0.1448076358586847</v>
      </c>
      <c r="AD111" s="60">
        <f t="shared" ca="1" si="39"/>
        <v>0.86518870838702677</v>
      </c>
      <c r="AE111" s="60">
        <f t="shared" ca="1" si="45"/>
        <v>0.14792379273864903</v>
      </c>
      <c r="AF111" s="60"/>
      <c r="AG111" s="97">
        <f t="shared" ca="1" si="46"/>
        <v>0.53815915091854505</v>
      </c>
      <c r="AH111" s="97">
        <f t="shared" ca="1" si="47"/>
        <v>0.53942824444282966</v>
      </c>
      <c r="AI111" s="97">
        <f t="shared" ca="1" si="48"/>
        <v>0.53688942268879536</v>
      </c>
      <c r="AJ111" s="62"/>
      <c r="AK111" s="97">
        <f t="shared" ca="1" si="49"/>
        <v>0.38556197351701249</v>
      </c>
      <c r="AL111" s="97"/>
      <c r="AM111" s="95"/>
      <c r="AN111" s="96"/>
      <c r="AX111" s="107">
        <f t="shared" ca="1" si="50"/>
        <v>0.50010588277600776</v>
      </c>
      <c r="AY111" s="107">
        <f t="shared" ca="1" si="51"/>
        <v>0.50015029275522005</v>
      </c>
      <c r="AZ111" s="107">
        <f t="shared" ca="1" si="52"/>
        <v>0.50006154798394287</v>
      </c>
      <c r="BB111" s="39">
        <f ca="1">_xll.EURO(UnderlyingPrice,$D111,IntRate,Yield,AX111,$D$6,1,0)</f>
        <v>0.5010020950503411</v>
      </c>
      <c r="BC111" s="39">
        <f ca="1">_xll.EURO(UnderlyingPrice,$D111*(1+$P$8),IntRate,Yield,AY111,$D$6,1,0)</f>
        <v>0.50022237636611799</v>
      </c>
      <c r="BD111" s="39">
        <f ca="1">_xll.EURO(UnderlyingPrice,$D111*(1-$P$8),IntRate,Yield,AZ111,$D$6,1,0)</f>
        <v>0.50178320954152222</v>
      </c>
      <c r="BF111" s="59">
        <f t="shared" ca="1" si="53"/>
        <v>0.15909453095221823</v>
      </c>
      <c r="BG111" s="39">
        <f t="shared" ca="1" si="54"/>
        <v>0.16306744000267423</v>
      </c>
      <c r="BI111" s="58">
        <f t="shared" ca="1" si="55"/>
        <v>-5.5708649775552788E-2</v>
      </c>
      <c r="BJ111" s="46">
        <f t="shared" ca="1" si="56"/>
        <v>-0.1111944447456954</v>
      </c>
    </row>
    <row r="112" spans="3:62" x14ac:dyDescent="0.2">
      <c r="C112" s="56">
        <v>99</v>
      </c>
      <c r="D112" s="63">
        <f t="shared" ca="1" si="57"/>
        <v>5.9620000000000042</v>
      </c>
      <c r="E112" s="45">
        <f t="shared" ca="1" si="40"/>
        <v>0.15118748793203385</v>
      </c>
      <c r="F112" s="45">
        <f t="shared" ca="1" si="32"/>
        <v>0.15176308167599983</v>
      </c>
      <c r="G112" s="45">
        <f t="shared" ca="1" si="33"/>
        <v>0.15061189418806809</v>
      </c>
      <c r="H112" s="45">
        <f t="shared" ca="1" si="34"/>
        <v>0.53811499909723737</v>
      </c>
      <c r="I112" s="45">
        <f t="shared" ca="1" si="37"/>
        <v>0.5380287610914567</v>
      </c>
      <c r="J112" s="45">
        <f t="shared" ca="1" si="35"/>
        <v>0.53794267440043564</v>
      </c>
      <c r="L112" s="58">
        <f ca="1">_xll.EURO(UnderlyingPrice,$D112,IntRate,Yield,$I112,$D$6,L$12,0)</f>
        <v>0.5474519191085967</v>
      </c>
      <c r="M112" s="58">
        <f ca="1">_xll.EURO(UnderlyingPrice,$D112,IntRate,Yield,$I112,$D$6,M$12,0)</f>
        <v>1.3113752242978145</v>
      </c>
      <c r="O112" s="58">
        <f ca="1">_xll.EURO(UnderlyingPrice,$D112*(1+$P$8),IntRate,Yield,$H112,Expiry-Today,O$12,0)</f>
        <v>0.5467353211416548</v>
      </c>
      <c r="P112" s="58">
        <f ca="1">_xll.EURO(UnderlyingPrice,$D112*(1+$P$8),IntRate,Yield,$H112,Expiry-Today,P$12,0)</f>
        <v>1.3135669984544607</v>
      </c>
      <c r="R112" s="58">
        <f ca="1">_xll.EURO(UnderlyingPrice,$D112*(1-$P$8),IntRate,Yield,$J112,Expiry-Today,R$12,0)</f>
        <v>0.54816992560057476</v>
      </c>
      <c r="S112" s="58">
        <f ca="1">_xll.EURO(UnderlyingPrice,$D112*(1-$P$8),IntRate,Yield,$J112,Expiry-Today,S$12,0)</f>
        <v>1.3091848586662067</v>
      </c>
      <c r="U112" s="59">
        <f t="shared" ca="1" si="41"/>
        <v>0.15850414316520925</v>
      </c>
      <c r="V112" s="59"/>
      <c r="W112" s="62">
        <f t="shared" ca="1" si="36"/>
        <v>0.16246230905027642</v>
      </c>
      <c r="Z112" s="59">
        <f t="shared" ca="1" si="42"/>
        <v>0.16988313580744829</v>
      </c>
      <c r="AA112" s="59">
        <f t="shared" ca="1" si="43"/>
        <v>0.21836612678405995</v>
      </c>
      <c r="AB112" s="59">
        <f t="shared" ca="1" si="38"/>
        <v>-4.7683765326672144E-2</v>
      </c>
      <c r="AC112" s="59">
        <f t="shared" ca="1" si="44"/>
        <v>-0.15367559233863948</v>
      </c>
      <c r="AD112" s="60">
        <f t="shared" ca="1" si="39"/>
        <v>0.85755017173761749</v>
      </c>
      <c r="AE112" s="60">
        <f t="shared" ca="1" si="45"/>
        <v>0.14568331228700229</v>
      </c>
      <c r="AF112" s="60"/>
      <c r="AG112" s="97">
        <f t="shared" ca="1" si="46"/>
        <v>0.55439262682441848</v>
      </c>
      <c r="AH112" s="97">
        <f t="shared" ca="1" si="47"/>
        <v>0.55566172034870365</v>
      </c>
      <c r="AI112" s="97">
        <f t="shared" ca="1" si="48"/>
        <v>0.55312289859466879</v>
      </c>
      <c r="AJ112" s="62"/>
      <c r="AK112" s="97">
        <f t="shared" ca="1" si="49"/>
        <v>0.38151567159781374</v>
      </c>
      <c r="AL112" s="97"/>
      <c r="AM112" s="95"/>
      <c r="AN112" s="96"/>
      <c r="AX112" s="107">
        <f t="shared" ca="1" si="50"/>
        <v>0.50068129065546374</v>
      </c>
      <c r="AY112" s="107">
        <f t="shared" ca="1" si="51"/>
        <v>0.5007269462054067</v>
      </c>
      <c r="AZ112" s="107">
        <f t="shared" ca="1" si="52"/>
        <v>0.50063570975906568</v>
      </c>
      <c r="BB112" s="39">
        <f ca="1">_xll.EURO(UnderlyingPrice,$D112,IntRate,Yield,AX112,$D$6,1,0)</f>
        <v>0.49110411535878229</v>
      </c>
      <c r="BC112" s="39">
        <f ca="1">_xll.EURO(UnderlyingPrice,$D112*(1+$P$8),IntRate,Yield,AY112,$D$6,1,0)</f>
        <v>0.49033723026845499</v>
      </c>
      <c r="BD112" s="39">
        <f ca="1">_xll.EURO(UnderlyingPrice,$D112*(1-$P$8),IntRate,Yield,AZ112,$D$6,1,0)</f>
        <v>0.4918723864179122</v>
      </c>
      <c r="BF112" s="59">
        <f t="shared" ca="1" si="53"/>
        <v>0.15596584503083988</v>
      </c>
      <c r="BG112" s="39">
        <f t="shared" ca="1" si="54"/>
        <v>0.15986062452813848</v>
      </c>
      <c r="BI112" s="58">
        <f t="shared" ca="1" si="55"/>
        <v>-5.6347803749814407E-2</v>
      </c>
      <c r="BJ112" s="46">
        <f t="shared" ca="1" si="56"/>
        <v>-0.11473698140087629</v>
      </c>
    </row>
    <row r="113" spans="3:62" x14ac:dyDescent="0.2">
      <c r="C113" s="56">
        <v>100</v>
      </c>
      <c r="D113" s="63">
        <f t="shared" ca="1" si="57"/>
        <v>6.0000000000000044</v>
      </c>
      <c r="E113" s="45">
        <f t="shared" ca="1" si="40"/>
        <v>0.15852481173971888</v>
      </c>
      <c r="F113" s="45">
        <f t="shared" ca="1" si="32"/>
        <v>0.15910407414558869</v>
      </c>
      <c r="G113" s="45">
        <f t="shared" ca="1" si="33"/>
        <v>0.15794554933384908</v>
      </c>
      <c r="H113" s="45">
        <f t="shared" ca="1" si="34"/>
        <v>0.53922817419439129</v>
      </c>
      <c r="I113" s="45">
        <f t="shared" ca="1" si="37"/>
        <v>0.5391394359219418</v>
      </c>
      <c r="J113" s="45">
        <f t="shared" ca="1" si="35"/>
        <v>0.53905085221080151</v>
      </c>
      <c r="L113" s="58">
        <f ca="1">_xll.EURO(UnderlyingPrice,$D113,IntRate,Yield,$I113,$D$6,L$12,0)</f>
        <v>0.53842197492955823</v>
      </c>
      <c r="M113" s="58">
        <f ca="1">_xll.EURO(UnderlyingPrice,$D113,IntRate,Yield,$I113,$D$6,M$12,0)</f>
        <v>1.3394194635123782</v>
      </c>
      <c r="O113" s="58">
        <f ca="1">_xll.EURO(UnderlyingPrice,$D113*(1+$P$8),IntRate,Yield,$H113,Expiry-Today,O$12,0)</f>
        <v>0.53771871765557888</v>
      </c>
      <c r="P113" s="58">
        <f ca="1">_xll.EURO(UnderlyingPrice,$D113*(1+$P$8),IntRate,Yield,$H113,Expiry-Today,P$12,0)</f>
        <v>1.3416431154536839</v>
      </c>
      <c r="R113" s="58">
        <f ca="1">_xll.EURO(UnderlyingPrice,$D113*(1-$P$8),IntRate,Yield,$J113,Expiry-Today,R$12,0)</f>
        <v>0.53912663448047504</v>
      </c>
      <c r="S113" s="58">
        <f ca="1">_xll.EURO(UnderlyingPrice,$D113*(1-$P$8),IntRate,Yield,$J113,Expiry-Today,S$12,0)</f>
        <v>1.337197213848011</v>
      </c>
      <c r="U113" s="59">
        <f t="shared" ca="1" si="41"/>
        <v>0.15580854860629398</v>
      </c>
      <c r="V113" s="59"/>
      <c r="W113" s="62">
        <f ca="1">U113/$D$9</f>
        <v>0.15969940009686009</v>
      </c>
      <c r="Z113" s="59">
        <f t="shared" ca="1" si="42"/>
        <v>0.16880720928066775</v>
      </c>
      <c r="AA113" s="59">
        <f t="shared" ca="1" si="43"/>
        <v>0.22471960075623537</v>
      </c>
      <c r="AB113" s="59">
        <f t="shared" ca="1" si="38"/>
        <v>-5.0498898964041819E-2</v>
      </c>
      <c r="AC113" s="59">
        <f t="shared" ca="1" si="44"/>
        <v>-0.16274822589162</v>
      </c>
      <c r="AD113" s="60">
        <f t="shared" ca="1" si="39"/>
        <v>0.84980512040867928</v>
      </c>
      <c r="AE113" s="60">
        <f t="shared" ca="1" si="45"/>
        <v>0.14345323080861097</v>
      </c>
      <c r="AF113" s="60"/>
      <c r="AG113" s="97">
        <f t="shared" ca="1" si="46"/>
        <v>0.57052296341447983</v>
      </c>
      <c r="AH113" s="97">
        <f t="shared" ca="1" si="47"/>
        <v>0.57179205693876489</v>
      </c>
      <c r="AI113" s="97">
        <f t="shared" ca="1" si="48"/>
        <v>0.56925323518472981</v>
      </c>
      <c r="AJ113" s="62"/>
      <c r="AK113" s="97">
        <f t="shared" ca="1" si="49"/>
        <v>0.37741775256898208</v>
      </c>
      <c r="AL113" s="97"/>
      <c r="AM113" s="95"/>
      <c r="AN113" s="96"/>
      <c r="AX113" s="107">
        <f t="shared" ca="1" si="50"/>
        <v>0.50126882945319895</v>
      </c>
      <c r="AY113" s="107">
        <f t="shared" ca="1" si="51"/>
        <v>0.50131572355120568</v>
      </c>
      <c r="AZ113" s="107">
        <f t="shared" ca="1" si="52"/>
        <v>0.50122200944292583</v>
      </c>
      <c r="BB113" s="39">
        <f ca="1">_xll.EURO(UnderlyingPrice,$D113,IntRate,Yield,AX113,$D$6,1,0)</f>
        <v>0.48143135228332112</v>
      </c>
      <c r="BC113" s="39">
        <f ca="1">_xll.EURO(UnderlyingPrice,$D113*(1+$P$8),IntRate,Yield,AY113,$D$6,1,0)</f>
        <v>0.48067717225919337</v>
      </c>
      <c r="BD113" s="39">
        <f ca="1">_xll.EURO(UnderlyingPrice,$D113*(1-$P$8),IntRate,Yield,AZ113,$D$6,1,0)</f>
        <v>0.4821869079874801</v>
      </c>
      <c r="BF113" s="59">
        <f t="shared" ca="1" si="53"/>
        <v>0.15285333680263094</v>
      </c>
      <c r="BG113" s="39">
        <f t="shared" ca="1" si="54"/>
        <v>0.15667039073616909</v>
      </c>
      <c r="BI113" s="58">
        <f t="shared" ca="1" si="55"/>
        <v>-5.699062264623711E-2</v>
      </c>
      <c r="BJ113" s="46">
        <f t="shared" ca="1" si="56"/>
        <v>-0.11837746415131326</v>
      </c>
    </row>
    <row r="114" spans="3:62" x14ac:dyDescent="0.2">
      <c r="C114" s="98" t="s">
        <v>95</v>
      </c>
      <c r="D114" s="63">
        <f ca="1">MinStrike</f>
        <v>2.2000000000000002</v>
      </c>
      <c r="E114" s="45">
        <f t="shared" ca="1" si="40"/>
        <v>-0.57520756902877002</v>
      </c>
      <c r="F114" s="45">
        <f t="shared" ref="F114:F164" ca="1" si="58">+D114*(1+$P$8)/UnderlyingPrice-1</f>
        <v>-0.57499517281328438</v>
      </c>
      <c r="G114" s="45">
        <f t="shared" ref="G114:G164" ca="1" si="59">+D114*(1-$P$8)/UnderlyingPrice-1</f>
        <v>-0.57541996524425565</v>
      </c>
      <c r="H114" s="45">
        <f t="shared" ref="H114:H164" ca="1" si="60">OFFSET(VolSkewCoef,0,impvol_order-2)+OFFSET(VolSkewCoef,1,impvol_order-2)*F114+OFFSET(VolSkewCoef,2,impvol_order-2)*F114^2+IF(impvol_order&gt;2,OFFSET(VolSkewCoef,3,impvol_order-2)*F114^3,0)+IF(impvol_order&gt;3,OFFSET(VolSkewCoef,4,impvol_order-2)*F114^4,0)+IF(impvol_order&gt;4,OFFSET(VolSkewCoef,5,impvol_order-2)*F114^5,0)</f>
        <v>0.51574787002033406</v>
      </c>
      <c r="I114" s="45">
        <f t="shared" ref="I114:I164" ca="1" si="61">OFFSET(VolSkewCoef,0,impvol_order-2)+OFFSET(VolSkewCoef,1,impvol_order-2)*E114+OFFSET(VolSkewCoef,2,impvol_order-2)*E114^2+IF(impvol_order&gt;2,OFFSET(VolSkewCoef,3,impvol_order-2)*E114^3,0)+IF(impvol_order&gt;3,OFFSET(VolSkewCoef,4,impvol_order-2)*E114^4,0)+IF(impvol_order&gt;4,OFFSET(VolSkewCoef,5,impvol_order-2)*E114^5,0)</f>
        <v>0.51575668785255746</v>
      </c>
      <c r="J114" s="45">
        <f t="shared" ref="J114:J164" ca="1" si="62">OFFSET(VolSkewCoef,0,impvol_order-2)+OFFSET(VolSkewCoef,1,impvol_order-2)*G114+OFFSET(VolSkewCoef,2,impvol_order-2)*G114^2+IF(impvol_order&gt;2,OFFSET(VolSkewCoef,3,impvol_order-2)*G114^3,0)+IF(impvol_order&gt;3,OFFSET(VolSkewCoef,4,impvol_order-2)*G114^4,0)+IF(impvol_order&gt;4,OFFSET(VolSkewCoef,5,impvol_order-2)*G114^5,0)</f>
        <v>0.51576550883185768</v>
      </c>
      <c r="L114" s="58"/>
      <c r="M114" s="58"/>
      <c r="O114" s="58"/>
      <c r="P114" s="58"/>
      <c r="R114" s="59">
        <f ca="1">(1/($D114*SQRT(2*PI()*T/365.25*$I$114^2)))</f>
        <v>0.46369026882442665</v>
      </c>
      <c r="S114" s="59">
        <f ca="1">LN($D114/UnderlyingPrice)+0.5*T/365.25*$I$114^2</f>
        <v>-0.77968502841413789</v>
      </c>
      <c r="T114" s="59">
        <f t="shared" ref="T114:T164" ca="1" si="63">-(S114^2)</f>
        <v>-0.60790874353315505</v>
      </c>
      <c r="U114" s="59">
        <f ca="1">T114/(2*T/365.25*$I$114^2)</f>
        <v>-1.9874196875592474</v>
      </c>
      <c r="V114" s="59"/>
      <c r="W114" s="105">
        <f ca="1">(Alpha1*R114)*EXP(Gamma2^2*U114)</f>
        <v>5.9787750502843136E-2</v>
      </c>
      <c r="Z114" s="59">
        <f ca="1">(1/($D114*SQRT(2*PI()*T/365.25*ATMImpVol^2)))</f>
        <v>0.46038329803818506</v>
      </c>
      <c r="AA114" s="59">
        <f ca="1">LN($D114/UnderlyingPrice)+0.5*T/365.25*ATMImpVol^2</f>
        <v>-0.77858250810755014</v>
      </c>
      <c r="AB114" s="59">
        <f t="shared" ca="1" si="38"/>
        <v>-0.6061907219310434</v>
      </c>
      <c r="AC114" s="59">
        <f t="shared" ca="1" si="44"/>
        <v>-1.9536359518746507</v>
      </c>
      <c r="AD114" s="60">
        <f t="shared" ca="1" si="39"/>
        <v>0.14175770921245076</v>
      </c>
      <c r="AE114" s="60">
        <f t="shared" ca="1" si="45"/>
        <v>6.5262881689566093E-2</v>
      </c>
      <c r="AF114" s="60"/>
      <c r="AG114" s="97">
        <f ca="1">MinStandard</f>
        <v>-1.976682044171318</v>
      </c>
      <c r="AH114" s="97">
        <f t="shared" ca="1" si="47"/>
        <v>-1.9754129506470324</v>
      </c>
      <c r="AI114" s="97">
        <f t="shared" ca="1" si="48"/>
        <v>-1.977951772401068</v>
      </c>
      <c r="AJ114" s="62"/>
      <c r="AK114" s="97">
        <f t="shared" ca="1" si="49"/>
        <v>5.1808698620599836E-2</v>
      </c>
      <c r="AL114" s="62"/>
      <c r="AM114" s="95"/>
      <c r="AN114" s="96"/>
      <c r="AX114" s="107">
        <f t="shared" ca="1" si="50"/>
        <v>0.54201020586795889</v>
      </c>
      <c r="AY114" s="107">
        <f t="shared" ca="1" si="51"/>
        <v>0.54195768336304695</v>
      </c>
      <c r="AZ114" s="107">
        <f t="shared" ca="1" si="52"/>
        <v>0.54206275877560561</v>
      </c>
      <c r="BB114" s="39">
        <f ca="1">_xll.EURO(UnderlyingPrice,$D114,IntRate,Yield,AX114,$D$6,1,0)</f>
        <v>2.9154376809341214</v>
      </c>
      <c r="BC114" s="39">
        <f ca="1">_xll.EURO(UnderlyingPrice,$D114*(1+$P$8),IntRate,Yield,AY114,$D$6,1,0)</f>
        <v>2.9143910837447762</v>
      </c>
      <c r="BD114" s="39">
        <f ca="1">_xll.EURO(UnderlyingPrice,$D114*(1-$P$8),IntRate,Yield,AZ114,$D$6,1,0)</f>
        <v>2.9164843407165648</v>
      </c>
      <c r="BF114" s="59">
        <f t="shared" ca="1" si="53"/>
        <v>5.1729833639798044E-2</v>
      </c>
      <c r="BG114" s="39">
        <f t="shared" ca="1" si="54"/>
        <v>5.3021631183158356E-2</v>
      </c>
      <c r="BI114" s="58"/>
    </row>
    <row r="115" spans="3:62" x14ac:dyDescent="0.2">
      <c r="C115" s="98">
        <v>1</v>
      </c>
      <c r="D115" s="63">
        <f ca="1">+D114-LTFactor*(ROUNDUP(MAX(StrikeRange),1)-ROUNDDOWN(MIN(StrikeRange),1))/100</f>
        <v>2.1620000000000004</v>
      </c>
      <c r="E115" s="45">
        <f t="shared" ca="1" si="40"/>
        <v>-0.58254489283645494</v>
      </c>
      <c r="F115" s="45">
        <f t="shared" ca="1" si="58"/>
        <v>-0.58233616528287313</v>
      </c>
      <c r="G115" s="45">
        <f t="shared" ca="1" si="59"/>
        <v>-0.58275362039003653</v>
      </c>
      <c r="H115" s="45">
        <f t="shared" ca="1" si="60"/>
        <v>0.51605443155157593</v>
      </c>
      <c r="I115" s="45">
        <f t="shared" ca="1" si="61"/>
        <v>0.51606320103396341</v>
      </c>
      <c r="J115" s="45">
        <f t="shared" ca="1" si="62"/>
        <v>0.51607197338535971</v>
      </c>
      <c r="L115" s="58"/>
      <c r="M115" s="58"/>
      <c r="O115" s="58"/>
      <c r="P115" s="58"/>
      <c r="R115" s="59">
        <f t="shared" ref="R115:R139" ca="1" si="64">(1/($D115*SQRT(2*PI()*T/365.25*$I$114^2)))</f>
        <v>0.47184023654659507</v>
      </c>
      <c r="S115" s="59">
        <f t="shared" ref="S115:S139" ca="1" si="65">LN($D115/UnderlyingPrice)+0.5*T/365.25*$I$114^2</f>
        <v>-0.79710866956139148</v>
      </c>
      <c r="T115" s="59">
        <f t="shared" ca="1" si="63"/>
        <v>-0.63538223108993164</v>
      </c>
      <c r="U115" s="59">
        <f t="shared" ref="U115:U139" ca="1" si="66">T115/(2*T/365.25*$I$114^2)</f>
        <v>-2.0772380207171319</v>
      </c>
      <c r="V115" s="59"/>
      <c r="W115" s="105">
        <f t="shared" ref="W115:W139" ca="1" si="67">(Alpha1*R115)*EXP(Gamma2^2*U115)</f>
        <v>5.3116767985786309E-2</v>
      </c>
      <c r="Z115" s="59">
        <f t="shared" ref="Z115:Z164" ca="1" si="68">(1/(D115*SQRT(2*PI()*T/365.25*ATMImpVol^2)))</f>
        <v>0.46847514138945756</v>
      </c>
      <c r="AA115" s="59">
        <f t="shared" ref="AA115:AA164" ca="1" si="69">LN(D115/UnderlyingPrice)+0.5*T/365.25*ATMImpVol^2</f>
        <v>-0.79600614925480373</v>
      </c>
      <c r="AB115" s="59">
        <f t="shared" ca="1" si="38"/>
        <v>-0.63362578965146088</v>
      </c>
      <c r="AC115" s="59">
        <f t="shared" ca="1" si="44"/>
        <v>-2.0420538914795072</v>
      </c>
      <c r="AD115" s="60">
        <f t="shared" ca="1" si="39"/>
        <v>0.12976192009051188</v>
      </c>
      <c r="AE115" s="60">
        <f t="shared" ca="1" si="45"/>
        <v>6.0790233861370044E-2</v>
      </c>
      <c r="AF115" s="60"/>
      <c r="AG115" s="93">
        <f ca="1">AG114-LTFactor*(MaxStandard-MinStandard)/100</f>
        <v>-2.0021540942471758</v>
      </c>
      <c r="AH115" s="97">
        <f t="shared" ca="1" si="47"/>
        <v>-2.0196484661398921</v>
      </c>
      <c r="AI115" s="97">
        <f t="shared" ca="1" si="48"/>
        <v>-2.0221872878939267</v>
      </c>
      <c r="AJ115" s="62"/>
      <c r="AK115" s="97">
        <f t="shared" ca="1" si="49"/>
        <v>4.5232971634490061E-2</v>
      </c>
      <c r="AL115" s="62"/>
      <c r="AM115" s="95"/>
      <c r="AN115" s="96"/>
      <c r="AX115" s="107">
        <f t="shared" ca="1" si="50"/>
        <v>0.54384332657281576</v>
      </c>
      <c r="AY115" s="107">
        <f t="shared" ca="1" si="51"/>
        <v>0.54379067551045235</v>
      </c>
      <c r="AZ115" s="107">
        <f t="shared" ca="1" si="52"/>
        <v>0.54389600719412778</v>
      </c>
      <c r="BB115" s="39">
        <f ca="1">_xll.EURO(UnderlyingPrice,$D115,IntRate,Yield,AX115,$D$6,1,0)</f>
        <v>2.9516305477182194</v>
      </c>
      <c r="BC115" s="39">
        <f ca="1">_xll.EURO(UnderlyingPrice,$D115*(1+$P$8),IntRate,Yield,AY115,$D$6,1,0)</f>
        <v>2.9505999637759497</v>
      </c>
      <c r="BD115" s="39">
        <f ca="1">_xll.EURO(UnderlyingPrice,$D115*(1-$P$8),IntRate,Yield,AZ115,$D$6,1,0)</f>
        <v>2.9526611885508736</v>
      </c>
      <c r="BF115" s="59">
        <f t="shared" ca="1" si="53"/>
        <v>4.8684137881944818E-2</v>
      </c>
      <c r="BG115" s="39">
        <f t="shared" ca="1" si="54"/>
        <v>4.989987830273223E-2</v>
      </c>
      <c r="BI115" s="58"/>
    </row>
    <row r="116" spans="3:62" x14ac:dyDescent="0.2">
      <c r="C116" s="98"/>
      <c r="D116" s="63">
        <f t="shared" ref="D116:D139" ca="1" si="70">+D115-LTFactor*(ROUNDUP(MAX(StrikeRange),1)-ROUNDDOWN(MIN(StrikeRange),1))/100</f>
        <v>2.1240000000000006</v>
      </c>
      <c r="E116" s="45">
        <f t="shared" ca="1" si="40"/>
        <v>-0.58988221664413976</v>
      </c>
      <c r="F116" s="45">
        <f t="shared" ca="1" si="58"/>
        <v>-0.58967715775246177</v>
      </c>
      <c r="G116" s="45">
        <f t="shared" ca="1" si="59"/>
        <v>-0.59008727553581752</v>
      </c>
      <c r="H116" s="45">
        <f t="shared" ca="1" si="60"/>
        <v>0.51636454787792863</v>
      </c>
      <c r="I116" s="45">
        <f t="shared" ca="1" si="61"/>
        <v>0.51637325947222124</v>
      </c>
      <c r="J116" s="45">
        <f t="shared" ca="1" si="62"/>
        <v>0.51638197367119965</v>
      </c>
      <c r="L116" s="58"/>
      <c r="M116" s="58"/>
      <c r="O116" s="58"/>
      <c r="P116" s="58"/>
      <c r="R116" s="59">
        <f t="shared" ca="1" si="64"/>
        <v>0.4802818226995002</v>
      </c>
      <c r="S116" s="59">
        <f t="shared" ca="1" si="65"/>
        <v>-0.81484128539871548</v>
      </c>
      <c r="T116" s="59">
        <f t="shared" ca="1" si="63"/>
        <v>-0.66396632039023085</v>
      </c>
      <c r="U116" s="59">
        <f t="shared" ca="1" si="66"/>
        <v>-2.1706872142526543</v>
      </c>
      <c r="V116" s="59"/>
      <c r="W116" s="105">
        <f t="shared" ca="1" si="67"/>
        <v>4.6946403833682142E-2</v>
      </c>
      <c r="Z116" s="59">
        <f t="shared" ca="1" si="68"/>
        <v>0.47685652339171714</v>
      </c>
      <c r="AA116" s="59">
        <f t="shared" ca="1" si="69"/>
        <v>-0.81373876509212772</v>
      </c>
      <c r="AB116" s="59">
        <f t="shared" ca="1" si="38"/>
        <v>-0.66217077781366107</v>
      </c>
      <c r="AC116" s="59">
        <f t="shared" ca="1" si="44"/>
        <v>-2.1340488909111452</v>
      </c>
      <c r="AD116" s="60">
        <f t="shared" ca="1" si="39"/>
        <v>0.11835710738074119</v>
      </c>
      <c r="AE116" s="60">
        <f t="shared" ca="1" si="45"/>
        <v>5.6439358744280389E-2</v>
      </c>
      <c r="AF116" s="60"/>
      <c r="AG116" s="93">
        <f t="shared" ref="AG116:AG139" ca="1" si="71">AG115-LTFactor*(MaxStandard-MinStandard)/100</f>
        <v>-2.0276261443230337</v>
      </c>
      <c r="AH116" s="97">
        <f t="shared" ca="1" si="47"/>
        <v>-2.064668413231979</v>
      </c>
      <c r="AI116" s="97">
        <f t="shared" ca="1" si="48"/>
        <v>-2.067207234986014</v>
      </c>
      <c r="AJ116" s="62"/>
      <c r="AK116" s="97">
        <f t="shared" ca="1" si="49"/>
        <v>3.9275763091388499E-2</v>
      </c>
      <c r="AL116" s="62"/>
      <c r="AM116" s="95"/>
      <c r="AN116" s="96"/>
      <c r="AX116" s="107">
        <f t="shared" ca="1" si="50"/>
        <v>0.54571297350251069</v>
      </c>
      <c r="AY116" s="107">
        <f t="shared" ca="1" si="51"/>
        <v>0.54566022347128784</v>
      </c>
      <c r="AZ116" s="107">
        <f t="shared" ca="1" si="52"/>
        <v>0.54576575225327928</v>
      </c>
      <c r="BB116" s="39">
        <f ca="1">_xll.EURO(UnderlyingPrice,$D116,IntRate,Yield,AX116,$D$6,1,0)</f>
        <v>2.9878937275505222</v>
      </c>
      <c r="BC116" s="39">
        <f ca="1">_xll.EURO(UnderlyingPrice,$D116*(1+$P$8),IntRate,Yield,AY116,$D$6,1,0)</f>
        <v>2.9868793502522237</v>
      </c>
      <c r="BD116" s="39">
        <f ca="1">_xll.EURO(UnderlyingPrice,$D116*(1-$P$8),IntRate,Yield,AZ116,$D$6,1,0)</f>
        <v>2.9889081564452282</v>
      </c>
      <c r="BF116" s="59">
        <f t="shared" ca="1" si="53"/>
        <v>4.5747823311541098E-2</v>
      </c>
      <c r="BG116" s="39">
        <f t="shared" ca="1" si="54"/>
        <v>4.6890238077059783E-2</v>
      </c>
      <c r="BI116" s="58"/>
    </row>
    <row r="117" spans="3:62" x14ac:dyDescent="0.2">
      <c r="C117" s="98"/>
      <c r="D117" s="63">
        <f t="shared" ca="1" si="70"/>
        <v>2.0860000000000007</v>
      </c>
      <c r="E117" s="45">
        <f t="shared" ca="1" si="40"/>
        <v>-0.59721954045182457</v>
      </c>
      <c r="F117" s="45">
        <f t="shared" ca="1" si="58"/>
        <v>-0.59701815022205051</v>
      </c>
      <c r="G117" s="45">
        <f t="shared" ca="1" si="59"/>
        <v>-0.59742093068159852</v>
      </c>
      <c r="H117" s="45">
        <f t="shared" ca="1" si="60"/>
        <v>0.51667800825540844</v>
      </c>
      <c r="I117" s="45">
        <f t="shared" ca="1" si="61"/>
        <v>0.51668665273914738</v>
      </c>
      <c r="J117" s="45">
        <f t="shared" ca="1" si="62"/>
        <v>0.51669529957667859</v>
      </c>
      <c r="L117" s="58"/>
      <c r="M117" s="58"/>
      <c r="O117" s="58"/>
      <c r="P117" s="58"/>
      <c r="R117" s="59">
        <f t="shared" ca="1" si="64"/>
        <v>0.4890309642443616</v>
      </c>
      <c r="S117" s="59">
        <f t="shared" ca="1" si="65"/>
        <v>-0.83289403219982705</v>
      </c>
      <c r="T117" s="59">
        <f t="shared" ca="1" si="63"/>
        <v>-0.69371246887408655</v>
      </c>
      <c r="U117" s="59">
        <f t="shared" ca="1" si="66"/>
        <v>-2.2679354965890495</v>
      </c>
      <c r="V117" s="59"/>
      <c r="W117" s="105">
        <f t="shared" ca="1" si="67"/>
        <v>4.1268503160298509E-2</v>
      </c>
      <c r="Z117" s="59">
        <f t="shared" ca="1" si="68"/>
        <v>0.48554326734612036</v>
      </c>
      <c r="AA117" s="59">
        <f t="shared" ca="1" si="69"/>
        <v>-0.8317915118932393</v>
      </c>
      <c r="AB117" s="59">
        <f t="shared" ca="1" si="38"/>
        <v>-0.69187711925764084</v>
      </c>
      <c r="AC117" s="59">
        <f t="shared" ca="1" si="44"/>
        <v>-2.2297867083075396</v>
      </c>
      <c r="AD117" s="60">
        <f t="shared" ca="1" si="39"/>
        <v>0.10755136750273418</v>
      </c>
      <c r="AE117" s="60">
        <f t="shared" ca="1" si="45"/>
        <v>5.2220842384820901E-2</v>
      </c>
      <c r="AF117" s="60"/>
      <c r="AG117" s="93">
        <f t="shared" ca="1" si="71"/>
        <v>-2.0530981943988915</v>
      </c>
      <c r="AH117" s="97">
        <f t="shared" ca="1" si="47"/>
        <v>-2.1105011157113407</v>
      </c>
      <c r="AI117" s="97">
        <f t="shared" ca="1" si="48"/>
        <v>-2.1130399374653757</v>
      </c>
      <c r="AJ117" s="62"/>
      <c r="AK117" s="97">
        <f t="shared" ca="1" si="49"/>
        <v>3.3907893476793072E-2</v>
      </c>
      <c r="AL117" s="62"/>
      <c r="AM117" s="95"/>
      <c r="AN117" s="96"/>
      <c r="AX117" s="107">
        <f t="shared" ca="1" si="50"/>
        <v>0.547619390610109</v>
      </c>
      <c r="AY117" s="107">
        <f t="shared" ca="1" si="51"/>
        <v>0.54756657156473187</v>
      </c>
      <c r="AZ117" s="107">
        <f t="shared" ca="1" si="52"/>
        <v>0.54767223754037919</v>
      </c>
      <c r="BB117" s="39">
        <f ca="1">_xll.EURO(UnderlyingPrice,$D117,IntRate,Yield,AX117,$D$6,1,0)</f>
        <v>3.0242229804340353</v>
      </c>
      <c r="BC117" s="39">
        <f ca="1">_xll.EURO(UnderlyingPrice,$D117*(1+$P$8),IntRate,Yield,AY117,$D$6,1,0)</f>
        <v>3.0232249923452801</v>
      </c>
      <c r="BD117" s="39">
        <f ca="1">_xll.EURO(UnderlyingPrice,$D117*(1-$P$8),IntRate,Yield,AZ117,$D$6,1,0)</f>
        <v>3.0252210152146075</v>
      </c>
      <c r="BF117" s="59">
        <f t="shared" ca="1" si="53"/>
        <v>4.292122954132651E-2</v>
      </c>
      <c r="BG117" s="39">
        <f t="shared" ca="1" si="54"/>
        <v>4.3993058599690868E-2</v>
      </c>
      <c r="BI117" s="58"/>
    </row>
    <row r="118" spans="3:62" x14ac:dyDescent="0.2">
      <c r="C118" s="98"/>
      <c r="D118" s="63">
        <f t="shared" ca="1" si="70"/>
        <v>2.0480000000000009</v>
      </c>
      <c r="E118" s="45">
        <f t="shared" ca="1" si="40"/>
        <v>-0.60455686425950939</v>
      </c>
      <c r="F118" s="45">
        <f t="shared" ca="1" si="58"/>
        <v>-0.60435914269163926</v>
      </c>
      <c r="G118" s="45">
        <f t="shared" ca="1" si="59"/>
        <v>-0.60475458582737951</v>
      </c>
      <c r="H118" s="45">
        <f t="shared" ca="1" si="60"/>
        <v>0.51699460194003177</v>
      </c>
      <c r="I118" s="45">
        <f t="shared" ca="1" si="61"/>
        <v>0.51700317040655852</v>
      </c>
      <c r="J118" s="45">
        <f t="shared" ca="1" si="62"/>
        <v>0.5170117409890973</v>
      </c>
      <c r="L118" s="58"/>
      <c r="M118" s="58"/>
      <c r="O118" s="58"/>
      <c r="P118" s="58"/>
      <c r="R118" s="59">
        <f t="shared" ca="1" si="64"/>
        <v>0.49810478096373934</v>
      </c>
      <c r="S118" s="59">
        <f t="shared" ca="1" si="65"/>
        <v>-0.85127868160114628</v>
      </c>
      <c r="T118" s="59">
        <f t="shared" ca="1" si="63"/>
        <v>-0.72467539374858581</v>
      </c>
      <c r="U118" s="59">
        <f t="shared" ca="1" si="66"/>
        <v>-2.3691617532182101</v>
      </c>
      <c r="V118" s="59"/>
      <c r="W118" s="105">
        <f t="shared" ca="1" si="67"/>
        <v>3.6071857935158623E-2</v>
      </c>
      <c r="Z118" s="59">
        <f t="shared" ca="1" si="68"/>
        <v>0.49455237093945648</v>
      </c>
      <c r="AA118" s="59">
        <f t="shared" ca="1" si="69"/>
        <v>-0.85017616129455853</v>
      </c>
      <c r="AB118" s="59">
        <f t="shared" ca="1" si="38"/>
        <v>-0.72279950523355119</v>
      </c>
      <c r="AC118" s="59">
        <f t="shared" ca="1" si="44"/>
        <v>-2.3294436030350623</v>
      </c>
      <c r="AD118" s="60">
        <f t="shared" ca="1" si="39"/>
        <v>9.7349897210999375E-2</v>
      </c>
      <c r="AE118" s="60">
        <f t="shared" ca="1" si="45"/>
        <v>4.8144622476412123E-2</v>
      </c>
      <c r="AF118" s="60"/>
      <c r="AG118" s="93">
        <f t="shared" ca="1" si="71"/>
        <v>-2.0785702444747494</v>
      </c>
      <c r="AH118" s="97">
        <f t="shared" ca="1" si="47"/>
        <v>-2.1571764596621104</v>
      </c>
      <c r="AI118" s="97">
        <f t="shared" ca="1" si="48"/>
        <v>-2.1597152814161449</v>
      </c>
      <c r="AJ118" s="62"/>
      <c r="AK118" s="97">
        <f t="shared" ca="1" si="49"/>
        <v>2.9098208621305299E-2</v>
      </c>
      <c r="AL118" s="62"/>
      <c r="AM118" s="95"/>
      <c r="AN118" s="96"/>
      <c r="AX118" s="107">
        <f t="shared" ca="1" si="50"/>
        <v>0.54956282184867689</v>
      </c>
      <c r="AY118" s="107">
        <f t="shared" ca="1" si="51"/>
        <v>0.54950996410996233</v>
      </c>
      <c r="AZ118" s="107">
        <f t="shared" ca="1" si="52"/>
        <v>0.54961570664274639</v>
      </c>
      <c r="BB118" s="39">
        <f ca="1">_xll.EURO(UnderlyingPrice,$D118,IntRate,Yield,AX118,$D$6,1,0)</f>
        <v>3.060614224772026</v>
      </c>
      <c r="BC118" s="39">
        <f ca="1">_xll.EURO(UnderlyingPrice,$D118*(1+$P$8),IntRate,Yield,AY118,$D$6,1,0)</f>
        <v>3.0596327979365388</v>
      </c>
      <c r="BD118" s="39">
        <f ca="1">_xll.EURO(UnderlyingPrice,$D118*(1-$P$8),IntRate,Yield,AZ118,$D$6,1,0)</f>
        <v>3.0615956937648634</v>
      </c>
      <c r="BF118" s="59">
        <f t="shared" ca="1" si="53"/>
        <v>4.0204381571975652E-2</v>
      </c>
      <c r="BG118" s="39">
        <f t="shared" ca="1" si="54"/>
        <v>4.1208365495617003E-2</v>
      </c>
      <c r="BI118" s="58"/>
    </row>
    <row r="119" spans="3:62" x14ac:dyDescent="0.2">
      <c r="C119" s="98"/>
      <c r="D119" s="63">
        <f t="shared" ca="1" si="70"/>
        <v>2.0100000000000011</v>
      </c>
      <c r="E119" s="45">
        <f t="shared" ca="1" si="40"/>
        <v>-0.6118941880671942</v>
      </c>
      <c r="F119" s="45">
        <f t="shared" ca="1" si="58"/>
        <v>-0.6117001351612279</v>
      </c>
      <c r="G119" s="45">
        <f t="shared" ca="1" si="59"/>
        <v>-0.61208824097316061</v>
      </c>
      <c r="H119" s="45">
        <f t="shared" ca="1" si="60"/>
        <v>0.51731411818781503</v>
      </c>
      <c r="I119" s="45">
        <f t="shared" ca="1" si="61"/>
        <v>0.51732260204627112</v>
      </c>
      <c r="J119" s="45">
        <f t="shared" ca="1" si="62"/>
        <v>0.51733108779575698</v>
      </c>
      <c r="L119" s="58"/>
      <c r="M119" s="58"/>
      <c r="O119" s="58"/>
      <c r="P119" s="58"/>
      <c r="R119" s="59">
        <f t="shared" ca="1" si="64"/>
        <v>0.5075216872705165</v>
      </c>
      <c r="S119" s="59">
        <f t="shared" ca="1" si="65"/>
        <v>-0.87000766670742324</v>
      </c>
      <c r="T119" s="59">
        <f t="shared" ca="1" si="63"/>
        <v>-0.7569133401296948</v>
      </c>
      <c r="U119" s="59">
        <f t="shared" ca="1" si="66"/>
        <v>-2.4745564033295406</v>
      </c>
      <c r="V119" s="59"/>
      <c r="W119" s="105">
        <f t="shared" ca="1" si="67"/>
        <v>3.1342392353373667E-2</v>
      </c>
      <c r="Z119" s="59">
        <f t="shared" ca="1" si="68"/>
        <v>0.50390211725572476</v>
      </c>
      <c r="AA119" s="59">
        <f t="shared" ca="1" si="69"/>
        <v>-0.86890514640083549</v>
      </c>
      <c r="AB119" s="59">
        <f t="shared" ca="1" si="38"/>
        <v>-0.75499615344185733</v>
      </c>
      <c r="AC119" s="59">
        <f t="shared" ca="1" si="44"/>
        <v>-2.4332071995302962</v>
      </c>
      <c r="AD119" s="60">
        <f t="shared" ca="1" si="39"/>
        <v>8.7754933189703233E-2</v>
      </c>
      <c r="AE119" s="60">
        <f t="shared" ca="1" si="45"/>
        <v>4.4219896633926128E-2</v>
      </c>
      <c r="AF119" s="60"/>
      <c r="AG119" s="93">
        <f t="shared" ca="1" si="71"/>
        <v>-2.1040422945506072</v>
      </c>
      <c r="AH119" s="97">
        <f t="shared" ca="1" si="47"/>
        <v>-2.2047260105184669</v>
      </c>
      <c r="AI119" s="97">
        <f t="shared" ca="1" si="48"/>
        <v>-2.2072648322725019</v>
      </c>
      <c r="AJ119" s="62"/>
      <c r="AK119" s="97">
        <f t="shared" ca="1" si="49"/>
        <v>2.4813954949833541E-2</v>
      </c>
      <c r="AL119" s="62"/>
      <c r="AM119" s="95"/>
      <c r="AN119" s="96"/>
      <c r="AX119" s="107">
        <f t="shared" ca="1" si="50"/>
        <v>0.55154351117127942</v>
      </c>
      <c r="AY119" s="107">
        <f t="shared" ca="1" si="51"/>
        <v>0.55149064542615744</v>
      </c>
      <c r="AZ119" s="107">
        <f t="shared" ca="1" si="52"/>
        <v>0.55159640314769964</v>
      </c>
      <c r="BB119" s="39">
        <f ca="1">_xll.EURO(UnderlyingPrice,$D119,IntRate,Yield,AX119,$D$6,1,0)</f>
        <v>3.0970635374032653</v>
      </c>
      <c r="BC119" s="39">
        <f ca="1">_xll.EURO(UnderlyingPrice,$D119*(1+$P$8),IntRate,Yield,AY119,$D$6,1,0)</f>
        <v>3.096098833664926</v>
      </c>
      <c r="BD119" s="39">
        <f ca="1">_xll.EURO(UnderlyingPrice,$D119*(1-$P$8),IntRate,Yield,AZ119,$D$6,1,0)</f>
        <v>3.0980282791155154</v>
      </c>
      <c r="BF119" s="59">
        <f t="shared" ca="1" si="53"/>
        <v>3.7597000310408253E-2</v>
      </c>
      <c r="BG119" s="39">
        <f t="shared" ca="1" si="54"/>
        <v>3.8535872702244768E-2</v>
      </c>
      <c r="BI119" s="58"/>
    </row>
    <row r="120" spans="3:62" x14ac:dyDescent="0.2">
      <c r="C120" s="98"/>
      <c r="D120" s="63">
        <f t="shared" ca="1" si="70"/>
        <v>1.9720000000000011</v>
      </c>
      <c r="E120" s="45">
        <f t="shared" ca="1" si="40"/>
        <v>-0.61923151187487913</v>
      </c>
      <c r="F120" s="45">
        <f t="shared" ca="1" si="58"/>
        <v>-0.61904112763081653</v>
      </c>
      <c r="G120" s="45">
        <f t="shared" ca="1" si="59"/>
        <v>-0.61942189611894172</v>
      </c>
      <c r="H120" s="45">
        <f t="shared" ca="1" si="60"/>
        <v>0.51763634625477462</v>
      </c>
      <c r="I120" s="45">
        <f t="shared" ca="1" si="61"/>
        <v>0.51764473723010151</v>
      </c>
      <c r="J120" s="45">
        <f t="shared" ca="1" si="62"/>
        <v>0.51765312988395862</v>
      </c>
      <c r="L120" s="58"/>
      <c r="M120" s="58"/>
      <c r="O120" s="58"/>
      <c r="P120" s="58"/>
      <c r="R120" s="59">
        <f t="shared" ca="1" si="64"/>
        <v>0.51730151694408633</v>
      </c>
      <c r="S120" s="59">
        <f t="shared" ca="1" si="65"/>
        <v>-0.88909413259796388</v>
      </c>
      <c r="T120" s="59">
        <f t="shared" ca="1" si="63"/>
        <v>-0.79048837662012583</v>
      </c>
      <c r="U120" s="59">
        <f t="shared" ca="1" si="66"/>
        <v>-2.5843223661347188</v>
      </c>
      <c r="V120" s="59"/>
      <c r="W120" s="105">
        <f t="shared" ca="1" si="67"/>
        <v>2.7063386730364132E-2</v>
      </c>
      <c r="Z120" s="59">
        <f t="shared" ca="1" si="68"/>
        <v>0.51361219862272145</v>
      </c>
      <c r="AA120" s="59">
        <f t="shared" ca="1" si="69"/>
        <v>-0.88799161229137613</v>
      </c>
      <c r="AB120" s="59">
        <f t="shared" ca="1" si="38"/>
        <v>-0.78852910349983762</v>
      </c>
      <c r="AC120" s="59">
        <f t="shared" ca="1" si="44"/>
        <v>-2.5412774395316595</v>
      </c>
      <c r="AD120" s="60">
        <f t="shared" ca="1" si="39"/>
        <v>7.876571705560724E-2</v>
      </c>
      <c r="AE120" s="60">
        <f t="shared" ca="1" si="45"/>
        <v>4.0455033113025625E-2</v>
      </c>
      <c r="AF120" s="60"/>
      <c r="AG120" s="93">
        <f t="shared" ca="1" si="71"/>
        <v>-2.129514344626465</v>
      </c>
      <c r="AH120" s="97">
        <f t="shared" ca="1" si="47"/>
        <v>-2.25318314129093</v>
      </c>
      <c r="AI120" s="97">
        <f t="shared" ca="1" si="48"/>
        <v>-2.255721963044965</v>
      </c>
      <c r="AJ120" s="62"/>
      <c r="AK120" s="97">
        <f t="shared" ca="1" si="49"/>
        <v>2.1021168007347629E-2</v>
      </c>
      <c r="AL120" s="62"/>
      <c r="AM120" s="95"/>
      <c r="AN120" s="96"/>
      <c r="AX120" s="107">
        <f t="shared" ca="1" si="50"/>
        <v>0.55356170253098225</v>
      </c>
      <c r="AY120" s="107">
        <f t="shared" ca="1" si="51"/>
        <v>0.55350885983249554</v>
      </c>
      <c r="AZ120" s="107">
        <f t="shared" ca="1" si="52"/>
        <v>0.55361457064255815</v>
      </c>
      <c r="BB120" s="39">
        <f ca="1">_xll.EURO(UnderlyingPrice,$D120,IntRate,Yield,AX120,$D$6,1,0)</f>
        <v>3.1335671532010245</v>
      </c>
      <c r="BC120" s="39">
        <f ca="1">_xll.EURO(UnderlyingPrice,$D120*(1+$P$8),IntRate,Yield,AY120,$D$6,1,0)</f>
        <v>3.1326193245364609</v>
      </c>
      <c r="BD120" s="39">
        <f ca="1">_xll.EURO(UnderlyingPrice,$D120*(1-$P$8),IntRate,Yield,AZ120,$D$6,1,0)</f>
        <v>3.1345150159882307</v>
      </c>
      <c r="BF120" s="59">
        <f t="shared" ca="1" si="53"/>
        <v>3.5098521789191449E-2</v>
      </c>
      <c r="BG120" s="39">
        <f t="shared" ca="1" si="54"/>
        <v>3.5975002168745066E-2</v>
      </c>
      <c r="BI120" s="58"/>
    </row>
    <row r="121" spans="3:62" x14ac:dyDescent="0.2">
      <c r="C121" s="98"/>
      <c r="D121" s="63">
        <f t="shared" ca="1" si="70"/>
        <v>1.9340000000000011</v>
      </c>
      <c r="E121" s="45">
        <f t="shared" ca="1" si="40"/>
        <v>-0.62656883568256405</v>
      </c>
      <c r="F121" s="45">
        <f t="shared" ca="1" si="58"/>
        <v>-0.62638212010040539</v>
      </c>
      <c r="G121" s="45">
        <f t="shared" ca="1" si="59"/>
        <v>-0.62675555126472271</v>
      </c>
      <c r="H121" s="45">
        <f t="shared" ca="1" si="60"/>
        <v>0.51796107539692671</v>
      </c>
      <c r="I121" s="45">
        <f t="shared" ca="1" si="61"/>
        <v>0.51796936552986639</v>
      </c>
      <c r="J121" s="45">
        <f t="shared" ca="1" si="62"/>
        <v>0.51797765714100297</v>
      </c>
      <c r="L121" s="58"/>
      <c r="M121" s="58"/>
      <c r="O121" s="58"/>
      <c r="P121" s="58"/>
      <c r="R121" s="59">
        <f t="shared" ca="1" si="64"/>
        <v>0.52746566257173644</v>
      </c>
      <c r="S121" s="59">
        <f t="shared" ca="1" si="65"/>
        <v>-0.90855199174730494</v>
      </c>
      <c r="T121" s="59">
        <f t="shared" ca="1" si="63"/>
        <v>-0.82546672170799484</v>
      </c>
      <c r="U121" s="59">
        <f t="shared" ca="1" si="66"/>
        <v>-2.6986761279540383</v>
      </c>
      <c r="V121" s="59"/>
      <c r="W121" s="105">
        <f t="shared" ca="1" si="67"/>
        <v>2.3215737064300749E-2</v>
      </c>
      <c r="Z121" s="59">
        <f t="shared" ca="1" si="68"/>
        <v>0.52370385505894868</v>
      </c>
      <c r="AA121" s="59">
        <f t="shared" ca="1" si="69"/>
        <v>-0.90744947144071719</v>
      </c>
      <c r="AB121" s="59">
        <f t="shared" ca="1" si="38"/>
        <v>-0.82346454321803697</v>
      </c>
      <c r="AC121" s="59">
        <f t="shared" ca="1" si="44"/>
        <v>-2.6538676336055764</v>
      </c>
      <c r="AD121" s="60">
        <f t="shared" ca="1" si="39"/>
        <v>7.0378487795188155E-2</v>
      </c>
      <c r="AE121" s="60">
        <f t="shared" ca="1" si="45"/>
        <v>3.6857485371559202E-2</v>
      </c>
      <c r="AF121" s="60"/>
      <c r="AG121" s="93">
        <f t="shared" ca="1" si="71"/>
        <v>-2.1549863947023229</v>
      </c>
      <c r="AH121" s="97">
        <f t="shared" ca="1" si="47"/>
        <v>-2.302583173269563</v>
      </c>
      <c r="AI121" s="97">
        <f t="shared" ca="1" si="48"/>
        <v>-2.3051219950235979</v>
      </c>
      <c r="AJ121" s="62"/>
      <c r="AK121" s="97">
        <f t="shared" ca="1" si="49"/>
        <v>1.7685068048199505E-2</v>
      </c>
      <c r="AL121" s="62"/>
      <c r="AM121" s="95"/>
      <c r="AN121" s="96"/>
      <c r="AX121" s="107">
        <f t="shared" ca="1" si="50"/>
        <v>0.55561763988085111</v>
      </c>
      <c r="AY121" s="107">
        <f t="shared" ca="1" si="51"/>
        <v>0.55556485164815472</v>
      </c>
      <c r="AZ121" s="107">
        <f t="shared" ca="1" si="52"/>
        <v>0.55567045271464055</v>
      </c>
      <c r="BB121" s="39">
        <f ca="1">_xll.EURO(UnderlyingPrice,$D121,IntRate,Yield,AX121,$D$6,1,0)</f>
        <v>3.1701214642598439</v>
      </c>
      <c r="BC121" s="39">
        <f ca="1">_xll.EURO(UnderlyingPrice,$D121*(1+$P$8),IntRate,Yield,AY121,$D$6,1,0)</f>
        <v>3.169190653119704</v>
      </c>
      <c r="BD121" s="39">
        <f ca="1">_xll.EURO(UnderlyingPrice,$D121*(1-$P$8),IntRate,Yield,AZ121,$D$6,1,0)</f>
        <v>3.1710523059849769</v>
      </c>
      <c r="BF121" s="59">
        <f t="shared" ca="1" si="53"/>
        <v>3.2708109286646303E-2</v>
      </c>
      <c r="BG121" s="39">
        <f t="shared" ca="1" si="54"/>
        <v>3.3524896278822977E-2</v>
      </c>
      <c r="BI121" s="58"/>
    </row>
    <row r="122" spans="3:62" x14ac:dyDescent="0.2">
      <c r="C122" s="98"/>
      <c r="D122" s="63">
        <f t="shared" ca="1" si="70"/>
        <v>1.896000000000001</v>
      </c>
      <c r="E122" s="45">
        <f t="shared" ca="1" si="40"/>
        <v>-0.63390615949024887</v>
      </c>
      <c r="F122" s="45">
        <f t="shared" ca="1" si="58"/>
        <v>-0.63372311256999403</v>
      </c>
      <c r="G122" s="45">
        <f t="shared" ca="1" si="59"/>
        <v>-0.6340892064105037</v>
      </c>
      <c r="H122" s="45">
        <f t="shared" ca="1" si="60"/>
        <v>0.51828809487028793</v>
      </c>
      <c r="I122" s="45">
        <f t="shared" ca="1" si="61"/>
        <v>0.5182962765173823</v>
      </c>
      <c r="J122" s="45">
        <f t="shared" ca="1" si="62"/>
        <v>0.51830445945419112</v>
      </c>
      <c r="L122" s="58"/>
      <c r="M122" s="58"/>
      <c r="O122" s="58"/>
      <c r="P122" s="58"/>
      <c r="R122" s="59">
        <f t="shared" ca="1" si="64"/>
        <v>0.53803723175830076</v>
      </c>
      <c r="S122" s="59">
        <f t="shared" ca="1" si="65"/>
        <v>-0.92839598494557762</v>
      </c>
      <c r="T122" s="59">
        <f t="shared" ca="1" si="63"/>
        <v>-0.86191910486306922</v>
      </c>
      <c r="U122" s="59">
        <f t="shared" ca="1" si="66"/>
        <v>-2.8178489227386501</v>
      </c>
      <c r="V122" s="59"/>
      <c r="W122" s="105">
        <f t="shared" ca="1" si="67"/>
        <v>1.9778246487558573E-2</v>
      </c>
      <c r="Z122" s="59">
        <f t="shared" ca="1" si="68"/>
        <v>0.53420002936920186</v>
      </c>
      <c r="AA122" s="59">
        <f t="shared" ca="1" si="69"/>
        <v>-0.92729346463898987</v>
      </c>
      <c r="AB122" s="59">
        <f t="shared" ca="1" si="38"/>
        <v>-0.85987316956218152</v>
      </c>
      <c r="AC122" s="59">
        <f t="shared" ca="1" si="44"/>
        <v>-2.7712056244572123</v>
      </c>
      <c r="AD122" s="60">
        <f t="shared" ca="1" si="39"/>
        <v>6.258650341896424E-2</v>
      </c>
      <c r="AE122" s="60">
        <f t="shared" ca="1" si="45"/>
        <v>3.3433711964526353E-2</v>
      </c>
      <c r="AF122" s="60"/>
      <c r="AG122" s="93">
        <f t="shared" ca="1" si="71"/>
        <v>-2.1804584447781807</v>
      </c>
      <c r="AH122" s="97">
        <f t="shared" ca="1" si="47"/>
        <v>-2.3529635306899026</v>
      </c>
      <c r="AI122" s="97">
        <f t="shared" ca="1" si="48"/>
        <v>-2.3555023524439376</v>
      </c>
      <c r="AJ122" s="62"/>
      <c r="AK122" s="97">
        <f t="shared" ca="1" si="49"/>
        <v>1.4770456130215808E-2</v>
      </c>
      <c r="AL122" s="62"/>
      <c r="AM122" s="95"/>
      <c r="AN122" s="96"/>
      <c r="AX122" s="107">
        <f t="shared" ca="1" si="50"/>
        <v>0.55771156717395176</v>
      </c>
      <c r="AY122" s="107">
        <f t="shared" ca="1" si="51"/>
        <v>0.557658865192313</v>
      </c>
      <c r="AZ122" s="107">
        <f t="shared" ca="1" si="52"/>
        <v>0.55776429295126606</v>
      </c>
      <c r="BB122" s="39">
        <f ca="1">_xll.EURO(UnderlyingPrice,$D122,IntRate,Yield,AX122,$D$6,1,0)</f>
        <v>3.2067230186949542</v>
      </c>
      <c r="BC122" s="39">
        <f ca="1">_xll.EURO(UnderlyingPrice,$D122*(1+$P$8),IntRate,Yield,AY122,$D$6,1,0)</f>
        <v>3.205809358352028</v>
      </c>
      <c r="BD122" s="39">
        <f ca="1">_xll.EURO(UnderlyingPrice,$D122*(1-$P$8),IntRate,Yield,AZ122,$D$6,1,0)</f>
        <v>3.2076367063806637</v>
      </c>
      <c r="BF122" s="59">
        <f t="shared" ca="1" si="53"/>
        <v>3.0424681706939988E-2</v>
      </c>
      <c r="BG122" s="39">
        <f t="shared" ca="1" si="54"/>
        <v>3.1184446939517638E-2</v>
      </c>
      <c r="BI122" s="58"/>
    </row>
    <row r="123" spans="3:62" x14ac:dyDescent="0.2">
      <c r="C123" s="98"/>
      <c r="D123" s="63">
        <f t="shared" ca="1" si="70"/>
        <v>1.858000000000001</v>
      </c>
      <c r="E123" s="45">
        <f t="shared" ca="1" si="40"/>
        <v>-0.64124348329793379</v>
      </c>
      <c r="F123" s="45">
        <f t="shared" ca="1" si="58"/>
        <v>-0.64106410503958278</v>
      </c>
      <c r="G123" s="45">
        <f t="shared" ca="1" si="59"/>
        <v>-0.64142286155628481</v>
      </c>
      <c r="H123" s="45">
        <f t="shared" ca="1" si="60"/>
        <v>0.51861719393087458</v>
      </c>
      <c r="I123" s="45">
        <f t="shared" ca="1" si="61"/>
        <v>0.51862525976446539</v>
      </c>
      <c r="J123" s="45">
        <f t="shared" ca="1" si="62"/>
        <v>0.51863332671082407</v>
      </c>
      <c r="L123" s="58"/>
      <c r="M123" s="58"/>
      <c r="O123" s="58"/>
      <c r="P123" s="58"/>
      <c r="R123" s="59">
        <f t="shared" ca="1" si="64"/>
        <v>0.549041222504703</v>
      </c>
      <c r="S123" s="59">
        <f t="shared" ca="1" si="65"/>
        <v>-0.94864174838676085</v>
      </c>
      <c r="T123" s="59">
        <f t="shared" ca="1" si="63"/>
        <v>-0.8999211667822905</v>
      </c>
      <c r="U123" s="59">
        <f t="shared" ca="1" si="66"/>
        <v>-2.942088040582473</v>
      </c>
      <c r="V123" s="59"/>
      <c r="W123" s="105">
        <f t="shared" ca="1" si="67"/>
        <v>1.6727943932073563E-2</v>
      </c>
      <c r="Z123" s="59">
        <f t="shared" ca="1" si="68"/>
        <v>0.54512554127233948</v>
      </c>
      <c r="AA123" s="59">
        <f t="shared" ca="1" si="69"/>
        <v>-0.9475392280801731</v>
      </c>
      <c r="AB123" s="59">
        <f t="shared" ca="1" si="38"/>
        <v>-0.89783058875077026</v>
      </c>
      <c r="AC123" s="59">
        <f t="shared" ca="1" si="44"/>
        <v>-2.8935350763679577</v>
      </c>
      <c r="AD123" s="60">
        <f t="shared" ca="1" si="39"/>
        <v>5.5380093308254719E-2</v>
      </c>
      <c r="AE123" s="60">
        <f t="shared" ca="1" si="45"/>
        <v>3.0189103340375018E-2</v>
      </c>
      <c r="AF123" s="60"/>
      <c r="AG123" s="93">
        <f t="shared" ca="1" si="71"/>
        <v>-2.2059304948540386</v>
      </c>
      <c r="AH123" s="97">
        <f t="shared" ca="1" si="47"/>
        <v>-2.4043639110580668</v>
      </c>
      <c r="AI123" s="97">
        <f t="shared" ca="1" si="48"/>
        <v>-2.4069027328121022</v>
      </c>
      <c r="AJ123" s="62"/>
      <c r="AK123" s="97">
        <f t="shared" ca="1" si="49"/>
        <v>1.2242103950933433E-2</v>
      </c>
      <c r="AL123" s="62"/>
      <c r="AM123" s="95"/>
      <c r="AN123" s="96"/>
      <c r="AX123" s="107">
        <f t="shared" ca="1" si="50"/>
        <v>0.55984372836334939</v>
      </c>
      <c r="AY123" s="107">
        <f t="shared" ca="1" si="51"/>
        <v>0.55979114478414871</v>
      </c>
      <c r="AZ123" s="107">
        <f t="shared" ca="1" si="52"/>
        <v>0.55989633493975333</v>
      </c>
      <c r="BB123" s="39">
        <f ca="1">_xll.EURO(UnderlyingPrice,$D123,IntRate,Yield,AX123,$D$6,1,0)</f>
        <v>3.2433685190799286</v>
      </c>
      <c r="BC123" s="39">
        <f ca="1">_xll.EURO(UnderlyingPrice,$D123*(1+$P$8),IntRate,Yield,AY123,$D$6,1,0)</f>
        <v>3.2424721339823614</v>
      </c>
      <c r="BD123" s="39">
        <f ca="1">_xll.EURO(UnderlyingPrice,$D123*(1-$P$8),IntRate,Yield,AZ123,$D$6,1,0)</f>
        <v>3.2442649285557508</v>
      </c>
      <c r="BF123" s="59">
        <f t="shared" ca="1" si="53"/>
        <v>2.8246925662000613E-2</v>
      </c>
      <c r="BG123" s="39">
        <f t="shared" ca="1" si="54"/>
        <v>2.895230796482675E-2</v>
      </c>
      <c r="BI123" s="58"/>
    </row>
    <row r="124" spans="3:62" x14ac:dyDescent="0.2">
      <c r="C124" s="98"/>
      <c r="D124" s="63">
        <f t="shared" ca="1" si="70"/>
        <v>1.820000000000001</v>
      </c>
      <c r="E124" s="45">
        <f t="shared" ca="1" si="40"/>
        <v>-0.64858080710561872</v>
      </c>
      <c r="F124" s="45">
        <f t="shared" ca="1" si="58"/>
        <v>-0.64840509750917152</v>
      </c>
      <c r="G124" s="45">
        <f t="shared" ca="1" si="59"/>
        <v>-0.64875651670206591</v>
      </c>
      <c r="H124" s="45">
        <f t="shared" ca="1" si="60"/>
        <v>0.51894816183470294</v>
      </c>
      <c r="I124" s="45">
        <f t="shared" ca="1" si="61"/>
        <v>0.51895610484293253</v>
      </c>
      <c r="J124" s="45">
        <f t="shared" ca="1" si="62"/>
        <v>0.51896404879820279</v>
      </c>
      <c r="L124" s="58"/>
      <c r="M124" s="58"/>
      <c r="O124" s="58"/>
      <c r="P124" s="58"/>
      <c r="R124" s="59">
        <f t="shared" ca="1" si="64"/>
        <v>0.56050472055699907</v>
      </c>
      <c r="S124" s="59">
        <f t="shared" ca="1" si="65"/>
        <v>-0.9693058876897036</v>
      </c>
      <c r="T124" s="59">
        <f t="shared" ca="1" si="63"/>
        <v>-0.93955390390992433</v>
      </c>
      <c r="U124" s="59">
        <f t="shared" ca="1" si="66"/>
        <v>-3.0716582809799511</v>
      </c>
      <c r="V124" s="59"/>
      <c r="W124" s="105">
        <f t="shared" ca="1" si="67"/>
        <v>1.4040424493618824E-2</v>
      </c>
      <c r="Z124" s="59">
        <f t="shared" ca="1" si="68"/>
        <v>0.55650728334286081</v>
      </c>
      <c r="AA124" s="59">
        <f t="shared" ca="1" si="69"/>
        <v>-0.96820336738311585</v>
      </c>
      <c r="AB124" s="59">
        <f t="shared" ca="1" si="38"/>
        <v>-0.93741776061200477</v>
      </c>
      <c r="AC124" s="59">
        <f t="shared" ca="1" si="44"/>
        <v>-3.0211169072722353</v>
      </c>
      <c r="AD124" s="60">
        <f t="shared" ca="1" si="39"/>
        <v>4.8746742354318216E-2</v>
      </c>
      <c r="AE124" s="60">
        <f t="shared" ca="1" si="45"/>
        <v>2.7127917159416003E-2</v>
      </c>
      <c r="AF124" s="60"/>
      <c r="AG124" s="93">
        <f t="shared" ca="1" si="71"/>
        <v>-2.2314025449298964</v>
      </c>
      <c r="AH124" s="97">
        <f t="shared" ca="1" si="47"/>
        <v>-2.4568264730769136</v>
      </c>
      <c r="AI124" s="97">
        <f t="shared" ca="1" si="48"/>
        <v>-2.459365294830949</v>
      </c>
      <c r="AJ124" s="62"/>
      <c r="AK124" s="97">
        <f t="shared" ca="1" si="49"/>
        <v>1.006513062122983E-2</v>
      </c>
      <c r="AL124" s="62"/>
      <c r="AM124" s="95"/>
      <c r="AN124" s="96"/>
      <c r="AX124" s="107">
        <f t="shared" ca="1" si="50"/>
        <v>0.56201436740210975</v>
      </c>
      <c r="AY124" s="107">
        <f t="shared" ca="1" si="51"/>
        <v>0.56196193474284017</v>
      </c>
      <c r="AZ124" s="107">
        <f t="shared" ca="1" si="52"/>
        <v>0.56206682226742155</v>
      </c>
      <c r="BB124" s="39">
        <f ca="1">_xll.EURO(UnderlyingPrice,$D124,IntRate,Yield,AX124,$D$6,1,0)</f>
        <v>3.280054820548588</v>
      </c>
      <c r="BC124" s="39">
        <f ca="1">_xll.EURO(UnderlyingPrice,$D124*(1+$P$8),IntRate,Yield,AY124,$D$6,1,0)</f>
        <v>3.2791758266765041</v>
      </c>
      <c r="BD124" s="39">
        <f ca="1">_xll.EURO(UnderlyingPrice,$D124*(1-$P$8),IntRate,Yield,AZ124,$D$6,1,0)</f>
        <v>3.2809338360947846</v>
      </c>
      <c r="BF124" s="59">
        <f t="shared" ca="1" si="53"/>
        <v>2.6173304155160736E-2</v>
      </c>
      <c r="BG124" s="39">
        <f t="shared" ca="1" si="54"/>
        <v>2.682690397619799E-2</v>
      </c>
      <c r="BI124" s="58"/>
    </row>
    <row r="125" spans="3:62" x14ac:dyDescent="0.2">
      <c r="C125" s="98"/>
      <c r="D125" s="63">
        <f t="shared" ca="1" si="70"/>
        <v>1.7820000000000009</v>
      </c>
      <c r="E125" s="45">
        <f t="shared" ca="1" si="40"/>
        <v>-0.65591813091330353</v>
      </c>
      <c r="F125" s="45">
        <f t="shared" ca="1" si="58"/>
        <v>-0.65574608997876016</v>
      </c>
      <c r="G125" s="45">
        <f t="shared" ca="1" si="59"/>
        <v>-0.6560901718478469</v>
      </c>
      <c r="H125" s="45">
        <f t="shared" ca="1" si="60"/>
        <v>0.5192807878377893</v>
      </c>
      <c r="I125" s="45">
        <f t="shared" ca="1" si="61"/>
        <v>0.51928860132459986</v>
      </c>
      <c r="J125" s="45">
        <f t="shared" ca="1" si="62"/>
        <v>0.51929641560362827</v>
      </c>
      <c r="L125" s="58"/>
      <c r="M125" s="58"/>
      <c r="O125" s="58"/>
      <c r="P125" s="58"/>
      <c r="R125" s="59">
        <f t="shared" ca="1" si="64"/>
        <v>0.57245712200546472</v>
      </c>
      <c r="S125" s="59">
        <f t="shared" ca="1" si="65"/>
        <v>-0.99040605972979012</v>
      </c>
      <c r="T125" s="59">
        <f t="shared" ca="1" si="63"/>
        <v>-0.98090416314948858</v>
      </c>
      <c r="U125" s="59">
        <f t="shared" ca="1" si="66"/>
        <v>-3.2068435701744411</v>
      </c>
      <c r="V125" s="59"/>
      <c r="W125" s="105">
        <f t="shared" ca="1" si="67"/>
        <v>1.1690205230391038E-2</v>
      </c>
      <c r="Z125" s="59">
        <f t="shared" ca="1" si="68"/>
        <v>0.56837444202245058</v>
      </c>
      <c r="AA125" s="59">
        <f t="shared" ca="1" si="69"/>
        <v>-0.98930353942320237</v>
      </c>
      <c r="AB125" s="59">
        <f t="shared" ca="1" si="38"/>
        <v>-0.97872149311527568</v>
      </c>
      <c r="AC125" s="59">
        <f t="shared" ca="1" si="44"/>
        <v>-3.1542308825372389</v>
      </c>
      <c r="AD125" s="60">
        <f t="shared" ca="1" si="39"/>
        <v>4.2671207545869942E-2</v>
      </c>
      <c r="AE125" s="60">
        <f t="shared" ca="1" si="45"/>
        <v>2.4253223779308011E-2</v>
      </c>
      <c r="AF125" s="60"/>
      <c r="AG125" s="93">
        <f t="shared" ca="1" si="71"/>
        <v>-2.2568745950057543</v>
      </c>
      <c r="AH125" s="97">
        <f t="shared" ca="1" si="47"/>
        <v>-2.5103960444020417</v>
      </c>
      <c r="AI125" s="97">
        <f t="shared" ca="1" si="48"/>
        <v>-2.5129348661560766</v>
      </c>
      <c r="AJ125" s="62"/>
      <c r="AK125" s="97">
        <f t="shared" ca="1" si="49"/>
        <v>8.2053597057172144E-3</v>
      </c>
      <c r="AL125" s="62"/>
      <c r="AM125" s="95"/>
      <c r="AN125" s="96"/>
      <c r="AX125" s="107">
        <f t="shared" ca="1" si="50"/>
        <v>0.56422372824329847</v>
      </c>
      <c r="AY125" s="107">
        <f t="shared" ca="1" si="51"/>
        <v>0.56417147938756518</v>
      </c>
      <c r="AZ125" s="107">
        <f t="shared" ca="1" si="52"/>
        <v>0.56427599852158927</v>
      </c>
      <c r="BB125" s="39">
        <f ca="1">_xll.EURO(UnderlyingPrice,$D125,IntRate,Yield,AX125,$D$6,1,0)</f>
        <v>3.3167789285873828</v>
      </c>
      <c r="BC125" s="39">
        <f ca="1">_xll.EURO(UnderlyingPrice,$D125*(1+$P$8),IntRate,Yield,AY125,$D$6,1,0)</f>
        <v>3.3159174338113431</v>
      </c>
      <c r="BD125" s="39">
        <f ca="1">_xll.EURO(UnderlyingPrice,$D125*(1-$P$8),IntRate,Yield,AZ125,$D$6,1,0)</f>
        <v>3.3176404425770087</v>
      </c>
      <c r="BF125" s="59">
        <f t="shared" ca="1" si="53"/>
        <v>2.4202098648971843E-2</v>
      </c>
      <c r="BG125" s="39">
        <f t="shared" ca="1" si="54"/>
        <v>2.4806473520861103E-2</v>
      </c>
      <c r="BI125" s="58"/>
    </row>
    <row r="126" spans="3:62" x14ac:dyDescent="0.2">
      <c r="C126" s="98"/>
      <c r="D126" s="63">
        <f t="shared" ca="1" si="70"/>
        <v>1.7440000000000009</v>
      </c>
      <c r="E126" s="45">
        <f t="shared" ca="1" si="40"/>
        <v>-0.66325545472098846</v>
      </c>
      <c r="F126" s="45">
        <f t="shared" ca="1" si="58"/>
        <v>-0.66308708244834902</v>
      </c>
      <c r="G126" s="45">
        <f t="shared" ca="1" si="59"/>
        <v>-0.6634238269936279</v>
      </c>
      <c r="H126" s="45">
        <f t="shared" ca="1" si="60"/>
        <v>0.5196148611961503</v>
      </c>
      <c r="I126" s="45">
        <f t="shared" ca="1" si="61"/>
        <v>0.51962253878128428</v>
      </c>
      <c r="J126" s="45">
        <f t="shared" ca="1" si="62"/>
        <v>0.5196302170144016</v>
      </c>
      <c r="L126" s="58"/>
      <c r="M126" s="58"/>
      <c r="O126" s="58"/>
      <c r="P126" s="58"/>
      <c r="R126" s="59">
        <f t="shared" ca="1" si="64"/>
        <v>0.58493038498494165</v>
      </c>
      <c r="S126" s="59">
        <f t="shared" ca="1" si="65"/>
        <v>-1.0119610632916198</v>
      </c>
      <c r="T126" s="59">
        <f t="shared" ca="1" si="63"/>
        <v>-1.0240651936183058</v>
      </c>
      <c r="U126" s="59">
        <f t="shared" ca="1" si="66"/>
        <v>-3.3479487649945145</v>
      </c>
      <c r="V126" s="59"/>
      <c r="W126" s="105">
        <f t="shared" ca="1" si="67"/>
        <v>9.6510895068173883E-3</v>
      </c>
      <c r="Z126" s="59">
        <f t="shared" ca="1" si="68"/>
        <v>0.58075874752523327</v>
      </c>
      <c r="AA126" s="59">
        <f t="shared" ca="1" si="69"/>
        <v>-1.0108585429850321</v>
      </c>
      <c r="AB126" s="59">
        <f t="shared" ca="1" si="38"/>
        <v>-1.021834993925822</v>
      </c>
      <c r="AC126" s="59">
        <f t="shared" ca="1" si="44"/>
        <v>-3.2931773925173791</v>
      </c>
      <c r="AD126" s="60">
        <f t="shared" ca="1" si="39"/>
        <v>3.7135667149023568E-2</v>
      </c>
      <c r="AE126" s="60">
        <f t="shared" ca="1" si="45"/>
        <v>2.1566863541980879E-2</v>
      </c>
      <c r="AF126" s="60"/>
      <c r="AG126" s="93">
        <f t="shared" ca="1" si="71"/>
        <v>-2.2823466450816121</v>
      </c>
      <c r="AH126" s="97">
        <f t="shared" ca="1" si="47"/>
        <v>-2.5651203517927645</v>
      </c>
      <c r="AI126" s="97">
        <f t="shared" ca="1" si="48"/>
        <v>-2.5676591735467995</v>
      </c>
      <c r="AJ126" s="62"/>
      <c r="AK126" s="97">
        <f t="shared" ca="1" si="49"/>
        <v>6.6296501804977426E-3</v>
      </c>
      <c r="AL126" s="62"/>
      <c r="AM126" s="95"/>
      <c r="AN126" s="96"/>
      <c r="AX126" s="107">
        <f t="shared" ca="1" si="50"/>
        <v>0.5664720548399812</v>
      </c>
      <c r="AY126" s="107">
        <f t="shared" ca="1" si="51"/>
        <v>0.56642002303750227</v>
      </c>
      <c r="AZ126" s="107">
        <f t="shared" ca="1" si="52"/>
        <v>0.5665241072895757</v>
      </c>
      <c r="BB126" s="39">
        <f ca="1">_xll.EURO(UnderlyingPrice,$D126,IntRate,Yield,AX126,$D$6,1,0)</f>
        <v>3.3535379965445822</v>
      </c>
      <c r="BC126" s="39">
        <f ca="1">_xll.EURO(UnderlyingPrice,$D126*(1+$P$8),IntRate,Yield,AY126,$D$6,1,0)</f>
        <v>3.3526941009843623</v>
      </c>
      <c r="BD126" s="39">
        <f ca="1">_xll.EURO(UnderlyingPrice,$D126*(1-$P$8),IntRate,Yield,AZ126,$D$6,1,0)</f>
        <v>3.3543819090852391</v>
      </c>
      <c r="BF126" s="59">
        <f t="shared" ca="1" si="53"/>
        <v>2.2331396521175002E-2</v>
      </c>
      <c r="BG126" s="39">
        <f t="shared" ca="1" si="54"/>
        <v>2.2889056214549022E-2</v>
      </c>
      <c r="BI126" s="58"/>
    </row>
    <row r="127" spans="3:62" x14ac:dyDescent="0.2">
      <c r="C127" s="98"/>
      <c r="D127" s="63">
        <f t="shared" ca="1" si="70"/>
        <v>1.7060000000000008</v>
      </c>
      <c r="E127" s="45">
        <f t="shared" ca="1" si="40"/>
        <v>-0.67059277852867338</v>
      </c>
      <c r="F127" s="45">
        <f t="shared" ca="1" si="58"/>
        <v>-0.67042807491793766</v>
      </c>
      <c r="G127" s="45">
        <f t="shared" ca="1" si="59"/>
        <v>-0.670757482139409</v>
      </c>
      <c r="H127" s="45">
        <f t="shared" ca="1" si="60"/>
        <v>0.51995017116580222</v>
      </c>
      <c r="I127" s="45">
        <f t="shared" ca="1" si="61"/>
        <v>0.51995770678480191</v>
      </c>
      <c r="J127" s="45">
        <f t="shared" ca="1" si="62"/>
        <v>0.51996524291782342</v>
      </c>
      <c r="L127" s="58"/>
      <c r="M127" s="58"/>
      <c r="O127" s="58"/>
      <c r="P127" s="58"/>
      <c r="R127" s="59">
        <f t="shared" ca="1" si="64"/>
        <v>0.59795931501391453</v>
      </c>
      <c r="S127" s="59">
        <f t="shared" ca="1" si="65"/>
        <v>-1.0339909397089202</v>
      </c>
      <c r="T127" s="59">
        <f t="shared" ca="1" si="63"/>
        <v>-1.0691372634001359</v>
      </c>
      <c r="U127" s="59">
        <f t="shared" ca="1" si="66"/>
        <v>-3.495301669186734</v>
      </c>
      <c r="V127" s="59"/>
      <c r="W127" s="105">
        <f t="shared" ca="1" si="67"/>
        <v>7.8965325288725581E-3</v>
      </c>
      <c r="Z127" s="59">
        <f t="shared" ca="1" si="68"/>
        <v>0.59369475714185627</v>
      </c>
      <c r="AA127" s="59">
        <f t="shared" ca="1" si="69"/>
        <v>-1.0328884194023324</v>
      </c>
      <c r="AB127" s="59">
        <f t="shared" ca="1" si="38"/>
        <v>-1.0668584869354487</v>
      </c>
      <c r="AC127" s="59">
        <f t="shared" ca="1" si="44"/>
        <v>-3.4382794395140492</v>
      </c>
      <c r="AD127" s="60">
        <f t="shared" ca="1" si="39"/>
        <v>3.2119902046660966E-2</v>
      </c>
      <c r="AE127" s="60">
        <f t="shared" ca="1" si="45"/>
        <v>1.9069417445012594E-2</v>
      </c>
      <c r="AF127" s="60"/>
      <c r="AG127" s="93">
        <f t="shared" ca="1" si="71"/>
        <v>-2.30781869515747</v>
      </c>
      <c r="AH127" s="97">
        <f t="shared" ca="1" si="47"/>
        <v>-2.621050276618889</v>
      </c>
      <c r="AI127" s="97">
        <f t="shared" ca="1" si="48"/>
        <v>-2.6235890983729249</v>
      </c>
      <c r="AJ127" s="62"/>
      <c r="AK127" s="97">
        <f t="shared" ca="1" si="49"/>
        <v>5.3061954715180534E-3</v>
      </c>
      <c r="AL127" s="62"/>
      <c r="AM127" s="95"/>
      <c r="AN127" s="96"/>
      <c r="AX127" s="107">
        <f t="shared" ca="1" si="50"/>
        <v>0.56875959114522334</v>
      </c>
      <c r="AY127" s="107">
        <f t="shared" ca="1" si="51"/>
        <v>0.56870781001182957</v>
      </c>
      <c r="AZ127" s="107">
        <f t="shared" ca="1" si="52"/>
        <v>0.5688113921586998</v>
      </c>
      <c r="BB127" s="39">
        <f ca="1">_xll.EURO(UnderlyingPrice,$D127,IntRate,Yield,AX127,$D$6,1,0)</f>
        <v>3.3903293228823461</v>
      </c>
      <c r="BC127" s="39">
        <f ca="1">_xll.EURO(UnderlyingPrice,$D127*(1+$P$8),IntRate,Yield,AY127,$D$6,1,0)</f>
        <v>3.3895031192646652</v>
      </c>
      <c r="BD127" s="39">
        <f ca="1">_xll.EURO(UnderlyingPrice,$D127*(1-$P$8),IntRate,Yield,AZ127,$D$6,1,0)</f>
        <v>3.3911555414590442</v>
      </c>
      <c r="BF127" s="59">
        <f t="shared" ca="1" si="53"/>
        <v>2.0559142528620324E-2</v>
      </c>
      <c r="BG127" s="39">
        <f t="shared" ca="1" si="54"/>
        <v>2.1072545490574444E-2</v>
      </c>
      <c r="BI127" s="58"/>
    </row>
    <row r="128" spans="3:62" x14ac:dyDescent="0.2">
      <c r="C128" s="98"/>
      <c r="D128" s="63">
        <f t="shared" ca="1" si="70"/>
        <v>1.6680000000000008</v>
      </c>
      <c r="E128" s="45">
        <f t="shared" ca="1" si="40"/>
        <v>-0.6779301023363582</v>
      </c>
      <c r="F128" s="45">
        <f t="shared" ca="1" si="58"/>
        <v>-0.6777690673875264</v>
      </c>
      <c r="G128" s="45">
        <f t="shared" ca="1" si="59"/>
        <v>-0.6780911372851901</v>
      </c>
      <c r="H128" s="45">
        <f t="shared" ca="1" si="60"/>
        <v>0.52028650700276136</v>
      </c>
      <c r="I128" s="45">
        <f t="shared" ca="1" si="61"/>
        <v>0.52029389490696942</v>
      </c>
      <c r="J128" s="45">
        <f t="shared" ca="1" si="62"/>
        <v>0.52030128320119495</v>
      </c>
      <c r="L128" s="58"/>
      <c r="M128" s="58"/>
      <c r="O128" s="58"/>
      <c r="P128" s="58"/>
      <c r="R128" s="59">
        <f t="shared" ca="1" si="64"/>
        <v>0.61158188933677349</v>
      </c>
      <c r="S128" s="59">
        <f t="shared" ca="1" si="65"/>
        <v>-1.0565170848418526</v>
      </c>
      <c r="T128" s="59">
        <f t="shared" ca="1" si="63"/>
        <v>-1.1162283505627264</v>
      </c>
      <c r="U128" s="59">
        <f t="shared" ca="1" si="66"/>
        <v>-3.6492552925407242</v>
      </c>
      <c r="V128" s="59"/>
      <c r="W128" s="105">
        <f t="shared" ca="1" si="67"/>
        <v>6.4000004452455933E-3</v>
      </c>
      <c r="Z128" s="59">
        <f t="shared" ca="1" si="68"/>
        <v>0.60722017726858923</v>
      </c>
      <c r="AA128" s="59">
        <f t="shared" ca="1" si="69"/>
        <v>-1.0554145645352648</v>
      </c>
      <c r="AB128" s="59">
        <f t="shared" ca="1" si="38"/>
        <v>-1.1138999030331627</v>
      </c>
      <c r="AC128" s="59">
        <f t="shared" ca="1" si="44"/>
        <v>-3.5898848639963514</v>
      </c>
      <c r="AD128" s="60">
        <f t="shared" ca="1" si="39"/>
        <v>2.7601508167654474E-2</v>
      </c>
      <c r="AE128" s="60">
        <f t="shared" ca="1" si="45"/>
        <v>1.6760192682443564E-2</v>
      </c>
      <c r="AF128" s="60"/>
      <c r="AG128" s="93">
        <f t="shared" ca="1" si="71"/>
        <v>-2.3332907452333278</v>
      </c>
      <c r="AH128" s="97">
        <f t="shared" ca="1" si="47"/>
        <v>-2.678240139151113</v>
      </c>
      <c r="AI128" s="97">
        <f t="shared" ca="1" si="48"/>
        <v>-2.6807789609051484</v>
      </c>
      <c r="AJ128" s="62"/>
      <c r="AK128" s="97">
        <f t="shared" ca="1" si="49"/>
        <v>4.2047854386396384E-3</v>
      </c>
      <c r="AL128" s="62"/>
      <c r="AM128" s="95"/>
      <c r="AN128" s="96"/>
      <c r="AX128" s="107">
        <f t="shared" ca="1" si="50"/>
        <v>0.57108658111209065</v>
      </c>
      <c r="AY128" s="107">
        <f t="shared" ca="1" si="51"/>
        <v>0.57103508462972508</v>
      </c>
      <c r="AZ128" s="107">
        <f t="shared" ca="1" si="52"/>
        <v>0.57113809671628035</v>
      </c>
      <c r="BB128" s="39">
        <f ca="1">_xll.EURO(UnderlyingPrice,$D128,IntRate,Yield,AX128,$D$6,1,0)</f>
        <v>3.4271503481974808</v>
      </c>
      <c r="BC128" s="39">
        <f ca="1">_xll.EURO(UnderlyingPrice,$D128*(1+$P$8),IntRate,Yield,AY128,$D$6,1,0)</f>
        <v>3.4263419222113578</v>
      </c>
      <c r="BD128" s="39">
        <f ca="1">_xll.EURO(UnderlyingPrice,$D128*(1-$P$8),IntRate,Yield,AZ128,$D$6,1,0)</f>
        <v>3.4279587873178743</v>
      </c>
      <c r="BF128" s="59">
        <f t="shared" ca="1" si="53"/>
        <v>1.888312452202922E-2</v>
      </c>
      <c r="BG128" s="39">
        <f t="shared" ca="1" si="54"/>
        <v>1.9354673957861106E-2</v>
      </c>
      <c r="BI128" s="58"/>
    </row>
    <row r="129" spans="3:61" x14ac:dyDescent="0.2">
      <c r="C129" s="98"/>
      <c r="D129" s="63">
        <f t="shared" ca="1" si="70"/>
        <v>1.6300000000000008</v>
      </c>
      <c r="E129" s="45">
        <f t="shared" ca="1" si="40"/>
        <v>-0.68526742614404312</v>
      </c>
      <c r="F129" s="45">
        <f t="shared" ca="1" si="58"/>
        <v>-0.68511005985711515</v>
      </c>
      <c r="G129" s="45">
        <f t="shared" ca="1" si="59"/>
        <v>-0.6854247924309711</v>
      </c>
      <c r="H129" s="45">
        <f t="shared" ca="1" si="60"/>
        <v>0.520623657963044</v>
      </c>
      <c r="I129" s="45">
        <f t="shared" ca="1" si="61"/>
        <v>0.5206308927196035</v>
      </c>
      <c r="J129" s="45">
        <f t="shared" ca="1" si="62"/>
        <v>0.52063812775181728</v>
      </c>
      <c r="L129" s="58"/>
      <c r="M129" s="58"/>
      <c r="O129" s="58"/>
      <c r="P129" s="58"/>
      <c r="R129" s="59">
        <f t="shared" ca="1" si="64"/>
        <v>0.62583962663419523</v>
      </c>
      <c r="S129" s="59">
        <f t="shared" ca="1" si="65"/>
        <v>-1.0795623739597366</v>
      </c>
      <c r="T129" s="59">
        <f t="shared" ca="1" si="63"/>
        <v>-1.1654549192695822</v>
      </c>
      <c r="U129" s="59">
        <f t="shared" ca="1" si="66"/>
        <v>-3.8101903882104864</v>
      </c>
      <c r="V129" s="59"/>
      <c r="W129" s="105">
        <f t="shared" ca="1" si="67"/>
        <v>5.1353153384202871E-3</v>
      </c>
      <c r="Z129" s="59">
        <f t="shared" ca="1" si="68"/>
        <v>0.62137623048098589</v>
      </c>
      <c r="AA129" s="59">
        <f t="shared" ca="1" si="69"/>
        <v>-1.0784598536531489</v>
      </c>
      <c r="AB129" s="59">
        <f t="shared" ca="1" si="38"/>
        <v>-1.1630756559415714</v>
      </c>
      <c r="AC129" s="59">
        <f t="shared" ca="1" si="44"/>
        <v>-3.7483688449723918</v>
      </c>
      <c r="AD129" s="60">
        <f t="shared" ca="1" si="39"/>
        <v>2.3556138248860013E-2</v>
      </c>
      <c r="AE129" s="60">
        <f t="shared" ca="1" si="45"/>
        <v>1.4637224389765608E-2</v>
      </c>
      <c r="AF129" s="60"/>
      <c r="AG129" s="93">
        <f t="shared" ca="1" si="71"/>
        <v>-2.3587627953091856</v>
      </c>
      <c r="AH129" s="97">
        <f t="shared" ca="1" si="47"/>
        <v>-2.7367480156159742</v>
      </c>
      <c r="AI129" s="97">
        <f t="shared" ca="1" si="48"/>
        <v>-2.7392868373700092</v>
      </c>
      <c r="AJ129" s="62"/>
      <c r="AK129" s="97">
        <f t="shared" ca="1" si="49"/>
        <v>3.2970270513562709E-3</v>
      </c>
      <c r="AL129" s="62"/>
      <c r="AM129" s="95"/>
      <c r="AN129" s="96"/>
      <c r="AX129" s="107">
        <f t="shared" ca="1" si="50"/>
        <v>0.57345326869364854</v>
      </c>
      <c r="AY129" s="107">
        <f t="shared" ca="1" si="51"/>
        <v>0.57340209121036712</v>
      </c>
      <c r="AZ129" s="107">
        <f t="shared" ca="1" si="52"/>
        <v>0.57350446454963633</v>
      </c>
      <c r="BB129" s="39">
        <f ca="1">_xll.EURO(UnderlyingPrice,$D129,IntRate,Yield,AX129,$D$6,1,0)</f>
        <v>3.4639986520360884</v>
      </c>
      <c r="BC129" s="39">
        <f ca="1">_xll.EURO(UnderlyingPrice,$D129*(1+$P$8),IntRate,Yield,AY129,$D$6,1,0)</f>
        <v>3.4632080826846492</v>
      </c>
      <c r="BD129" s="39">
        <f ca="1">_xll.EURO(UnderlyingPrice,$D129*(1-$P$8),IntRate,Yield,AZ129,$D$6,1,0)</f>
        <v>3.4647892328792884</v>
      </c>
      <c r="BF129" s="59">
        <f t="shared" ca="1" si="53"/>
        <v>1.7301005581145362E-2</v>
      </c>
      <c r="BG129" s="39">
        <f t="shared" ca="1" si="54"/>
        <v>1.7733046338573821E-2</v>
      </c>
      <c r="BI129" s="58"/>
    </row>
    <row r="130" spans="3:61" x14ac:dyDescent="0.2">
      <c r="C130" s="98"/>
      <c r="D130" s="63">
        <f t="shared" ca="1" si="70"/>
        <v>1.5920000000000007</v>
      </c>
      <c r="E130" s="45">
        <f t="shared" ca="1" si="40"/>
        <v>-0.69260474995172805</v>
      </c>
      <c r="F130" s="45">
        <f t="shared" ca="1" si="58"/>
        <v>-0.69245105232670379</v>
      </c>
      <c r="G130" s="45">
        <f t="shared" ca="1" si="59"/>
        <v>-0.69275844757675209</v>
      </c>
      <c r="H130" s="45">
        <f t="shared" ca="1" si="60"/>
        <v>0.52096141330266688</v>
      </c>
      <c r="I130" s="45">
        <f t="shared" ca="1" si="61"/>
        <v>0.52096848979452026</v>
      </c>
      <c r="J130" s="45">
        <f t="shared" ca="1" si="62"/>
        <v>0.52097556645699106</v>
      </c>
      <c r="L130" s="58"/>
      <c r="M130" s="58"/>
      <c r="O130" s="58"/>
      <c r="P130" s="58"/>
      <c r="R130" s="59">
        <f t="shared" ca="1" si="64"/>
        <v>0.64077800968199639</v>
      </c>
      <c r="S130" s="59">
        <f t="shared" ca="1" si="65"/>
        <v>-1.1031513013562164</v>
      </c>
      <c r="T130" s="59">
        <f t="shared" ca="1" si="63"/>
        <v>-1.2169427936839139</v>
      </c>
      <c r="U130" s="59">
        <f t="shared" ca="1" si="66"/>
        <v>-3.9785183097450445</v>
      </c>
      <c r="V130" s="59"/>
      <c r="W130" s="105">
        <f t="shared" ca="1" si="67"/>
        <v>4.0769786241992992E-3</v>
      </c>
      <c r="Z130" s="59">
        <f t="shared" ca="1" si="68"/>
        <v>0.63620807517839628</v>
      </c>
      <c r="AA130" s="59">
        <f t="shared" ca="1" si="69"/>
        <v>-1.1020487810496287</v>
      </c>
      <c r="AB130" s="59">
        <f t="shared" ca="1" si="38"/>
        <v>-1.2145115158129725</v>
      </c>
      <c r="AC130" s="59">
        <f t="shared" ca="1" si="44"/>
        <v>-3.9141367154212348</v>
      </c>
      <c r="AD130" s="60">
        <f t="shared" ca="1" si="39"/>
        <v>1.9957770446375634E-2</v>
      </c>
      <c r="AE130" s="60">
        <f t="shared" ca="1" si="45"/>
        <v>1.2697294720540925E-2</v>
      </c>
      <c r="AF130" s="60"/>
      <c r="AG130" s="93">
        <f t="shared" ca="1" si="71"/>
        <v>-2.3842348453850435</v>
      </c>
      <c r="AH130" s="97">
        <f t="shared" ca="1" si="47"/>
        <v>-2.7966360926538427</v>
      </c>
      <c r="AI130" s="97">
        <f t="shared" ca="1" si="48"/>
        <v>-2.7991749144078786</v>
      </c>
      <c r="AJ130" s="62"/>
      <c r="AK130" s="97">
        <f t="shared" ca="1" si="49"/>
        <v>2.556520543203765E-3</v>
      </c>
      <c r="AL130" s="62"/>
      <c r="AM130" s="95"/>
      <c r="AN130" s="96"/>
      <c r="AX130" s="107">
        <f t="shared" ca="1" si="50"/>
        <v>0.57585989784296276</v>
      </c>
      <c r="AY130" s="107">
        <f t="shared" ca="1" si="51"/>
        <v>0.57580907407293391</v>
      </c>
      <c r="AZ130" s="107">
        <f t="shared" ca="1" si="52"/>
        <v>0.57591073924608671</v>
      </c>
      <c r="BB130" s="39">
        <f ca="1">_xll.EURO(UnderlyingPrice,$D130,IntRate,Yield,AX130,$D$6,1,0)</f>
        <v>3.500871949526652</v>
      </c>
      <c r="BC130" s="39">
        <f ca="1">_xll.EURO(UnderlyingPrice,$D130*(1+$P$8),IntRate,Yield,AY130,$D$6,1,0)</f>
        <v>3.5000993094743036</v>
      </c>
      <c r="BD130" s="39">
        <f ca="1">_xll.EURO(UnderlyingPrice,$D130*(1-$P$8),IntRate,Yield,AZ130,$D$6,1,0)</f>
        <v>3.5016445995966894</v>
      </c>
      <c r="BF130" s="59">
        <f t="shared" ca="1" si="53"/>
        <v>1.5810347119757123E-2</v>
      </c>
      <c r="BG130" s="39">
        <f t="shared" ca="1" si="54"/>
        <v>1.6205163150119592E-2</v>
      </c>
      <c r="BI130" s="58"/>
    </row>
    <row r="131" spans="3:61" x14ac:dyDescent="0.2">
      <c r="C131" s="98"/>
      <c r="D131" s="63">
        <f t="shared" ca="1" si="70"/>
        <v>1.5540000000000007</v>
      </c>
      <c r="E131" s="45">
        <f t="shared" ca="1" si="40"/>
        <v>-0.69994207375941286</v>
      </c>
      <c r="F131" s="45">
        <f t="shared" ca="1" si="58"/>
        <v>-0.69979204479629264</v>
      </c>
      <c r="G131" s="45">
        <f t="shared" ca="1" si="59"/>
        <v>-0.70009210272253308</v>
      </c>
      <c r="H131" s="45">
        <f t="shared" ca="1" si="60"/>
        <v>0.52129956227764596</v>
      </c>
      <c r="I131" s="45">
        <f t="shared" ca="1" si="61"/>
        <v>0.5213064757035365</v>
      </c>
      <c r="J131" s="45">
        <f t="shared" ca="1" si="62"/>
        <v>0.5213133892040176</v>
      </c>
      <c r="L131" s="58"/>
      <c r="M131" s="58"/>
      <c r="O131" s="58"/>
      <c r="P131" s="58"/>
      <c r="R131" s="59">
        <f t="shared" ca="1" si="64"/>
        <v>0.6564469700217106</v>
      </c>
      <c r="S131" s="59">
        <f t="shared" ca="1" si="65"/>
        <v>-1.1273101368329521</v>
      </c>
      <c r="T131" s="59">
        <f t="shared" ca="1" si="63"/>
        <v>-1.2708281446063292</v>
      </c>
      <c r="U131" s="59">
        <f t="shared" ca="1" si="66"/>
        <v>-4.1546842366764878</v>
      </c>
      <c r="V131" s="59"/>
      <c r="W131" s="105">
        <f t="shared" ca="1" si="67"/>
        <v>3.2004658323635123E-3</v>
      </c>
      <c r="Z131" s="59">
        <f t="shared" ca="1" si="68"/>
        <v>0.65176528679794521</v>
      </c>
      <c r="AA131" s="59">
        <f t="shared" ca="1" si="69"/>
        <v>-1.1262076165263644</v>
      </c>
      <c r="AB131" s="59">
        <f t="shared" ca="1" si="38"/>
        <v>-1.2683435955219946</v>
      </c>
      <c r="AC131" s="59">
        <f t="shared" ca="1" si="44"/>
        <v>-4.0876271409241358</v>
      </c>
      <c r="AD131" s="60">
        <f t="shared" ca="1" si="39"/>
        <v>1.6779000562942854E-2</v>
      </c>
      <c r="AE131" s="60">
        <f t="shared" ca="1" si="45"/>
        <v>1.0935970114089333E-2</v>
      </c>
      <c r="AF131" s="60"/>
      <c r="AG131" s="93">
        <f t="shared" ca="1" si="71"/>
        <v>-2.4097068954609013</v>
      </c>
      <c r="AH131" s="97">
        <f t="shared" ca="1" si="47"/>
        <v>-2.8579710646030922</v>
      </c>
      <c r="AI131" s="97">
        <f t="shared" ca="1" si="48"/>
        <v>-2.8605098863571268</v>
      </c>
      <c r="AJ131" s="62"/>
      <c r="AK131" s="97">
        <f t="shared" ca="1" si="49"/>
        <v>1.958989005663477E-3</v>
      </c>
      <c r="AL131" s="62"/>
      <c r="AM131" s="95"/>
      <c r="AN131" s="96"/>
      <c r="AX131" s="107">
        <f t="shared" ca="1" si="50"/>
        <v>0.57830671251309895</v>
      </c>
      <c r="AY131" s="107">
        <f t="shared" ca="1" si="51"/>
        <v>0.57825627753660347</v>
      </c>
      <c r="AZ131" s="107">
        <f t="shared" ca="1" si="52"/>
        <v>0.57835716439295015</v>
      </c>
      <c r="BB131" s="39">
        <f ca="1">_xll.EURO(UnderlyingPrice,$D131,IntRate,Yield,AX131,$D$6,1,0)</f>
        <v>3.5377680878552145</v>
      </c>
      <c r="BC131" s="39">
        <f ca="1">_xll.EURO(UnderlyingPrice,$D131*(1+$P$8),IntRate,Yield,AY131,$D$6,1,0)</f>
        <v>3.5370134437691805</v>
      </c>
      <c r="BD131" s="39">
        <f ca="1">_xll.EURO(UnderlyingPrice,$D131*(1-$P$8),IntRate,Yield,AZ131,$D$6,1,0)</f>
        <v>3.538522740640146</v>
      </c>
      <c r="BF131" s="59">
        <f t="shared" ca="1" si="53"/>
        <v>1.4408613139743084E-2</v>
      </c>
      <c r="BG131" s="39">
        <f t="shared" ca="1" si="54"/>
        <v>1.476842506542516E-2</v>
      </c>
      <c r="BI131" s="58"/>
    </row>
    <row r="132" spans="3:61" x14ac:dyDescent="0.2">
      <c r="C132" s="98"/>
      <c r="D132" s="63">
        <f t="shared" ca="1" si="70"/>
        <v>1.5160000000000007</v>
      </c>
      <c r="E132" s="45">
        <f t="shared" ca="1" si="40"/>
        <v>-0.70727939756709779</v>
      </c>
      <c r="F132" s="45">
        <f t="shared" ca="1" si="58"/>
        <v>-0.70713303726588128</v>
      </c>
      <c r="G132" s="45">
        <f t="shared" ca="1" si="59"/>
        <v>-0.70742575786831419</v>
      </c>
      <c r="H132" s="45">
        <f t="shared" ca="1" si="60"/>
        <v>0.52163789414399786</v>
      </c>
      <c r="I132" s="45">
        <f t="shared" ca="1" si="61"/>
        <v>0.52164464001846855</v>
      </c>
      <c r="J132" s="45">
        <f t="shared" ca="1" si="62"/>
        <v>0.52165138588019766</v>
      </c>
      <c r="L132" s="58"/>
      <c r="M132" s="58"/>
      <c r="O132" s="58"/>
      <c r="P132" s="58"/>
      <c r="R132" s="59">
        <f t="shared" ca="1" si="64"/>
        <v>0.672901445523574</v>
      </c>
      <c r="S132" s="59">
        <f t="shared" ca="1" si="65"/>
        <v>-1.1520671015582278</v>
      </c>
      <c r="T132" s="59">
        <f t="shared" ca="1" si="63"/>
        <v>-1.3272586064927758</v>
      </c>
      <c r="U132" s="59">
        <f t="shared" ca="1" si="66"/>
        <v>-4.3391708263566526</v>
      </c>
      <c r="V132" s="59"/>
      <c r="W132" s="105">
        <f t="shared" ca="1" si="67"/>
        <v>2.482486459695254E-3</v>
      </c>
      <c r="Z132" s="59">
        <f t="shared" ca="1" si="68"/>
        <v>0.66810241140105997</v>
      </c>
      <c r="AA132" s="59">
        <f t="shared" ca="1" si="69"/>
        <v>-1.15096458125164</v>
      </c>
      <c r="AB132" s="59">
        <f t="shared" ca="1" si="38"/>
        <v>-1.3247194672957632</v>
      </c>
      <c r="AC132" s="59">
        <f t="shared" ca="1" si="44"/>
        <v>-4.2693157183485164</v>
      </c>
      <c r="AD132" s="60">
        <f t="shared" ca="1" si="39"/>
        <v>1.3991353905176638E-2</v>
      </c>
      <c r="AE132" s="60">
        <f t="shared" ca="1" si="45"/>
        <v>9.3476572828141494E-3</v>
      </c>
      <c r="AF132" s="60"/>
      <c r="AG132" s="93">
        <f t="shared" ca="1" si="71"/>
        <v>-2.4351789455367592</v>
      </c>
      <c r="AH132" s="97">
        <f t="shared" ca="1" si="47"/>
        <v>-2.920824579973714</v>
      </c>
      <c r="AI132" s="97">
        <f t="shared" ca="1" si="48"/>
        <v>-2.9233634017277486</v>
      </c>
      <c r="AJ132" s="62"/>
      <c r="AK132" s="97">
        <f t="shared" ca="1" si="49"/>
        <v>1.4823606528963226E-3</v>
      </c>
      <c r="AL132" s="62"/>
      <c r="AM132" s="95"/>
      <c r="AN132" s="96"/>
      <c r="AX132" s="107">
        <f t="shared" ca="1" si="50"/>
        <v>0.58079395665712252</v>
      </c>
      <c r="AY132" s="107">
        <f t="shared" ca="1" si="51"/>
        <v>0.58074394592055412</v>
      </c>
      <c r="AZ132" s="107">
        <f t="shared" ca="1" si="52"/>
        <v>0.58084398357754596</v>
      </c>
      <c r="BB132" s="39">
        <f ca="1">_xll.EURO(UnderlyingPrice,$D132,IntRate,Yield,AX132,$D$6,1,0)</f>
        <v>3.5746850426053056</v>
      </c>
      <c r="BC132" s="39">
        <f ca="1">_xll.EURO(UnderlyingPrice,$D132*(1+$P$8),IntRate,Yield,AY132,$D$6,1,0)</f>
        <v>3.5739484554906626</v>
      </c>
      <c r="BD132" s="39">
        <f ca="1">_xll.EURO(UnderlyingPrice,$D132*(1-$P$8),IntRate,Yield,AZ132,$D$6,1,0)</f>
        <v>3.5754216372428238</v>
      </c>
      <c r="BF132" s="59">
        <f t="shared" ca="1" si="53"/>
        <v>1.3093188517856555E-2</v>
      </c>
      <c r="BG132" s="39">
        <f t="shared" ca="1" si="54"/>
        <v>1.3420151656379158E-2</v>
      </c>
      <c r="BI132" s="58"/>
    </row>
    <row r="133" spans="3:61" x14ac:dyDescent="0.2">
      <c r="C133" s="98"/>
      <c r="D133" s="63">
        <f t="shared" ca="1" si="70"/>
        <v>1.4780000000000006</v>
      </c>
      <c r="E133" s="45">
        <f t="shared" ca="1" si="40"/>
        <v>-0.71461672137478272</v>
      </c>
      <c r="F133" s="45">
        <f t="shared" ca="1" si="58"/>
        <v>-0.71447402973547014</v>
      </c>
      <c r="G133" s="45">
        <f t="shared" ca="1" si="59"/>
        <v>-0.71475941301409529</v>
      </c>
      <c r="H133" s="45">
        <f t="shared" ca="1" si="60"/>
        <v>0.52197619815773888</v>
      </c>
      <c r="I133" s="45">
        <f t="shared" ca="1" si="61"/>
        <v>0.52198277231113288</v>
      </c>
      <c r="J133" s="45">
        <f t="shared" ca="1" si="62"/>
        <v>0.52198934637283212</v>
      </c>
      <c r="L133" s="58"/>
      <c r="M133" s="58"/>
      <c r="O133" s="58"/>
      <c r="P133" s="58"/>
      <c r="R133" s="59">
        <f t="shared" ca="1" si="64"/>
        <v>0.69020202396058072</v>
      </c>
      <c r="S133" s="59">
        <f t="shared" ca="1" si="65"/>
        <v>-1.1774525662523976</v>
      </c>
      <c r="T133" s="59">
        <f t="shared" ca="1" si="63"/>
        <v>-1.3863945457743567</v>
      </c>
      <c r="U133" s="59">
        <f t="shared" ca="1" si="66"/>
        <v>-4.5325023604409491</v>
      </c>
      <c r="V133" s="59"/>
      <c r="W133" s="105">
        <f t="shared" ca="1" si="67"/>
        <v>1.9012035619914919E-3</v>
      </c>
      <c r="Z133" s="59">
        <f t="shared" ca="1" si="68"/>
        <v>0.68527960465765003</v>
      </c>
      <c r="AA133" s="59">
        <f t="shared" ca="1" si="69"/>
        <v>-1.1763500459458098</v>
      </c>
      <c r="AB133" s="59">
        <f t="shared" ca="1" si="38"/>
        <v>-1.383799430596709</v>
      </c>
      <c r="AC133" s="59">
        <f t="shared" ca="1" si="44"/>
        <v>-4.4597190619900777</v>
      </c>
      <c r="AD133" s="60">
        <f t="shared" ca="1" si="39"/>
        <v>1.1565612051129747E-2</v>
      </c>
      <c r="AE133" s="60">
        <f t="shared" ca="1" si="45"/>
        <v>7.9256780540219469E-3</v>
      </c>
      <c r="AF133" s="60"/>
      <c r="AG133" s="93">
        <f t="shared" ca="1" si="71"/>
        <v>-2.460650995612617</v>
      </c>
      <c r="AH133" s="97">
        <f t="shared" ca="1" si="47"/>
        <v>-2.9852737446048039</v>
      </c>
      <c r="AI133" s="97">
        <f t="shared" ca="1" si="48"/>
        <v>-2.9878125663588389</v>
      </c>
      <c r="AJ133" s="62"/>
      <c r="AK133" s="97">
        <f t="shared" ca="1" si="49"/>
        <v>1.1068043119441149E-3</v>
      </c>
      <c r="AL133" s="62"/>
      <c r="AM133" s="95"/>
      <c r="AN133" s="96"/>
      <c r="AX133" s="107">
        <f t="shared" ca="1" si="50"/>
        <v>0.583321874228099</v>
      </c>
      <c r="AY133" s="107">
        <f t="shared" ca="1" si="51"/>
        <v>0.58327232354396397</v>
      </c>
      <c r="AZ133" s="107">
        <f t="shared" ca="1" si="52"/>
        <v>0.5833714403871928</v>
      </c>
      <c r="BB133" s="39">
        <f ca="1">_xll.EURO(UnderlyingPrice,$D133,IntRate,Yield,AX133,$D$6,1,0)</f>
        <v>3.611620913984118</v>
      </c>
      <c r="BC133" s="39">
        <f ca="1">_xll.EURO(UnderlyingPrice,$D133*(1+$P$8),IntRate,Yield,AY133,$D$6,1,0)</f>
        <v>3.6109024395115386</v>
      </c>
      <c r="BD133" s="39">
        <f ca="1">_xll.EURO(UnderlyingPrice,$D133*(1-$P$8),IntRate,Yield,AZ133,$D$6,1,0)</f>
        <v>3.6123393949344571</v>
      </c>
      <c r="BF133" s="59">
        <f t="shared" ca="1" si="53"/>
        <v>1.1861400059702329E-2</v>
      </c>
      <c r="BG133" s="39">
        <f t="shared" ca="1" si="54"/>
        <v>1.2157602973568826E-2</v>
      </c>
      <c r="BI133" s="58"/>
    </row>
    <row r="134" spans="3:61" x14ac:dyDescent="0.2">
      <c r="C134" s="98"/>
      <c r="D134" s="63">
        <f t="shared" ca="1" si="70"/>
        <v>1.4400000000000006</v>
      </c>
      <c r="E134" s="45">
        <f t="shared" ca="1" si="40"/>
        <v>-0.72195404518246753</v>
      </c>
      <c r="F134" s="45">
        <f t="shared" ca="1" si="58"/>
        <v>-0.72181502220505878</v>
      </c>
      <c r="G134" s="45">
        <f t="shared" ca="1" si="59"/>
        <v>-0.72209306815987628</v>
      </c>
      <c r="H134" s="45">
        <f t="shared" ca="1" si="60"/>
        <v>0.52231426357488531</v>
      </c>
      <c r="I134" s="45">
        <f t="shared" ca="1" si="61"/>
        <v>0.52232066215334605</v>
      </c>
      <c r="J134" s="45">
        <f t="shared" ca="1" si="62"/>
        <v>0.52232706056922218</v>
      </c>
      <c r="L134" s="58"/>
      <c r="M134" s="58"/>
      <c r="O134" s="58"/>
      <c r="P134" s="58"/>
      <c r="R134" s="59">
        <f t="shared" ca="1" si="64"/>
        <v>0.70841568848176262</v>
      </c>
      <c r="S134" s="59">
        <f t="shared" ca="1" si="65"/>
        <v>-1.2034992751904983</v>
      </c>
      <c r="T134" s="59">
        <f t="shared" ca="1" si="63"/>
        <v>-1.4484105053840546</v>
      </c>
      <c r="U134" s="59">
        <f t="shared" ca="1" si="66"/>
        <v>-4.7352494674406866</v>
      </c>
      <c r="V134" s="59"/>
      <c r="W134" s="105">
        <f t="shared" ca="1" si="67"/>
        <v>1.4364089627057132E-3</v>
      </c>
      <c r="Z134" s="59">
        <f t="shared" ca="1" si="68"/>
        <v>0.70336337200278265</v>
      </c>
      <c r="AA134" s="59">
        <f t="shared" ca="1" si="69"/>
        <v>-1.2023967548839105</v>
      </c>
      <c r="AB134" s="59">
        <f t="shared" ca="1" si="38"/>
        <v>-1.4457579561553588</v>
      </c>
      <c r="AC134" s="59">
        <f t="shared" ca="1" si="44"/>
        <v>-4.6593994574123823</v>
      </c>
      <c r="AD134" s="60">
        <f t="shared" ca="1" si="39"/>
        <v>9.4721491229248604E-3</v>
      </c>
      <c r="AE134" s="60">
        <f t="shared" ca="1" si="45"/>
        <v>6.6623627472136302E-3</v>
      </c>
      <c r="AF134" s="60"/>
      <c r="AG134" s="93">
        <f t="shared" ca="1" si="71"/>
        <v>-2.4861230456884749</v>
      </c>
      <c r="AH134" s="97">
        <f t="shared" ca="1" si="47"/>
        <v>-3.0514016903672183</v>
      </c>
      <c r="AI134" s="97">
        <f t="shared" ca="1" si="48"/>
        <v>-3.0539405121212528</v>
      </c>
      <c r="AJ134" s="62"/>
      <c r="AK134" s="97">
        <f t="shared" ca="1" si="49"/>
        <v>8.1472001845313443E-4</v>
      </c>
      <c r="AL134" s="62"/>
      <c r="AM134" s="95"/>
      <c r="AN134" s="96"/>
      <c r="AX134" s="107">
        <f t="shared" ca="1" si="50"/>
        <v>0.58589070917909425</v>
      </c>
      <c r="AY134" s="107">
        <f t="shared" ca="1" si="51"/>
        <v>0.58584165472601135</v>
      </c>
      <c r="AZ134" s="107">
        <f t="shared" ca="1" si="52"/>
        <v>0.58593977840920963</v>
      </c>
      <c r="BB134" s="39">
        <f ca="1">_xll.EURO(UnderlyingPrice,$D134,IntRate,Yield,AX134,$D$6,1,0)</f>
        <v>3.6485739229551566</v>
      </c>
      <c r="BC134" s="39">
        <f ca="1">_xll.EURO(UnderlyingPrice,$D134*(1+$P$8),IntRate,Yield,AY134,$D$6,1,0)</f>
        <v>3.6478736117806783</v>
      </c>
      <c r="BD134" s="39">
        <f ca="1">_xll.EURO(UnderlyingPrice,$D134*(1-$P$8),IntRate,Yield,AZ134,$D$6,1,0)</f>
        <v>3.6492742396819633</v>
      </c>
      <c r="BF134" s="59">
        <f t="shared" ca="1" si="53"/>
        <v>1.071050998234392E-2</v>
      </c>
      <c r="BG134" s="39">
        <f t="shared" ca="1" si="54"/>
        <v>1.0977972866134899E-2</v>
      </c>
      <c r="BI134" s="58"/>
    </row>
    <row r="135" spans="3:61" x14ac:dyDescent="0.2">
      <c r="C135" s="98"/>
      <c r="D135" s="63">
        <f t="shared" ca="1" si="70"/>
        <v>1.4020000000000006</v>
      </c>
      <c r="E135" s="45">
        <f t="shared" ca="1" si="40"/>
        <v>-0.72929136899015246</v>
      </c>
      <c r="F135" s="45">
        <f t="shared" ca="1" si="58"/>
        <v>-0.72915601467464752</v>
      </c>
      <c r="G135" s="45">
        <f t="shared" ca="1" si="59"/>
        <v>-0.72942672330565728</v>
      </c>
      <c r="H135" s="45">
        <f t="shared" ca="1" si="60"/>
        <v>0.52265187965145365</v>
      </c>
      <c r="I135" s="45">
        <f t="shared" ca="1" si="61"/>
        <v>0.52265809911692473</v>
      </c>
      <c r="J135" s="45">
        <f t="shared" ca="1" si="62"/>
        <v>0.52266431835666882</v>
      </c>
      <c r="L135" s="58"/>
      <c r="M135" s="58"/>
      <c r="O135" s="58"/>
      <c r="P135" s="58"/>
      <c r="R135" s="59">
        <f t="shared" ca="1" si="64"/>
        <v>0.72761668431793036</v>
      </c>
      <c r="S135" s="59">
        <f t="shared" ca="1" si="65"/>
        <v>-1.2302426001660094</v>
      </c>
      <c r="T135" s="59">
        <f t="shared" ca="1" si="63"/>
        <v>-1.5134968552632238</v>
      </c>
      <c r="U135" s="59">
        <f t="shared" ca="1" si="66"/>
        <v>-4.9480345186795089</v>
      </c>
      <c r="V135" s="59"/>
      <c r="W135" s="105">
        <f t="shared" ca="1" si="67"/>
        <v>1.0696513666072715E-3</v>
      </c>
      <c r="Z135" s="59">
        <f t="shared" ca="1" si="68"/>
        <v>0.72242742916120328</v>
      </c>
      <c r="AA135" s="59">
        <f t="shared" ca="1" si="69"/>
        <v>-1.2291400798594216</v>
      </c>
      <c r="AB135" s="59">
        <f t="shared" ca="1" si="38"/>
        <v>-1.5107853359168255</v>
      </c>
      <c r="AC135" s="59">
        <f t="shared" ca="1" si="44"/>
        <v>-4.8689701789066291</v>
      </c>
      <c r="AD135" s="60">
        <f t="shared" ca="1" si="39"/>
        <v>7.681271551645958E-3</v>
      </c>
      <c r="AE135" s="60">
        <f t="shared" ca="1" si="45"/>
        <v>5.5491612597446767E-3</v>
      </c>
      <c r="AF135" s="60"/>
      <c r="AG135" s="93">
        <f t="shared" ca="1" si="71"/>
        <v>-2.5115950957643327</v>
      </c>
      <c r="AH135" s="97">
        <f t="shared" ca="1" si="47"/>
        <v>-3.1192982199322365</v>
      </c>
      <c r="AI135" s="97">
        <f t="shared" ca="1" si="48"/>
        <v>-3.1218370416862715</v>
      </c>
      <c r="AJ135" s="62"/>
      <c r="AK135" s="97">
        <f t="shared" ca="1" si="49"/>
        <v>5.9068787070222148E-4</v>
      </c>
      <c r="AL135" s="62"/>
      <c r="AM135" s="95"/>
      <c r="AN135" s="96"/>
      <c r="AX135" s="107">
        <f t="shared" ca="1" si="50"/>
        <v>0.58850070546317357</v>
      </c>
      <c r="AY135" s="107">
        <f t="shared" ca="1" si="51"/>
        <v>0.58845218378587416</v>
      </c>
      <c r="AZ135" s="107">
        <f t="shared" ca="1" si="52"/>
        <v>0.58854924123091545</v>
      </c>
      <c r="BB135" s="39">
        <f ca="1">_xll.EURO(UnderlyingPrice,$D135,IntRate,Yield,AX135,$D$6,1,0)</f>
        <v>3.6855424072961718</v>
      </c>
      <c r="BC135" s="39">
        <f ca="1">_xll.EURO(UnderlyingPrice,$D135*(1+$P$8),IntRate,Yield,AY135,$D$6,1,0)</f>
        <v>3.6848603053724087</v>
      </c>
      <c r="BD135" s="39">
        <f ca="1">_xll.EURO(UnderlyingPrice,$D135*(1-$P$8),IntRate,Yield,AZ135,$D$6,1,0)</f>
        <v>3.6862245139559318</v>
      </c>
      <c r="BF135" s="59">
        <f t="shared" ca="1" si="53"/>
        <v>9.6377428696183872E-3</v>
      </c>
      <c r="BG135" s="39">
        <f t="shared" ca="1" si="54"/>
        <v>9.8784166102146263E-3</v>
      </c>
      <c r="BI135" s="58"/>
    </row>
    <row r="136" spans="3:61" x14ac:dyDescent="0.2">
      <c r="D136" s="63">
        <f t="shared" ca="1" si="70"/>
        <v>1.3640000000000005</v>
      </c>
      <c r="E136" s="45">
        <f t="shared" ca="1" si="40"/>
        <v>-0.73662869279783738</v>
      </c>
      <c r="F136" s="45">
        <f t="shared" ca="1" si="58"/>
        <v>-0.73649700714423627</v>
      </c>
      <c r="G136" s="45">
        <f t="shared" ca="1" si="59"/>
        <v>-0.73676037845143838</v>
      </c>
      <c r="H136" s="45">
        <f t="shared" ca="1" si="60"/>
        <v>0.52298883564346021</v>
      </c>
      <c r="I136" s="45">
        <f t="shared" ca="1" si="61"/>
        <v>0.52299487277368506</v>
      </c>
      <c r="J136" s="45">
        <f t="shared" ca="1" si="62"/>
        <v>0.52300090962247292</v>
      </c>
      <c r="L136" s="58"/>
      <c r="M136" s="58"/>
      <c r="O136" s="58"/>
      <c r="P136" s="58"/>
      <c r="R136" s="59">
        <f t="shared" ca="1" si="64"/>
        <v>0.74788753036197819</v>
      </c>
      <c r="S136" s="59">
        <f t="shared" ca="1" si="65"/>
        <v>-1.2577208293571374</v>
      </c>
      <c r="T136" s="59">
        <f t="shared" ca="1" si="63"/>
        <v>-1.5818616845988054</v>
      </c>
      <c r="U136" s="59">
        <f t="shared" ca="1" si="66"/>
        <v>-5.171537814533572</v>
      </c>
      <c r="V136" s="59"/>
      <c r="W136" s="105">
        <f t="shared" ca="1" si="67"/>
        <v>7.8431622676048264E-4</v>
      </c>
      <c r="Z136" s="59">
        <f t="shared" ca="1" si="68"/>
        <v>0.74255370651320152</v>
      </c>
      <c r="AA136" s="59">
        <f t="shared" ca="1" si="69"/>
        <v>-1.2566183090505496</v>
      </c>
      <c r="AB136" s="59">
        <f t="shared" ca="1" si="38"/>
        <v>-1.5790895746410627</v>
      </c>
      <c r="AC136" s="59">
        <f t="shared" ca="1" si="44"/>
        <v>-5.0891015857549808</v>
      </c>
      <c r="AD136" s="60">
        <f t="shared" ca="1" si="39"/>
        <v>6.1635548259182556E-3</v>
      </c>
      <c r="AE136" s="60">
        <f t="shared" ca="1" si="45"/>
        <v>4.576770481282931E-3</v>
      </c>
      <c r="AF136" s="60"/>
      <c r="AG136" s="93">
        <f t="shared" ca="1" si="71"/>
        <v>-2.5370671458401906</v>
      </c>
      <c r="AH136" s="97">
        <f t="shared" ca="1" si="47"/>
        <v>-3.1890605401515142</v>
      </c>
      <c r="AI136" s="97">
        <f t="shared" ca="1" si="48"/>
        <v>-3.1915993619055492</v>
      </c>
      <c r="AJ136" s="62"/>
      <c r="AK136" s="97">
        <f t="shared" ca="1" si="49"/>
        <v>4.2137945745936888E-4</v>
      </c>
      <c r="AL136" s="62"/>
      <c r="AM136" s="95"/>
      <c r="AN136" s="96"/>
      <c r="AX136" s="107">
        <f t="shared" ca="1" si="50"/>
        <v>0.59115210703340271</v>
      </c>
      <c r="AY136" s="107">
        <f t="shared" ca="1" si="51"/>
        <v>0.59110415504273084</v>
      </c>
      <c r="AZ136" s="107">
        <f t="shared" ca="1" si="52"/>
        <v>0.59120007243962913</v>
      </c>
      <c r="BB136" s="39">
        <f ca="1">_xll.EURO(UnderlyingPrice,$D136,IntRate,Yield,AX136,$D$6,1,0)</f>
        <v>3.7225248175997092</v>
      </c>
      <c r="BC136" s="39">
        <f ca="1">_xll.EURO(UnderlyingPrice,$D136*(1+$P$8),IntRate,Yield,AY136,$D$6,1,0)</f>
        <v>3.7218609664780153</v>
      </c>
      <c r="BD136" s="39">
        <f ca="1">_xll.EURO(UnderlyingPrice,$D136*(1-$P$8),IntRate,Yield,AZ136,$D$6,1,0)</f>
        <v>3.7231886727402195</v>
      </c>
      <c r="BF136" s="59">
        <f t="shared" ca="1" si="53"/>
        <v>8.6403118110070162E-3</v>
      </c>
      <c r="BG136" s="39">
        <f t="shared" ca="1" si="54"/>
        <v>8.8560777005524029E-3</v>
      </c>
      <c r="BI136" s="58"/>
    </row>
    <row r="137" spans="3:61" x14ac:dyDescent="0.2">
      <c r="D137" s="63">
        <f t="shared" ca="1" si="70"/>
        <v>1.3260000000000005</v>
      </c>
      <c r="E137" s="45">
        <f t="shared" ca="1" si="40"/>
        <v>-0.7439660166055222</v>
      </c>
      <c r="F137" s="45">
        <f t="shared" ca="1" si="58"/>
        <v>-0.74383799961382502</v>
      </c>
      <c r="G137" s="45">
        <f t="shared" ca="1" si="59"/>
        <v>-0.74409403359721948</v>
      </c>
      <c r="H137" s="45">
        <f t="shared" ca="1" si="60"/>
        <v>0.52332492080692139</v>
      </c>
      <c r="I137" s="45">
        <f t="shared" ca="1" si="61"/>
        <v>0.52333077269544381</v>
      </c>
      <c r="J137" s="45">
        <f t="shared" ca="1" si="62"/>
        <v>0.52333662425393546</v>
      </c>
      <c r="L137" s="58"/>
      <c r="M137" s="58"/>
      <c r="O137" s="58"/>
      <c r="P137" s="58"/>
      <c r="R137" s="59">
        <f t="shared" ca="1" si="64"/>
        <v>0.76932020468607709</v>
      </c>
      <c r="S137" s="59">
        <f t="shared" ca="1" si="65"/>
        <v>-1.2859754970147368</v>
      </c>
      <c r="T137" s="59">
        <f t="shared" ca="1" si="63"/>
        <v>-1.6537329789222992</v>
      </c>
      <c r="U137" s="59">
        <f t="shared" ca="1" si="66"/>
        <v>-5.4065047019626</v>
      </c>
      <c r="V137" s="59"/>
      <c r="W137" s="105">
        <f t="shared" ca="1" si="67"/>
        <v>5.6565785791574789E-4</v>
      </c>
      <c r="Z137" s="59">
        <f t="shared" ca="1" si="68"/>
        <v>0.76383352615686795</v>
      </c>
      <c r="AA137" s="59">
        <f t="shared" ca="1" si="69"/>
        <v>-1.284872976708149</v>
      </c>
      <c r="AB137" s="59">
        <f t="shared" ca="1" si="38"/>
        <v>-1.6508985662748596</v>
      </c>
      <c r="AC137" s="59">
        <f t="shared" ca="1" si="44"/>
        <v>-5.3205281362583552</v>
      </c>
      <c r="AD137" s="60">
        <f t="shared" ca="1" si="39"/>
        <v>4.8901703668366436E-3</v>
      </c>
      <c r="AE137" s="60">
        <f t="shared" ca="1" si="45"/>
        <v>3.735276074808658E-3</v>
      </c>
      <c r="AF137" s="60"/>
      <c r="AG137" s="93">
        <f t="shared" ca="1" si="71"/>
        <v>-2.5625391959160484</v>
      </c>
      <c r="AH137" s="97">
        <f t="shared" ca="1" si="47"/>
        <v>-3.2607940990758695</v>
      </c>
      <c r="AI137" s="97">
        <f t="shared" ca="1" si="48"/>
        <v>-3.263332920829904</v>
      </c>
      <c r="AJ137" s="62"/>
      <c r="AK137" s="97">
        <f t="shared" ca="1" si="49"/>
        <v>2.9543717214661999E-4</v>
      </c>
      <c r="AL137" s="62"/>
      <c r="AM137" s="95"/>
      <c r="AN137" s="96"/>
      <c r="AX137" s="107">
        <f t="shared" ca="1" si="50"/>
        <v>0.59384515784284719</v>
      </c>
      <c r="AY137" s="107">
        <f t="shared" ca="1" si="51"/>
        <v>0.59379781281575938</v>
      </c>
      <c r="AZ137" s="107">
        <f t="shared" ca="1" si="52"/>
        <v>0.59389251562266965</v>
      </c>
      <c r="BB137" s="39">
        <f ca="1">_xll.EURO(UnderlyingPrice,$D137,IntRate,Yield,AX137,$D$6,1,0)</f>
        <v>3.7595197132320011</v>
      </c>
      <c r="BC137" s="39">
        <f ca="1">_xll.EURO(UnderlyingPrice,$D137*(1+$P$8),IntRate,Yield,AY137,$D$6,1,0)</f>
        <v>3.7588741503551573</v>
      </c>
      <c r="BD137" s="39">
        <f ca="1">_xll.EURO(UnderlyingPrice,$D137*(1-$P$8),IntRate,Yield,AZ137,$D$6,1,0)</f>
        <v>3.7601652795002911</v>
      </c>
      <c r="BF137" s="59">
        <f t="shared" ca="1" si="53"/>
        <v>7.7153899273086288E-3</v>
      </c>
      <c r="BG137" s="39">
        <f t="shared" ca="1" si="54"/>
        <v>7.9080586651121137E-3</v>
      </c>
      <c r="BI137" s="58"/>
    </row>
    <row r="138" spans="3:61" x14ac:dyDescent="0.2">
      <c r="D138" s="63">
        <f t="shared" ca="1" si="70"/>
        <v>1.2880000000000005</v>
      </c>
      <c r="E138" s="45">
        <f t="shared" ca="1" si="40"/>
        <v>-0.75130334041320712</v>
      </c>
      <c r="F138" s="45">
        <f t="shared" ca="1" si="58"/>
        <v>-0.75117899208341377</v>
      </c>
      <c r="G138" s="45">
        <f t="shared" ca="1" si="59"/>
        <v>-0.75142768874300048</v>
      </c>
      <c r="H138" s="45">
        <f t="shared" ca="1" si="60"/>
        <v>0.52365992439785369</v>
      </c>
      <c r="I138" s="45">
        <f t="shared" ca="1" si="61"/>
        <v>0.52366558845401745</v>
      </c>
      <c r="J138" s="45">
        <f t="shared" ca="1" si="62"/>
        <v>0.5236712521383573</v>
      </c>
      <c r="L138" s="58"/>
      <c r="M138" s="58"/>
      <c r="O138" s="58"/>
      <c r="P138" s="58"/>
      <c r="R138" s="59">
        <f t="shared" ca="1" si="64"/>
        <v>0.79201753991749879</v>
      </c>
      <c r="S138" s="59">
        <f t="shared" ca="1" si="65"/>
        <v>-1.3150517610962458</v>
      </c>
      <c r="T138" s="59">
        <f t="shared" ca="1" si="63"/>
        <v>-1.7293611343623374</v>
      </c>
      <c r="U138" s="59">
        <f t="shared" ca="1" si="66"/>
        <v>-5.6537537942881251</v>
      </c>
      <c r="V138" s="59"/>
      <c r="W138" s="105">
        <f t="shared" ca="1" si="67"/>
        <v>4.0078594327780452E-4</v>
      </c>
      <c r="Z138" s="59">
        <f t="shared" ca="1" si="68"/>
        <v>0.78636898733230354</v>
      </c>
      <c r="AA138" s="59">
        <f t="shared" ca="1" si="69"/>
        <v>-1.313949240789658</v>
      </c>
      <c r="AB138" s="59">
        <f t="shared" ca="1" si="38"/>
        <v>-1.7264626073717186</v>
      </c>
      <c r="AC138" s="59">
        <f t="shared" ca="1" si="44"/>
        <v>-5.5640564880046401</v>
      </c>
      <c r="AD138" s="60">
        <f t="shared" ca="1" si="39"/>
        <v>3.833195505537406E-3</v>
      </c>
      <c r="AE138" s="60">
        <f t="shared" ca="1" si="45"/>
        <v>3.0143060679361871E-3</v>
      </c>
      <c r="AF138" s="60"/>
      <c r="AG138" s="93">
        <f t="shared" ca="1" si="71"/>
        <v>-2.5880112459919062</v>
      </c>
      <c r="AH138" s="97">
        <f t="shared" ca="1" si="47"/>
        <v>-3.3346135447004595</v>
      </c>
      <c r="AI138" s="97">
        <f t="shared" ca="1" si="48"/>
        <v>-3.337152366454494</v>
      </c>
      <c r="AJ138" s="62"/>
      <c r="AK138" s="97">
        <f t="shared" ca="1" si="49"/>
        <v>2.0332750580913462E-4</v>
      </c>
      <c r="AL138" s="62"/>
      <c r="AM138" s="95"/>
      <c r="AX138" s="107">
        <f t="shared" ca="1" si="50"/>
        <v>0.59658010184457277</v>
      </c>
      <c r="AY138" s="107">
        <f t="shared" ca="1" si="51"/>
        <v>0.59653340142413813</v>
      </c>
      <c r="AZ138" s="107">
        <f t="shared" ca="1" si="52"/>
        <v>0.59662681436735587</v>
      </c>
      <c r="BB138" s="39">
        <f ca="1">_xll.EURO(UnderlyingPrice,$D138,IntRate,Yield,AX138,$D$6,1,0)</f>
        <v>3.7965257582642131</v>
      </c>
      <c r="BC138" s="39">
        <f ca="1">_xll.EURO(UnderlyingPrice,$D138*(1+$P$8),IntRate,Yield,AY138,$D$6,1,0)</f>
        <v>3.7958985172493356</v>
      </c>
      <c r="BD138" s="39">
        <f ca="1">_xll.EURO(UnderlyingPrice,$D138*(1-$P$8),IntRate,Yield,AZ138,$D$6,1,0)</f>
        <v>3.7971530021242392</v>
      </c>
      <c r="BF138" s="59">
        <f t="shared" ca="1" si="53"/>
        <v>6.8601426379750812E-3</v>
      </c>
      <c r="BG138" s="39">
        <f t="shared" ca="1" si="54"/>
        <v>7.03145413819262E-3</v>
      </c>
      <c r="BI138" s="58"/>
    </row>
    <row r="139" spans="3:61" x14ac:dyDescent="0.2">
      <c r="D139" s="63">
        <f t="shared" ca="1" si="70"/>
        <v>1.2500000000000004</v>
      </c>
      <c r="E139" s="45">
        <f t="shared" ca="1" si="40"/>
        <v>-0.75864066422089205</v>
      </c>
      <c r="F139" s="45">
        <f t="shared" ca="1" si="58"/>
        <v>-0.7585199845530024</v>
      </c>
      <c r="G139" s="45">
        <f t="shared" ca="1" si="59"/>
        <v>-0.75876134388878147</v>
      </c>
      <c r="H139" s="45">
        <f t="shared" ca="1" si="60"/>
        <v>0.52399363567227319</v>
      </c>
      <c r="I139" s="45">
        <f t="shared" ca="1" si="61"/>
        <v>0.52399910962122231</v>
      </c>
      <c r="J139" s="45">
        <f t="shared" ca="1" si="62"/>
        <v>0.52400458316303977</v>
      </c>
      <c r="L139" s="58"/>
      <c r="M139" s="58"/>
      <c r="O139" s="58"/>
      <c r="P139" s="58"/>
      <c r="R139" s="59">
        <f t="shared" ca="1" si="64"/>
        <v>0.81609487313099072</v>
      </c>
      <c r="S139" s="59">
        <f t="shared" ca="1" si="65"/>
        <v>-1.3449988374641979</v>
      </c>
      <c r="T139" s="59">
        <f t="shared" ca="1" si="63"/>
        <v>-1.8090218727800438</v>
      </c>
      <c r="U139" s="59">
        <f t="shared" ca="1" si="66"/>
        <v>-5.9141865015670305</v>
      </c>
      <c r="V139" s="59"/>
      <c r="W139" s="105">
        <f t="shared" ca="1" si="67"/>
        <v>2.7861016077855859E-4</v>
      </c>
      <c r="Z139" s="59">
        <f t="shared" ca="1" si="68"/>
        <v>0.81027460454720557</v>
      </c>
      <c r="AA139" s="59">
        <f t="shared" ca="1" si="69"/>
        <v>-1.3438963171576102</v>
      </c>
      <c r="AB139" s="59">
        <f t="shared" ca="1" si="38"/>
        <v>-1.806057311269788</v>
      </c>
      <c r="AC139" s="59">
        <f t="shared" ca="1" si="44"/>
        <v>-5.8205748897029332</v>
      </c>
      <c r="AD139" s="60">
        <f t="shared" ca="1" si="39"/>
        <v>2.9658995894409138E-3</v>
      </c>
      <c r="AE139" s="60">
        <f t="shared" ca="1" si="45"/>
        <v>2.4031931169609558E-3</v>
      </c>
      <c r="AF139" s="60"/>
      <c r="AG139" s="93">
        <f t="shared" ca="1" si="71"/>
        <v>-2.6134832960677641</v>
      </c>
      <c r="AH139" s="97">
        <f t="shared" ca="1" si="47"/>
        <v>-3.4106438273173159</v>
      </c>
      <c r="AI139" s="97">
        <f t="shared" ca="1" si="48"/>
        <v>-3.4131826490713508</v>
      </c>
      <c r="AJ139" s="62"/>
      <c r="AK139" s="97">
        <f t="shared" ca="1" si="49"/>
        <v>1.3717493180437013E-4</v>
      </c>
      <c r="AL139" s="62"/>
      <c r="AM139" s="95"/>
      <c r="AX139" s="107">
        <f t="shared" ca="1" si="50"/>
        <v>0.59935718299164487</v>
      </c>
      <c r="AY139" s="107">
        <f t="shared" ca="1" si="51"/>
        <v>0.59931116518704508</v>
      </c>
      <c r="AZ139" s="107">
        <f t="shared" ca="1" si="52"/>
        <v>0.59940321226100679</v>
      </c>
      <c r="BB139" s="39">
        <f ca="1">_xll.EURO(UnderlyingPrice,$D139,IntRate,Yield,AX139,$D$6,1,0)</f>
        <v>3.8335417173883584</v>
      </c>
      <c r="BC139" s="39">
        <f ca="1">_xll.EURO(UnderlyingPrice,$D139*(1+$P$8),IntRate,Yield,AY139,$D$6,1,0)</f>
        <v>3.832932828299759</v>
      </c>
      <c r="BD139" s="39">
        <f ca="1">_xll.EURO(UnderlyingPrice,$D139*(1-$P$8),IntRate,Yield,AZ139,$D$6,1,0)</f>
        <v>3.8341506088487374</v>
      </c>
      <c r="BF139" s="59">
        <f t="shared" ca="1" si="53"/>
        <v>6.071757070458257E-3</v>
      </c>
      <c r="BG139" s="39">
        <f t="shared" ca="1" si="54"/>
        <v>6.2233810041850465E-3</v>
      </c>
      <c r="BI139" s="58"/>
    </row>
    <row r="140" spans="3:61" x14ac:dyDescent="0.2">
      <c r="C140" s="98" t="s">
        <v>96</v>
      </c>
      <c r="D140" s="63">
        <f ca="1">MaxStrike</f>
        <v>6.0000000000000044</v>
      </c>
      <c r="E140" s="45">
        <f t="shared" ca="1" si="40"/>
        <v>0.15852481173971888</v>
      </c>
      <c r="F140" s="45">
        <f t="shared" ca="1" si="58"/>
        <v>0.15910407414558869</v>
      </c>
      <c r="G140" s="45">
        <f t="shared" ca="1" si="59"/>
        <v>0.15794554933384908</v>
      </c>
      <c r="H140" s="45">
        <f t="shared" ca="1" si="60"/>
        <v>0.53922817419439129</v>
      </c>
      <c r="I140" s="45">
        <f t="shared" ca="1" si="61"/>
        <v>0.5391394359219418</v>
      </c>
      <c r="J140" s="45">
        <f t="shared" ca="1" si="62"/>
        <v>0.53905085221080151</v>
      </c>
      <c r="L140" s="58"/>
      <c r="M140" s="58"/>
      <c r="O140" s="58"/>
      <c r="P140" s="58"/>
      <c r="R140" s="59">
        <f ca="1">(1/($D140*SQRT(2*PI()*T/365.25*$I$140^2)))</f>
        <v>0.16264592264048394</v>
      </c>
      <c r="S140" s="59">
        <f ca="1">LN($D140/UnderlyingPrice)+0.5*T/365.25*$I$140^2</f>
        <v>0.23070802879096686</v>
      </c>
      <c r="T140" s="59">
        <f t="shared" ca="1" si="63"/>
        <v>-5.322619454861359E-2</v>
      </c>
      <c r="U140" s="59">
        <f ca="1">T140/(2*T/365.25*$I$140^2)</f>
        <v>-0.15924439360611689</v>
      </c>
      <c r="V140" s="59"/>
      <c r="W140" s="105">
        <f ca="1">(Alpha2*R140)*EXP(Gamma2^2*U140)</f>
        <v>0.15969940009686004</v>
      </c>
      <c r="Z140" s="59">
        <f t="shared" ca="1" si="68"/>
        <v>0.16880720928066775</v>
      </c>
      <c r="AA140" s="59">
        <f t="shared" ca="1" si="69"/>
        <v>0.22471960075623537</v>
      </c>
      <c r="AB140" s="59">
        <f t="shared" ca="1" si="38"/>
        <v>-5.0498898964041819E-2</v>
      </c>
      <c r="AC140" s="59">
        <f t="shared" ca="1" si="44"/>
        <v>-0.16274822589162</v>
      </c>
      <c r="AD140" s="60">
        <f t="shared" ca="1" si="39"/>
        <v>0.84980512040867928</v>
      </c>
      <c r="AE140" s="60">
        <f t="shared" ca="1" si="45"/>
        <v>0.14345323080861097</v>
      </c>
      <c r="AF140" s="60"/>
      <c r="AG140" s="93">
        <f ca="1">MaxStandard</f>
        <v>0.57052296341447983</v>
      </c>
      <c r="AH140" s="97">
        <f t="shared" ca="1" si="47"/>
        <v>0.57179205693876489</v>
      </c>
      <c r="AI140" s="97">
        <f t="shared" ca="1" si="48"/>
        <v>0.56925323518472981</v>
      </c>
      <c r="AJ140" s="62"/>
      <c r="AK140" s="97">
        <f t="shared" ca="1" si="49"/>
        <v>0.37741775256898197</v>
      </c>
      <c r="AL140" s="62"/>
      <c r="AM140" s="95"/>
      <c r="AX140" s="107">
        <f t="shared" ca="1" si="50"/>
        <v>0.50126882945319895</v>
      </c>
      <c r="AY140" s="107">
        <f t="shared" ca="1" si="51"/>
        <v>0.50131572355120568</v>
      </c>
      <c r="AZ140" s="107">
        <f t="shared" ca="1" si="52"/>
        <v>0.50122200944292583</v>
      </c>
      <c r="BB140" s="39">
        <f ca="1">_xll.EURO(UnderlyingPrice,$D140,IntRate,Yield,AX140,$D$6,1,0)</f>
        <v>0.48143135228332112</v>
      </c>
      <c r="BC140" s="39">
        <f ca="1">_xll.EURO(UnderlyingPrice,$D140*(1+$P$8),IntRate,Yield,AY140,$D$6,1,0)</f>
        <v>0.48067717225919337</v>
      </c>
      <c r="BD140" s="39">
        <f ca="1">_xll.EURO(UnderlyingPrice,$D140*(1-$P$8),IntRate,Yield,AZ140,$D$6,1,0)</f>
        <v>0.4821869079874801</v>
      </c>
      <c r="BF140" s="59">
        <f t="shared" ca="1" si="53"/>
        <v>0.15285333680263094</v>
      </c>
      <c r="BG140" s="39">
        <f t="shared" ca="1" si="54"/>
        <v>0.15667039073616909</v>
      </c>
      <c r="BI140" s="58"/>
    </row>
    <row r="141" spans="3:61" x14ac:dyDescent="0.2">
      <c r="C141" s="56">
        <v>10</v>
      </c>
      <c r="D141" s="63">
        <f ca="1">+D140+UTFactor*(ROUNDUP(MAX(StrikeRange),1)-ROUNDDOWN(MIN(StrikeRange),1))/100</f>
        <v>6.3800000000000043</v>
      </c>
      <c r="E141" s="45">
        <f t="shared" ca="1" si="40"/>
        <v>0.2318980498165677</v>
      </c>
      <c r="F141" s="45">
        <f t="shared" ca="1" si="58"/>
        <v>0.23251399884147594</v>
      </c>
      <c r="G141" s="45">
        <f t="shared" ca="1" si="59"/>
        <v>0.23128210079165945</v>
      </c>
      <c r="H141" s="45">
        <f t="shared" ca="1" si="60"/>
        <v>0.55176089448337107</v>
      </c>
      <c r="I141" s="45">
        <f t="shared" ca="1" si="61"/>
        <v>0.55164482256329372</v>
      </c>
      <c r="J141" s="45">
        <f t="shared" ca="1" si="62"/>
        <v>0.55152894023146604</v>
      </c>
      <c r="L141" s="58"/>
      <c r="M141" s="58"/>
      <c r="O141" s="58"/>
      <c r="P141" s="58"/>
      <c r="R141" s="59">
        <f t="shared" ref="R141:R164" ca="1" si="72">(1/($D141*SQRT(2*PI()*T/365.25*$I$140^2)))</f>
        <v>0.1529585479377592</v>
      </c>
      <c r="S141" s="59">
        <f t="shared" ref="S141:S164" ca="1" si="73">LN($D141/UnderlyingPrice)+0.5*T/365.25*$I$140^2</f>
        <v>0.29211665691961031</v>
      </c>
      <c r="T141" s="59">
        <f t="shared" ca="1" si="63"/>
        <v>-8.5332141249889318E-2</v>
      </c>
      <c r="U141" s="59">
        <f t="shared" ref="U141:U164" ca="1" si="74">T141/(2*T/365.25*$I$140^2)</f>
        <v>-0.25530033104356298</v>
      </c>
      <c r="V141" s="59"/>
      <c r="W141" s="105">
        <f t="shared" ref="W141:W164" ca="1" si="75">(Alpha2*R141)*EXP(Gamma2^2*U141)</f>
        <v>0.12989503999649582</v>
      </c>
      <c r="Z141" s="59">
        <f t="shared" ca="1" si="68"/>
        <v>0.15875286139247755</v>
      </c>
      <c r="AA141" s="59">
        <f t="shared" ca="1" si="69"/>
        <v>0.28612822888487888</v>
      </c>
      <c r="AB141" s="59">
        <f t="shared" ca="1" si="38"/>
        <v>-8.1869363364797637E-2</v>
      </c>
      <c r="AC141" s="59">
        <f t="shared" ca="1" si="44"/>
        <v>-0.26384919108800253</v>
      </c>
      <c r="AD141" s="60">
        <f t="shared" ca="1" si="39"/>
        <v>0.76808936564424068</v>
      </c>
      <c r="AE141" s="60">
        <f t="shared" ca="1" si="45"/>
        <v>0.12193638460115615</v>
      </c>
      <c r="AF141" s="60"/>
      <c r="AG141" s="94">
        <f ca="1">AG140+UTFactor*(MaxStandard-MinStandard)/100</f>
        <v>0.8252434641730596</v>
      </c>
      <c r="AH141" s="97">
        <f t="shared" ca="1" si="47"/>
        <v>0.72769760492510072</v>
      </c>
      <c r="AI141" s="97">
        <f t="shared" ca="1" si="48"/>
        <v>0.72515878317106552</v>
      </c>
      <c r="AJ141" s="62"/>
      <c r="AK141" s="97">
        <f t="shared" ca="1" si="49"/>
        <v>0.32642321339040975</v>
      </c>
      <c r="AL141" s="62"/>
      <c r="AM141" s="95"/>
      <c r="AX141" s="107">
        <f t="shared" ca="1" si="50"/>
        <v>0.50775774826148845</v>
      </c>
      <c r="AY141" s="107">
        <f t="shared" ca="1" si="51"/>
        <v>0.50781656104866035</v>
      </c>
      <c r="AZ141" s="107">
        <f t="shared" ca="1" si="52"/>
        <v>0.50769900205190588</v>
      </c>
      <c r="BB141" s="39">
        <f ca="1">_xll.EURO(UnderlyingPrice,$D141,IntRate,Yield,AX141,$D$6,1,0)</f>
        <v>0.3961180958804793</v>
      </c>
      <c r="BC141" s="39">
        <f ca="1">_xll.EURO(UnderlyingPrice,$D141*(1+$P$8),IntRate,Yield,AY141,$D$6,1,0)</f>
        <v>0.39548302256053347</v>
      </c>
      <c r="BD141" s="39">
        <f ca="1">_xll.EURO(UnderlyingPrice,$D141*(1-$P$8),IntRate,Yield,AZ141,$D$6,1,0)</f>
        <v>0.39675442222634572</v>
      </c>
      <c r="BF141" s="59">
        <f t="shared" ca="1" si="53"/>
        <v>0.12313419881662456</v>
      </c>
      <c r="BG141" s="39">
        <f t="shared" ca="1" si="54"/>
        <v>0.1262091063572624</v>
      </c>
      <c r="BI141" s="58"/>
    </row>
    <row r="142" spans="3:61" x14ac:dyDescent="0.2">
      <c r="C142" s="56"/>
      <c r="D142" s="63">
        <f t="shared" ref="D142:D164" ca="1" si="76">+D141+UTFactor*(ROUNDUP(MAX(StrikeRange),1)-ROUNDDOWN(MIN(StrikeRange),1))/100</f>
        <v>6.7600000000000042</v>
      </c>
      <c r="E142" s="45">
        <f t="shared" ca="1" si="40"/>
        <v>0.30527128789341651</v>
      </c>
      <c r="F142" s="45">
        <f t="shared" ca="1" si="58"/>
        <v>0.3059239235373632</v>
      </c>
      <c r="G142" s="45">
        <f t="shared" ca="1" si="59"/>
        <v>0.30461865224946982</v>
      </c>
      <c r="H142" s="45">
        <f t="shared" ca="1" si="60"/>
        <v>0.56698835250169144</v>
      </c>
      <c r="I142" s="45">
        <f t="shared" ca="1" si="61"/>
        <v>0.56684048772673901</v>
      </c>
      <c r="J142" s="45">
        <f t="shared" ca="1" si="62"/>
        <v>0.5666928524450946</v>
      </c>
      <c r="L142" s="58"/>
      <c r="M142" s="58"/>
      <c r="O142" s="58"/>
      <c r="P142" s="58"/>
      <c r="R142" s="59">
        <f t="shared" ca="1" si="72"/>
        <v>0.14436028636729348</v>
      </c>
      <c r="S142" s="59">
        <f t="shared" ca="1" si="73"/>
        <v>0.34997144961778448</v>
      </c>
      <c r="T142" s="59">
        <f t="shared" ca="1" si="63"/>
        <v>-0.12248001554757346</v>
      </c>
      <c r="U142" s="59">
        <f t="shared" ca="1" si="74"/>
        <v>-0.3664409219961629</v>
      </c>
      <c r="V142" s="59"/>
      <c r="W142" s="105">
        <f t="shared" ca="1" si="75"/>
        <v>0.10363948334709429</v>
      </c>
      <c r="Z142" s="59">
        <f t="shared" ca="1" si="68"/>
        <v>0.14982888397692407</v>
      </c>
      <c r="AA142" s="59">
        <f t="shared" ca="1" si="69"/>
        <v>0.34398302158305299</v>
      </c>
      <c r="AB142" s="59">
        <f t="shared" ca="1" si="38"/>
        <v>-0.1183243191374071</v>
      </c>
      <c r="AC142" s="59">
        <f t="shared" ref="AC142:AC164" ca="1" si="77">AB142/(2*T/365.25*ATMImpVol^2)</f>
        <v>-0.38133649276510029</v>
      </c>
      <c r="AD142" s="60">
        <f t="shared" ca="1" si="39"/>
        <v>0.68294804387564989</v>
      </c>
      <c r="AE142" s="60">
        <f t="shared" ref="AE142:AE164" ca="1" si="78">AD142*Z142</f>
        <v>0.10232534322811199</v>
      </c>
      <c r="AF142" s="60"/>
      <c r="AG142" s="94">
        <f t="shared" ref="AG142:AG164" ca="1" si="79">AG141+UTFactor*(MaxStandard-MinStandard)/100</f>
        <v>1.0799639649316393</v>
      </c>
      <c r="AH142" s="97">
        <f t="shared" ref="AH142:AH164" ca="1" si="80">(LN(($D142*(1+$P$8))/UnderlyingPrice)+0.5*ATMImpVol^2*(T/365.25))/(ATMImpVol*SQRT(T/365.25))</f>
        <v>0.87458059896217899</v>
      </c>
      <c r="AI142" s="97">
        <f t="shared" ref="AI142:AI164" ca="1" si="81">(LN($D142*(1-$P$8)/UnderlyingPrice)+0.5*ATMImpVol^2*(T/365.25))/(ATMImpVol*SQRT(T/365.25))</f>
        <v>0.8720417772081438</v>
      </c>
      <c r="AJ142" s="62"/>
      <c r="AK142" s="97">
        <f t="shared" ref="AK142:AK164" ca="1" si="82">W142/(AH142-AI142)*(D142*2*$P$8)</f>
        <v>0.27595592574107369</v>
      </c>
      <c r="AL142" s="62"/>
      <c r="AM142" s="95"/>
      <c r="AX142" s="107">
        <f t="shared" ref="AX142:AX164" ca="1" si="83">OFFSET(ENAVolCoef,0,impvol_order-2)+OFFSET(ENAVolCoef,1,impvol_order-2)*E142+OFFSET(ENAVolCoef,2,impvol_order-2)*E142^2+IF(impvol_order&gt;2,OFFSET(ENAVolCoef,3,impvol_order-2)*E142^3,0)+IF(impvol_order&gt;3,OFFSET(ENAVolCoef,4,impvol_order-2)*E142^4,0)+IF(impvol_order&gt;4,OFFSET(ENAVolCoef,5,impvol_order-2)*E142^5,0)</f>
        <v>0.51519141052556994</v>
      </c>
      <c r="AY142" s="107">
        <f t="shared" ref="AY142:AY164" ca="1" si="84">OFFSET(ENAVolCoef,0,impvol_order-2)+OFFSET(ENAVolCoef,1,impvol_order-2)*F142+OFFSET(ENAVolCoef,2,impvol_order-2)*F142^2+IF(impvol_order&gt;2,OFFSET(ENAVolCoef,3,impvol_order-2)*F142^3,0)+IF(impvol_order&gt;3,OFFSET(ENAVolCoef,4,impvol_order-2)*F142^4,0)+IF(impvol_order&gt;4,OFFSET(ENAVolCoef,5,impvol_order-2)*F142^5,0)</f>
        <v>0.51526103701132742</v>
      </c>
      <c r="AZ142" s="107">
        <f t="shared" ref="AZ142:AZ164" ca="1" si="85">OFFSET(ENAVolCoef,0,impvol_order-2)+OFFSET(ENAVolCoef,1,impvol_order-2)*G142+OFFSET(ENAVolCoef,2,impvol_order-2)*G142^2+IF(impvol_order&gt;2,OFFSET(ENAVolCoef,3,impvol_order-2)*G142^3,0)+IF(impvol_order&gt;3,OFFSET(ENAVolCoef,4,impvol_order-2)*G142^4,0)+IF(impvol_order&gt;4,OFFSET(ENAVolCoef,5,impvol_order-2)*G142^5,0)</f>
        <v>0.51512183948378554</v>
      </c>
      <c r="BB142" s="39">
        <f ca="1">_xll.EURO(UnderlyingPrice,$D142,IntRate,Yield,AX142,$D$6,1,0)</f>
        <v>0.32863014350829722</v>
      </c>
      <c r="BC142" s="39">
        <f ca="1">_xll.EURO(UnderlyingPrice,$D142*(1+$P$8),IntRate,Yield,AY142,$D$6,1,0)</f>
        <v>0.32809810318958932</v>
      </c>
      <c r="BD142" s="39">
        <f ca="1">_xll.EURO(UnderlyingPrice,$D142*(1-$P$8),IntRate,Yield,AZ142,$D$6,1,0)</f>
        <v>0.3291632927969772</v>
      </c>
      <c r="BF142" s="59">
        <f t="shared" ref="BF142:BF164" ca="1" si="86">(BC142+BD142-2*BB142)/($P$8*$D142)^2</f>
        <v>9.7070303217197021E-2</v>
      </c>
      <c r="BG142" s="39">
        <f t="shared" ref="BG142:BG164" ca="1" si="87">+BF142/$D$9</f>
        <v>9.9494343087542625E-2</v>
      </c>
      <c r="BI142" s="58"/>
    </row>
    <row r="143" spans="3:61" x14ac:dyDescent="0.2">
      <c r="C143" s="56"/>
      <c r="D143" s="63">
        <f t="shared" ca="1" si="76"/>
        <v>7.1400000000000041</v>
      </c>
      <c r="E143" s="45">
        <f t="shared" ca="1" si="40"/>
        <v>0.37864452597026532</v>
      </c>
      <c r="F143" s="45">
        <f t="shared" ca="1" si="58"/>
        <v>0.37933384823325045</v>
      </c>
      <c r="G143" s="45">
        <f t="shared" ca="1" si="59"/>
        <v>0.3779552037072802</v>
      </c>
      <c r="H143" s="45">
        <f t="shared" ca="1" si="60"/>
        <v>0.58512129223297971</v>
      </c>
      <c r="I143" s="45">
        <f t="shared" ca="1" si="61"/>
        <v>0.58493685959578212</v>
      </c>
      <c r="J143" s="45">
        <f t="shared" ca="1" si="62"/>
        <v>0.58475270155071102</v>
      </c>
      <c r="L143" s="58"/>
      <c r="M143" s="58"/>
      <c r="O143" s="58"/>
      <c r="P143" s="58"/>
      <c r="R143" s="59">
        <f t="shared" ca="1" si="72"/>
        <v>0.13667724591637309</v>
      </c>
      <c r="S143" s="59">
        <f t="shared" ca="1" si="73"/>
        <v>0.40466133591440479</v>
      </c>
      <c r="T143" s="59">
        <f t="shared" ca="1" si="63"/>
        <v>-0.16375079678403076</v>
      </c>
      <c r="U143" s="59">
        <f t="shared" ca="1" si="74"/>
        <v>-0.48991660135640258</v>
      </c>
      <c r="V143" s="59"/>
      <c r="W143" s="105">
        <f t="shared" ca="1" si="75"/>
        <v>8.1421091899059495E-2</v>
      </c>
      <c r="Z143" s="59">
        <f t="shared" ca="1" si="68"/>
        <v>0.14185479771484688</v>
      </c>
      <c r="AA143" s="59">
        <f t="shared" ca="1" si="69"/>
        <v>0.3986729078796733</v>
      </c>
      <c r="AB143" s="59">
        <f t="shared" ca="1" si="38"/>
        <v>-0.15894008747723448</v>
      </c>
      <c r="AC143" s="59">
        <f t="shared" ca="1" si="77"/>
        <v>-0.51223329202479795</v>
      </c>
      <c r="AD143" s="60">
        <f t="shared" ca="1" si="39"/>
        <v>0.59915599322485813</v>
      </c>
      <c r="AE143" s="60">
        <f t="shared" ca="1" si="78"/>
        <v>8.4993152218550416E-2</v>
      </c>
      <c r="AF143" s="60"/>
      <c r="AG143" s="94">
        <f t="shared" ca="1" si="79"/>
        <v>1.334684465690219</v>
      </c>
      <c r="AH143" s="97">
        <f t="shared" ca="1" si="80"/>
        <v>1.0134284604471011</v>
      </c>
      <c r="AI143" s="97">
        <f t="shared" ca="1" si="81"/>
        <v>1.0108896386930657</v>
      </c>
      <c r="AJ143" s="62"/>
      <c r="AK143" s="97">
        <f t="shared" ca="1" si="82"/>
        <v>0.22898283238484332</v>
      </c>
      <c r="AL143" s="62"/>
      <c r="AM143" s="95"/>
      <c r="AX143" s="107">
        <f t="shared" ca="1" si="83"/>
        <v>0.52332586317985663</v>
      </c>
      <c r="AY143" s="107">
        <f t="shared" ca="1" si="84"/>
        <v>0.52340483226102652</v>
      </c>
      <c r="AZ143" s="107">
        <f t="shared" ca="1" si="85"/>
        <v>0.52324693441964243</v>
      </c>
      <c r="BB143" s="39">
        <f ca="1">_xll.EURO(UnderlyingPrice,$D143,IntRate,Yield,AX143,$D$6,1,0)</f>
        <v>0.27521175181537494</v>
      </c>
      <c r="BC143" s="39">
        <f ca="1">_xll.EURO(UnderlyingPrice,$D143*(1+$P$8),IntRate,Yield,AY143,$D$6,1,0)</f>
        <v>0.27476614851746151</v>
      </c>
      <c r="BD143" s="39">
        <f ca="1">_xll.EURO(UnderlyingPrice,$D143*(1-$P$8),IntRate,Yield,AZ143,$D$6,1,0)</f>
        <v>0.27565831531319351</v>
      </c>
      <c r="BF143" s="59">
        <f t="shared" ca="1" si="86"/>
        <v>7.5339932454729988E-2</v>
      </c>
      <c r="BG143" s="39">
        <f t="shared" ca="1" si="87"/>
        <v>7.7221321448547986E-2</v>
      </c>
      <c r="BI143" s="58"/>
    </row>
    <row r="144" spans="3:61" x14ac:dyDescent="0.2">
      <c r="C144" s="56"/>
      <c r="D144" s="63">
        <f t="shared" ca="1" si="76"/>
        <v>7.520000000000004</v>
      </c>
      <c r="E144" s="45">
        <f t="shared" ca="1" si="40"/>
        <v>0.45201776404711413</v>
      </c>
      <c r="F144" s="45">
        <f t="shared" ca="1" si="58"/>
        <v>0.45274377292913748</v>
      </c>
      <c r="G144" s="45">
        <f t="shared" ca="1" si="59"/>
        <v>0.45129175516509057</v>
      </c>
      <c r="H144" s="45">
        <f t="shared" ca="1" si="60"/>
        <v>0.60637045766086317</v>
      </c>
      <c r="I144" s="45">
        <f t="shared" ca="1" si="61"/>
        <v>0.60614436635392777</v>
      </c>
      <c r="J144" s="45">
        <f t="shared" ca="1" si="62"/>
        <v>0.60591860024733946</v>
      </c>
      <c r="L144" s="58"/>
      <c r="M144" s="58"/>
      <c r="O144" s="58"/>
      <c r="P144" s="58"/>
      <c r="R144" s="59">
        <f t="shared" ca="1" si="72"/>
        <v>0.12977068295783298</v>
      </c>
      <c r="S144" s="59">
        <f t="shared" ca="1" si="73"/>
        <v>0.45651469752466017</v>
      </c>
      <c r="T144" s="59">
        <f t="shared" ca="1" si="63"/>
        <v>-0.20840566905603197</v>
      </c>
      <c r="U144" s="59">
        <f t="shared" ca="1" si="74"/>
        <v>-0.6235169482686479</v>
      </c>
      <c r="V144" s="59"/>
      <c r="W144" s="105">
        <f t="shared" ca="1" si="75"/>
        <v>6.3173610195123089E-2</v>
      </c>
      <c r="Z144" s="59">
        <f t="shared" ca="1" si="68"/>
        <v>0.13468660314946898</v>
      </c>
      <c r="AA144" s="59">
        <f t="shared" ca="1" si="69"/>
        <v>0.45052626948992869</v>
      </c>
      <c r="AB144" s="59">
        <f t="shared" ref="AB144:AB164" ca="1" si="88">-(AA144^2)</f>
        <v>-0.20297391950051186</v>
      </c>
      <c r="AC144" s="59">
        <f t="shared" ca="1" si="77"/>
        <v>-0.65414585225904998</v>
      </c>
      <c r="AD144" s="60">
        <f t="shared" ref="AD144:AD164" ca="1" si="89">EXP(AC144)</f>
        <v>0.5198859323895697</v>
      </c>
      <c r="AE144" s="60">
        <f t="shared" ca="1" si="78"/>
        <v>7.002167025874563E-2</v>
      </c>
      <c r="AF144" s="60"/>
      <c r="AG144" s="94">
        <f t="shared" ca="1" si="79"/>
        <v>1.5894049664487988</v>
      </c>
      <c r="AH144" s="97">
        <f t="shared" ca="1" si="80"/>
        <v>1.1450748919525406</v>
      </c>
      <c r="AI144" s="97">
        <f t="shared" ca="1" si="81"/>
        <v>1.1425360701985057</v>
      </c>
      <c r="AJ144" s="62"/>
      <c r="AK144" s="97">
        <f t="shared" ca="1" si="82"/>
        <v>0.18712048134623882</v>
      </c>
      <c r="AL144" s="62"/>
      <c r="AM144" s="95"/>
      <c r="AX144" s="107">
        <f t="shared" ca="1" si="83"/>
        <v>0.53191715315876154</v>
      </c>
      <c r="AY144" s="107">
        <f t="shared" ca="1" si="84"/>
        <v>0.5320036276195772</v>
      </c>
      <c r="AZ144" s="107">
        <f t="shared" ca="1" si="85"/>
        <v>0.5318306995405534</v>
      </c>
      <c r="BB144" s="39">
        <f ca="1">_xll.EURO(UnderlyingPrice,$D144,IntRate,Yield,AX144,$D$6,1,0)</f>
        <v>0.23272354709283094</v>
      </c>
      <c r="BC144" s="39">
        <f ca="1">_xll.EURO(UnderlyingPrice,$D144*(1+$P$8),IntRate,Yield,AY144,$D$6,1,0)</f>
        <v>0.23234879468808467</v>
      </c>
      <c r="BD144" s="39">
        <f ca="1">_xll.EURO(UnderlyingPrice,$D144*(1-$P$8),IntRate,Yield,AZ144,$D$6,1,0)</f>
        <v>0.23309911718188203</v>
      </c>
      <c r="BF144" s="59">
        <f t="shared" ca="1" si="86"/>
        <v>5.7837561171720744E-2</v>
      </c>
      <c r="BG144" s="39">
        <f t="shared" ca="1" si="87"/>
        <v>5.9281880903267289E-2</v>
      </c>
      <c r="BI144" s="58"/>
    </row>
    <row r="145" spans="3:61" x14ac:dyDescent="0.2">
      <c r="C145" s="56"/>
      <c r="D145" s="63">
        <f t="shared" ca="1" si="76"/>
        <v>7.9000000000000039</v>
      </c>
      <c r="E145" s="45">
        <f t="shared" ca="1" si="40"/>
        <v>0.52539100212396272</v>
      </c>
      <c r="F145" s="45">
        <f t="shared" ca="1" si="58"/>
        <v>0.52615369762502473</v>
      </c>
      <c r="G145" s="45">
        <f t="shared" ca="1" si="59"/>
        <v>0.52462830662290094</v>
      </c>
      <c r="H145" s="45">
        <f t="shared" ca="1" si="60"/>
        <v>0.63094659276896869</v>
      </c>
      <c r="I145" s="45">
        <f t="shared" ca="1" si="61"/>
        <v>0.63067343618468052</v>
      </c>
      <c r="J145" s="45">
        <f t="shared" ca="1" si="62"/>
        <v>0.63040066123400429</v>
      </c>
      <c r="L145" s="58"/>
      <c r="M145" s="58"/>
      <c r="O145" s="58"/>
      <c r="P145" s="58"/>
      <c r="R145" s="59">
        <f t="shared" ca="1" si="72"/>
        <v>0.12352854884087391</v>
      </c>
      <c r="S145" s="59">
        <f t="shared" ca="1" si="73"/>
        <v>0.50581131903588739</v>
      </c>
      <c r="T145" s="59">
        <f t="shared" ca="1" si="63"/>
        <v>-0.25584509046482423</v>
      </c>
      <c r="U145" s="59">
        <f t="shared" ca="1" si="74"/>
        <v>-0.76544822776991628</v>
      </c>
      <c r="V145" s="59"/>
      <c r="W145" s="105">
        <f t="shared" ca="1" si="75"/>
        <v>4.8526310958802492E-2</v>
      </c>
      <c r="Z145" s="59">
        <f t="shared" ca="1" si="68"/>
        <v>0.12820800704860846</v>
      </c>
      <c r="AA145" s="59">
        <f t="shared" ca="1" si="69"/>
        <v>0.4998228910011559</v>
      </c>
      <c r="AB145" s="59">
        <f t="shared" ca="1" si="88"/>
        <v>-0.24982292236875336</v>
      </c>
      <c r="AC145" s="59">
        <f t="shared" ca="1" si="77"/>
        <v>-0.80513116595919387</v>
      </c>
      <c r="AD145" s="60">
        <f t="shared" ca="1" si="89"/>
        <v>0.44702928768842126</v>
      </c>
      <c r="AE145" s="60">
        <f t="shared" ca="1" si="78"/>
        <v>5.7312734066891531E-2</v>
      </c>
      <c r="AF145" s="60"/>
      <c r="AG145" s="94">
        <f t="shared" ca="1" si="79"/>
        <v>1.8441254672073786</v>
      </c>
      <c r="AH145" s="97">
        <f t="shared" ca="1" si="80"/>
        <v>1.270230216616079</v>
      </c>
      <c r="AI145" s="97">
        <f t="shared" ca="1" si="81"/>
        <v>1.2676913948620443</v>
      </c>
      <c r="AJ145" s="62"/>
      <c r="AK145" s="97">
        <f t="shared" ca="1" si="82"/>
        <v>0.15099833454841785</v>
      </c>
      <c r="AL145" s="62"/>
      <c r="AM145" s="95"/>
      <c r="AX145" s="107">
        <f t="shared" ca="1" si="83"/>
        <v>0.5407213273966982</v>
      </c>
      <c r="AY145" s="107">
        <f t="shared" ca="1" si="84"/>
        <v>0.54081310390879889</v>
      </c>
      <c r="AZ145" s="107">
        <f t="shared" ca="1" si="85"/>
        <v>0.54062954752759596</v>
      </c>
      <c r="BB145" s="39">
        <f ca="1">_xll.EURO(UnderlyingPrice,$D145,IntRate,Yield,AX145,$D$6,1,0)</f>
        <v>0.19863199310679081</v>
      </c>
      <c r="BC145" s="39">
        <f ca="1">_xll.EURO(UnderlyingPrice,$D145*(1+$P$8),IntRate,Yield,AY145,$D$6,1,0)</f>
        <v>0.19831426595029866</v>
      </c>
      <c r="BD145" s="39">
        <f ca="1">_xll.EURO(UnderlyingPrice,$D145*(1-$P$8),IntRate,Yield,AZ145,$D$6,1,0)</f>
        <v>0.19895040773443684</v>
      </c>
      <c r="BF145" s="59">
        <f t="shared" ca="1" si="86"/>
        <v>4.4061602556826972E-2</v>
      </c>
      <c r="BG145" s="39">
        <f t="shared" ca="1" si="87"/>
        <v>4.5161909013170132E-2</v>
      </c>
      <c r="BI145" s="58"/>
    </row>
    <row r="146" spans="3:61" x14ac:dyDescent="0.2">
      <c r="C146" s="56"/>
      <c r="D146" s="63">
        <f t="shared" ca="1" si="76"/>
        <v>8.2800000000000047</v>
      </c>
      <c r="E146" s="45">
        <f t="shared" ca="1" si="40"/>
        <v>0.59876424020081176</v>
      </c>
      <c r="F146" s="45">
        <f t="shared" ca="1" si="58"/>
        <v>0.5995636223209122</v>
      </c>
      <c r="G146" s="45">
        <f t="shared" ca="1" si="59"/>
        <v>0.59796485808071154</v>
      </c>
      <c r="H146" s="45">
        <f t="shared" ca="1" si="60"/>
        <v>0.65906044154092425</v>
      </c>
      <c r="I146" s="45">
        <f t="shared" ca="1" si="61"/>
        <v>0.65873449727154487</v>
      </c>
      <c r="J146" s="45">
        <f t="shared" ca="1" si="62"/>
        <v>0.65840899720972956</v>
      </c>
      <c r="L146" s="58"/>
      <c r="M146" s="58"/>
      <c r="O146" s="58"/>
      <c r="P146" s="58"/>
      <c r="R146" s="59">
        <f t="shared" ca="1" si="72"/>
        <v>0.11785936423223475</v>
      </c>
      <c r="S146" s="59">
        <f t="shared" ca="1" si="73"/>
        <v>0.55279152796008002</v>
      </c>
      <c r="T146" s="59">
        <f t="shared" ca="1" si="63"/>
        <v>-0.30557847338443994</v>
      </c>
      <c r="U146" s="59">
        <f t="shared" ca="1" si="74"/>
        <v>-0.91424267892650946</v>
      </c>
      <c r="V146" s="59"/>
      <c r="W146" s="105">
        <f t="shared" ca="1" si="75"/>
        <v>3.6976055416716572E-2</v>
      </c>
      <c r="Z146" s="59">
        <f t="shared" ca="1" si="68"/>
        <v>0.12232406469613608</v>
      </c>
      <c r="AA146" s="59">
        <f t="shared" ca="1" si="69"/>
        <v>0.54680309992534859</v>
      </c>
      <c r="AB146" s="59">
        <f t="shared" ca="1" si="88"/>
        <v>-0.29899363008797075</v>
      </c>
      <c r="AC146" s="59">
        <f t="shared" ca="1" si="77"/>
        <v>-0.96359888726211229</v>
      </c>
      <c r="AD146" s="60">
        <f t="shared" ca="1" si="89"/>
        <v>0.38151737428540639</v>
      </c>
      <c r="AE146" s="60">
        <f t="shared" ca="1" si="78"/>
        <v>4.6668755974788013E-2</v>
      </c>
      <c r="AF146" s="60"/>
      <c r="AG146" s="94">
        <f t="shared" ca="1" si="79"/>
        <v>2.0988459679659583</v>
      </c>
      <c r="AH146" s="97">
        <f t="shared" ca="1" si="80"/>
        <v>1.3895045831024126</v>
      </c>
      <c r="AI146" s="97">
        <f t="shared" ca="1" si="81"/>
        <v>1.3869657613483777</v>
      </c>
      <c r="AJ146" s="62"/>
      <c r="AK146" s="97">
        <f t="shared" ca="1" si="82"/>
        <v>0.1205920574628085</v>
      </c>
      <c r="AL146" s="62"/>
      <c r="AM146" s="95"/>
      <c r="AX146" s="107">
        <f t="shared" ca="1" si="83"/>
        <v>0.54949443282807975</v>
      </c>
      <c r="AY146" s="107">
        <f t="shared" ca="1" si="84"/>
        <v>0.54958894195051122</v>
      </c>
      <c r="AZ146" s="107">
        <f t="shared" ca="1" si="85"/>
        <v>0.54939989106184728</v>
      </c>
      <c r="BB146" s="39">
        <f ca="1">_xll.EURO(UnderlyingPrice,$D146,IntRate,Yield,AX146,$D$6,1,0)</f>
        <v>0.17094014037320082</v>
      </c>
      <c r="BC146" s="39">
        <f ca="1">_xll.EURO(UnderlyingPrice,$D146*(1+$P$8),IntRate,Yield,AY146,$D$6,1,0)</f>
        <v>0.17066760720979246</v>
      </c>
      <c r="BD146" s="39">
        <f ca="1">_xll.EURO(UnderlyingPrice,$D146*(1-$P$8),IntRate,Yield,AZ146,$D$6,1,0)</f>
        <v>0.17121324564390716</v>
      </c>
      <c r="BF146" s="59">
        <f t="shared" ca="1" si="86"/>
        <v>3.3379267776394717E-2</v>
      </c>
      <c r="BG146" s="39">
        <f t="shared" ca="1" si="87"/>
        <v>3.4212814940164038E-2</v>
      </c>
      <c r="BI146" s="58"/>
    </row>
    <row r="147" spans="3:61" x14ac:dyDescent="0.2">
      <c r="C147" s="56"/>
      <c r="D147" s="63">
        <f t="shared" ca="1" si="76"/>
        <v>8.6600000000000055</v>
      </c>
      <c r="E147" s="45">
        <f t="shared" ref="E147:E164" ca="1" si="90">+D147/UnderlyingPrice-1</f>
        <v>0.67213747827766079</v>
      </c>
      <c r="F147" s="45">
        <f t="shared" ca="1" si="58"/>
        <v>0.67297354701679946</v>
      </c>
      <c r="G147" s="45">
        <f t="shared" ca="1" si="59"/>
        <v>0.67130140953852191</v>
      </c>
      <c r="H147" s="45">
        <f t="shared" ca="1" si="60"/>
        <v>0.69092274796035646</v>
      </c>
      <c r="I147" s="45">
        <f t="shared" ca="1" si="61"/>
        <v>0.69053797779802539</v>
      </c>
      <c r="J147" s="45">
        <f t="shared" ca="1" si="62"/>
        <v>0.69015372087353899</v>
      </c>
      <c r="L147" s="58"/>
      <c r="M147" s="58"/>
      <c r="O147" s="58"/>
      <c r="P147" s="58"/>
      <c r="R147" s="59">
        <f t="shared" ca="1" si="72"/>
        <v>0.1126877062174254</v>
      </c>
      <c r="S147" s="59">
        <f t="shared" ca="1" si="73"/>
        <v>0.59766328213725561</v>
      </c>
      <c r="T147" s="59">
        <f t="shared" ca="1" si="63"/>
        <v>-0.35720139881507679</v>
      </c>
      <c r="U147" s="59">
        <f t="shared" ca="1" si="74"/>
        <v>-1.0686903437669351</v>
      </c>
      <c r="V147" s="59"/>
      <c r="W147" s="105">
        <f t="shared" ca="1" si="75"/>
        <v>2.7994285048336894E-2</v>
      </c>
      <c r="Z147" s="59">
        <f t="shared" ca="1" si="68"/>
        <v>0.11695649603741418</v>
      </c>
      <c r="AA147" s="59">
        <f t="shared" ca="1" si="69"/>
        <v>0.59167485410252407</v>
      </c>
      <c r="AB147" s="59">
        <f t="shared" ca="1" si="88"/>
        <v>-0.35007913297724313</v>
      </c>
      <c r="AC147" s="59">
        <f t="shared" ca="1" si="77"/>
        <v>-1.1282376246320185</v>
      </c>
      <c r="AD147" s="60">
        <f t="shared" ca="1" si="89"/>
        <v>0.32360306423655488</v>
      </c>
      <c r="AE147" s="60">
        <f t="shared" ca="1" si="78"/>
        <v>3.7847480500077718E-2</v>
      </c>
      <c r="AF147" s="60"/>
      <c r="AG147" s="94">
        <f t="shared" ca="1" si="79"/>
        <v>2.3535664687245381</v>
      </c>
      <c r="AH147" s="97">
        <f t="shared" ca="1" si="80"/>
        <v>1.5034259592557027</v>
      </c>
      <c r="AI147" s="97">
        <f t="shared" ca="1" si="81"/>
        <v>1.5008871375016675</v>
      </c>
      <c r="AJ147" s="62"/>
      <c r="AK147" s="97">
        <f t="shared" ca="1" si="82"/>
        <v>9.548937735911539E-2</v>
      </c>
      <c r="AL147" s="62"/>
      <c r="AM147" s="95"/>
      <c r="AX147" s="107">
        <f t="shared" ca="1" si="83"/>
        <v>0.55799251638731939</v>
      </c>
      <c r="AY147" s="107">
        <f t="shared" ca="1" si="84"/>
        <v>0.55808682256653364</v>
      </c>
      <c r="AZ147" s="107">
        <f t="shared" ca="1" si="85"/>
        <v>0.55789814282438477</v>
      </c>
      <c r="BB147" s="39">
        <f ca="1">_xll.EURO(UnderlyingPrice,$D147,IntRate,Yield,AX147,$D$6,1,0)</f>
        <v>0.14809802294463881</v>
      </c>
      <c r="BC147" s="39">
        <f ca="1">_xll.EURO(UnderlyingPrice,$D147*(1+$P$8),IntRate,Yield,AY147,$D$6,1,0)</f>
        <v>0.14786079119337181</v>
      </c>
      <c r="BD147" s="39">
        <f ca="1">_xll.EURO(UnderlyingPrice,$D147*(1-$P$8),IntRate,Yield,AZ147,$D$6,1,0)</f>
        <v>0.14833572671197393</v>
      </c>
      <c r="BF147" s="59">
        <f t="shared" ca="1" si="86"/>
        <v>2.5175667272235549E-2</v>
      </c>
      <c r="BG147" s="39">
        <f t="shared" ca="1" si="87"/>
        <v>2.5804354102376637E-2</v>
      </c>
      <c r="BI147" s="58"/>
    </row>
    <row r="148" spans="3:61" x14ac:dyDescent="0.2">
      <c r="C148" s="56"/>
      <c r="D148" s="63">
        <f t="shared" ca="1" si="76"/>
        <v>9.0400000000000063</v>
      </c>
      <c r="E148" s="45">
        <f t="shared" ca="1" si="90"/>
        <v>0.74551071635450961</v>
      </c>
      <c r="F148" s="45">
        <f t="shared" ca="1" si="58"/>
        <v>0.74638347171268693</v>
      </c>
      <c r="G148" s="45">
        <f t="shared" ca="1" si="59"/>
        <v>0.7446379609963325</v>
      </c>
      <c r="H148" s="45">
        <f t="shared" ca="1" si="60"/>
        <v>0.72674425601089299</v>
      </c>
      <c r="I148" s="45">
        <f t="shared" ca="1" si="61"/>
        <v>0.72629430594762656</v>
      </c>
      <c r="J148" s="45">
        <f t="shared" ca="1" si="62"/>
        <v>0.72584494492445739</v>
      </c>
      <c r="L148" s="58"/>
      <c r="M148" s="58"/>
      <c r="O148" s="58"/>
      <c r="P148" s="58"/>
      <c r="R148" s="59">
        <f t="shared" ca="1" si="72"/>
        <v>0.1079508336109407</v>
      </c>
      <c r="S148" s="59">
        <f t="shared" ca="1" si="73"/>
        <v>0.64060773396699688</v>
      </c>
      <c r="T148" s="59">
        <f t="shared" ca="1" si="63"/>
        <v>-0.41037826881833067</v>
      </c>
      <c r="U148" s="59">
        <f t="shared" ca="1" si="74"/>
        <v>-1.227787166099503</v>
      </c>
      <c r="V148" s="59"/>
      <c r="W148" s="105">
        <f t="shared" ca="1" si="75"/>
        <v>2.1086474128147809E-2</v>
      </c>
      <c r="Z148" s="59">
        <f t="shared" ca="1" si="68"/>
        <v>0.11204018315088569</v>
      </c>
      <c r="AA148" s="59">
        <f t="shared" ca="1" si="69"/>
        <v>0.63461930593226545</v>
      </c>
      <c r="AB148" s="59">
        <f t="shared" ca="1" si="88"/>
        <v>-0.40274166346195034</v>
      </c>
      <c r="AC148" s="59">
        <f t="shared" ca="1" si="77"/>
        <v>-1.2979588182258097</v>
      </c>
      <c r="AD148" s="60">
        <f t="shared" ca="1" si="89"/>
        <v>0.27308864809069616</v>
      </c>
      <c r="AE148" s="60">
        <f t="shared" ca="1" si="78"/>
        <v>3.059690214850937E-2</v>
      </c>
      <c r="AF148" s="60"/>
      <c r="AG148" s="94">
        <f t="shared" ca="1" si="79"/>
        <v>2.6082869694831179</v>
      </c>
      <c r="AH148" s="97">
        <f t="shared" ca="1" si="80"/>
        <v>1.6124542586904802</v>
      </c>
      <c r="AI148" s="97">
        <f t="shared" ca="1" si="81"/>
        <v>1.6099154369364448</v>
      </c>
      <c r="AJ148" s="62"/>
      <c r="AK148" s="97">
        <f t="shared" ca="1" si="82"/>
        <v>7.5082752783044465E-2</v>
      </c>
      <c r="AL148" s="62"/>
      <c r="AM148" s="95"/>
      <c r="AX148" s="107">
        <f t="shared" ca="1" si="83"/>
        <v>0.56597162500883025</v>
      </c>
      <c r="AY148" s="107">
        <f t="shared" ca="1" si="84"/>
        <v>0.56606242657868577</v>
      </c>
      <c r="AZ148" s="107">
        <f t="shared" ca="1" si="85"/>
        <v>0.5658807154962856</v>
      </c>
      <c r="BB148" s="39">
        <f ca="1">_xll.EURO(UnderlyingPrice,$D148,IntRate,Yield,AX148,$D$6,1,0)</f>
        <v>0.12891466091570958</v>
      </c>
      <c r="BC148" s="39">
        <f ca="1">_xll.EURO(UnderlyingPrice,$D148*(1+$P$8),IntRate,Yield,AY148,$D$6,1,0)</f>
        <v>0.12870459108507493</v>
      </c>
      <c r="BD148" s="39">
        <f ca="1">_xll.EURO(UnderlyingPrice,$D148*(1-$P$8),IntRate,Yield,AZ148,$D$6,1,0)</f>
        <v>0.12912511731799958</v>
      </c>
      <c r="BF148" s="59">
        <f t="shared" ca="1" si="86"/>
        <v>1.8921394361003766E-2</v>
      </c>
      <c r="BG148" s="39">
        <f t="shared" ca="1" si="87"/>
        <v>1.9393899471356401E-2</v>
      </c>
      <c r="BI148" s="58"/>
    </row>
    <row r="149" spans="3:61" x14ac:dyDescent="0.2">
      <c r="C149" s="56"/>
      <c r="D149" s="63">
        <f t="shared" ca="1" si="76"/>
        <v>9.420000000000007</v>
      </c>
      <c r="E149" s="45">
        <f t="shared" ca="1" si="90"/>
        <v>0.81888395443135864</v>
      </c>
      <c r="F149" s="45">
        <f t="shared" ca="1" si="58"/>
        <v>0.81979339640857418</v>
      </c>
      <c r="G149" s="45">
        <f t="shared" ca="1" si="59"/>
        <v>0.8179745124541431</v>
      </c>
      <c r="H149" s="45">
        <f t="shared" ca="1" si="60"/>
        <v>0.76673570967616067</v>
      </c>
      <c r="I149" s="45">
        <f t="shared" ca="1" si="61"/>
        <v>0.76621390990385296</v>
      </c>
      <c r="J149" s="45">
        <f t="shared" ca="1" si="62"/>
        <v>0.76569278206150837</v>
      </c>
      <c r="L149" s="58"/>
      <c r="M149" s="58"/>
      <c r="O149" s="58"/>
      <c r="P149" s="58"/>
      <c r="R149" s="59">
        <f t="shared" ca="1" si="72"/>
        <v>0.10359612907037195</v>
      </c>
      <c r="S149" s="59">
        <f t="shared" ca="1" si="73"/>
        <v>0.68178364815118364</v>
      </c>
      <c r="T149" s="59">
        <f t="shared" ca="1" si="63"/>
        <v>-0.46482894288633697</v>
      </c>
      <c r="U149" s="59">
        <f t="shared" ca="1" si="74"/>
        <v>-1.3906950096329054</v>
      </c>
      <c r="V149" s="59"/>
      <c r="W149" s="105">
        <f t="shared" ca="1" si="75"/>
        <v>1.5819962733234418E-2</v>
      </c>
      <c r="Z149" s="59">
        <f t="shared" ca="1" si="68"/>
        <v>0.10752051546539348</v>
      </c>
      <c r="AA149" s="59">
        <f t="shared" ca="1" si="69"/>
        <v>0.6757952201164521</v>
      </c>
      <c r="AB149" s="59">
        <f t="shared" ca="1" si="88"/>
        <v>-0.45669917953224393</v>
      </c>
      <c r="AC149" s="59">
        <f t="shared" ca="1" si="77"/>
        <v>-1.4718535009635818</v>
      </c>
      <c r="AD149" s="60">
        <f t="shared" ca="1" si="89"/>
        <v>0.22949971278505049</v>
      </c>
      <c r="AE149" s="60">
        <f t="shared" ca="1" si="78"/>
        <v>2.4675927417808385E-2</v>
      </c>
      <c r="AF149" s="60"/>
      <c r="AG149" s="94">
        <f t="shared" ca="1" si="79"/>
        <v>2.8630074702416977</v>
      </c>
      <c r="AH149" s="97">
        <f t="shared" ca="1" si="80"/>
        <v>1.7169925566520592</v>
      </c>
      <c r="AI149" s="97">
        <f t="shared" ca="1" si="81"/>
        <v>1.7144537348980242</v>
      </c>
      <c r="AJ149" s="62"/>
      <c r="AK149" s="97">
        <f t="shared" ca="1" si="82"/>
        <v>5.8698114079975557E-2</v>
      </c>
      <c r="AL149" s="62"/>
      <c r="AM149" s="95"/>
      <c r="AX149" s="107">
        <f t="shared" ca="1" si="83"/>
        <v>0.57318780562702532</v>
      </c>
      <c r="AY149" s="107">
        <f t="shared" ca="1" si="84"/>
        <v>0.57327143480878695</v>
      </c>
      <c r="AZ149" s="107">
        <f t="shared" ca="1" si="85"/>
        <v>0.57310402175862718</v>
      </c>
      <c r="BB149" s="39">
        <f ca="1">_xll.EURO(UnderlyingPrice,$D149,IntRate,Yield,AX149,$D$6,1,0)</f>
        <v>0.11248183393530609</v>
      </c>
      <c r="BC149" s="39">
        <f ca="1">_xll.EURO(UnderlyingPrice,$D149*(1+$P$8),IntRate,Yield,AY149,$D$6,1,0)</f>
        <v>0.11229232223685337</v>
      </c>
      <c r="BD149" s="39">
        <f ca="1">_xll.EURO(UnderlyingPrice,$D149*(1-$P$8),IntRate,Yield,AZ149,$D$6,1,0)</f>
        <v>0.11267166047010024</v>
      </c>
      <c r="BF149" s="59">
        <f t="shared" ca="1" si="86"/>
        <v>1.4191981709503827E-2</v>
      </c>
      <c r="BG149" s="39">
        <f t="shared" ca="1" si="87"/>
        <v>1.4546383914533285E-2</v>
      </c>
      <c r="BI149" s="58"/>
    </row>
    <row r="150" spans="3:61" x14ac:dyDescent="0.2">
      <c r="C150" s="56"/>
      <c r="D150" s="63">
        <f t="shared" ca="1" si="76"/>
        <v>9.8000000000000078</v>
      </c>
      <c r="E150" s="45">
        <f t="shared" ca="1" si="90"/>
        <v>0.89225719250820767</v>
      </c>
      <c r="F150" s="45">
        <f t="shared" ca="1" si="58"/>
        <v>0.89320332110446166</v>
      </c>
      <c r="G150" s="45">
        <f t="shared" ca="1" si="59"/>
        <v>0.89131106391195369</v>
      </c>
      <c r="H150" s="45">
        <f t="shared" ca="1" si="60"/>
        <v>0.81110785293978727</v>
      </c>
      <c r="I150" s="45">
        <f t="shared" ca="1" si="61"/>
        <v>0.81050721785020929</v>
      </c>
      <c r="J150" s="45">
        <f t="shared" ca="1" si="62"/>
        <v>0.8099073449837163</v>
      </c>
      <c r="L150" s="58"/>
      <c r="M150" s="58"/>
      <c r="O150" s="58"/>
      <c r="P150" s="58"/>
      <c r="R150" s="59">
        <f t="shared" ca="1" si="72"/>
        <v>9.9579136310500374E-2</v>
      </c>
      <c r="S150" s="59">
        <f t="shared" ca="1" si="73"/>
        <v>0.72133094523943808</v>
      </c>
      <c r="T150" s="59">
        <f t="shared" ca="1" si="63"/>
        <v>-0.52031833256002125</v>
      </c>
      <c r="U150" s="59">
        <f t="shared" ca="1" si="74"/>
        <v>-1.5567105267123531</v>
      </c>
      <c r="V150" s="59"/>
      <c r="W150" s="105">
        <f t="shared" ca="1" si="75"/>
        <v>1.1832450200670671E-2</v>
      </c>
      <c r="Z150" s="59">
        <f t="shared" ca="1" si="68"/>
        <v>0.10335135262081699</v>
      </c>
      <c r="AA150" s="59">
        <f t="shared" ca="1" si="69"/>
        <v>0.71534251720470665</v>
      </c>
      <c r="AB150" s="59">
        <f t="shared" ca="1" si="88"/>
        <v>-0.51171491692076598</v>
      </c>
      <c r="AC150" s="59">
        <f t="shared" ca="1" si="77"/>
        <v>-1.6491586272095382</v>
      </c>
      <c r="AD150" s="60">
        <f t="shared" ca="1" si="89"/>
        <v>0.19221156218419685</v>
      </c>
      <c r="AE150" s="60">
        <f t="shared" ca="1" si="78"/>
        <v>1.986532494109702E-2</v>
      </c>
      <c r="AF150" s="60"/>
      <c r="AG150" s="94">
        <f t="shared" ca="1" si="79"/>
        <v>3.1177279710002774</v>
      </c>
      <c r="AH150" s="97">
        <f t="shared" ca="1" si="80"/>
        <v>1.8173960864460565</v>
      </c>
      <c r="AI150" s="97">
        <f t="shared" ca="1" si="81"/>
        <v>1.8148572646920216</v>
      </c>
      <c r="AJ150" s="62"/>
      <c r="AK150" s="97">
        <f t="shared" ca="1" si="82"/>
        <v>4.5673947681549393E-2</v>
      </c>
      <c r="AL150" s="62"/>
      <c r="AM150" s="95"/>
      <c r="AX150" s="107">
        <f t="shared" ca="1" si="83"/>
        <v>0.57939710517631826</v>
      </c>
      <c r="AY150" s="107">
        <f t="shared" ca="1" si="84"/>
        <v>0.57946952807865704</v>
      </c>
      <c r="AZ150" s="107">
        <f t="shared" ca="1" si="85"/>
        <v>0.57932447429248646</v>
      </c>
      <c r="BB150" s="39">
        <f ca="1">_xll.EURO(UnderlyingPrice,$D150,IntRate,Yield,AX150,$D$6,1,0)</f>
        <v>9.8112720897007233E-2</v>
      </c>
      <c r="BC150" s="39">
        <f ca="1">_xll.EURO(UnderlyingPrice,$D150*(1+$P$8),IntRate,Yield,AY150,$D$6,1,0)</f>
        <v>9.7938503077262873E-2</v>
      </c>
      <c r="BD150" s="39">
        <f ca="1">_xll.EURO(UnderlyingPrice,$D150*(1-$P$8),IntRate,Yield,AZ150,$D$6,1,0)</f>
        <v>9.8287194735622363E-2</v>
      </c>
      <c r="BF150" s="59">
        <f t="shared" ca="1" si="86"/>
        <v>1.0663010027908841E-2</v>
      </c>
      <c r="BG150" s="39">
        <f t="shared" ca="1" si="87"/>
        <v>1.0929286742711219E-2</v>
      </c>
      <c r="BI150" s="58"/>
    </row>
    <row r="151" spans="3:61" x14ac:dyDescent="0.2">
      <c r="C151" s="56"/>
      <c r="D151" s="63">
        <f t="shared" ca="1" si="76"/>
        <v>10.180000000000009</v>
      </c>
      <c r="E151" s="45">
        <f t="shared" ca="1" si="90"/>
        <v>0.96563043058505649</v>
      </c>
      <c r="F151" s="45">
        <f t="shared" ca="1" si="58"/>
        <v>0.96661324580034891</v>
      </c>
      <c r="G151" s="45">
        <f t="shared" ca="1" si="59"/>
        <v>0.96464761536976429</v>
      </c>
      <c r="H151" s="45">
        <f t="shared" ca="1" si="60"/>
        <v>0.86007142978539952</v>
      </c>
      <c r="I151" s="45">
        <f t="shared" ca="1" si="61"/>
        <v>0.85938465797019969</v>
      </c>
      <c r="J151" s="45">
        <f t="shared" ca="1" si="62"/>
        <v>0.85869874639010524</v>
      </c>
      <c r="L151" s="58"/>
      <c r="M151" s="58"/>
      <c r="O151" s="58"/>
      <c r="P151" s="58"/>
      <c r="R151" s="59">
        <f t="shared" ca="1" si="72"/>
        <v>9.5862036919735133E-2</v>
      </c>
      <c r="S151" s="59">
        <f t="shared" ca="1" si="73"/>
        <v>0.75937357068528866</v>
      </c>
      <c r="T151" s="59">
        <f t="shared" ca="1" si="63"/>
        <v>-0.57664821985532511</v>
      </c>
      <c r="U151" s="59">
        <f t="shared" ca="1" si="74"/>
        <v>-1.7252406803390363</v>
      </c>
      <c r="V151" s="59"/>
      <c r="W151" s="105">
        <f t="shared" ca="1" si="75"/>
        <v>8.8297220975939259E-3</v>
      </c>
      <c r="Z151" s="59">
        <f t="shared" ca="1" si="68"/>
        <v>9.9493443583890617E-2</v>
      </c>
      <c r="AA151" s="59">
        <f t="shared" ca="1" si="69"/>
        <v>0.75338514265055712</v>
      </c>
      <c r="AB151" s="59">
        <f t="shared" ca="1" si="88"/>
        <v>-0.56758917316660029</v>
      </c>
      <c r="AC151" s="59">
        <f t="shared" ca="1" si="77"/>
        <v>-1.8292305943923941</v>
      </c>
      <c r="AD151" s="60">
        <f t="shared" ca="1" si="89"/>
        <v>0.16053703836714692</v>
      </c>
      <c r="AE151" s="60">
        <f t="shared" ca="1" si="78"/>
        <v>1.5972382769906614E-2</v>
      </c>
      <c r="AF151" s="60"/>
      <c r="AG151" s="94">
        <f t="shared" ca="1" si="79"/>
        <v>3.3724484717588572</v>
      </c>
      <c r="AH151" s="97">
        <f t="shared" ca="1" si="80"/>
        <v>1.913979523459979</v>
      </c>
      <c r="AI151" s="97">
        <f t="shared" ca="1" si="81"/>
        <v>1.9114407017059443</v>
      </c>
      <c r="AJ151" s="62"/>
      <c r="AK151" s="97">
        <f t="shared" ca="1" si="82"/>
        <v>3.5404837228394097E-2</v>
      </c>
      <c r="AL151" s="62"/>
      <c r="AM151" s="95"/>
      <c r="AX151" s="107">
        <f t="shared" ca="1" si="83"/>
        <v>0.58435557059112198</v>
      </c>
      <c r="AY151" s="107">
        <f t="shared" ca="1" si="84"/>
        <v>0.58441238721011535</v>
      </c>
      <c r="AZ151" s="107">
        <f t="shared" ca="1" si="85"/>
        <v>0.58429848577894128</v>
      </c>
      <c r="BB151" s="39">
        <f ca="1">_xll.EURO(UnderlyingPrice,$D151,IntRate,Yield,AX151,$D$6,1,0)</f>
        <v>8.5294868706782434E-2</v>
      </c>
      <c r="BC151" s="39">
        <f ca="1">_xll.EURO(UnderlyingPrice,$D151*(1+$P$8),IntRate,Yield,AY151,$D$6,1,0)</f>
        <v>8.5131869047819608E-2</v>
      </c>
      <c r="BD151" s="39">
        <f ca="1">_xll.EURO(UnderlyingPrice,$D151*(1-$P$8),IntRate,Yield,AZ151,$D$6,1,0)</f>
        <v>8.5458078093763323E-2</v>
      </c>
      <c r="BF151" s="59">
        <f t="shared" ca="1" si="86"/>
        <v>8.0950752105910864E-3</v>
      </c>
      <c r="BG151" s="39">
        <f t="shared" ca="1" si="87"/>
        <v>8.2972254502994419E-3</v>
      </c>
      <c r="BI151" s="58"/>
    </row>
    <row r="152" spans="3:61" x14ac:dyDescent="0.2">
      <c r="C152" s="56"/>
      <c r="D152" s="63">
        <f t="shared" ca="1" si="76"/>
        <v>10.560000000000009</v>
      </c>
      <c r="E152" s="45">
        <f t="shared" ca="1" si="90"/>
        <v>1.0390036686619055</v>
      </c>
      <c r="F152" s="45">
        <f t="shared" ca="1" si="58"/>
        <v>1.0400231704962364</v>
      </c>
      <c r="G152" s="45">
        <f t="shared" ca="1" si="59"/>
        <v>1.0379841668275747</v>
      </c>
      <c r="H152" s="45">
        <f t="shared" ca="1" si="60"/>
        <v>0.91383718419662519</v>
      </c>
      <c r="I152" s="45">
        <f t="shared" ca="1" si="61"/>
        <v>0.91305665844732919</v>
      </c>
      <c r="J152" s="45">
        <f t="shared" ca="1" si="62"/>
        <v>0.91227709897969911</v>
      </c>
      <c r="L152" s="58"/>
      <c r="M152" s="58"/>
      <c r="O152" s="58"/>
      <c r="P152" s="58"/>
      <c r="R152" s="59">
        <f t="shared" ca="1" si="72"/>
        <v>9.2412456045729507E-2</v>
      </c>
      <c r="S152" s="59">
        <f t="shared" ca="1" si="73"/>
        <v>0.79602183784102731</v>
      </c>
      <c r="T152" s="59">
        <f t="shared" ca="1" si="63"/>
        <v>-0.63365076631980677</v>
      </c>
      <c r="U152" s="59">
        <f t="shared" ca="1" si="74"/>
        <v>-1.895783324289473</v>
      </c>
      <c r="V152" s="59"/>
      <c r="W152" s="105">
        <f t="shared" ca="1" si="75"/>
        <v>6.5781557819348116E-3</v>
      </c>
      <c r="Z152" s="59">
        <f t="shared" ca="1" si="68"/>
        <v>9.5913187091288502E-2</v>
      </c>
      <c r="AA152" s="59">
        <f t="shared" ca="1" si="69"/>
        <v>0.79003340980629588</v>
      </c>
      <c r="AB152" s="59">
        <f t="shared" ca="1" si="88"/>
        <v>-0.62415278861016266</v>
      </c>
      <c r="AC152" s="59">
        <f t="shared" ca="1" si="77"/>
        <v>-2.0115242335073886</v>
      </c>
      <c r="AD152" s="60">
        <f t="shared" ca="1" si="89"/>
        <v>0.13378460020933905</v>
      </c>
      <c r="AE152" s="60">
        <f t="shared" ca="1" si="78"/>
        <v>1.2831707389811571E-2</v>
      </c>
      <c r="AF152" s="60"/>
      <c r="AG152" s="94">
        <f t="shared" ca="1" si="79"/>
        <v>3.627168972517437</v>
      </c>
      <c r="AH152" s="97">
        <f t="shared" ca="1" si="80"/>
        <v>2.0070229336090493</v>
      </c>
      <c r="AI152" s="97">
        <f t="shared" ca="1" si="81"/>
        <v>2.0044841118550139</v>
      </c>
      <c r="AJ152" s="62"/>
      <c r="AK152" s="97">
        <f t="shared" ca="1" si="82"/>
        <v>2.7361245407172725E-2</v>
      </c>
      <c r="AL152" s="62"/>
      <c r="AM152" s="95"/>
      <c r="AX152" s="107">
        <f t="shared" ca="1" si="83"/>
        <v>0.58781924880584979</v>
      </c>
      <c r="AY152" s="107">
        <f t="shared" ca="1" si="84"/>
        <v>0.58785569302498131</v>
      </c>
      <c r="AZ152" s="107">
        <f t="shared" ca="1" si="85"/>
        <v>0.58778246889906849</v>
      </c>
      <c r="BB152" s="39">
        <f ca="1">_xll.EURO(UnderlyingPrice,$D152,IntRate,Yield,AX152,$D$6,1,0)</f>
        <v>7.3655405551321274E-2</v>
      </c>
      <c r="BC152" s="39">
        <f ca="1">_xll.EURO(UnderlyingPrice,$D152*(1+$P$8),IntRate,Yield,AY152,$D$6,1,0)</f>
        <v>7.3500637440535421E-2</v>
      </c>
      <c r="BD152" s="39">
        <f ca="1">_xll.EURO(UnderlyingPrice,$D152*(1-$P$8),IntRate,Yield,AZ152,$D$6,1,0)</f>
        <v>7.3810349739636683E-2</v>
      </c>
      <c r="BF152" s="59">
        <f t="shared" ca="1" si="86"/>
        <v>6.3159123033146867E-3</v>
      </c>
      <c r="BG152" s="39">
        <f t="shared" ca="1" si="87"/>
        <v>6.4736332821663193E-3</v>
      </c>
      <c r="BI152" s="58"/>
    </row>
    <row r="153" spans="3:61" x14ac:dyDescent="0.2">
      <c r="C153" s="56"/>
      <c r="D153" s="63">
        <f t="shared" ca="1" si="76"/>
        <v>10.94000000000001</v>
      </c>
      <c r="E153" s="45">
        <f t="shared" ca="1" si="90"/>
        <v>1.1123769067387546</v>
      </c>
      <c r="F153" s="45">
        <f t="shared" ca="1" si="58"/>
        <v>1.1134330951921236</v>
      </c>
      <c r="G153" s="45">
        <f t="shared" ca="1" si="59"/>
        <v>1.1113207182853855</v>
      </c>
      <c r="H153" s="45">
        <f t="shared" ca="1" si="60"/>
        <v>0.97261586015709112</v>
      </c>
      <c r="I153" s="45">
        <f t="shared" ca="1" si="61"/>
        <v>0.97173364746510227</v>
      </c>
      <c r="J153" s="45">
        <f t="shared" ca="1" si="62"/>
        <v>0.97085251545152274</v>
      </c>
      <c r="L153" s="58"/>
      <c r="M153" s="58"/>
      <c r="O153" s="58"/>
      <c r="P153" s="58"/>
      <c r="R153" s="59">
        <f t="shared" ca="1" si="72"/>
        <v>8.9202516987468339E-2</v>
      </c>
      <c r="S153" s="59">
        <f t="shared" ca="1" si="73"/>
        <v>0.8313743565567473</v>
      </c>
      <c r="T153" s="59">
        <f t="shared" ca="1" si="63"/>
        <v>-0.69118332074014555</v>
      </c>
      <c r="U153" s="59">
        <f t="shared" ca="1" si="74"/>
        <v>-2.0679116685938923</v>
      </c>
      <c r="V153" s="59"/>
      <c r="W153" s="105">
        <f t="shared" ca="1" si="75"/>
        <v>4.895345157309181E-3</v>
      </c>
      <c r="Z153" s="59">
        <f t="shared" ca="1" si="68"/>
        <v>9.2581650428154152E-2</v>
      </c>
      <c r="AA153" s="59">
        <f t="shared" ca="1" si="69"/>
        <v>0.82538592852201575</v>
      </c>
      <c r="AB153" s="59">
        <f t="shared" ca="1" si="88"/>
        <v>-0.68126193100215016</v>
      </c>
      <c r="AC153" s="59">
        <f t="shared" ca="1" si="77"/>
        <v>-2.1955760009153482</v>
      </c>
      <c r="AD153" s="60">
        <f t="shared" ca="1" si="89"/>
        <v>0.11129443734111534</v>
      </c>
      <c r="AE153" s="60">
        <f t="shared" ca="1" si="78"/>
        <v>1.0303822692513247E-2</v>
      </c>
      <c r="AF153" s="60"/>
      <c r="AG153" s="94">
        <f t="shared" ca="1" si="79"/>
        <v>3.8818894732760167</v>
      </c>
      <c r="AH153" s="97">
        <f t="shared" ca="1" si="80"/>
        <v>2.096776669704981</v>
      </c>
      <c r="AI153" s="97">
        <f t="shared" ca="1" si="81"/>
        <v>2.094237847950946</v>
      </c>
      <c r="AJ153" s="62"/>
      <c r="AK153" s="97">
        <f t="shared" ca="1" si="82"/>
        <v>2.1094460820594033E-2</v>
      </c>
      <c r="AL153" s="62"/>
      <c r="AM153" s="95"/>
      <c r="AX153" s="107">
        <f t="shared" ca="1" si="83"/>
        <v>0.58954418675491493</v>
      </c>
      <c r="AY153" s="107">
        <f t="shared" ca="1" si="84"/>
        <v>0.58955512634507468</v>
      </c>
      <c r="AZ153" s="107">
        <f t="shared" ca="1" si="85"/>
        <v>0.58953283633394538</v>
      </c>
      <c r="BB153" s="39">
        <f ca="1">_xll.EURO(UnderlyingPrice,$D153,IntRate,Yield,AX153,$D$6,1,0)</f>
        <v>6.2935952737799228E-2</v>
      </c>
      <c r="BC153" s="39">
        <f ca="1">_xll.EURO(UnderlyingPrice,$D153*(1+$P$8),IntRate,Yield,AY153,$D$6,1,0)</f>
        <v>6.2787466499989841E-2</v>
      </c>
      <c r="BD153" s="39">
        <f ca="1">_xll.EURO(UnderlyingPrice,$D153*(1-$P$8),IntRate,Yield,AZ153,$D$6,1,0)</f>
        <v>6.3084594645436975E-2</v>
      </c>
      <c r="BF153" s="59">
        <f t="shared" ca="1" si="86"/>
        <v>5.2027120962647036E-3</v>
      </c>
      <c r="BG153" s="39">
        <f t="shared" ca="1" si="87"/>
        <v>5.3326342365824925E-3</v>
      </c>
      <c r="BI153" s="58"/>
    </row>
    <row r="154" spans="3:61" x14ac:dyDescent="0.2">
      <c r="C154" s="56"/>
      <c r="D154" s="63">
        <f t="shared" ca="1" si="76"/>
        <v>11.320000000000011</v>
      </c>
      <c r="E154" s="45">
        <f t="shared" ca="1" si="90"/>
        <v>1.1857501448156036</v>
      </c>
      <c r="F154" s="45">
        <f t="shared" ca="1" si="58"/>
        <v>1.1868430198880109</v>
      </c>
      <c r="G154" s="45">
        <f t="shared" ca="1" si="59"/>
        <v>1.1846572697431959</v>
      </c>
      <c r="H154" s="45">
        <f t="shared" ca="1" si="60"/>
        <v>1.0366182016504244</v>
      </c>
      <c r="I154" s="45">
        <f t="shared" ca="1" si="61"/>
        <v>1.0356260532070234</v>
      </c>
      <c r="J154" s="45">
        <f t="shared" ca="1" si="62"/>
        <v>1.0346351085045993</v>
      </c>
      <c r="L154" s="58"/>
      <c r="M154" s="58"/>
      <c r="O154" s="58"/>
      <c r="P154" s="58"/>
      <c r="R154" s="59">
        <f t="shared" ca="1" si="72"/>
        <v>8.6208086205203496E-2</v>
      </c>
      <c r="S154" s="59">
        <f t="shared" ca="1" si="73"/>
        <v>0.86551963233794904</v>
      </c>
      <c r="T154" s="59">
        <f t="shared" ca="1" si="63"/>
        <v>-0.74912423396241845</v>
      </c>
      <c r="U154" s="59">
        <f t="shared" ca="1" si="74"/>
        <v>-2.2412617581374596</v>
      </c>
      <c r="V154" s="59"/>
      <c r="W154" s="105">
        <f t="shared" ca="1" si="75"/>
        <v>3.6407004924860044E-3</v>
      </c>
      <c r="Z154" s="59">
        <f t="shared" ca="1" si="68"/>
        <v>8.9473785837809752E-2</v>
      </c>
      <c r="AA154" s="59">
        <f t="shared" ca="1" si="69"/>
        <v>0.8595312043032175</v>
      </c>
      <c r="AB154" s="59">
        <f t="shared" ca="1" si="88"/>
        <v>-0.73879389117093941</v>
      </c>
      <c r="AC154" s="59">
        <f t="shared" ca="1" si="77"/>
        <v>-2.3809904285884143</v>
      </c>
      <c r="AD154" s="60">
        <f t="shared" ca="1" si="89"/>
        <v>9.245895815120854E-2</v>
      </c>
      <c r="AE154" s="60">
        <f t="shared" ca="1" si="78"/>
        <v>8.2726530204082476E-3</v>
      </c>
      <c r="AF154" s="60"/>
      <c r="AG154" s="94">
        <f t="shared" ca="1" si="79"/>
        <v>4.136609974034597</v>
      </c>
      <c r="AH154" s="97">
        <f t="shared" ca="1" si="80"/>
        <v>2.1834654314317672</v>
      </c>
      <c r="AI154" s="97">
        <f t="shared" ca="1" si="81"/>
        <v>2.1809266096777322</v>
      </c>
      <c r="AJ154" s="62"/>
      <c r="AK154" s="97">
        <f t="shared" ca="1" si="82"/>
        <v>1.6233014196227791E-2</v>
      </c>
      <c r="AL154" s="62"/>
      <c r="AM154" s="95"/>
      <c r="AX154" s="107">
        <f t="shared" ca="1" si="83"/>
        <v>0.5892864313727304</v>
      </c>
      <c r="AY154" s="107">
        <f t="shared" ca="1" si="84"/>
        <v>0.5892663679922151</v>
      </c>
      <c r="AZ154" s="107">
        <f t="shared" ca="1" si="85"/>
        <v>0.58930600076464956</v>
      </c>
      <c r="BB154" s="39">
        <f ca="1">_xll.EURO(UnderlyingPrice,$D154,IntRate,Yield,AX154,$D$6,1,0)</f>
        <v>5.2974688890748856E-2</v>
      </c>
      <c r="BC154" s="39">
        <f ca="1">_xll.EURO(UnderlyingPrice,$D154*(1+$P$8),IntRate,Yield,AY154,$D$6,1,0)</f>
        <v>5.2831554945776016E-2</v>
      </c>
      <c r="BD154" s="39">
        <f ca="1">_xll.EURO(UnderlyingPrice,$D154*(1-$P$8),IntRate,Yield,AZ154,$D$6,1,0)</f>
        <v>5.3117972291007398E-2</v>
      </c>
      <c r="BF154" s="59">
        <f t="shared" ca="1" si="86"/>
        <v>4.6652875458199792E-3</v>
      </c>
      <c r="BG154" s="39">
        <f t="shared" ca="1" si="87"/>
        <v>4.7817891188334126E-3</v>
      </c>
      <c r="BI154" s="58"/>
    </row>
    <row r="155" spans="3:61" x14ac:dyDescent="0.2">
      <c r="C155" s="56"/>
      <c r="D155" s="63">
        <f t="shared" ca="1" si="76"/>
        <v>11.700000000000012</v>
      </c>
      <c r="E155" s="45">
        <f t="shared" ca="1" si="90"/>
        <v>1.2591233828924526</v>
      </c>
      <c r="F155" s="45">
        <f t="shared" ca="1" si="58"/>
        <v>1.2602529445838986</v>
      </c>
      <c r="G155" s="45">
        <f t="shared" ca="1" si="59"/>
        <v>1.2579938212010062</v>
      </c>
      <c r="H155" s="45">
        <f t="shared" ca="1" si="60"/>
        <v>1.106054952660253</v>
      </c>
      <c r="I155" s="45">
        <f t="shared" ca="1" si="61"/>
        <v>1.1049443038565969</v>
      </c>
      <c r="J155" s="45">
        <f t="shared" ca="1" si="62"/>
        <v>1.1038349908379532</v>
      </c>
      <c r="L155" s="58"/>
      <c r="M155" s="58"/>
      <c r="O155" s="58"/>
      <c r="P155" s="58"/>
      <c r="R155" s="59">
        <f t="shared" ca="1" si="72"/>
        <v>8.3408165456658412E-2</v>
      </c>
      <c r="S155" s="59">
        <f t="shared" ca="1" si="73"/>
        <v>0.89853740136662275</v>
      </c>
      <c r="T155" s="59">
        <f t="shared" ca="1" si="63"/>
        <v>-0.80736946165468326</v>
      </c>
      <c r="U155" s="59">
        <f t="shared" ca="1" si="74"/>
        <v>-2.4155223086608202</v>
      </c>
      <c r="V155" s="59"/>
      <c r="W155" s="105">
        <f t="shared" ca="1" si="75"/>
        <v>2.7069405849774685E-3</v>
      </c>
      <c r="Z155" s="59">
        <f t="shared" ca="1" si="68"/>
        <v>8.656779963111165E-2</v>
      </c>
      <c r="AA155" s="59">
        <f t="shared" ca="1" si="69"/>
        <v>0.8925489733318912</v>
      </c>
      <c r="AB155" s="59">
        <f t="shared" ca="1" si="88"/>
        <v>-0.79664366979581303</v>
      </c>
      <c r="AC155" s="59">
        <f t="shared" ca="1" si="77"/>
        <v>-2.5674291239374978</v>
      </c>
      <c r="AD155" s="60">
        <f t="shared" ca="1" si="89"/>
        <v>7.6732561969619542E-2</v>
      </c>
      <c r="AE155" s="60">
        <f t="shared" ca="1" si="78"/>
        <v>6.6425690497678826E-3</v>
      </c>
      <c r="AF155" s="60"/>
      <c r="AG155" s="94">
        <f t="shared" ca="1" si="79"/>
        <v>4.3913304747931772</v>
      </c>
      <c r="AH155" s="97">
        <f t="shared" ca="1" si="80"/>
        <v>2.2672916547259589</v>
      </c>
      <c r="AI155" s="97">
        <f t="shared" ca="1" si="81"/>
        <v>2.2647528329719235</v>
      </c>
      <c r="AJ155" s="62"/>
      <c r="AK155" s="97">
        <f t="shared" ca="1" si="82"/>
        <v>1.2474765033778198E-2</v>
      </c>
      <c r="AL155" s="62"/>
      <c r="AM155" s="95"/>
      <c r="AX155" s="107">
        <f t="shared" ca="1" si="83"/>
        <v>0.58680202959370964</v>
      </c>
      <c r="AY155" s="107">
        <f t="shared" ca="1" si="84"/>
        <v>0.58674509878822156</v>
      </c>
      <c r="AZ155" s="107">
        <f t="shared" ca="1" si="85"/>
        <v>0.58685837487225789</v>
      </c>
      <c r="BB155" s="39">
        <f ca="1">_xll.EURO(UnderlyingPrice,$D155,IntRate,Yield,AX155,$D$6,1,0)</f>
        <v>4.3693128515006369E-2</v>
      </c>
      <c r="BC155" s="39">
        <f ca="1">_xll.EURO(UnderlyingPrice,$D155*(1+$P$8),IntRate,Yield,AY155,$D$6,1,0)</f>
        <v>4.3555436601421443E-2</v>
      </c>
      <c r="BD155" s="39">
        <f ca="1">_xll.EURO(UnderlyingPrice,$D155*(1-$P$8),IntRate,Yield,AZ155,$D$6,1,0)</f>
        <v>4.3830978862533426E-2</v>
      </c>
      <c r="BF155" s="59">
        <f t="shared" ca="1" si="86"/>
        <v>4.6295256668077911E-3</v>
      </c>
      <c r="BG155" s="39">
        <f t="shared" ca="1" si="87"/>
        <v>4.7451341940833325E-3</v>
      </c>
      <c r="BI155" s="58"/>
    </row>
    <row r="156" spans="3:61" x14ac:dyDescent="0.2">
      <c r="C156" s="56"/>
      <c r="D156" s="63">
        <f t="shared" ca="1" si="76"/>
        <v>12.080000000000013</v>
      </c>
      <c r="E156" s="45">
        <f t="shared" ca="1" si="90"/>
        <v>1.3324966209693012</v>
      </c>
      <c r="F156" s="45">
        <f t="shared" ca="1" si="58"/>
        <v>1.3336628692797858</v>
      </c>
      <c r="G156" s="45">
        <f t="shared" ca="1" si="59"/>
        <v>1.331330372658817</v>
      </c>
      <c r="H156" s="45">
        <f t="shared" ca="1" si="60"/>
        <v>1.1811368571702037</v>
      </c>
      <c r="I156" s="45">
        <f t="shared" ca="1" si="61"/>
        <v>1.1798988275973272</v>
      </c>
      <c r="J156" s="45">
        <f t="shared" ca="1" si="62"/>
        <v>1.1786622751506095</v>
      </c>
      <c r="L156" s="58"/>
      <c r="M156" s="58"/>
      <c r="O156" s="58"/>
      <c r="P156" s="58"/>
      <c r="R156" s="59">
        <f t="shared" ca="1" si="72"/>
        <v>8.0784398662492013E-2</v>
      </c>
      <c r="S156" s="59">
        <f t="shared" ca="1" si="73"/>
        <v>0.93049975206958102</v>
      </c>
      <c r="T156" s="59">
        <f t="shared" ca="1" si="63"/>
        <v>-0.8658297886015518</v>
      </c>
      <c r="U156" s="59">
        <f t="shared" ca="1" si="74"/>
        <v>-2.5904264022865013</v>
      </c>
      <c r="V156" s="59"/>
      <c r="W156" s="105">
        <f t="shared" ca="1" si="75"/>
        <v>2.0128365082448503E-3</v>
      </c>
      <c r="Z156" s="59">
        <f t="shared" ca="1" si="68"/>
        <v>8.3844640371192575E-2</v>
      </c>
      <c r="AA156" s="59">
        <f t="shared" ca="1" si="69"/>
        <v>0.92451132403484948</v>
      </c>
      <c r="AB156" s="59">
        <f t="shared" ca="1" si="88"/>
        <v>-0.8547211882686705</v>
      </c>
      <c r="AC156" s="59">
        <f t="shared" ca="1" si="77"/>
        <v>-2.7546017809567274</v>
      </c>
      <c r="AD156" s="60">
        <f t="shared" ca="1" si="89"/>
        <v>6.3634355035905837E-2</v>
      </c>
      <c r="AE156" s="60">
        <f t="shared" ca="1" si="78"/>
        <v>5.3353996132383119E-3</v>
      </c>
      <c r="AF156" s="60"/>
      <c r="AG156" s="94">
        <f t="shared" ca="1" si="79"/>
        <v>4.6460509755517574</v>
      </c>
      <c r="AH156" s="97">
        <f t="shared" ca="1" si="80"/>
        <v>2.3484383592385099</v>
      </c>
      <c r="AI156" s="97">
        <f t="shared" ca="1" si="81"/>
        <v>2.3458995374844753</v>
      </c>
      <c r="AJ156" s="62"/>
      <c r="AK156" s="97">
        <f t="shared" ca="1" si="82"/>
        <v>9.5773029283989473E-3</v>
      </c>
      <c r="AL156" s="62"/>
      <c r="AM156" s="95"/>
      <c r="AX156" s="107">
        <f t="shared" ca="1" si="83"/>
        <v>0.58184702835226576</v>
      </c>
      <c r="AY156" s="107">
        <f t="shared" ca="1" si="84"/>
        <v>0.58174699955491416</v>
      </c>
      <c r="AZ156" s="107">
        <f t="shared" ca="1" si="85"/>
        <v>0.58194637133784788</v>
      </c>
      <c r="BB156" s="39">
        <f ca="1">_xll.EURO(UnderlyingPrice,$D156,IntRate,Yield,AX156,$D$6,1,0)</f>
        <v>3.5085212317206627E-2</v>
      </c>
      <c r="BC156" s="39">
        <f ca="1">_xll.EURO(UnderlyingPrice,$D156*(1+$P$8),IntRate,Yield,AY156,$D$6,1,0)</f>
        <v>3.4954058573467506E-2</v>
      </c>
      <c r="BD156" s="39">
        <f ca="1">_xll.EURO(UnderlyingPrice,$D156*(1-$P$8),IntRate,Yield,AZ156,$D$6,1,0)</f>
        <v>3.5216549200956543E-2</v>
      </c>
      <c r="BF156" s="59">
        <f t="shared" ca="1" si="86"/>
        <v>5.0200652053486085E-3</v>
      </c>
      <c r="BG156" s="39">
        <f t="shared" ca="1" si="87"/>
        <v>5.145426287020226E-3</v>
      </c>
      <c r="BI156" s="58"/>
    </row>
    <row r="157" spans="3:61" x14ac:dyDescent="0.2">
      <c r="C157" s="56"/>
      <c r="D157" s="63">
        <f t="shared" ca="1" si="76"/>
        <v>12.460000000000013</v>
      </c>
      <c r="E157" s="45">
        <f t="shared" ca="1" si="90"/>
        <v>1.4058698590461502</v>
      </c>
      <c r="F157" s="45">
        <f t="shared" ca="1" si="58"/>
        <v>1.4070727939756731</v>
      </c>
      <c r="G157" s="45">
        <f t="shared" ca="1" si="59"/>
        <v>1.4046669241166274</v>
      </c>
      <c r="H157" s="45">
        <f t="shared" ca="1" si="60"/>
        <v>1.2620746591639034</v>
      </c>
      <c r="I157" s="45">
        <f t="shared" ca="1" si="61"/>
        <v>1.2607000526127197</v>
      </c>
      <c r="J157" s="45">
        <f t="shared" ca="1" si="62"/>
        <v>1.2593270741415907</v>
      </c>
      <c r="L157" s="58"/>
      <c r="M157" s="58"/>
      <c r="O157" s="58"/>
      <c r="P157" s="58"/>
      <c r="R157" s="59">
        <f t="shared" ca="1" si="72"/>
        <v>7.8320669008258695E-2</v>
      </c>
      <c r="S157" s="59">
        <f t="shared" ca="1" si="73"/>
        <v>0.96147207292221926</v>
      </c>
      <c r="T157" s="59">
        <f t="shared" ca="1" si="63"/>
        <v>-0.92442854700934929</v>
      </c>
      <c r="U157" s="59">
        <f t="shared" ca="1" si="74"/>
        <v>-2.7657446610471985</v>
      </c>
      <c r="V157" s="59"/>
      <c r="W157" s="105">
        <f t="shared" ca="1" si="75"/>
        <v>1.4972572589399989E-3</v>
      </c>
      <c r="Z157" s="59">
        <f t="shared" ca="1" si="68"/>
        <v>8.1287580713002114E-2</v>
      </c>
      <c r="AA157" s="59">
        <f t="shared" ca="1" si="69"/>
        <v>0.95548364488748772</v>
      </c>
      <c r="AB157" s="59">
        <f t="shared" ca="1" si="88"/>
        <v>-0.91294899564747878</v>
      </c>
      <c r="AC157" s="59">
        <f t="shared" ca="1" si="77"/>
        <v>-2.9422587901760342</v>
      </c>
      <c r="AD157" s="60">
        <f t="shared" ca="1" si="89"/>
        <v>5.2746450912132606E-2</v>
      </c>
      <c r="AE157" s="60">
        <f t="shared" ca="1" si="78"/>
        <v>4.2876313858443834E-3</v>
      </c>
      <c r="AF157" s="60"/>
      <c r="AG157" s="94">
        <f t="shared" ca="1" si="79"/>
        <v>4.9007714763103376</v>
      </c>
      <c r="AH157" s="97">
        <f t="shared" ca="1" si="80"/>
        <v>2.4270715546393831</v>
      </c>
      <c r="AI157" s="97">
        <f t="shared" ca="1" si="81"/>
        <v>2.4245327328853481</v>
      </c>
      <c r="AJ157" s="62"/>
      <c r="AK157" s="97">
        <f t="shared" ca="1" si="82"/>
        <v>7.3482218342987458E-3</v>
      </c>
      <c r="AL157" s="62"/>
      <c r="AM157" s="62"/>
      <c r="AX157" s="107">
        <f t="shared" ca="1" si="83"/>
        <v>0.57417747458281199</v>
      </c>
      <c r="AY157" s="107">
        <f t="shared" ca="1" si="84"/>
        <v>0.57402775111411219</v>
      </c>
      <c r="AZ157" s="107">
        <f t="shared" ca="1" si="85"/>
        <v>0.5743264028424967</v>
      </c>
      <c r="BB157" s="39">
        <f ca="1">_xll.EURO(UnderlyingPrice,$D157,IntRate,Yield,AX157,$D$6,1,0)</f>
        <v>2.720619606342034E-2</v>
      </c>
      <c r="BC157" s="39">
        <f ca="1">_xll.EURO(UnderlyingPrice,$D157*(1+$P$8),IntRate,Yield,AY157,$D$6,1,0)</f>
        <v>2.7083618166807544E-2</v>
      </c>
      <c r="BD157" s="39">
        <f ca="1">_xll.EURO(UnderlyingPrice,$D157*(1-$P$8),IntRate,Yield,AZ157,$D$6,1,0)</f>
        <v>2.7328996794930976E-2</v>
      </c>
      <c r="BF157" s="59">
        <f t="shared" ca="1" si="86"/>
        <v>5.7412586495591434E-3</v>
      </c>
      <c r="BG157" s="39">
        <f t="shared" ca="1" si="87"/>
        <v>5.8846293758394374E-3</v>
      </c>
      <c r="BI157" s="58"/>
    </row>
    <row r="158" spans="3:61" x14ac:dyDescent="0.2">
      <c r="C158" s="56"/>
      <c r="D158" s="63">
        <f t="shared" ca="1" si="76"/>
        <v>12.840000000000014</v>
      </c>
      <c r="E158" s="45">
        <f t="shared" ca="1" si="90"/>
        <v>1.4792430971229993</v>
      </c>
      <c r="F158" s="45">
        <f t="shared" ca="1" si="58"/>
        <v>1.4804827186715603</v>
      </c>
      <c r="G158" s="45">
        <f t="shared" ca="1" si="59"/>
        <v>1.4780034755744382</v>
      </c>
      <c r="H158" s="45">
        <f t="shared" ca="1" si="60"/>
        <v>1.3490791026249798</v>
      </c>
      <c r="I158" s="45">
        <f t="shared" ca="1" si="61"/>
        <v>1.3475584070862783</v>
      </c>
      <c r="J158" s="45">
        <f t="shared" ca="1" si="62"/>
        <v>1.3460395005099226</v>
      </c>
      <c r="L158" s="58"/>
      <c r="M158" s="58"/>
      <c r="O158" s="58"/>
      <c r="P158" s="58"/>
      <c r="R158" s="59">
        <f t="shared" ca="1" si="72"/>
        <v>7.6002767589011172E-2</v>
      </c>
      <c r="S158" s="59">
        <f t="shared" ca="1" si="73"/>
        <v>0.99151385782472734</v>
      </c>
      <c r="T158" s="59">
        <f t="shared" ca="1" si="63"/>
        <v>-0.98309973025847364</v>
      </c>
      <c r="U158" s="59">
        <f t="shared" ca="1" si="74"/>
        <v>-2.9412796035298285</v>
      </c>
      <c r="V158" s="59"/>
      <c r="W158" s="105">
        <f t="shared" ca="1" si="75"/>
        <v>1.1144132607219233E-3</v>
      </c>
      <c r="Z158" s="59">
        <f t="shared" ca="1" si="68"/>
        <v>7.8881873495639118E-2</v>
      </c>
      <c r="AA158" s="59">
        <f t="shared" ca="1" si="69"/>
        <v>0.9855254297899958</v>
      </c>
      <c r="AB158" s="59">
        <f t="shared" ca="1" si="88"/>
        <v>-0.9712603727627559</v>
      </c>
      <c r="AC158" s="59">
        <f t="shared" ca="1" si="77"/>
        <v>-3.1301851285614721</v>
      </c>
      <c r="AD158" s="60">
        <f t="shared" ca="1" si="89"/>
        <v>4.3709704588949523E-2</v>
      </c>
      <c r="AE158" s="60">
        <f t="shared" ca="1" si="78"/>
        <v>3.4479033879172729E-3</v>
      </c>
      <c r="AF158" s="60"/>
      <c r="AG158" s="94">
        <f t="shared" ca="1" si="79"/>
        <v>5.1554919770689178</v>
      </c>
      <c r="AH158" s="97">
        <f t="shared" ca="1" si="80"/>
        <v>2.5033422853240257</v>
      </c>
      <c r="AI158" s="97">
        <f t="shared" ca="1" si="81"/>
        <v>2.5008034635699912</v>
      </c>
      <c r="AJ158" s="62"/>
      <c r="AK158" s="97">
        <f t="shared" ca="1" si="82"/>
        <v>5.6361051125115415E-3</v>
      </c>
      <c r="AL158" s="62"/>
      <c r="AM158" s="62"/>
      <c r="AX158" s="107">
        <f t="shared" ca="1" si="83"/>
        <v>0.56354941521976154</v>
      </c>
      <c r="AY158" s="107">
        <f t="shared" ca="1" si="84"/>
        <v>0.56334303428763521</v>
      </c>
      <c r="AZ158" s="107">
        <f t="shared" ca="1" si="85"/>
        <v>0.56375488206728186</v>
      </c>
      <c r="BB158" s="39">
        <f ca="1">_xll.EURO(UnderlyingPrice,$D158,IntRate,Yield,AX158,$D$6,1,0)</f>
        <v>2.015858916062481E-2</v>
      </c>
      <c r="BC158" s="39">
        <f ca="1">_xll.EURO(UnderlyingPrice,$D158*(1+$P$8),IntRate,Yield,AY158,$D$6,1,0)</f>
        <v>2.0047396130963194E-2</v>
      </c>
      <c r="BD158" s="39">
        <f ca="1">_xll.EURO(UnderlyingPrice,$D158*(1-$P$8),IntRate,Yield,AZ158,$D$6,1,0)</f>
        <v>2.0270056548193277E-2</v>
      </c>
      <c r="BF158" s="59">
        <f t="shared" ca="1" si="86"/>
        <v>6.6565228125572591E-3</v>
      </c>
      <c r="BG158" s="39">
        <f t="shared" ca="1" si="87"/>
        <v>6.8227495179524183E-3</v>
      </c>
      <c r="BI158" s="58"/>
    </row>
    <row r="159" spans="3:61" x14ac:dyDescent="0.2">
      <c r="C159" s="56"/>
      <c r="D159" s="63">
        <f t="shared" ca="1" si="76"/>
        <v>13.220000000000015</v>
      </c>
      <c r="E159" s="45">
        <f t="shared" ca="1" si="90"/>
        <v>1.5526163351998483</v>
      </c>
      <c r="F159" s="45">
        <f t="shared" ca="1" si="58"/>
        <v>1.553892643367448</v>
      </c>
      <c r="G159" s="45">
        <f t="shared" ca="1" si="59"/>
        <v>1.5513400270322486</v>
      </c>
      <c r="H159" s="45">
        <f t="shared" ca="1" si="60"/>
        <v>1.4423609315370607</v>
      </c>
      <c r="I159" s="45">
        <f t="shared" ca="1" si="61"/>
        <v>1.4406843192015077</v>
      </c>
      <c r="J159" s="45">
        <f t="shared" ca="1" si="62"/>
        <v>1.439009666954628</v>
      </c>
      <c r="L159" s="58"/>
      <c r="M159" s="58"/>
      <c r="O159" s="58"/>
      <c r="P159" s="58"/>
      <c r="R159" s="59">
        <f t="shared" ca="1" si="72"/>
        <v>7.3818119201429902E-2</v>
      </c>
      <c r="S159" s="59">
        <f t="shared" ca="1" si="73"/>
        <v>1.0206793939864525</v>
      </c>
      <c r="T159" s="59">
        <f t="shared" ca="1" si="63"/>
        <v>-1.0417864253085518</v>
      </c>
      <c r="U159" s="59">
        <f t="shared" ca="1" si="74"/>
        <v>-3.116860954878574</v>
      </c>
      <c r="V159" s="59"/>
      <c r="W159" s="105">
        <f t="shared" ca="1" si="75"/>
        <v>8.3013018746889511E-4</v>
      </c>
      <c r="Z159" s="59">
        <f t="shared" ca="1" si="68"/>
        <v>7.6614467147050391E-2</v>
      </c>
      <c r="AA159" s="59">
        <f t="shared" ca="1" si="69"/>
        <v>1.0146909659517211</v>
      </c>
      <c r="AB159" s="59">
        <f t="shared" ca="1" si="88"/>
        <v>-1.0295977563840368</v>
      </c>
      <c r="AC159" s="59">
        <f t="shared" ca="1" si="77"/>
        <v>-3.3181952809072257</v>
      </c>
      <c r="AD159" s="60">
        <f t="shared" ca="1" si="89"/>
        <v>3.6218136370289873E-2</v>
      </c>
      <c r="AE159" s="60">
        <f t="shared" ca="1" si="78"/>
        <v>2.7748332190689643E-3</v>
      </c>
      <c r="AF159" s="60"/>
      <c r="AG159" s="94">
        <f t="shared" ca="1" si="79"/>
        <v>5.410212477827498</v>
      </c>
      <c r="AH159" s="97">
        <f t="shared" ca="1" si="80"/>
        <v>2.5773883768290093</v>
      </c>
      <c r="AI159" s="97">
        <f t="shared" ca="1" si="81"/>
        <v>2.5748495550749744</v>
      </c>
      <c r="AJ159" s="62"/>
      <c r="AK159" s="97">
        <f t="shared" ca="1" si="82"/>
        <v>4.3226040035686747E-3</v>
      </c>
      <c r="AL159" s="62"/>
      <c r="AM159" s="62"/>
      <c r="AX159" s="107">
        <f t="shared" ca="1" si="83"/>
        <v>0.54971889719752731</v>
      </c>
      <c r="AY159" s="107">
        <f t="shared" ca="1" si="84"/>
        <v>0.54944852989730264</v>
      </c>
      <c r="AZ159" s="107">
        <f t="shared" ca="1" si="85"/>
        <v>0.54998822169328032</v>
      </c>
      <c r="BB159" s="39">
        <f ca="1">_xll.EURO(UnderlyingPrice,$D159,IntRate,Yield,AX159,$D$6,1,0)</f>
        <v>1.4072194288715062E-2</v>
      </c>
      <c r="BC159" s="39">
        <f ca="1">_xll.EURO(UnderlyingPrice,$D159*(1+$P$8),IntRate,Yield,AY159,$D$6,1,0)</f>
        <v>1.3975626274768602E-2</v>
      </c>
      <c r="BD159" s="39">
        <f ca="1">_xll.EURO(UnderlyingPrice,$D159*(1-$P$8),IntRate,Yield,AZ159,$D$6,1,0)</f>
        <v>1.4169093007693118E-2</v>
      </c>
      <c r="BF159" s="59">
        <f t="shared" ca="1" si="86"/>
        <v>7.5689891672723201E-3</v>
      </c>
      <c r="BG159" s="39">
        <f t="shared" ca="1" si="87"/>
        <v>7.7580019849064529E-3</v>
      </c>
      <c r="BI159" s="58"/>
    </row>
    <row r="160" spans="3:61" x14ac:dyDescent="0.2">
      <c r="C160" s="56"/>
      <c r="D160" s="63">
        <f t="shared" ca="1" si="76"/>
        <v>13.600000000000016</v>
      </c>
      <c r="E160" s="45">
        <f t="shared" ca="1" si="90"/>
        <v>1.6259895732766974</v>
      </c>
      <c r="F160" s="45">
        <f t="shared" ca="1" si="58"/>
        <v>1.6273025680633357</v>
      </c>
      <c r="G160" s="45">
        <f t="shared" ca="1" si="59"/>
        <v>1.624676578490059</v>
      </c>
      <c r="H160" s="45">
        <f t="shared" ca="1" si="60"/>
        <v>1.5421308898837727</v>
      </c>
      <c r="I160" s="45">
        <f t="shared" ca="1" si="61"/>
        <v>1.5402882171419121</v>
      </c>
      <c r="J160" s="45">
        <f t="shared" ca="1" si="62"/>
        <v>1.5384476861747316</v>
      </c>
      <c r="L160" s="58"/>
      <c r="M160" s="58"/>
      <c r="O160" s="58"/>
      <c r="P160" s="58"/>
      <c r="R160" s="59">
        <f t="shared" ca="1" si="72"/>
        <v>7.1755554106095826E-2</v>
      </c>
      <c r="S160" s="59">
        <f t="shared" ca="1" si="73"/>
        <v>1.0490183523049186</v>
      </c>
      <c r="T160" s="59">
        <f t="shared" ca="1" si="63"/>
        <v>-1.1004395034725263</v>
      </c>
      <c r="U160" s="59">
        <f t="shared" ca="1" si="74"/>
        <v>-3.2923417297970881</v>
      </c>
      <c r="V160" s="59"/>
      <c r="W160" s="105">
        <f t="shared" ca="1" si="75"/>
        <v>6.1897217922256926E-4</v>
      </c>
      <c r="Z160" s="59">
        <f t="shared" ca="1" si="68"/>
        <v>7.4473768800294562E-2</v>
      </c>
      <c r="AA160" s="59">
        <f t="shared" ca="1" si="69"/>
        <v>1.0430299242701873</v>
      </c>
      <c r="AB160" s="59">
        <f t="shared" ca="1" si="88"/>
        <v>-1.0879114229230726</v>
      </c>
      <c r="AC160" s="59">
        <f t="shared" ca="1" si="77"/>
        <v>-3.5061289976645229</v>
      </c>
      <c r="AD160" s="60">
        <f t="shared" ca="1" si="89"/>
        <v>3.0012869749382012E-2</v>
      </c>
      <c r="AE160" s="60">
        <f t="shared" ca="1" si="78"/>
        <v>2.2351715227488305E-3</v>
      </c>
      <c r="AF160" s="60"/>
      <c r="AG160" s="94">
        <f t="shared" ca="1" si="79"/>
        <v>5.6649329785860782</v>
      </c>
      <c r="AH160" s="97">
        <f t="shared" ca="1" si="80"/>
        <v>2.649335934699002</v>
      </c>
      <c r="AI160" s="97">
        <f t="shared" ca="1" si="81"/>
        <v>2.6467971129449661</v>
      </c>
      <c r="AJ160" s="62"/>
      <c r="AK160" s="97">
        <f t="shared" ca="1" si="82"/>
        <v>3.3157198310772222E-3</v>
      </c>
      <c r="AL160" s="62"/>
      <c r="AM160" s="62"/>
      <c r="AX160" s="107">
        <f t="shared" ca="1" si="83"/>
        <v>0.53244196745052319</v>
      </c>
      <c r="AY160" s="107">
        <f t="shared" ca="1" si="84"/>
        <v>0.53209991876493412</v>
      </c>
      <c r="AZ160" s="107">
        <f t="shared" ca="1" si="85"/>
        <v>0.53278283440156993</v>
      </c>
      <c r="BB160" s="39">
        <f ca="1">_xll.EURO(UnderlyingPrice,$D160,IntRate,Yield,AX160,$D$6,1,0)</f>
        <v>9.0755585265915734E-3</v>
      </c>
      <c r="BC160" s="39">
        <f ca="1">_xll.EURO(UnderlyingPrice,$D160*(1+$P$8),IntRate,Yield,AY160,$D$6,1,0)</f>
        <v>8.996714913476353E-3</v>
      </c>
      <c r="BD160" s="39">
        <f ca="1">_xll.EURO(UnderlyingPrice,$D160*(1-$P$8),IntRate,Yield,AZ160,$D$6,1,0)</f>
        <v>9.1547818805567255E-3</v>
      </c>
      <c r="BF160" s="59">
        <f t="shared" ca="1" si="86"/>
        <v>8.2123886230915325E-3</v>
      </c>
      <c r="BG160" s="39">
        <f t="shared" ca="1" si="87"/>
        <v>8.4174684136491418E-3</v>
      </c>
      <c r="BI160" s="58"/>
    </row>
    <row r="161" spans="3:61" x14ac:dyDescent="0.2">
      <c r="C161" s="56"/>
      <c r="D161" s="63">
        <f t="shared" ca="1" si="76"/>
        <v>13.980000000000016</v>
      </c>
      <c r="E161" s="45">
        <f t="shared" ca="1" si="90"/>
        <v>1.6993628113535464</v>
      </c>
      <c r="F161" s="45">
        <f t="shared" ca="1" si="58"/>
        <v>1.700712492759223</v>
      </c>
      <c r="G161" s="45">
        <f t="shared" ca="1" si="59"/>
        <v>1.6980131299478693</v>
      </c>
      <c r="H161" s="45">
        <f t="shared" ca="1" si="60"/>
        <v>1.6485997216487422</v>
      </c>
      <c r="I161" s="45">
        <f t="shared" ca="1" si="61"/>
        <v>1.6465805290909969</v>
      </c>
      <c r="J161" s="45">
        <f t="shared" ca="1" si="62"/>
        <v>1.6445636708692575</v>
      </c>
      <c r="L161" s="58"/>
      <c r="M161" s="58"/>
      <c r="O161" s="58"/>
      <c r="P161" s="58"/>
      <c r="R161" s="59">
        <f t="shared" ca="1" si="72"/>
        <v>6.9805117013083215E-2</v>
      </c>
      <c r="S161" s="59">
        <f t="shared" ca="1" si="73"/>
        <v>1.0765762963685765</v>
      </c>
      <c r="T161" s="59">
        <f t="shared" ca="1" si="63"/>
        <v>-1.1590165219026811</v>
      </c>
      <c r="U161" s="59">
        <f t="shared" ca="1" si="74"/>
        <v>-3.4675949459676456</v>
      </c>
      <c r="V161" s="59"/>
      <c r="W161" s="105">
        <f t="shared" ca="1" si="75"/>
        <v>4.6204533308405574E-4</v>
      </c>
      <c r="Z161" s="59">
        <f t="shared" ca="1" si="68"/>
        <v>7.244944604320501E-2</v>
      </c>
      <c r="AA161" s="59">
        <f t="shared" ca="1" si="69"/>
        <v>1.070587868333845</v>
      </c>
      <c r="AB161" s="59">
        <f t="shared" ca="1" si="88"/>
        <v>-1.1461583838236062</v>
      </c>
      <c r="AC161" s="59">
        <f t="shared" ca="1" si="77"/>
        <v>-3.6938477349956162</v>
      </c>
      <c r="AD161" s="60">
        <f t="shared" ca="1" si="89"/>
        <v>2.4876101015294683E-2</v>
      </c>
      <c r="AE161" s="60">
        <f t="shared" ca="1" si="78"/>
        <v>1.8022597382729095E-3</v>
      </c>
      <c r="AF161" s="60"/>
      <c r="AG161" s="94">
        <f t="shared" ca="1" si="79"/>
        <v>5.9196534793446585</v>
      </c>
      <c r="AH161" s="97">
        <f t="shared" ca="1" si="80"/>
        <v>2.7193006367539132</v>
      </c>
      <c r="AI161" s="97">
        <f t="shared" ca="1" si="81"/>
        <v>2.7167618149998773</v>
      </c>
      <c r="AJ161" s="62"/>
      <c r="AK161" s="97">
        <f t="shared" ca="1" si="82"/>
        <v>2.5442486248776152E-3</v>
      </c>
      <c r="AL161" s="62"/>
      <c r="AM161" s="62"/>
      <c r="AX161" s="107">
        <f t="shared" ca="1" si="83"/>
        <v>0.51147467291316173</v>
      </c>
      <c r="AY161" s="107">
        <f t="shared" ca="1" si="84"/>
        <v>0.51105288171234953</v>
      </c>
      <c r="AZ161" s="107">
        <f t="shared" ca="1" si="85"/>
        <v>0.51189513287322719</v>
      </c>
      <c r="BB161" s="39">
        <f ca="1">_xll.EURO(UnderlyingPrice,$D161,IntRate,Yield,AX161,$D$6,1,0)</f>
        <v>5.2577524169999182E-3</v>
      </c>
      <c r="BC161" s="39">
        <f ca="1">_xll.EURO(UnderlyingPrice,$D161*(1+$P$8),IntRate,Yield,AY161,$D$6,1,0)</f>
        <v>5.1987696726392973E-3</v>
      </c>
      <c r="BD161" s="39">
        <f ca="1">_xll.EURO(UnderlyingPrice,$D161*(1-$P$8),IntRate,Yield,AZ161,$D$6,1,0)</f>
        <v>5.3171393175913753E-3</v>
      </c>
      <c r="BF161" s="59">
        <f t="shared" ca="1" si="86"/>
        <v>8.2717028994267802E-3</v>
      </c>
      <c r="BG161" s="39">
        <f t="shared" ca="1" si="87"/>
        <v>8.4782638862509318E-3</v>
      </c>
      <c r="BI161" s="58"/>
    </row>
    <row r="162" spans="3:61" x14ac:dyDescent="0.2">
      <c r="C162" s="56"/>
      <c r="D162" s="63">
        <f t="shared" ca="1" si="76"/>
        <v>14.360000000000017</v>
      </c>
      <c r="E162" s="45">
        <f t="shared" ca="1" si="90"/>
        <v>1.772736049430395</v>
      </c>
      <c r="F162" s="45">
        <f t="shared" ca="1" si="58"/>
        <v>1.7741224174551102</v>
      </c>
      <c r="G162" s="45">
        <f t="shared" ca="1" si="59"/>
        <v>1.7713496814056802</v>
      </c>
      <c r="H162" s="45">
        <f t="shared" ca="1" si="60"/>
        <v>1.7619781708155977</v>
      </c>
      <c r="I162" s="45">
        <f t="shared" ca="1" si="61"/>
        <v>1.759771683232265</v>
      </c>
      <c r="J162" s="45">
        <f t="shared" ca="1" si="62"/>
        <v>1.7575677337372304</v>
      </c>
      <c r="L162" s="58"/>
      <c r="M162" s="58"/>
      <c r="O162" s="58"/>
      <c r="P162" s="58"/>
      <c r="R162" s="59">
        <f t="shared" ca="1" si="72"/>
        <v>6.7957906395745352E-2</v>
      </c>
      <c r="S162" s="59">
        <f t="shared" ca="1" si="73"/>
        <v>1.1033951231829904</v>
      </c>
      <c r="T162" s="59">
        <f t="shared" ca="1" si="63"/>
        <v>-1.2174807978640065</v>
      </c>
      <c r="U162" s="59">
        <f t="shared" ca="1" si="74"/>
        <v>-3.6425108544228078</v>
      </c>
      <c r="V162" s="59"/>
      <c r="W162" s="105">
        <f t="shared" ca="1" si="75"/>
        <v>3.4533485587066534E-4</v>
      </c>
      <c r="Z162" s="59">
        <f t="shared" ca="1" si="68"/>
        <v>7.0532260145125772E-2</v>
      </c>
      <c r="AA162" s="59">
        <f t="shared" ca="1" si="69"/>
        <v>1.0974066951482588</v>
      </c>
      <c r="AB162" s="59">
        <f t="shared" ca="1" si="88"/>
        <v>-1.2043014545562236</v>
      </c>
      <c r="AC162" s="59">
        <f t="shared" ca="1" si="77"/>
        <v>-3.8812316543234897</v>
      </c>
      <c r="AD162" s="60">
        <f t="shared" ca="1" si="89"/>
        <v>2.0625406160530876E-2</v>
      </c>
      <c r="AE162" s="60">
        <f t="shared" ca="1" si="78"/>
        <v>1.4547565129134435E-3</v>
      </c>
      <c r="AF162" s="60"/>
      <c r="AG162" s="94">
        <f t="shared" ca="1" si="79"/>
        <v>6.1743739801032387</v>
      </c>
      <c r="AH162" s="97">
        <f t="shared" ca="1" si="80"/>
        <v>2.7873888520140344</v>
      </c>
      <c r="AI162" s="97">
        <f t="shared" ca="1" si="81"/>
        <v>2.7848500302599994</v>
      </c>
      <c r="AJ162" s="62"/>
      <c r="AK162" s="97">
        <f t="shared" ca="1" si="82"/>
        <v>1.9532716396577932E-3</v>
      </c>
      <c r="AL162" s="62"/>
      <c r="AM162" s="62"/>
      <c r="AX162" s="107">
        <f t="shared" ca="1" si="83"/>
        <v>0.48657306051985649</v>
      </c>
      <c r="AY162" s="107">
        <f t="shared" ca="1" si="84"/>
        <v>0.48606309956136762</v>
      </c>
      <c r="AZ162" s="107">
        <f t="shared" ca="1" si="85"/>
        <v>0.48708152978932984</v>
      </c>
      <c r="BB162" s="39">
        <f ca="1">_xll.EURO(UnderlyingPrice,$D162,IntRate,Yield,AX162,$D$6,1,0)</f>
        <v>2.6238539698871695E-3</v>
      </c>
      <c r="BC162" s="39">
        <f ca="1">_xll.EURO(UnderlyingPrice,$D162*(1+$P$8),IntRate,Yield,AY162,$D$6,1,0)</f>
        <v>2.5849404035522411E-3</v>
      </c>
      <c r="BD162" s="39">
        <f ca="1">_xll.EURO(UnderlyingPrice,$D162*(1-$P$8),IntRate,Yield,AZ162,$D$6,1,0)</f>
        <v>2.6631524197105703E-3</v>
      </c>
      <c r="BF162" s="59">
        <f t="shared" ca="1" si="86"/>
        <v>7.4658694546220657E-3</v>
      </c>
      <c r="BG162" s="39">
        <f t="shared" ca="1" si="87"/>
        <v>7.6523071665173864E-3</v>
      </c>
      <c r="BI162" s="58"/>
    </row>
    <row r="163" spans="3:61" x14ac:dyDescent="0.2">
      <c r="C163" s="56"/>
      <c r="D163" s="63">
        <f t="shared" ca="1" si="76"/>
        <v>14.740000000000018</v>
      </c>
      <c r="E163" s="45">
        <f t="shared" ca="1" si="90"/>
        <v>1.846109287507244</v>
      </c>
      <c r="F163" s="45">
        <f t="shared" ca="1" si="58"/>
        <v>1.8475323421509975</v>
      </c>
      <c r="G163" s="45">
        <f t="shared" ca="1" si="59"/>
        <v>1.8446862328634905</v>
      </c>
      <c r="H163" s="45">
        <f t="shared" ca="1" si="60"/>
        <v>1.882476981367966</v>
      </c>
      <c r="I163" s="45">
        <f t="shared" ca="1" si="61"/>
        <v>1.8800721077492231</v>
      </c>
      <c r="J163" s="45">
        <f t="shared" ca="1" si="62"/>
        <v>1.877669987477673</v>
      </c>
      <c r="L163" s="58"/>
      <c r="M163" s="58"/>
      <c r="O163" s="58"/>
      <c r="P163" s="58"/>
      <c r="R163" s="59">
        <f t="shared" ca="1" si="72"/>
        <v>6.6205938659627081E-2</v>
      </c>
      <c r="S163" s="59">
        <f t="shared" ca="1" si="73"/>
        <v>1.129513446324103</v>
      </c>
      <c r="T163" s="59">
        <f t="shared" ca="1" si="63"/>
        <v>-1.2758006254269523</v>
      </c>
      <c r="U163" s="59">
        <f t="shared" ca="1" si="74"/>
        <v>-3.8169945960134699</v>
      </c>
      <c r="V163" s="59"/>
      <c r="W163" s="105">
        <f t="shared" ca="1" si="75"/>
        <v>2.5845449984266544E-4</v>
      </c>
      <c r="Z163" s="59">
        <f t="shared" ca="1" si="68"/>
        <v>6.871392508032606E-2</v>
      </c>
      <c r="AA163" s="59">
        <f t="shared" ca="1" si="69"/>
        <v>1.1235250182893715</v>
      </c>
      <c r="AB163" s="59">
        <f t="shared" ca="1" si="88"/>
        <v>-1.2623084667221325</v>
      </c>
      <c r="AC163" s="59">
        <f t="shared" ca="1" si="77"/>
        <v>-4.068177083094076</v>
      </c>
      <c r="AD163" s="60">
        <f t="shared" ca="1" si="89"/>
        <v>1.7108547559256723E-2</v>
      </c>
      <c r="AE163" s="60">
        <f t="shared" ca="1" si="78"/>
        <v>1.1755954552199618E-3</v>
      </c>
      <c r="AF163" s="60"/>
      <c r="AG163" s="94">
        <f t="shared" ca="1" si="79"/>
        <v>6.4290944808618189</v>
      </c>
      <c r="AH163" s="97">
        <f t="shared" ca="1" si="80"/>
        <v>2.8536986134578011</v>
      </c>
      <c r="AI163" s="97">
        <f t="shared" ca="1" si="81"/>
        <v>2.8511597917037661</v>
      </c>
      <c r="AJ163" s="62"/>
      <c r="AK163" s="97">
        <f t="shared" ca="1" si="82"/>
        <v>1.5005461969223458E-3</v>
      </c>
      <c r="AL163" s="62"/>
      <c r="AM163" s="62"/>
      <c r="AX163" s="107">
        <f t="shared" ca="1" si="83"/>
        <v>0.4574931772050207</v>
      </c>
      <c r="AY163" s="107">
        <f t="shared" ca="1" si="84"/>
        <v>0.45688625313380848</v>
      </c>
      <c r="AZ163" s="107">
        <f t="shared" ca="1" si="85"/>
        <v>0.45809843783095527</v>
      </c>
      <c r="BB163" s="39">
        <f ca="1">_xll.EURO(UnderlyingPrice,$D163,IntRate,Yield,AX163,$D$6,1,0)</f>
        <v>1.056473445949415E-3</v>
      </c>
      <c r="BC163" s="39">
        <f ca="1">_xll.EURO(UnderlyingPrice,$D163*(1+$P$8),IntRate,Yield,AY163,$D$6,1,0)</f>
        <v>1.0351545979291731E-3</v>
      </c>
      <c r="BD163" s="39">
        <f ca="1">_xll.EURO(UnderlyingPrice,$D163*(1-$P$8),IntRate,Yield,AZ163,$D$6,1,0)</f>
        <v>1.0781031016522877E-3</v>
      </c>
      <c r="BF163" s="59">
        <f t="shared" ca="1" si="86"/>
        <v>5.7221174741330797E-3</v>
      </c>
      <c r="BG163" s="39">
        <f t="shared" ca="1" si="87"/>
        <v>5.8650102069296795E-3</v>
      </c>
      <c r="BI163" s="58"/>
    </row>
    <row r="164" spans="3:61" x14ac:dyDescent="0.2">
      <c r="C164" s="56"/>
      <c r="D164" s="63">
        <f t="shared" ca="1" si="76"/>
        <v>15.120000000000019</v>
      </c>
      <c r="E164" s="45">
        <f t="shared" ca="1" si="90"/>
        <v>1.919482525584093</v>
      </c>
      <c r="F164" s="45">
        <f t="shared" ca="1" si="58"/>
        <v>1.9209422668468852</v>
      </c>
      <c r="G164" s="45">
        <f t="shared" ca="1" si="59"/>
        <v>1.9180227843213009</v>
      </c>
      <c r="H164" s="45">
        <f t="shared" ca="1" si="60"/>
        <v>2.0103068972894751</v>
      </c>
      <c r="I164" s="45">
        <f t="shared" ca="1" si="61"/>
        <v>2.0076922308253744</v>
      </c>
      <c r="J164" s="45">
        <f t="shared" ca="1" si="62"/>
        <v>2.0050805447896107</v>
      </c>
      <c r="L164" s="58"/>
      <c r="M164" s="58"/>
      <c r="O164" s="58"/>
      <c r="P164" s="58"/>
      <c r="R164" s="59">
        <f t="shared" ca="1" si="72"/>
        <v>6.454203279384281E-2</v>
      </c>
      <c r="S164" s="59">
        <f t="shared" ca="1" si="73"/>
        <v>1.1549669303142993</v>
      </c>
      <c r="T164" s="59">
        <f t="shared" ca="1" si="63"/>
        <v>-1.3339486101196356</v>
      </c>
      <c r="U164" s="59">
        <f t="shared" ca="1" si="74"/>
        <v>-3.9909642107930279</v>
      </c>
      <c r="V164" s="59"/>
      <c r="W164" s="105">
        <f t="shared" ca="1" si="75"/>
        <v>1.9371084542029021E-4</v>
      </c>
      <c r="Z164" s="59">
        <f t="shared" ca="1" si="68"/>
        <v>6.6986987809788762E-2</v>
      </c>
      <c r="AA164" s="59">
        <f t="shared" ca="1" si="69"/>
        <v>1.1489785022795678</v>
      </c>
      <c r="AB164" s="59">
        <f t="shared" ca="1" si="88"/>
        <v>-1.3201515987005987</v>
      </c>
      <c r="AC164" s="59">
        <f t="shared" ca="1" si="77"/>
        <v>-4.2545943575818512</v>
      </c>
      <c r="AD164" s="60">
        <f t="shared" ca="1" si="89"/>
        <v>1.4198849233093155E-2</v>
      </c>
      <c r="AE164" s="60">
        <f t="shared" ca="1" si="78"/>
        <v>9.5113814049023969E-4</v>
      </c>
      <c r="AF164" s="60"/>
      <c r="AG164" s="94">
        <f t="shared" ca="1" si="79"/>
        <v>6.6838149816203991</v>
      </c>
      <c r="AH164" s="97">
        <f t="shared" ca="1" si="80"/>
        <v>2.918320466942947</v>
      </c>
      <c r="AI164" s="97">
        <f t="shared" ca="1" si="81"/>
        <v>2.9157816451889116</v>
      </c>
      <c r="AJ164" s="62"/>
      <c r="AK164" s="97">
        <f t="shared" ca="1" si="82"/>
        <v>1.1536485293224474E-3</v>
      </c>
      <c r="AL164" s="62"/>
      <c r="AM164" s="62"/>
      <c r="AX164" s="107">
        <f t="shared" ca="1" si="83"/>
        <v>0.42399106990306712</v>
      </c>
      <c r="AY164" s="107">
        <f t="shared" ca="1" si="84"/>
        <v>0.42327802325149133</v>
      </c>
      <c r="AZ164" s="107">
        <f t="shared" ca="1" si="85"/>
        <v>0.42470226967918034</v>
      </c>
      <c r="BB164" s="39">
        <f ca="1">_xll.EURO(UnderlyingPrice,$D164,IntRate,Yield,AX164,$D$6,1,0)</f>
        <v>3.0809162772954058E-4</v>
      </c>
      <c r="BC164" s="39">
        <f ca="1">_xll.EURO(UnderlyingPrice,$D164*(1+$P$8),IntRate,Yield,AY164,$D$6,1,0)</f>
        <v>2.9931967680627263E-4</v>
      </c>
      <c r="BD164" s="39">
        <f ca="1">_xll.EURO(UnderlyingPrice,$D164*(1-$P$8),IntRate,Yield,AZ164,$D$6,1,0)</f>
        <v>3.1705795556924822E-4</v>
      </c>
      <c r="BF164" s="59">
        <f t="shared" ca="1" si="86"/>
        <v>3.4009566578430931E-3</v>
      </c>
      <c r="BG164" s="39">
        <f t="shared" ca="1" si="87"/>
        <v>3.4858853565562587E-3</v>
      </c>
      <c r="BI164" s="58"/>
    </row>
    <row r="165" spans="3:61" x14ac:dyDescent="0.2">
      <c r="C165" s="56"/>
      <c r="D165" s="57"/>
      <c r="E165" s="45"/>
      <c r="F165" s="45"/>
      <c r="G165" s="45"/>
      <c r="H165" s="45"/>
      <c r="I165" s="45"/>
      <c r="J165" s="45"/>
      <c r="L165" s="58"/>
      <c r="M165" s="58"/>
      <c r="O165" s="58"/>
      <c r="P165" s="58"/>
      <c r="R165" s="58"/>
      <c r="S165" s="58"/>
      <c r="U165" s="59"/>
      <c r="V165" s="59"/>
      <c r="W165" s="62"/>
      <c r="Z165" s="59"/>
      <c r="AA165" s="59"/>
      <c r="AB165" s="59"/>
      <c r="AC165" s="59"/>
      <c r="AD165" s="60"/>
      <c r="AE165" s="60"/>
      <c r="AF165" s="60"/>
      <c r="AG165" s="94"/>
      <c r="AH165" s="62"/>
      <c r="AI165" s="62"/>
      <c r="AJ165" s="62"/>
      <c r="AK165" s="62"/>
      <c r="AL165" s="62"/>
      <c r="AM165" s="62"/>
    </row>
    <row r="166" spans="3:61" x14ac:dyDescent="0.2">
      <c r="C166" s="56"/>
      <c r="D166" s="57"/>
      <c r="E166" s="45"/>
      <c r="F166" s="45"/>
      <c r="G166" s="45"/>
      <c r="H166" s="45"/>
      <c r="I166" s="45"/>
      <c r="J166" s="45"/>
      <c r="L166" s="58"/>
      <c r="M166" s="58"/>
      <c r="O166" s="58"/>
      <c r="P166" s="58"/>
      <c r="R166" s="58"/>
      <c r="S166" s="58"/>
      <c r="U166" s="59"/>
      <c r="V166" s="59"/>
      <c r="W166" s="62"/>
      <c r="Z166" s="59"/>
      <c r="AA166" s="59"/>
      <c r="AB166" s="59"/>
      <c r="AC166" s="59"/>
      <c r="AD166" s="60"/>
      <c r="AE166" s="60"/>
      <c r="AF166" s="60"/>
      <c r="AG166" s="94"/>
      <c r="AH166" s="62"/>
      <c r="AI166" s="62"/>
      <c r="AJ166" s="62"/>
      <c r="AK166" s="62"/>
      <c r="AL166" s="62"/>
      <c r="AM166" s="62"/>
    </row>
    <row r="167" spans="3:61" x14ac:dyDescent="0.2">
      <c r="C167" s="56"/>
      <c r="D167" s="57"/>
      <c r="E167" s="45"/>
      <c r="F167" s="45"/>
      <c r="G167" s="45"/>
      <c r="H167" s="45"/>
      <c r="I167" s="45"/>
      <c r="J167" s="45"/>
      <c r="L167" s="58"/>
      <c r="M167" s="58"/>
      <c r="O167" s="58"/>
      <c r="P167" s="58"/>
      <c r="R167" s="58"/>
      <c r="S167" s="58"/>
      <c r="U167" s="59"/>
      <c r="V167" s="59"/>
      <c r="W167" s="62"/>
      <c r="Z167" s="59"/>
      <c r="AA167" s="59"/>
      <c r="AB167" s="59"/>
      <c r="AC167" s="59"/>
      <c r="AD167" s="60"/>
      <c r="AE167" s="60"/>
      <c r="AF167" s="60"/>
      <c r="AG167" s="94"/>
      <c r="AH167" s="62"/>
      <c r="AI167" s="62"/>
      <c r="AJ167" s="62"/>
      <c r="AK167" s="62"/>
      <c r="AL167" s="62"/>
      <c r="AM167" s="62"/>
    </row>
    <row r="168" spans="3:61" x14ac:dyDescent="0.2">
      <c r="C168" s="56"/>
      <c r="D168" s="57"/>
      <c r="E168" s="45"/>
      <c r="F168" s="45"/>
      <c r="G168" s="45"/>
      <c r="H168" s="45"/>
      <c r="I168" s="45"/>
      <c r="J168" s="45"/>
      <c r="L168" s="58"/>
      <c r="M168" s="58"/>
      <c r="O168" s="58"/>
      <c r="P168" s="58"/>
      <c r="R168" s="58"/>
      <c r="S168" s="58"/>
      <c r="U168" s="59"/>
      <c r="V168" s="59"/>
      <c r="W168" s="62"/>
      <c r="Z168" s="59"/>
      <c r="AA168" s="59"/>
      <c r="AB168" s="59"/>
      <c r="AC168" s="59"/>
      <c r="AD168" s="60"/>
      <c r="AE168" s="60"/>
      <c r="AF168" s="60"/>
      <c r="AG168" s="94"/>
      <c r="AH168" s="62"/>
      <c r="AI168" s="62"/>
      <c r="AJ168" s="62"/>
      <c r="AK168" s="62"/>
      <c r="AL168" s="62"/>
      <c r="AM168" s="62"/>
    </row>
    <row r="169" spans="3:61" x14ac:dyDescent="0.2">
      <c r="C169" s="56"/>
      <c r="D169" s="57"/>
      <c r="E169" s="45"/>
      <c r="F169" s="45"/>
      <c r="G169" s="45"/>
      <c r="H169" s="45"/>
      <c r="I169" s="45"/>
      <c r="J169" s="45"/>
      <c r="L169" s="58"/>
      <c r="M169" s="58"/>
      <c r="O169" s="58"/>
      <c r="P169" s="58"/>
      <c r="R169" s="58"/>
      <c r="S169" s="58"/>
      <c r="U169" s="59"/>
      <c r="V169" s="59"/>
      <c r="W169" s="62"/>
      <c r="Z169" s="59"/>
      <c r="AA169" s="59"/>
      <c r="AB169" s="59"/>
      <c r="AC169" s="59"/>
      <c r="AD169" s="60"/>
      <c r="AE169" s="60"/>
      <c r="AF169" s="60"/>
      <c r="AG169" s="62"/>
      <c r="AH169" s="62"/>
      <c r="AI169" s="62"/>
      <c r="AJ169" s="62"/>
      <c r="AK169" s="62"/>
      <c r="AL169" s="62"/>
      <c r="AM169" s="62"/>
    </row>
    <row r="170" spans="3:61" x14ac:dyDescent="0.2">
      <c r="C170" s="56"/>
      <c r="D170" s="57"/>
      <c r="E170" s="45"/>
      <c r="F170" s="45"/>
      <c r="G170" s="45"/>
      <c r="H170" s="45"/>
      <c r="I170" s="45"/>
      <c r="J170" s="45"/>
      <c r="L170" s="58"/>
      <c r="M170" s="58"/>
      <c r="O170" s="58"/>
      <c r="P170" s="58"/>
      <c r="R170" s="58"/>
      <c r="S170" s="58"/>
      <c r="U170" s="59"/>
      <c r="V170" s="59"/>
      <c r="W170" s="62"/>
      <c r="Z170" s="59"/>
      <c r="AA170" s="59"/>
      <c r="AB170" s="59"/>
      <c r="AC170" s="59"/>
      <c r="AD170" s="60"/>
      <c r="AE170" s="60"/>
      <c r="AF170" s="60"/>
      <c r="AG170" s="62"/>
      <c r="AH170" s="62"/>
      <c r="AI170" s="62"/>
      <c r="AJ170" s="62"/>
      <c r="AK170" s="62"/>
      <c r="AL170" s="62"/>
      <c r="AM170" s="62"/>
    </row>
    <row r="171" spans="3:61" x14ac:dyDescent="0.2">
      <c r="C171" s="56"/>
      <c r="D171" s="57"/>
      <c r="E171" s="45"/>
      <c r="F171" s="45"/>
      <c r="G171" s="45"/>
      <c r="H171" s="45"/>
      <c r="I171" s="45"/>
      <c r="J171" s="45"/>
      <c r="L171" s="58"/>
      <c r="M171" s="58"/>
      <c r="O171" s="58"/>
      <c r="P171" s="58"/>
      <c r="R171" s="58"/>
      <c r="S171" s="58"/>
      <c r="U171" s="59"/>
      <c r="V171" s="59"/>
      <c r="W171" s="62"/>
      <c r="Z171" s="59"/>
      <c r="AA171" s="59"/>
      <c r="AB171" s="59"/>
      <c r="AC171" s="59"/>
      <c r="AD171" s="60"/>
      <c r="AE171" s="60"/>
      <c r="AF171" s="60"/>
      <c r="AG171" s="62"/>
      <c r="AH171" s="62"/>
      <c r="AI171" s="62"/>
      <c r="AJ171" s="62"/>
      <c r="AK171" s="62"/>
      <c r="AL171" s="62"/>
      <c r="AM171" s="62"/>
    </row>
    <row r="172" spans="3:61" x14ac:dyDescent="0.2">
      <c r="C172" s="56"/>
      <c r="D172" s="57"/>
      <c r="E172" s="45"/>
      <c r="F172" s="45"/>
      <c r="G172" s="45"/>
      <c r="H172" s="45"/>
      <c r="I172" s="45"/>
      <c r="J172" s="45"/>
      <c r="L172" s="58"/>
      <c r="M172" s="58"/>
      <c r="O172" s="58"/>
      <c r="P172" s="58"/>
      <c r="R172" s="58"/>
      <c r="S172" s="58"/>
      <c r="U172" s="59"/>
      <c r="V172" s="59"/>
      <c r="W172" s="60"/>
      <c r="Z172" s="59"/>
      <c r="AA172" s="59"/>
      <c r="AB172" s="59"/>
      <c r="AC172" s="59"/>
      <c r="AD172" s="60"/>
      <c r="AE172" s="60"/>
      <c r="AF172" s="60"/>
      <c r="AG172" s="62"/>
      <c r="AH172" s="62"/>
      <c r="AI172" s="62"/>
      <c r="AJ172" s="62"/>
      <c r="AK172" s="62"/>
      <c r="AL172" s="62"/>
      <c r="AM172" s="62"/>
    </row>
    <row r="173" spans="3:61" x14ac:dyDescent="0.2">
      <c r="C173" s="56"/>
      <c r="D173" s="57"/>
      <c r="E173" s="45"/>
      <c r="F173" s="45"/>
      <c r="G173" s="45"/>
      <c r="H173" s="45"/>
      <c r="I173" s="45"/>
      <c r="J173" s="45"/>
      <c r="L173" s="58"/>
      <c r="M173" s="58"/>
      <c r="O173" s="58"/>
      <c r="P173" s="58"/>
      <c r="R173" s="58"/>
      <c r="S173" s="58"/>
      <c r="U173" s="59"/>
      <c r="V173" s="59"/>
      <c r="W173" s="60"/>
      <c r="Z173" s="59"/>
      <c r="AA173" s="59"/>
      <c r="AB173" s="59"/>
      <c r="AC173" s="59"/>
      <c r="AD173" s="60"/>
      <c r="AE173" s="60"/>
      <c r="AF173" s="60"/>
      <c r="AG173" s="62"/>
      <c r="AH173" s="62"/>
      <c r="AI173" s="62"/>
      <c r="AJ173" s="62"/>
      <c r="AK173" s="62"/>
      <c r="AL173" s="62"/>
      <c r="AM173" s="62"/>
    </row>
    <row r="174" spans="3:61" x14ac:dyDescent="0.2">
      <c r="C174" s="56"/>
      <c r="D174" s="57"/>
      <c r="E174" s="45"/>
      <c r="F174" s="45"/>
      <c r="G174" s="45"/>
      <c r="H174" s="45"/>
      <c r="I174" s="45"/>
      <c r="J174" s="45"/>
      <c r="L174" s="58"/>
      <c r="M174" s="58"/>
      <c r="O174" s="58"/>
      <c r="P174" s="58"/>
      <c r="R174" s="58"/>
      <c r="S174" s="58"/>
      <c r="U174" s="59"/>
      <c r="V174" s="59"/>
      <c r="W174" s="60"/>
      <c r="Z174" s="59"/>
      <c r="AA174" s="59"/>
      <c r="AB174" s="59"/>
      <c r="AC174" s="59"/>
      <c r="AD174" s="60"/>
      <c r="AE174" s="60"/>
      <c r="AF174" s="60"/>
      <c r="AG174" s="62"/>
      <c r="AH174" s="62"/>
      <c r="AI174" s="62"/>
      <c r="AJ174" s="62"/>
      <c r="AK174" s="62"/>
      <c r="AL174" s="62"/>
      <c r="AM174" s="62"/>
    </row>
    <row r="175" spans="3:61" x14ac:dyDescent="0.2">
      <c r="C175" s="56"/>
      <c r="D175" s="57"/>
      <c r="E175" s="45"/>
      <c r="F175" s="45"/>
      <c r="G175" s="45"/>
      <c r="H175" s="45"/>
      <c r="I175" s="45"/>
      <c r="J175" s="45"/>
      <c r="L175" s="58"/>
      <c r="M175" s="58"/>
      <c r="O175" s="58"/>
      <c r="P175" s="58"/>
      <c r="R175" s="58"/>
      <c r="S175" s="58"/>
      <c r="U175" s="59"/>
      <c r="V175" s="59"/>
      <c r="W175" s="60"/>
      <c r="Z175" s="59"/>
      <c r="AA175" s="59"/>
      <c r="AB175" s="59"/>
      <c r="AC175" s="59"/>
      <c r="AD175" s="60"/>
      <c r="AE175" s="60"/>
      <c r="AF175" s="60"/>
      <c r="AG175" s="62"/>
      <c r="AH175" s="62"/>
      <c r="AI175" s="62"/>
      <c r="AJ175" s="62"/>
      <c r="AK175" s="62"/>
      <c r="AL175" s="62"/>
      <c r="AM175" s="62"/>
    </row>
    <row r="176" spans="3:61" x14ac:dyDescent="0.2">
      <c r="C176" s="56"/>
      <c r="D176" s="57"/>
      <c r="E176" s="45"/>
      <c r="F176" s="45"/>
      <c r="G176" s="45"/>
      <c r="H176" s="45"/>
      <c r="I176" s="45"/>
      <c r="J176" s="45"/>
      <c r="L176" s="58"/>
      <c r="M176" s="58"/>
      <c r="O176" s="58"/>
      <c r="P176" s="58"/>
      <c r="R176" s="58"/>
      <c r="S176" s="58"/>
      <c r="U176" s="59"/>
      <c r="V176" s="59"/>
      <c r="W176" s="60"/>
      <c r="Z176" s="59"/>
      <c r="AA176" s="59"/>
      <c r="AB176" s="59"/>
      <c r="AC176" s="59"/>
      <c r="AD176" s="60"/>
      <c r="AE176" s="60"/>
      <c r="AF176" s="60"/>
      <c r="AG176" s="62"/>
      <c r="AH176" s="62"/>
      <c r="AI176" s="62"/>
      <c r="AJ176" s="62"/>
      <c r="AK176" s="62"/>
      <c r="AL176" s="60"/>
      <c r="AM176" s="60"/>
    </row>
    <row r="177" spans="3:39" x14ac:dyDescent="0.2">
      <c r="C177" s="56"/>
      <c r="D177" s="57"/>
      <c r="E177" s="45"/>
      <c r="F177" s="45"/>
      <c r="G177" s="45"/>
      <c r="H177" s="45"/>
      <c r="I177" s="45"/>
      <c r="J177" s="45"/>
      <c r="L177" s="58"/>
      <c r="M177" s="58"/>
      <c r="O177" s="58"/>
      <c r="P177" s="58"/>
      <c r="R177" s="58"/>
      <c r="S177" s="58"/>
      <c r="U177" s="59"/>
      <c r="V177" s="59"/>
      <c r="W177" s="60"/>
      <c r="Z177" s="59"/>
      <c r="AA177" s="59"/>
      <c r="AB177" s="59"/>
      <c r="AC177" s="59"/>
      <c r="AD177" s="60"/>
      <c r="AE177" s="60"/>
      <c r="AF177" s="60"/>
      <c r="AG177" s="62"/>
      <c r="AH177" s="62"/>
      <c r="AI177" s="62"/>
      <c r="AJ177" s="62"/>
      <c r="AK177" s="62"/>
      <c r="AL177" s="60"/>
      <c r="AM177" s="60"/>
    </row>
    <row r="178" spans="3:39" x14ac:dyDescent="0.2">
      <c r="D178" s="57"/>
      <c r="E178" s="45"/>
      <c r="F178" s="45"/>
      <c r="G178" s="45"/>
      <c r="H178" s="45"/>
      <c r="I178" s="45"/>
      <c r="J178" s="45"/>
      <c r="L178" s="58"/>
      <c r="M178" s="58"/>
      <c r="O178" s="58"/>
      <c r="P178" s="58"/>
      <c r="R178" s="58"/>
      <c r="S178" s="58"/>
      <c r="U178" s="59"/>
      <c r="V178" s="59"/>
      <c r="W178" s="60"/>
      <c r="Z178" s="59"/>
      <c r="AA178" s="59"/>
      <c r="AB178" s="59"/>
      <c r="AC178" s="59"/>
      <c r="AD178" s="60"/>
      <c r="AE178" s="60"/>
      <c r="AF178" s="60"/>
      <c r="AG178" s="62"/>
      <c r="AH178" s="62"/>
      <c r="AI178" s="62"/>
      <c r="AJ178" s="62"/>
      <c r="AK178" s="62"/>
      <c r="AL178" s="60"/>
      <c r="AM178" s="60"/>
    </row>
    <row r="179" spans="3:39" x14ac:dyDescent="0.2">
      <c r="D179" s="57"/>
      <c r="E179" s="45"/>
      <c r="F179" s="45"/>
      <c r="G179" s="45"/>
      <c r="H179" s="45"/>
      <c r="I179" s="45"/>
      <c r="J179" s="45"/>
      <c r="L179" s="58"/>
      <c r="M179" s="58"/>
      <c r="O179" s="58"/>
      <c r="P179" s="58"/>
      <c r="R179" s="58"/>
      <c r="S179" s="58"/>
      <c r="U179" s="59"/>
      <c r="V179" s="59"/>
      <c r="W179" s="60"/>
      <c r="Z179" s="59"/>
      <c r="AA179" s="59"/>
      <c r="AB179" s="59"/>
      <c r="AC179" s="59"/>
      <c r="AD179" s="60"/>
      <c r="AE179" s="60"/>
      <c r="AF179" s="60"/>
      <c r="AG179" s="62"/>
      <c r="AH179" s="62"/>
      <c r="AI179" s="62"/>
      <c r="AJ179" s="62"/>
      <c r="AK179" s="62"/>
      <c r="AL179" s="60"/>
      <c r="AM179" s="60"/>
    </row>
    <row r="180" spans="3:39" x14ac:dyDescent="0.2">
      <c r="AG180" s="62"/>
      <c r="AH180" s="62"/>
      <c r="AI180" s="62"/>
      <c r="AJ180" s="62"/>
      <c r="AK180" s="62"/>
      <c r="AL180" s="60"/>
      <c r="AM180" s="60"/>
    </row>
    <row r="181" spans="3:39" x14ac:dyDescent="0.2">
      <c r="AG181" s="60"/>
      <c r="AH181" s="60"/>
      <c r="AI181" s="60"/>
      <c r="AJ181" s="60"/>
      <c r="AK181" s="60"/>
      <c r="AL181" s="60"/>
      <c r="AM181" s="60"/>
    </row>
    <row r="182" spans="3:39" x14ac:dyDescent="0.2">
      <c r="AG182" s="60"/>
      <c r="AH182" s="60"/>
      <c r="AI182" s="60"/>
      <c r="AJ182" s="60"/>
      <c r="AK182" s="60"/>
      <c r="AL182" s="60"/>
      <c r="AM182" s="60"/>
    </row>
    <row r="183" spans="3:39" x14ac:dyDescent="0.2">
      <c r="AG183" s="60"/>
      <c r="AH183" s="60"/>
      <c r="AI183" s="60"/>
      <c r="AJ183" s="60"/>
      <c r="AK183" s="60"/>
      <c r="AL183" s="60"/>
      <c r="AM183" s="60"/>
    </row>
    <row r="184" spans="3:39" x14ac:dyDescent="0.2">
      <c r="AG184" s="60"/>
      <c r="AH184" s="60"/>
      <c r="AI184" s="60"/>
      <c r="AJ184" s="60"/>
      <c r="AK184" s="60"/>
      <c r="AL184" s="60"/>
      <c r="AM184" s="60"/>
    </row>
    <row r="185" spans="3:39" x14ac:dyDescent="0.2">
      <c r="AG185" s="60"/>
      <c r="AH185" s="60"/>
      <c r="AI185" s="60"/>
      <c r="AJ185" s="60"/>
      <c r="AK185" s="60"/>
      <c r="AL185" s="60"/>
      <c r="AM185" s="60"/>
    </row>
    <row r="186" spans="3:39" x14ac:dyDescent="0.2">
      <c r="AG186" s="60"/>
      <c r="AH186" s="60"/>
      <c r="AI186" s="60"/>
      <c r="AJ186" s="60"/>
      <c r="AK186" s="60"/>
      <c r="AL186" s="60"/>
      <c r="AM186" s="60"/>
    </row>
    <row r="187" spans="3:39" x14ac:dyDescent="0.2">
      <c r="AG187" s="60"/>
      <c r="AH187" s="60"/>
      <c r="AI187" s="60"/>
      <c r="AJ187" s="60"/>
      <c r="AK187" s="60"/>
      <c r="AL187" s="60"/>
      <c r="AM187" s="60"/>
    </row>
    <row r="188" spans="3:39" x14ac:dyDescent="0.2">
      <c r="AG188" s="60"/>
      <c r="AH188" s="60"/>
      <c r="AI188" s="60"/>
      <c r="AJ188" s="60"/>
      <c r="AK188" s="60"/>
      <c r="AL188" s="60"/>
      <c r="AM188" s="60"/>
    </row>
    <row r="189" spans="3:39" x14ac:dyDescent="0.2">
      <c r="AG189" s="60"/>
      <c r="AH189" s="60"/>
      <c r="AI189" s="60"/>
      <c r="AJ189" s="60"/>
      <c r="AK189" s="60"/>
      <c r="AL189" s="60"/>
      <c r="AM189" s="60"/>
    </row>
    <row r="190" spans="3:39" x14ac:dyDescent="0.2">
      <c r="AG190" s="60"/>
      <c r="AH190" s="60"/>
      <c r="AI190" s="60"/>
      <c r="AJ190" s="60"/>
      <c r="AK190" s="60"/>
      <c r="AL190" s="60"/>
      <c r="AM190" s="60"/>
    </row>
    <row r="191" spans="3:39" x14ac:dyDescent="0.2">
      <c r="AG191" s="60"/>
      <c r="AH191" s="60"/>
      <c r="AI191" s="60"/>
      <c r="AJ191" s="60"/>
      <c r="AK191" s="60"/>
      <c r="AL191" s="60"/>
      <c r="AM191" s="60"/>
    </row>
    <row r="192" spans="3:39" x14ac:dyDescent="0.2">
      <c r="AG192" s="60"/>
      <c r="AH192" s="60"/>
      <c r="AI192" s="60"/>
      <c r="AJ192" s="60"/>
      <c r="AK192" s="60"/>
      <c r="AL192" s="60"/>
      <c r="AM192" s="60"/>
    </row>
    <row r="193" spans="33:39" x14ac:dyDescent="0.2">
      <c r="AG193" s="60"/>
      <c r="AH193" s="60"/>
      <c r="AI193" s="60"/>
      <c r="AJ193" s="60"/>
      <c r="AK193" s="60"/>
      <c r="AL193" s="60"/>
      <c r="AM193" s="60"/>
    </row>
    <row r="194" spans="33:39" x14ac:dyDescent="0.2">
      <c r="AG194" s="60"/>
      <c r="AH194" s="60"/>
      <c r="AI194" s="60"/>
      <c r="AJ194" s="60"/>
      <c r="AK194" s="60"/>
      <c r="AL194" s="60"/>
      <c r="AM194" s="60"/>
    </row>
    <row r="195" spans="33:39" x14ac:dyDescent="0.2">
      <c r="AG195" s="60"/>
      <c r="AH195" s="60"/>
      <c r="AI195" s="60"/>
      <c r="AJ195" s="60"/>
      <c r="AK195" s="60"/>
      <c r="AL195" s="60"/>
      <c r="AM195" s="60"/>
    </row>
    <row r="196" spans="33:39" x14ac:dyDescent="0.2">
      <c r="AG196" s="60"/>
      <c r="AH196" s="60"/>
      <c r="AI196" s="60"/>
      <c r="AJ196" s="60"/>
      <c r="AK196" s="60"/>
      <c r="AL196" s="60"/>
      <c r="AM196" s="60"/>
    </row>
    <row r="197" spans="33:39" x14ac:dyDescent="0.2">
      <c r="AG197" s="60"/>
      <c r="AH197" s="60"/>
      <c r="AI197" s="60"/>
      <c r="AJ197" s="60"/>
      <c r="AK197" s="60"/>
      <c r="AL197" s="60"/>
      <c r="AM197" s="60"/>
    </row>
    <row r="198" spans="33:39" x14ac:dyDescent="0.2">
      <c r="AG198" s="60"/>
      <c r="AH198" s="60"/>
      <c r="AI198" s="60"/>
      <c r="AJ198" s="60"/>
      <c r="AK198" s="60"/>
      <c r="AL198" s="60"/>
      <c r="AM198" s="60"/>
    </row>
    <row r="199" spans="33:39" x14ac:dyDescent="0.2">
      <c r="AG199" s="60"/>
      <c r="AH199" s="60"/>
      <c r="AI199" s="60"/>
      <c r="AJ199" s="60"/>
      <c r="AK199" s="60"/>
      <c r="AL199" s="60"/>
      <c r="AM199" s="60"/>
    </row>
    <row r="200" spans="33:39" x14ac:dyDescent="0.2">
      <c r="AG200" s="60"/>
      <c r="AH200" s="60"/>
      <c r="AI200" s="60"/>
      <c r="AJ200" s="60"/>
      <c r="AK200" s="60"/>
      <c r="AL200" s="60"/>
      <c r="AM200" s="60"/>
    </row>
    <row r="201" spans="33:39" x14ac:dyDescent="0.2">
      <c r="AG201" s="60"/>
      <c r="AH201" s="60"/>
      <c r="AI201" s="60"/>
      <c r="AJ201" s="60"/>
      <c r="AK201" s="60"/>
      <c r="AL201" s="60"/>
      <c r="AM201" s="60"/>
    </row>
    <row r="202" spans="33:39" x14ac:dyDescent="0.2">
      <c r="AG202" s="60"/>
      <c r="AH202" s="60"/>
      <c r="AI202" s="60"/>
      <c r="AJ202" s="60"/>
      <c r="AK202" s="60"/>
      <c r="AL202" s="60"/>
      <c r="AM202" s="60"/>
    </row>
    <row r="203" spans="33:39" x14ac:dyDescent="0.2">
      <c r="AG203" s="60"/>
      <c r="AH203" s="60"/>
      <c r="AI203" s="60"/>
      <c r="AJ203" s="60"/>
      <c r="AK203" s="60"/>
      <c r="AL203" s="60"/>
      <c r="AM203" s="60"/>
    </row>
    <row r="204" spans="33:39" x14ac:dyDescent="0.2">
      <c r="AG204" s="60"/>
      <c r="AH204" s="60"/>
      <c r="AI204" s="60"/>
      <c r="AJ204" s="60"/>
      <c r="AK204" s="60"/>
      <c r="AL204" s="60"/>
      <c r="AM204" s="60"/>
    </row>
    <row r="205" spans="33:39" x14ac:dyDescent="0.2">
      <c r="AG205" s="60"/>
      <c r="AH205" s="60"/>
      <c r="AI205" s="60"/>
      <c r="AJ205" s="60"/>
      <c r="AK205" s="60"/>
      <c r="AL205" s="60"/>
      <c r="AM205" s="60"/>
    </row>
    <row r="206" spans="33:39" x14ac:dyDescent="0.2">
      <c r="AG206" s="60"/>
      <c r="AH206" s="60"/>
      <c r="AI206" s="60"/>
      <c r="AJ206" s="60"/>
      <c r="AK206" s="60"/>
      <c r="AL206" s="60"/>
      <c r="AM206" s="60"/>
    </row>
    <row r="207" spans="33:39" x14ac:dyDescent="0.2">
      <c r="AG207" s="60"/>
      <c r="AH207" s="60"/>
      <c r="AI207" s="60"/>
      <c r="AJ207" s="60"/>
      <c r="AK207" s="60"/>
      <c r="AL207" s="60"/>
      <c r="AM207" s="60"/>
    </row>
    <row r="208" spans="33:39" x14ac:dyDescent="0.2">
      <c r="AG208" s="60"/>
      <c r="AH208" s="60"/>
      <c r="AI208" s="60"/>
      <c r="AJ208" s="60"/>
      <c r="AK208" s="60"/>
      <c r="AL208" s="60"/>
      <c r="AM208" s="60"/>
    </row>
    <row r="209" spans="33:39" x14ac:dyDescent="0.2">
      <c r="AG209" s="60"/>
      <c r="AH209" s="60"/>
      <c r="AI209" s="60"/>
      <c r="AJ209" s="60"/>
      <c r="AK209" s="60"/>
      <c r="AL209" s="60"/>
      <c r="AM209" s="60"/>
    </row>
    <row r="210" spans="33:39" x14ac:dyDescent="0.2">
      <c r="AG210" s="60"/>
      <c r="AH210" s="60"/>
      <c r="AI210" s="60"/>
      <c r="AJ210" s="60"/>
      <c r="AK210" s="60"/>
      <c r="AL210" s="60"/>
      <c r="AM210" s="60"/>
    </row>
    <row r="211" spans="33:39" x14ac:dyDescent="0.2">
      <c r="AG211" s="60"/>
      <c r="AH211" s="60"/>
      <c r="AI211" s="60"/>
      <c r="AJ211" s="60"/>
      <c r="AK211" s="60"/>
      <c r="AL211" s="60"/>
      <c r="AM211" s="60"/>
    </row>
    <row r="212" spans="33:39" x14ac:dyDescent="0.2">
      <c r="AG212" s="60"/>
      <c r="AH212" s="60"/>
      <c r="AI212" s="60"/>
      <c r="AJ212" s="60"/>
      <c r="AK212" s="60"/>
      <c r="AL212" s="60"/>
      <c r="AM212" s="60"/>
    </row>
    <row r="213" spans="33:39" x14ac:dyDescent="0.2">
      <c r="AG213" s="60"/>
      <c r="AH213" s="60"/>
      <c r="AI213" s="60"/>
      <c r="AJ213" s="60"/>
      <c r="AK213" s="60"/>
    </row>
    <row r="214" spans="33:39" x14ac:dyDescent="0.2">
      <c r="AG214" s="60"/>
      <c r="AH214" s="60"/>
      <c r="AI214" s="60"/>
      <c r="AJ214" s="60"/>
      <c r="AK214" s="60"/>
    </row>
    <row r="215" spans="33:39" x14ac:dyDescent="0.2">
      <c r="AG215" s="60"/>
      <c r="AH215" s="60"/>
      <c r="AI215" s="60"/>
      <c r="AJ215" s="60"/>
      <c r="AK215" s="60"/>
    </row>
    <row r="216" spans="33:39" x14ac:dyDescent="0.2">
      <c r="AG216" s="60"/>
      <c r="AH216" s="60"/>
      <c r="AI216" s="60"/>
      <c r="AJ216" s="60"/>
      <c r="AK216" s="60"/>
    </row>
    <row r="217" spans="33:39" x14ac:dyDescent="0.2">
      <c r="AG217" s="60"/>
      <c r="AH217" s="60"/>
      <c r="AI217" s="60"/>
      <c r="AJ217" s="60"/>
      <c r="AK217" s="60"/>
    </row>
  </sheetData>
  <mergeCells count="1">
    <mergeCell ref="AM11:AN11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4"/>
  <sheetViews>
    <sheetView workbookViewId="0"/>
  </sheetViews>
  <sheetFormatPr defaultRowHeight="12.75" x14ac:dyDescent="0.2"/>
  <sheetData>
    <row r="1" spans="1:5" x14ac:dyDescent="0.2">
      <c r="A1" s="67" t="s">
        <v>53</v>
      </c>
      <c r="B1" s="67"/>
      <c r="C1" s="67"/>
      <c r="D1" s="67"/>
      <c r="E1" s="67"/>
    </row>
    <row r="2" spans="1:5" x14ac:dyDescent="0.2">
      <c r="A2" s="67" t="s">
        <v>54</v>
      </c>
      <c r="B2" s="67" t="s">
        <v>55</v>
      </c>
      <c r="C2" s="67" t="s">
        <v>56</v>
      </c>
      <c r="D2" s="67" t="s">
        <v>57</v>
      </c>
      <c r="E2" s="67" t="s">
        <v>58</v>
      </c>
    </row>
    <row r="3" spans="1:5" x14ac:dyDescent="0.2">
      <c r="A3" s="66">
        <v>34700</v>
      </c>
      <c r="B3" s="66">
        <f>IF(OR(WEEKDAY(A3-1)=1,WEEKDAY(A3-1)=7),IF(OR(WEEKDAY(A3-2)=1,WEEKDAY(A3-2)=7),A3-3,A3-2),A3-1)</f>
        <v>34698</v>
      </c>
      <c r="C3" s="66">
        <v>34689</v>
      </c>
      <c r="D3" s="66"/>
      <c r="E3" s="66"/>
    </row>
    <row r="4" spans="1:5" x14ac:dyDescent="0.2">
      <c r="A4" s="66">
        <v>34731</v>
      </c>
      <c r="B4" s="66">
        <f t="shared" ref="B4:B67" si="0">IF(OR(WEEKDAY(A4-1)=1,WEEKDAY(A4-1)=7),IF(OR(WEEKDAY(A4-2)=1,WEEKDAY(A4-2)=7),A4-3,A4-2),A4-1)</f>
        <v>34730</v>
      </c>
      <c r="C4" s="66">
        <v>34723</v>
      </c>
      <c r="D4" s="66"/>
      <c r="E4" s="66"/>
    </row>
    <row r="5" spans="1:5" x14ac:dyDescent="0.2">
      <c r="A5" s="66">
        <v>34759</v>
      </c>
      <c r="B5" s="66">
        <f t="shared" si="0"/>
        <v>34758</v>
      </c>
      <c r="C5" s="66">
        <v>34751</v>
      </c>
      <c r="D5" s="66"/>
      <c r="E5" s="66"/>
    </row>
    <row r="6" spans="1:5" x14ac:dyDescent="0.2">
      <c r="A6" s="66">
        <v>34790</v>
      </c>
      <c r="B6" s="66">
        <f t="shared" si="0"/>
        <v>34789</v>
      </c>
      <c r="C6" s="66">
        <v>34781</v>
      </c>
      <c r="D6" s="66"/>
      <c r="E6" s="66"/>
    </row>
    <row r="7" spans="1:5" x14ac:dyDescent="0.2">
      <c r="A7" s="66">
        <v>34820</v>
      </c>
      <c r="B7" s="66">
        <f t="shared" si="0"/>
        <v>34817</v>
      </c>
      <c r="C7" s="66">
        <v>34810</v>
      </c>
      <c r="D7" s="66"/>
      <c r="E7" s="66"/>
    </row>
    <row r="8" spans="1:5" x14ac:dyDescent="0.2">
      <c r="A8" s="66">
        <v>34851</v>
      </c>
      <c r="B8" s="66">
        <f t="shared" si="0"/>
        <v>34850</v>
      </c>
      <c r="C8" s="66">
        <v>34842</v>
      </c>
      <c r="D8" s="66"/>
      <c r="E8" s="66"/>
    </row>
    <row r="9" spans="1:5" x14ac:dyDescent="0.2">
      <c r="A9" s="66">
        <v>34881</v>
      </c>
      <c r="B9" s="66">
        <f t="shared" si="0"/>
        <v>34880</v>
      </c>
      <c r="C9" s="66">
        <v>34873</v>
      </c>
      <c r="D9" s="66"/>
      <c r="E9" s="66"/>
    </row>
    <row r="10" spans="1:5" x14ac:dyDescent="0.2">
      <c r="A10" s="66">
        <v>34912</v>
      </c>
      <c r="B10" s="66">
        <f t="shared" si="0"/>
        <v>34911</v>
      </c>
      <c r="C10" s="66">
        <v>34904</v>
      </c>
      <c r="D10" s="66"/>
      <c r="E10" s="66"/>
    </row>
    <row r="11" spans="1:5" x14ac:dyDescent="0.2">
      <c r="A11" s="66">
        <v>34943</v>
      </c>
      <c r="B11" s="66">
        <f t="shared" si="0"/>
        <v>34942</v>
      </c>
      <c r="C11" s="66">
        <v>34935</v>
      </c>
      <c r="D11" s="66"/>
      <c r="E11" s="66"/>
    </row>
    <row r="12" spans="1:5" x14ac:dyDescent="0.2">
      <c r="A12" s="66">
        <v>34973</v>
      </c>
      <c r="B12" s="66">
        <f t="shared" si="0"/>
        <v>34971</v>
      </c>
      <c r="C12" s="66">
        <v>34964</v>
      </c>
      <c r="D12" s="66"/>
      <c r="E12" s="66"/>
    </row>
    <row r="13" spans="1:5" x14ac:dyDescent="0.2">
      <c r="A13" s="66">
        <v>35004</v>
      </c>
      <c r="B13" s="66">
        <f t="shared" si="0"/>
        <v>35003</v>
      </c>
      <c r="C13" s="66">
        <v>34996</v>
      </c>
      <c r="D13" s="66"/>
      <c r="E13" s="66"/>
    </row>
    <row r="14" spans="1:5" x14ac:dyDescent="0.2">
      <c r="A14" s="66">
        <v>35034</v>
      </c>
      <c r="B14" s="66">
        <f t="shared" si="0"/>
        <v>35033</v>
      </c>
      <c r="C14" s="66">
        <v>35024</v>
      </c>
      <c r="D14" s="66"/>
      <c r="E14" s="66"/>
    </row>
    <row r="15" spans="1:5" x14ac:dyDescent="0.2">
      <c r="A15" s="66">
        <v>35065</v>
      </c>
      <c r="B15" s="66">
        <f t="shared" si="0"/>
        <v>35062</v>
      </c>
      <c r="C15" s="66">
        <v>35054</v>
      </c>
      <c r="D15" s="66"/>
      <c r="E15" s="66"/>
    </row>
    <row r="16" spans="1:5" x14ac:dyDescent="0.2">
      <c r="A16" s="66">
        <v>35096</v>
      </c>
      <c r="B16" s="66">
        <f t="shared" si="0"/>
        <v>35095</v>
      </c>
      <c r="C16" s="66">
        <v>35089</v>
      </c>
      <c r="D16" s="66"/>
      <c r="E16" s="66"/>
    </row>
    <row r="17" spans="1:5" x14ac:dyDescent="0.2">
      <c r="A17" s="66">
        <v>35125</v>
      </c>
      <c r="B17" s="66">
        <f t="shared" si="0"/>
        <v>35124</v>
      </c>
      <c r="C17" s="66">
        <v>35118</v>
      </c>
      <c r="D17" s="66"/>
      <c r="E17" s="66"/>
    </row>
    <row r="18" spans="1:5" x14ac:dyDescent="0.2">
      <c r="A18" s="66">
        <v>35156</v>
      </c>
      <c r="B18" s="66">
        <f t="shared" si="0"/>
        <v>35153</v>
      </c>
      <c r="C18" s="66">
        <v>35149</v>
      </c>
      <c r="D18" s="66"/>
      <c r="E18" s="66"/>
    </row>
    <row r="19" spans="1:5" x14ac:dyDescent="0.2">
      <c r="A19" s="66">
        <v>35186</v>
      </c>
      <c r="B19" s="66">
        <f t="shared" si="0"/>
        <v>35185</v>
      </c>
      <c r="C19" s="66">
        <v>35179</v>
      </c>
      <c r="D19" s="66"/>
      <c r="E19" s="66"/>
    </row>
    <row r="20" spans="1:5" x14ac:dyDescent="0.2">
      <c r="A20" s="66">
        <v>35217</v>
      </c>
      <c r="B20" s="66">
        <f t="shared" si="0"/>
        <v>35216</v>
      </c>
      <c r="C20" s="66">
        <v>35209</v>
      </c>
      <c r="D20" s="66"/>
      <c r="E20" s="66"/>
    </row>
    <row r="21" spans="1:5" x14ac:dyDescent="0.2">
      <c r="A21" s="66">
        <v>35247</v>
      </c>
      <c r="B21" s="66">
        <f t="shared" si="0"/>
        <v>35244</v>
      </c>
      <c r="C21" s="66">
        <v>35237</v>
      </c>
      <c r="D21" s="66"/>
      <c r="E21" s="66"/>
    </row>
    <row r="22" spans="1:5" x14ac:dyDescent="0.2">
      <c r="A22" s="66">
        <v>35278</v>
      </c>
      <c r="B22" s="66">
        <f t="shared" si="0"/>
        <v>35277</v>
      </c>
      <c r="C22" s="66">
        <v>35271</v>
      </c>
      <c r="D22" s="66"/>
      <c r="E22" s="66"/>
    </row>
    <row r="23" spans="1:5" x14ac:dyDescent="0.2">
      <c r="A23" s="66">
        <v>35309</v>
      </c>
      <c r="B23" s="66">
        <f t="shared" si="0"/>
        <v>35307</v>
      </c>
      <c r="C23" s="66">
        <v>35303</v>
      </c>
      <c r="D23" s="66"/>
      <c r="E23" s="66"/>
    </row>
    <row r="24" spans="1:5" x14ac:dyDescent="0.2">
      <c r="A24" s="66">
        <v>35339</v>
      </c>
      <c r="B24" s="66">
        <f t="shared" si="0"/>
        <v>35338</v>
      </c>
      <c r="C24" s="66">
        <v>35332</v>
      </c>
      <c r="D24" s="66"/>
      <c r="E24" s="66"/>
    </row>
    <row r="25" spans="1:5" x14ac:dyDescent="0.2">
      <c r="A25" s="66">
        <v>35370</v>
      </c>
      <c r="B25" s="66">
        <f t="shared" si="0"/>
        <v>35369</v>
      </c>
      <c r="C25" s="66">
        <v>35363</v>
      </c>
      <c r="D25" s="66"/>
      <c r="E25" s="66"/>
    </row>
    <row r="26" spans="1:5" x14ac:dyDescent="0.2">
      <c r="A26" s="66">
        <v>35400</v>
      </c>
      <c r="B26" s="66">
        <f t="shared" si="0"/>
        <v>35398</v>
      </c>
      <c r="C26" s="66">
        <v>35390</v>
      </c>
      <c r="D26" s="66"/>
      <c r="E26" s="66"/>
    </row>
    <row r="27" spans="1:5" x14ac:dyDescent="0.2">
      <c r="A27" s="66">
        <v>35431</v>
      </c>
      <c r="B27" s="66">
        <v>35429</v>
      </c>
      <c r="C27" s="66">
        <v>35423</v>
      </c>
      <c r="D27" s="66"/>
      <c r="E27" s="66"/>
    </row>
    <row r="28" spans="1:5" x14ac:dyDescent="0.2">
      <c r="A28" s="66">
        <v>35462</v>
      </c>
      <c r="B28" s="66">
        <f t="shared" si="0"/>
        <v>35461</v>
      </c>
      <c r="C28" s="66">
        <v>35457</v>
      </c>
      <c r="D28" s="66"/>
      <c r="E28" s="66"/>
    </row>
    <row r="29" spans="1:5" x14ac:dyDescent="0.2">
      <c r="A29" s="66">
        <v>35490</v>
      </c>
      <c r="B29" s="66">
        <f t="shared" si="0"/>
        <v>35489</v>
      </c>
      <c r="C29" s="66">
        <v>35485</v>
      </c>
      <c r="D29" s="66"/>
      <c r="E29" s="66"/>
    </row>
    <row r="30" spans="1:5" x14ac:dyDescent="0.2">
      <c r="A30" s="66">
        <v>35521</v>
      </c>
      <c r="B30" s="66">
        <f t="shared" si="0"/>
        <v>35520</v>
      </c>
      <c r="C30" s="66">
        <v>35513</v>
      </c>
      <c r="D30" s="66"/>
      <c r="E30" s="66"/>
    </row>
    <row r="31" spans="1:5" x14ac:dyDescent="0.2">
      <c r="A31" s="66">
        <v>35551</v>
      </c>
      <c r="B31" s="66">
        <f t="shared" si="0"/>
        <v>35550</v>
      </c>
      <c r="C31" s="66">
        <v>35544</v>
      </c>
      <c r="D31" s="66"/>
      <c r="E31" s="66"/>
    </row>
    <row r="32" spans="1:5" x14ac:dyDescent="0.2">
      <c r="A32" s="66">
        <v>35582</v>
      </c>
      <c r="B32" s="66">
        <f t="shared" si="0"/>
        <v>35580</v>
      </c>
      <c r="C32" s="66">
        <v>35578</v>
      </c>
      <c r="D32" s="66"/>
      <c r="E32" s="66"/>
    </row>
    <row r="33" spans="1:5" x14ac:dyDescent="0.2">
      <c r="A33" s="66">
        <v>35612</v>
      </c>
      <c r="B33" s="66">
        <f t="shared" si="0"/>
        <v>35611</v>
      </c>
      <c r="C33" s="66">
        <v>35607</v>
      </c>
      <c r="D33" s="66"/>
      <c r="E33" s="66"/>
    </row>
    <row r="34" spans="1:5" x14ac:dyDescent="0.2">
      <c r="A34" s="66">
        <v>35643</v>
      </c>
      <c r="B34" s="66">
        <f t="shared" si="0"/>
        <v>35642</v>
      </c>
      <c r="C34" s="66">
        <v>35640</v>
      </c>
      <c r="D34" s="66"/>
      <c r="E34" s="66"/>
    </row>
    <row r="35" spans="1:5" x14ac:dyDescent="0.2">
      <c r="A35" s="66">
        <v>35674</v>
      </c>
      <c r="B35" s="66">
        <f t="shared" si="0"/>
        <v>35671</v>
      </c>
      <c r="C35" s="66">
        <v>35669</v>
      </c>
      <c r="D35" s="66"/>
      <c r="E35" s="66"/>
    </row>
    <row r="36" spans="1:5" x14ac:dyDescent="0.2">
      <c r="A36" s="66">
        <v>35704</v>
      </c>
      <c r="B36" s="66">
        <f t="shared" si="0"/>
        <v>35703</v>
      </c>
      <c r="C36" s="66">
        <v>35699</v>
      </c>
      <c r="D36" s="66"/>
      <c r="E36" s="66"/>
    </row>
    <row r="37" spans="1:5" x14ac:dyDescent="0.2">
      <c r="A37" s="66">
        <v>35735</v>
      </c>
      <c r="B37" s="66">
        <f t="shared" si="0"/>
        <v>35734</v>
      </c>
      <c r="C37" s="66">
        <v>35732</v>
      </c>
      <c r="D37" s="66"/>
      <c r="E37" s="66"/>
    </row>
    <row r="38" spans="1:5" x14ac:dyDescent="0.2">
      <c r="A38" s="66">
        <v>35765</v>
      </c>
      <c r="B38" s="66">
        <f t="shared" si="0"/>
        <v>35762</v>
      </c>
      <c r="C38" s="66">
        <v>35758</v>
      </c>
      <c r="D38" s="66"/>
      <c r="E38" s="66"/>
    </row>
    <row r="39" spans="1:5" x14ac:dyDescent="0.2">
      <c r="A39" s="66">
        <v>35796</v>
      </c>
      <c r="B39" s="66">
        <v>35794</v>
      </c>
      <c r="C39" s="66">
        <v>35793</v>
      </c>
      <c r="D39" s="66"/>
      <c r="E39" s="66"/>
    </row>
    <row r="40" spans="1:5" x14ac:dyDescent="0.2">
      <c r="A40" s="66">
        <v>35827</v>
      </c>
      <c r="B40" s="66">
        <f t="shared" si="0"/>
        <v>35825</v>
      </c>
      <c r="C40" s="66">
        <v>35823</v>
      </c>
      <c r="D40" s="66"/>
      <c r="E40" s="66"/>
    </row>
    <row r="41" spans="1:5" x14ac:dyDescent="0.2">
      <c r="A41" s="66">
        <v>35855</v>
      </c>
      <c r="B41" s="66">
        <f t="shared" si="0"/>
        <v>35853</v>
      </c>
      <c r="C41" s="66">
        <v>35851</v>
      </c>
      <c r="D41" s="66"/>
      <c r="E41" s="66"/>
    </row>
    <row r="42" spans="1:5" x14ac:dyDescent="0.2">
      <c r="A42" s="66">
        <v>35886</v>
      </c>
      <c r="B42" s="66">
        <f t="shared" si="0"/>
        <v>35885</v>
      </c>
      <c r="C42" s="66">
        <v>35881</v>
      </c>
      <c r="D42" s="66"/>
      <c r="E42" s="66"/>
    </row>
    <row r="43" spans="1:5" x14ac:dyDescent="0.2">
      <c r="A43" s="66">
        <v>35916</v>
      </c>
      <c r="B43" s="66">
        <f t="shared" si="0"/>
        <v>35915</v>
      </c>
      <c r="C43" s="66">
        <v>35913</v>
      </c>
      <c r="D43" s="66"/>
      <c r="E43" s="66"/>
    </row>
    <row r="44" spans="1:5" x14ac:dyDescent="0.2">
      <c r="A44" s="66">
        <v>35947</v>
      </c>
      <c r="B44" s="66">
        <f t="shared" si="0"/>
        <v>35944</v>
      </c>
      <c r="C44" s="66">
        <v>35942</v>
      </c>
      <c r="D44" s="66"/>
      <c r="E44" s="66"/>
    </row>
    <row r="45" spans="1:5" x14ac:dyDescent="0.2">
      <c r="A45" s="66">
        <v>35977</v>
      </c>
      <c r="B45" s="66">
        <f t="shared" si="0"/>
        <v>35976</v>
      </c>
      <c r="C45" s="66">
        <v>35972</v>
      </c>
      <c r="D45" s="66"/>
      <c r="E45" s="66"/>
    </row>
    <row r="46" spans="1:5" x14ac:dyDescent="0.2">
      <c r="A46" s="66">
        <v>36008</v>
      </c>
      <c r="B46" s="66">
        <f t="shared" si="0"/>
        <v>36007</v>
      </c>
      <c r="C46" s="66">
        <v>36005</v>
      </c>
      <c r="D46" s="66"/>
      <c r="E46" s="66"/>
    </row>
    <row r="47" spans="1:5" x14ac:dyDescent="0.2">
      <c r="A47" s="66">
        <v>36039</v>
      </c>
      <c r="B47" s="66">
        <f t="shared" si="0"/>
        <v>36038</v>
      </c>
      <c r="C47" s="66">
        <v>36034</v>
      </c>
      <c r="D47" s="66"/>
      <c r="E47" s="66"/>
    </row>
    <row r="48" spans="1:5" x14ac:dyDescent="0.2">
      <c r="A48" s="66">
        <v>36069</v>
      </c>
      <c r="B48" s="66">
        <f t="shared" si="0"/>
        <v>36068</v>
      </c>
      <c r="C48" s="66">
        <v>36066</v>
      </c>
      <c r="D48" s="66"/>
      <c r="E48" s="66"/>
    </row>
    <row r="49" spans="1:5" x14ac:dyDescent="0.2">
      <c r="A49" s="66">
        <v>36100</v>
      </c>
      <c r="B49" s="66">
        <f t="shared" si="0"/>
        <v>36098</v>
      </c>
      <c r="C49" s="66">
        <v>36096</v>
      </c>
      <c r="D49" s="66"/>
      <c r="E49" s="66"/>
    </row>
    <row r="50" spans="1:5" x14ac:dyDescent="0.2">
      <c r="A50" s="66">
        <v>36130</v>
      </c>
      <c r="B50" s="66">
        <f t="shared" si="0"/>
        <v>36129</v>
      </c>
      <c r="C50" s="66">
        <v>36124</v>
      </c>
      <c r="D50" s="66"/>
      <c r="E50" s="66"/>
    </row>
    <row r="51" spans="1:5" x14ac:dyDescent="0.2">
      <c r="A51" s="66">
        <v>36161</v>
      </c>
      <c r="B51" s="66">
        <v>36159</v>
      </c>
      <c r="C51" s="66">
        <v>36158</v>
      </c>
      <c r="D51" s="66"/>
      <c r="E51" s="66"/>
    </row>
    <row r="52" spans="1:5" x14ac:dyDescent="0.2">
      <c r="A52" s="66">
        <v>36192</v>
      </c>
      <c r="B52" s="66">
        <f t="shared" si="0"/>
        <v>36189</v>
      </c>
      <c r="C52" s="66">
        <v>36187</v>
      </c>
      <c r="D52" s="66"/>
      <c r="E52" s="66"/>
    </row>
    <row r="53" spans="1:5" x14ac:dyDescent="0.2">
      <c r="A53" s="66">
        <v>36220</v>
      </c>
      <c r="B53" s="66">
        <f t="shared" si="0"/>
        <v>36217</v>
      </c>
      <c r="C53" s="66">
        <v>36215</v>
      </c>
      <c r="D53" s="66"/>
      <c r="E53" s="66"/>
    </row>
    <row r="54" spans="1:5" x14ac:dyDescent="0.2">
      <c r="A54" s="66">
        <v>36251</v>
      </c>
      <c r="B54" s="66">
        <f t="shared" si="0"/>
        <v>36250</v>
      </c>
      <c r="C54" s="66">
        <v>36248</v>
      </c>
      <c r="D54" s="66"/>
      <c r="E54" s="66"/>
    </row>
    <row r="55" spans="1:5" x14ac:dyDescent="0.2">
      <c r="A55" s="66">
        <v>36281</v>
      </c>
      <c r="B55" s="66">
        <f t="shared" si="0"/>
        <v>36280</v>
      </c>
      <c r="C55" s="66">
        <v>36278</v>
      </c>
      <c r="D55" s="66"/>
      <c r="E55" s="66"/>
    </row>
    <row r="56" spans="1:5" x14ac:dyDescent="0.2">
      <c r="A56" s="66">
        <v>36312</v>
      </c>
      <c r="B56" s="66">
        <f t="shared" si="0"/>
        <v>36311</v>
      </c>
      <c r="C56" s="66">
        <v>36306</v>
      </c>
      <c r="D56" s="66"/>
      <c r="E56" s="66"/>
    </row>
    <row r="57" spans="1:5" x14ac:dyDescent="0.2">
      <c r="A57" s="66">
        <v>36342</v>
      </c>
      <c r="B57" s="66">
        <f t="shared" si="0"/>
        <v>36341</v>
      </c>
      <c r="C57" s="66">
        <v>36339</v>
      </c>
      <c r="D57" s="66"/>
      <c r="E57" s="66"/>
    </row>
    <row r="58" spans="1:5" x14ac:dyDescent="0.2">
      <c r="A58" s="66">
        <v>36373</v>
      </c>
      <c r="B58" s="66">
        <f t="shared" si="0"/>
        <v>36371</v>
      </c>
      <c r="C58" s="66">
        <v>36369</v>
      </c>
      <c r="D58" s="66">
        <v>36361</v>
      </c>
      <c r="E58" s="66">
        <v>36357</v>
      </c>
    </row>
    <row r="59" spans="1:5" x14ac:dyDescent="0.2">
      <c r="A59" s="66">
        <v>36404</v>
      </c>
      <c r="B59" s="66">
        <f t="shared" si="0"/>
        <v>36403</v>
      </c>
      <c r="C59" s="66">
        <v>36399</v>
      </c>
      <c r="D59" s="66">
        <v>36392</v>
      </c>
      <c r="E59" s="66">
        <v>36388</v>
      </c>
    </row>
    <row r="60" spans="1:5" x14ac:dyDescent="0.2">
      <c r="A60" s="66">
        <v>36434</v>
      </c>
      <c r="B60" s="66">
        <f t="shared" si="0"/>
        <v>36433</v>
      </c>
      <c r="C60" s="66">
        <v>36431</v>
      </c>
      <c r="D60" s="66">
        <v>36424</v>
      </c>
      <c r="E60" s="66">
        <v>36418</v>
      </c>
    </row>
    <row r="61" spans="1:5" x14ac:dyDescent="0.2">
      <c r="A61" s="66">
        <v>36465</v>
      </c>
      <c r="B61" s="66">
        <f t="shared" si="0"/>
        <v>36462</v>
      </c>
      <c r="C61" s="66">
        <v>36460</v>
      </c>
      <c r="D61" s="66">
        <v>36453</v>
      </c>
      <c r="E61" s="66">
        <v>36447</v>
      </c>
    </row>
    <row r="62" spans="1:5" x14ac:dyDescent="0.2">
      <c r="A62" s="66">
        <v>36495</v>
      </c>
      <c r="B62" s="66">
        <f t="shared" si="0"/>
        <v>36494</v>
      </c>
      <c r="C62" s="66">
        <v>36490</v>
      </c>
      <c r="D62" s="66">
        <v>36483</v>
      </c>
      <c r="E62" s="66">
        <v>36479</v>
      </c>
    </row>
    <row r="63" spans="1:5" x14ac:dyDescent="0.2">
      <c r="A63" s="66">
        <v>36526</v>
      </c>
      <c r="B63" s="66">
        <v>36524</v>
      </c>
      <c r="C63" s="66">
        <v>36522</v>
      </c>
      <c r="D63" s="66">
        <v>36514</v>
      </c>
      <c r="E63" s="66">
        <v>36510</v>
      </c>
    </row>
    <row r="64" spans="1:5" x14ac:dyDescent="0.2">
      <c r="A64" s="66">
        <v>36557</v>
      </c>
      <c r="B64" s="66">
        <f t="shared" si="0"/>
        <v>36556</v>
      </c>
      <c r="C64" s="66">
        <v>36552</v>
      </c>
      <c r="D64" s="66">
        <v>36545</v>
      </c>
      <c r="E64" s="66">
        <v>36539</v>
      </c>
    </row>
    <row r="65" spans="1:5" x14ac:dyDescent="0.2">
      <c r="A65" s="66">
        <v>36586</v>
      </c>
      <c r="B65" s="66">
        <f t="shared" si="0"/>
        <v>36585</v>
      </c>
      <c r="C65" s="66">
        <v>36581</v>
      </c>
      <c r="D65" s="66">
        <v>36578</v>
      </c>
      <c r="E65" s="66">
        <v>36570</v>
      </c>
    </row>
    <row r="66" spans="1:5" x14ac:dyDescent="0.2">
      <c r="A66" s="66">
        <v>36617</v>
      </c>
      <c r="B66" s="66">
        <f t="shared" si="0"/>
        <v>36616</v>
      </c>
      <c r="C66" s="66">
        <v>36614</v>
      </c>
      <c r="D66" s="66">
        <v>36606</v>
      </c>
      <c r="E66" s="66">
        <v>36601</v>
      </c>
    </row>
    <row r="67" spans="1:5" x14ac:dyDescent="0.2">
      <c r="A67" s="66">
        <v>36647</v>
      </c>
      <c r="B67" s="66">
        <f t="shared" si="0"/>
        <v>36644</v>
      </c>
      <c r="C67" s="66">
        <v>36642</v>
      </c>
      <c r="D67" s="66">
        <v>36635</v>
      </c>
      <c r="E67" s="66">
        <v>36629</v>
      </c>
    </row>
    <row r="68" spans="1:5" x14ac:dyDescent="0.2">
      <c r="A68" s="66">
        <v>36678</v>
      </c>
      <c r="B68" s="66">
        <f t="shared" ref="B68:B78" si="1">IF(OR(WEEKDAY(A68-1)=1,WEEKDAY(A68-1)=7),IF(OR(WEEKDAY(A68-2)=1,WEEKDAY(A68-2)=7),A68-3,A68-2),A68-1)</f>
        <v>36677</v>
      </c>
      <c r="C68" s="66">
        <v>36672</v>
      </c>
      <c r="D68" s="66">
        <v>36668</v>
      </c>
      <c r="E68" s="66">
        <v>36662</v>
      </c>
    </row>
    <row r="69" spans="1:5" x14ac:dyDescent="0.2">
      <c r="A69" s="66">
        <v>36708</v>
      </c>
      <c r="B69" s="66">
        <f t="shared" si="1"/>
        <v>36707</v>
      </c>
      <c r="C69" s="66">
        <v>36705</v>
      </c>
      <c r="D69" s="66">
        <v>36697</v>
      </c>
      <c r="E69" s="66">
        <v>36692</v>
      </c>
    </row>
    <row r="70" spans="1:5" x14ac:dyDescent="0.2">
      <c r="A70" s="66">
        <v>36739</v>
      </c>
      <c r="B70" s="66">
        <f t="shared" si="1"/>
        <v>36738</v>
      </c>
      <c r="C70" s="66">
        <v>36734</v>
      </c>
      <c r="D70" s="66">
        <v>36727</v>
      </c>
      <c r="E70" s="66">
        <v>36721</v>
      </c>
    </row>
    <row r="71" spans="1:5" x14ac:dyDescent="0.2">
      <c r="A71" s="66">
        <v>36770</v>
      </c>
      <c r="B71" s="66">
        <f t="shared" si="1"/>
        <v>36769</v>
      </c>
      <c r="C71" s="66">
        <v>36767</v>
      </c>
      <c r="D71" s="66">
        <v>36760</v>
      </c>
      <c r="E71" s="66">
        <v>36754</v>
      </c>
    </row>
    <row r="72" spans="1:5" x14ac:dyDescent="0.2">
      <c r="A72" s="66">
        <v>36800</v>
      </c>
      <c r="B72" s="66">
        <f t="shared" si="1"/>
        <v>36798</v>
      </c>
      <c r="C72" s="66">
        <v>36796</v>
      </c>
      <c r="D72" s="66">
        <v>36789</v>
      </c>
      <c r="E72" s="66">
        <v>36783</v>
      </c>
    </row>
    <row r="73" spans="1:5" x14ac:dyDescent="0.2">
      <c r="A73" s="66">
        <v>36831</v>
      </c>
      <c r="B73" s="66">
        <f t="shared" si="1"/>
        <v>36830</v>
      </c>
      <c r="C73" s="66">
        <v>36826</v>
      </c>
      <c r="D73" s="66">
        <v>36819</v>
      </c>
      <c r="E73" s="66">
        <v>36815</v>
      </c>
    </row>
    <row r="74" spans="1:5" x14ac:dyDescent="0.2">
      <c r="A74" s="66">
        <v>36861</v>
      </c>
      <c r="B74" s="66">
        <f t="shared" si="1"/>
        <v>36860</v>
      </c>
      <c r="C74" s="66">
        <v>36858</v>
      </c>
      <c r="D74" s="66">
        <v>36847</v>
      </c>
      <c r="E74" s="66">
        <v>36845</v>
      </c>
    </row>
    <row r="75" spans="1:5" x14ac:dyDescent="0.2">
      <c r="A75" s="66">
        <v>36892</v>
      </c>
      <c r="B75" s="66">
        <f t="shared" si="1"/>
        <v>36889</v>
      </c>
      <c r="C75" s="66">
        <v>36887</v>
      </c>
      <c r="D75" s="66">
        <v>36879</v>
      </c>
      <c r="E75" s="66">
        <v>36874</v>
      </c>
    </row>
    <row r="76" spans="1:5" x14ac:dyDescent="0.2">
      <c r="A76" s="66">
        <v>36923</v>
      </c>
      <c r="B76" s="66">
        <f t="shared" si="1"/>
        <v>36922</v>
      </c>
      <c r="C76" s="66">
        <v>36920</v>
      </c>
      <c r="D76" s="66">
        <v>36913</v>
      </c>
      <c r="E76" s="66">
        <v>36907</v>
      </c>
    </row>
    <row r="77" spans="1:5" x14ac:dyDescent="0.2">
      <c r="A77" s="66">
        <v>36951</v>
      </c>
      <c r="B77" s="66">
        <f t="shared" si="1"/>
        <v>36950</v>
      </c>
      <c r="C77" s="66">
        <v>36948</v>
      </c>
      <c r="D77" s="66">
        <v>36942</v>
      </c>
      <c r="E77" s="66">
        <v>36935</v>
      </c>
    </row>
    <row r="78" spans="1:5" x14ac:dyDescent="0.2">
      <c r="A78" s="66">
        <v>36982</v>
      </c>
      <c r="B78" s="66">
        <f t="shared" si="1"/>
        <v>36980</v>
      </c>
      <c r="C78" s="66">
        <v>36978</v>
      </c>
      <c r="D78" s="66">
        <v>36970</v>
      </c>
      <c r="E78" s="66">
        <v>36966</v>
      </c>
    </row>
    <row r="79" spans="1:5" x14ac:dyDescent="0.2">
      <c r="A79" s="66">
        <v>37012</v>
      </c>
      <c r="B79" s="66">
        <v>37006</v>
      </c>
      <c r="C79" s="66">
        <v>37006</v>
      </c>
      <c r="D79" s="66">
        <v>36998</v>
      </c>
      <c r="E79" s="66">
        <v>36993</v>
      </c>
    </row>
    <row r="80" spans="1:5" x14ac:dyDescent="0.2">
      <c r="A80" s="66">
        <v>37043</v>
      </c>
      <c r="B80" s="66">
        <v>37036</v>
      </c>
      <c r="C80" s="66">
        <v>37036</v>
      </c>
      <c r="D80" s="66">
        <v>37028</v>
      </c>
      <c r="E80" s="66">
        <v>37027</v>
      </c>
    </row>
    <row r="81" spans="1:5" x14ac:dyDescent="0.2">
      <c r="A81" s="66">
        <v>37073</v>
      </c>
      <c r="B81" s="66">
        <v>37068</v>
      </c>
      <c r="C81" s="66">
        <v>37068</v>
      </c>
      <c r="D81" s="66">
        <v>37057</v>
      </c>
      <c r="E81" s="66">
        <v>37057</v>
      </c>
    </row>
    <row r="82" spans="1:5" x14ac:dyDescent="0.2">
      <c r="A82" s="66">
        <v>37104</v>
      </c>
      <c r="B82" s="66">
        <v>37098</v>
      </c>
      <c r="C82" s="66">
        <v>37098</v>
      </c>
      <c r="D82" s="66">
        <v>37089</v>
      </c>
      <c r="E82" s="66">
        <v>37088</v>
      </c>
    </row>
    <row r="83" spans="1:5" x14ac:dyDescent="0.2">
      <c r="A83" s="66">
        <v>37135</v>
      </c>
      <c r="B83" s="66">
        <v>37131</v>
      </c>
      <c r="C83" s="66">
        <v>37131</v>
      </c>
      <c r="D83" s="66">
        <v>37119</v>
      </c>
      <c r="E83" s="66">
        <v>37119</v>
      </c>
    </row>
    <row r="84" spans="1:5" x14ac:dyDescent="0.2">
      <c r="A84" s="66">
        <v>37165</v>
      </c>
      <c r="B84" s="66">
        <v>37159</v>
      </c>
      <c r="C84" s="66">
        <v>37159</v>
      </c>
      <c r="D84" s="66">
        <v>37151</v>
      </c>
      <c r="E84" s="66">
        <v>37147</v>
      </c>
    </row>
    <row r="85" spans="1:5" x14ac:dyDescent="0.2">
      <c r="A85" s="66">
        <v>37196</v>
      </c>
      <c r="B85" s="66">
        <v>37190</v>
      </c>
      <c r="C85" s="66">
        <v>37190</v>
      </c>
      <c r="D85" s="66">
        <v>37181</v>
      </c>
      <c r="E85" s="66">
        <v>37180</v>
      </c>
    </row>
    <row r="86" spans="1:5" x14ac:dyDescent="0.2">
      <c r="A86" s="66">
        <v>37226</v>
      </c>
      <c r="B86" s="66">
        <v>37222</v>
      </c>
      <c r="C86" s="66">
        <v>37222</v>
      </c>
      <c r="D86" s="66">
        <v>37209</v>
      </c>
      <c r="E86" s="66">
        <v>37210</v>
      </c>
    </row>
    <row r="87" spans="1:5" x14ac:dyDescent="0.2">
      <c r="A87" s="66">
        <v>37257</v>
      </c>
      <c r="B87" s="66">
        <v>37251</v>
      </c>
      <c r="C87" s="66">
        <v>37251</v>
      </c>
      <c r="D87" s="66">
        <v>37239</v>
      </c>
      <c r="E87" s="66">
        <v>37238</v>
      </c>
    </row>
    <row r="88" spans="1:5" x14ac:dyDescent="0.2">
      <c r="A88" s="66">
        <v>37288</v>
      </c>
      <c r="B88" s="66">
        <v>37284</v>
      </c>
      <c r="C88" s="66">
        <v>37284</v>
      </c>
      <c r="D88" s="66">
        <v>37272</v>
      </c>
      <c r="E88" s="66">
        <v>37272</v>
      </c>
    </row>
    <row r="89" spans="1:5" x14ac:dyDescent="0.2">
      <c r="A89" s="66">
        <v>37316</v>
      </c>
      <c r="B89" s="66">
        <v>37312</v>
      </c>
      <c r="C89" s="66">
        <v>37312</v>
      </c>
      <c r="D89" s="66">
        <v>37301</v>
      </c>
      <c r="E89" s="66">
        <v>37300</v>
      </c>
    </row>
    <row r="90" spans="1:5" x14ac:dyDescent="0.2">
      <c r="A90" s="66">
        <v>37347</v>
      </c>
      <c r="B90" s="66">
        <v>37340</v>
      </c>
      <c r="C90" s="66">
        <v>37340</v>
      </c>
      <c r="D90" s="66">
        <v>37330</v>
      </c>
      <c r="E90" s="66">
        <v>37329</v>
      </c>
    </row>
    <row r="91" spans="1:5" x14ac:dyDescent="0.2">
      <c r="A91" s="66">
        <v>37377</v>
      </c>
      <c r="B91" s="66">
        <v>37371</v>
      </c>
      <c r="C91" s="66">
        <v>37371</v>
      </c>
      <c r="D91" s="66">
        <v>37363</v>
      </c>
      <c r="E91" s="66">
        <v>37361</v>
      </c>
    </row>
    <row r="92" spans="1:5" x14ac:dyDescent="0.2">
      <c r="A92" s="66">
        <v>37408</v>
      </c>
      <c r="B92" s="66">
        <v>37404</v>
      </c>
      <c r="C92" s="66">
        <v>37404</v>
      </c>
      <c r="D92" s="66">
        <v>37392</v>
      </c>
      <c r="E92" s="66">
        <v>37392</v>
      </c>
    </row>
    <row r="93" spans="1:5" x14ac:dyDescent="0.2">
      <c r="A93" s="66">
        <v>37438</v>
      </c>
      <c r="B93" s="66">
        <v>37432</v>
      </c>
      <c r="C93" s="66">
        <v>37432</v>
      </c>
      <c r="D93" s="66">
        <v>37424</v>
      </c>
      <c r="E93" s="66">
        <v>37420</v>
      </c>
    </row>
    <row r="94" spans="1:5" x14ac:dyDescent="0.2">
      <c r="A94" s="66">
        <v>37469</v>
      </c>
      <c r="B94" s="66">
        <v>37463</v>
      </c>
      <c r="C94" s="66">
        <v>37463</v>
      </c>
      <c r="D94" s="66">
        <v>37454</v>
      </c>
      <c r="E94" s="66">
        <v>37453</v>
      </c>
    </row>
    <row r="95" spans="1:5" x14ac:dyDescent="0.2">
      <c r="A95" s="66">
        <v>37500</v>
      </c>
      <c r="B95" s="66">
        <v>37495</v>
      </c>
      <c r="C95" s="66">
        <v>37495</v>
      </c>
      <c r="D95" s="66">
        <v>37483</v>
      </c>
      <c r="E95" s="66">
        <v>37484</v>
      </c>
    </row>
    <row r="96" spans="1:5" x14ac:dyDescent="0.2">
      <c r="A96" s="66">
        <v>37530</v>
      </c>
      <c r="B96" s="66">
        <v>37524</v>
      </c>
      <c r="C96" s="66">
        <v>37524</v>
      </c>
      <c r="D96" s="66">
        <v>37516</v>
      </c>
      <c r="E96" s="66">
        <v>37511</v>
      </c>
    </row>
    <row r="97" spans="1:5" x14ac:dyDescent="0.2">
      <c r="A97" s="66">
        <v>37561</v>
      </c>
      <c r="B97" s="66">
        <v>37557</v>
      </c>
      <c r="C97" s="66">
        <v>37557</v>
      </c>
      <c r="D97" s="66">
        <v>37546</v>
      </c>
      <c r="E97" s="66">
        <v>37545</v>
      </c>
    </row>
    <row r="98" spans="1:5" x14ac:dyDescent="0.2">
      <c r="A98" s="66">
        <v>37591</v>
      </c>
      <c r="B98" s="66">
        <v>37585</v>
      </c>
      <c r="C98" s="66">
        <v>37585</v>
      </c>
      <c r="D98" s="66">
        <v>37575</v>
      </c>
      <c r="E98" s="66">
        <v>37575</v>
      </c>
    </row>
    <row r="99" spans="1:5" x14ac:dyDescent="0.2">
      <c r="A99" s="66">
        <v>37622</v>
      </c>
      <c r="B99" s="66">
        <v>37616</v>
      </c>
      <c r="C99" s="66">
        <v>37616</v>
      </c>
      <c r="D99" s="66">
        <v>37606</v>
      </c>
      <c r="E99" s="66">
        <v>37605</v>
      </c>
    </row>
    <row r="100" spans="1:5" x14ac:dyDescent="0.2">
      <c r="A100" s="66">
        <v>37653</v>
      </c>
      <c r="B100" s="66">
        <v>37649</v>
      </c>
      <c r="C100" s="66">
        <v>37649</v>
      </c>
      <c r="D100" s="66">
        <v>37636</v>
      </c>
      <c r="E100" s="66">
        <v>37636</v>
      </c>
    </row>
    <row r="101" spans="1:5" x14ac:dyDescent="0.2">
      <c r="A101" s="66">
        <v>37681</v>
      </c>
      <c r="B101" s="66">
        <v>37677</v>
      </c>
      <c r="C101" s="66">
        <v>37677</v>
      </c>
      <c r="D101" s="66">
        <v>37666</v>
      </c>
      <c r="E101" s="66">
        <v>37667</v>
      </c>
    </row>
    <row r="102" spans="1:5" x14ac:dyDescent="0.2">
      <c r="A102" s="66">
        <v>37712</v>
      </c>
      <c r="B102" s="66">
        <v>37706</v>
      </c>
      <c r="C102" s="66">
        <v>37706</v>
      </c>
      <c r="D102" s="66">
        <v>37697</v>
      </c>
      <c r="E102" s="66">
        <v>37695</v>
      </c>
    </row>
    <row r="103" spans="1:5" x14ac:dyDescent="0.2">
      <c r="A103" s="66">
        <v>37742</v>
      </c>
      <c r="B103" s="66">
        <v>37736</v>
      </c>
      <c r="C103" s="66">
        <v>37736</v>
      </c>
      <c r="D103" s="66">
        <v>37728</v>
      </c>
      <c r="E103" s="66">
        <v>37726</v>
      </c>
    </row>
    <row r="104" spans="1:5" x14ac:dyDescent="0.2">
      <c r="A104" s="66">
        <v>37773</v>
      </c>
      <c r="B104" s="66">
        <v>37768</v>
      </c>
      <c r="C104" s="66">
        <v>37768</v>
      </c>
      <c r="D104" s="66">
        <v>37756</v>
      </c>
      <c r="E104" s="66">
        <v>37756</v>
      </c>
    </row>
    <row r="105" spans="1:5" x14ac:dyDescent="0.2">
      <c r="A105" s="66">
        <v>37803</v>
      </c>
      <c r="B105" s="66">
        <v>37797</v>
      </c>
      <c r="C105" s="66">
        <v>37797</v>
      </c>
      <c r="D105" s="66">
        <v>37789</v>
      </c>
      <c r="E105" s="66">
        <v>37787</v>
      </c>
    </row>
    <row r="106" spans="1:5" x14ac:dyDescent="0.2">
      <c r="A106" s="66">
        <v>37834</v>
      </c>
      <c r="B106" s="66">
        <v>37830</v>
      </c>
      <c r="C106" s="66">
        <v>37830</v>
      </c>
      <c r="D106" s="66">
        <v>37819</v>
      </c>
      <c r="E106" s="66">
        <v>37817</v>
      </c>
    </row>
    <row r="107" spans="1:5" x14ac:dyDescent="0.2">
      <c r="A107" s="66">
        <v>37865</v>
      </c>
      <c r="B107" s="66">
        <v>37859</v>
      </c>
      <c r="C107" s="66">
        <v>37859</v>
      </c>
      <c r="D107" s="66">
        <v>37848</v>
      </c>
      <c r="E107" s="66">
        <v>37848</v>
      </c>
    </row>
    <row r="108" spans="1:5" x14ac:dyDescent="0.2">
      <c r="A108" s="66">
        <v>37895</v>
      </c>
      <c r="B108" s="66">
        <v>37889</v>
      </c>
      <c r="C108" s="66">
        <v>37889</v>
      </c>
      <c r="D108" s="66">
        <v>37881</v>
      </c>
      <c r="E108" s="66">
        <v>37879</v>
      </c>
    </row>
    <row r="109" spans="1:5" x14ac:dyDescent="0.2">
      <c r="A109" s="66">
        <v>37926</v>
      </c>
      <c r="B109" s="66">
        <v>37922</v>
      </c>
      <c r="C109" s="66">
        <v>37922</v>
      </c>
      <c r="D109" s="66">
        <v>37910</v>
      </c>
      <c r="E109" s="66">
        <v>37909</v>
      </c>
    </row>
    <row r="110" spans="1:5" x14ac:dyDescent="0.2">
      <c r="A110" s="66">
        <v>37956</v>
      </c>
      <c r="B110" s="66">
        <v>37949</v>
      </c>
      <c r="C110" s="66">
        <v>37949</v>
      </c>
      <c r="D110" s="66">
        <v>37942</v>
      </c>
      <c r="E110" s="66">
        <v>37940</v>
      </c>
    </row>
    <row r="111" spans="1:5" x14ac:dyDescent="0.2">
      <c r="A111" s="66">
        <v>37987</v>
      </c>
      <c r="B111" s="66">
        <v>37985</v>
      </c>
      <c r="C111" s="66">
        <v>37981</v>
      </c>
      <c r="D111" s="66">
        <v>37975</v>
      </c>
      <c r="E111" s="66">
        <v>37970</v>
      </c>
    </row>
    <row r="112" spans="1:5" x14ac:dyDescent="0.2">
      <c r="A112" s="66">
        <v>38018</v>
      </c>
      <c r="B112" s="66">
        <f t="shared" ref="B112:B122" si="2">IF(OR(WEEKDAY(A112-1)=1,WEEKDAY(A112-1)=7),IF(OR(WEEKDAY(A112-2)=1,WEEKDAY(A112-2)=7),A112-3,A112-2),A112-1)</f>
        <v>38016</v>
      </c>
      <c r="C112" s="66">
        <v>38013</v>
      </c>
      <c r="D112" s="66">
        <v>38006</v>
      </c>
      <c r="E112" s="66">
        <v>38001</v>
      </c>
    </row>
    <row r="113" spans="1:5" x14ac:dyDescent="0.2">
      <c r="A113" s="66">
        <v>38047</v>
      </c>
      <c r="B113" s="66">
        <f t="shared" si="2"/>
        <v>38044</v>
      </c>
      <c r="C113" s="66">
        <v>38041</v>
      </c>
      <c r="D113" s="66">
        <v>38037</v>
      </c>
      <c r="E113" s="66">
        <v>38032</v>
      </c>
    </row>
    <row r="114" spans="1:5" x14ac:dyDescent="0.2">
      <c r="A114" s="66">
        <v>38078</v>
      </c>
      <c r="B114" s="66">
        <f t="shared" si="2"/>
        <v>38077</v>
      </c>
      <c r="C114" s="66">
        <v>38072</v>
      </c>
      <c r="D114" s="66">
        <v>38066</v>
      </c>
      <c r="E114" s="66">
        <v>38061</v>
      </c>
    </row>
    <row r="115" spans="1:5" x14ac:dyDescent="0.2">
      <c r="A115" s="66">
        <v>38108</v>
      </c>
      <c r="B115" s="66">
        <f t="shared" si="2"/>
        <v>38107</v>
      </c>
      <c r="C115" s="66">
        <v>38104</v>
      </c>
      <c r="D115" s="66">
        <v>38097</v>
      </c>
      <c r="E115" s="66">
        <v>38092</v>
      </c>
    </row>
    <row r="116" spans="1:5" x14ac:dyDescent="0.2">
      <c r="A116" s="66">
        <v>38139</v>
      </c>
      <c r="B116" s="66">
        <f t="shared" si="2"/>
        <v>38138</v>
      </c>
      <c r="C116" s="66">
        <v>38132</v>
      </c>
      <c r="D116" s="66">
        <v>38127</v>
      </c>
      <c r="E116" s="66">
        <v>38122</v>
      </c>
    </row>
    <row r="117" spans="1:5" x14ac:dyDescent="0.2">
      <c r="A117" s="66">
        <v>38169</v>
      </c>
      <c r="B117" s="66">
        <f t="shared" si="2"/>
        <v>38168</v>
      </c>
      <c r="C117" s="66">
        <v>38163</v>
      </c>
      <c r="D117" s="66">
        <v>38158</v>
      </c>
      <c r="E117" s="66">
        <v>38153</v>
      </c>
    </row>
    <row r="118" spans="1:5" x14ac:dyDescent="0.2">
      <c r="A118" s="66">
        <v>38200</v>
      </c>
      <c r="B118" s="66">
        <f t="shared" si="2"/>
        <v>38198</v>
      </c>
      <c r="C118" s="66">
        <v>38195</v>
      </c>
      <c r="D118" s="66">
        <v>38188</v>
      </c>
      <c r="E118" s="66">
        <v>38183</v>
      </c>
    </row>
    <row r="119" spans="1:5" x14ac:dyDescent="0.2">
      <c r="A119" s="66">
        <v>38231</v>
      </c>
      <c r="B119" s="66">
        <f t="shared" si="2"/>
        <v>38230</v>
      </c>
      <c r="C119" s="66">
        <v>38225</v>
      </c>
      <c r="D119" s="66">
        <v>38219</v>
      </c>
      <c r="E119" s="66">
        <v>38214</v>
      </c>
    </row>
    <row r="120" spans="1:5" x14ac:dyDescent="0.2">
      <c r="A120" s="66">
        <v>38261</v>
      </c>
      <c r="B120" s="66">
        <f t="shared" si="2"/>
        <v>38260</v>
      </c>
      <c r="C120" s="66">
        <v>38257</v>
      </c>
      <c r="D120" s="66">
        <v>38250</v>
      </c>
      <c r="E120" s="66">
        <v>38245</v>
      </c>
    </row>
    <row r="121" spans="1:5" x14ac:dyDescent="0.2">
      <c r="A121" s="66">
        <v>38292</v>
      </c>
      <c r="B121" s="66">
        <f t="shared" si="2"/>
        <v>38289</v>
      </c>
      <c r="C121" s="66">
        <v>38286</v>
      </c>
      <c r="D121" s="66">
        <v>38280</v>
      </c>
      <c r="E121" s="66">
        <v>38275</v>
      </c>
    </row>
    <row r="122" spans="1:5" x14ac:dyDescent="0.2">
      <c r="A122" s="66">
        <v>38322</v>
      </c>
      <c r="B122" s="66">
        <f t="shared" si="2"/>
        <v>38321</v>
      </c>
      <c r="C122" s="66">
        <v>38316</v>
      </c>
      <c r="D122" s="66">
        <v>38311</v>
      </c>
      <c r="E122" s="66">
        <v>38306</v>
      </c>
    </row>
    <row r="123" spans="1:5" x14ac:dyDescent="0.2">
      <c r="A123" s="66">
        <v>38353</v>
      </c>
      <c r="B123" s="66">
        <v>38351</v>
      </c>
      <c r="C123" s="66">
        <v>38348</v>
      </c>
      <c r="D123" s="66">
        <v>38341</v>
      </c>
      <c r="E123" s="66">
        <v>38336</v>
      </c>
    </row>
    <row r="124" spans="1:5" x14ac:dyDescent="0.2">
      <c r="A124" s="66">
        <v>38384</v>
      </c>
      <c r="B124" s="66">
        <f t="shared" ref="B124:B131" si="3">IF(OR(WEEKDAY(A124-1)=1,WEEKDAY(A124-1)=7),IF(OR(WEEKDAY(A124-2)=1,WEEKDAY(A124-2)=7),A124-3,A124-2),A124-1)</f>
        <v>38383</v>
      </c>
      <c r="C124" s="66">
        <v>38378</v>
      </c>
      <c r="D124" s="66">
        <v>38372</v>
      </c>
      <c r="E124" s="66">
        <v>38367</v>
      </c>
    </row>
    <row r="125" spans="1:5" x14ac:dyDescent="0.2">
      <c r="A125" s="66">
        <v>38412</v>
      </c>
      <c r="B125" s="66">
        <f t="shared" si="3"/>
        <v>38411</v>
      </c>
      <c r="C125" s="66">
        <v>38406</v>
      </c>
      <c r="D125" s="66">
        <v>38403</v>
      </c>
      <c r="E125" s="66">
        <v>38398</v>
      </c>
    </row>
    <row r="126" spans="1:5" x14ac:dyDescent="0.2">
      <c r="A126" s="66">
        <v>38443</v>
      </c>
      <c r="B126" s="66">
        <f t="shared" si="3"/>
        <v>38442</v>
      </c>
      <c r="C126" s="66">
        <v>38439</v>
      </c>
      <c r="D126" s="66">
        <v>38431</v>
      </c>
      <c r="E126" s="66">
        <v>38426</v>
      </c>
    </row>
    <row r="127" spans="1:5" x14ac:dyDescent="0.2">
      <c r="A127" s="66">
        <v>38473</v>
      </c>
      <c r="B127" s="66">
        <f t="shared" si="3"/>
        <v>38471</v>
      </c>
      <c r="C127" s="66">
        <v>38468</v>
      </c>
      <c r="D127" s="66">
        <v>38462</v>
      </c>
      <c r="E127" s="66">
        <v>38457</v>
      </c>
    </row>
    <row r="128" spans="1:5" x14ac:dyDescent="0.2">
      <c r="A128" s="66">
        <v>38504</v>
      </c>
      <c r="B128" s="66">
        <f t="shared" si="3"/>
        <v>38503</v>
      </c>
      <c r="C128" s="66">
        <v>38497</v>
      </c>
      <c r="D128" s="66">
        <v>38492</v>
      </c>
      <c r="E128" s="66">
        <v>38487</v>
      </c>
    </row>
    <row r="129" spans="1:5" x14ac:dyDescent="0.2">
      <c r="A129" s="66">
        <v>38534</v>
      </c>
      <c r="B129" s="66">
        <f t="shared" si="3"/>
        <v>38533</v>
      </c>
      <c r="C129" s="66">
        <v>38530</v>
      </c>
      <c r="D129" s="66">
        <v>38523</v>
      </c>
      <c r="E129" s="66">
        <v>38518</v>
      </c>
    </row>
    <row r="130" spans="1:5" x14ac:dyDescent="0.2">
      <c r="A130" s="66">
        <v>38565</v>
      </c>
      <c r="B130" s="66">
        <f t="shared" si="3"/>
        <v>38562</v>
      </c>
      <c r="C130" s="66">
        <v>38559</v>
      </c>
      <c r="D130" s="66">
        <v>38553</v>
      </c>
      <c r="E130" s="66">
        <v>38548</v>
      </c>
    </row>
    <row r="131" spans="1:5" x14ac:dyDescent="0.2">
      <c r="A131" s="66">
        <v>38596</v>
      </c>
      <c r="B131" s="66">
        <f t="shared" si="3"/>
        <v>38595</v>
      </c>
      <c r="C131" s="66">
        <v>38590</v>
      </c>
      <c r="D131" s="66">
        <v>38584</v>
      </c>
      <c r="E131" s="66">
        <v>38579</v>
      </c>
    </row>
    <row r="132" spans="1:5" x14ac:dyDescent="0.2">
      <c r="A132" s="66">
        <v>38626</v>
      </c>
      <c r="B132" s="66">
        <f t="shared" ref="B132:B194" si="4">IF(OR(WEEKDAY(A132-1)=1,WEEKDAY(A132-1)=7),IF(OR(WEEKDAY(A132-2)=1,WEEKDAY(A132-2)=7),A132-3,A132-2),A132-1)</f>
        <v>38625</v>
      </c>
      <c r="C132" s="66">
        <v>38622</v>
      </c>
      <c r="D132" s="66">
        <v>38615</v>
      </c>
      <c r="E132" s="66">
        <v>38610</v>
      </c>
    </row>
    <row r="133" spans="1:5" x14ac:dyDescent="0.2">
      <c r="A133" s="66">
        <v>38657</v>
      </c>
      <c r="B133" s="66">
        <f t="shared" si="4"/>
        <v>38656</v>
      </c>
      <c r="C133" s="66">
        <v>38651</v>
      </c>
      <c r="D133" s="66">
        <v>38645</v>
      </c>
      <c r="E133" s="66">
        <v>38640</v>
      </c>
    </row>
    <row r="134" spans="1:5" x14ac:dyDescent="0.2">
      <c r="A134" s="66">
        <v>38687</v>
      </c>
      <c r="B134" s="66">
        <f t="shared" si="4"/>
        <v>38686</v>
      </c>
      <c r="C134" s="66">
        <v>38681</v>
      </c>
      <c r="D134" s="66">
        <v>38676</v>
      </c>
      <c r="E134" s="66">
        <v>38671</v>
      </c>
    </row>
    <row r="135" spans="1:5" x14ac:dyDescent="0.2">
      <c r="A135" s="66">
        <v>38718</v>
      </c>
      <c r="B135" s="66">
        <f t="shared" si="4"/>
        <v>38716</v>
      </c>
      <c r="C135" s="66">
        <v>38713</v>
      </c>
      <c r="D135" s="66">
        <v>38706</v>
      </c>
      <c r="E135" s="66">
        <v>38701</v>
      </c>
    </row>
    <row r="136" spans="1:5" x14ac:dyDescent="0.2">
      <c r="A136" s="66">
        <v>38749</v>
      </c>
      <c r="B136" s="66">
        <f t="shared" si="4"/>
        <v>38748</v>
      </c>
      <c r="C136" s="66">
        <v>38743</v>
      </c>
      <c r="D136" s="66">
        <v>38737</v>
      </c>
      <c r="E136" s="66">
        <v>38732</v>
      </c>
    </row>
    <row r="137" spans="1:5" x14ac:dyDescent="0.2">
      <c r="A137" s="66">
        <v>38777</v>
      </c>
      <c r="B137" s="66">
        <f t="shared" si="4"/>
        <v>38776</v>
      </c>
      <c r="C137" s="66">
        <v>38771</v>
      </c>
      <c r="D137" s="66">
        <v>38768</v>
      </c>
      <c r="E137" s="66">
        <v>38763</v>
      </c>
    </row>
    <row r="138" spans="1:5" x14ac:dyDescent="0.2">
      <c r="A138" s="66">
        <v>38808</v>
      </c>
      <c r="B138" s="66">
        <f t="shared" si="4"/>
        <v>38807</v>
      </c>
      <c r="C138" s="66">
        <v>38804</v>
      </c>
      <c r="D138" s="66">
        <v>38796</v>
      </c>
      <c r="E138" s="66">
        <v>38791</v>
      </c>
    </row>
    <row r="139" spans="1:5" x14ac:dyDescent="0.2">
      <c r="A139" s="66">
        <v>38838</v>
      </c>
      <c r="B139" s="66">
        <f t="shared" si="4"/>
        <v>38835</v>
      </c>
      <c r="C139" s="66">
        <v>38832</v>
      </c>
      <c r="D139" s="66">
        <v>38827</v>
      </c>
      <c r="E139" s="66">
        <v>38822</v>
      </c>
    </row>
    <row r="140" spans="1:5" x14ac:dyDescent="0.2">
      <c r="A140" s="66">
        <v>38869</v>
      </c>
      <c r="B140" s="66">
        <f t="shared" si="4"/>
        <v>38868</v>
      </c>
      <c r="C140" s="66">
        <v>38862</v>
      </c>
      <c r="D140" s="66">
        <v>38857</v>
      </c>
      <c r="E140" s="66">
        <v>38852</v>
      </c>
    </row>
    <row r="141" spans="1:5" x14ac:dyDescent="0.2">
      <c r="A141" s="66">
        <v>38899</v>
      </c>
      <c r="B141" s="66">
        <f t="shared" si="4"/>
        <v>38898</v>
      </c>
      <c r="C141" s="66">
        <v>38895</v>
      </c>
      <c r="D141" s="66">
        <v>38888</v>
      </c>
      <c r="E141" s="66">
        <v>38883</v>
      </c>
    </row>
    <row r="142" spans="1:5" x14ac:dyDescent="0.2">
      <c r="A142" s="66">
        <v>38930</v>
      </c>
      <c r="B142" s="66">
        <f t="shared" si="4"/>
        <v>38929</v>
      </c>
      <c r="C142" s="66">
        <v>38924</v>
      </c>
      <c r="D142" s="66">
        <v>38918</v>
      </c>
      <c r="E142" s="66">
        <v>38913</v>
      </c>
    </row>
    <row r="143" spans="1:5" x14ac:dyDescent="0.2">
      <c r="A143" s="66">
        <v>38961</v>
      </c>
      <c r="B143" s="66">
        <f t="shared" si="4"/>
        <v>38960</v>
      </c>
      <c r="C143" s="66">
        <v>38957</v>
      </c>
      <c r="D143" s="66">
        <v>38949</v>
      </c>
      <c r="E143" s="66">
        <v>38944</v>
      </c>
    </row>
    <row r="144" spans="1:5" x14ac:dyDescent="0.2">
      <c r="A144" s="66">
        <v>38991</v>
      </c>
      <c r="B144" s="66">
        <f t="shared" si="4"/>
        <v>38989</v>
      </c>
      <c r="C144" s="66">
        <v>38986</v>
      </c>
      <c r="D144" s="66">
        <v>38980</v>
      </c>
      <c r="E144" s="66">
        <v>38975</v>
      </c>
    </row>
    <row r="145" spans="1:5" x14ac:dyDescent="0.2">
      <c r="A145" s="66">
        <v>39022</v>
      </c>
      <c r="B145" s="66">
        <f t="shared" si="4"/>
        <v>39021</v>
      </c>
      <c r="C145" s="66">
        <v>39016</v>
      </c>
      <c r="D145" s="66">
        <v>39010</v>
      </c>
      <c r="E145" s="66">
        <v>39005</v>
      </c>
    </row>
    <row r="146" spans="1:5" x14ac:dyDescent="0.2">
      <c r="A146" s="66">
        <v>39052</v>
      </c>
      <c r="B146" s="66">
        <f t="shared" si="4"/>
        <v>39051</v>
      </c>
      <c r="C146" s="66">
        <v>39048</v>
      </c>
      <c r="D146" s="66">
        <v>39041</v>
      </c>
      <c r="E146" s="66">
        <v>39036</v>
      </c>
    </row>
    <row r="147" spans="1:5" x14ac:dyDescent="0.2">
      <c r="A147" s="66">
        <v>39083</v>
      </c>
      <c r="B147" s="66">
        <f t="shared" si="4"/>
        <v>39080</v>
      </c>
      <c r="C147" s="66">
        <v>39077</v>
      </c>
      <c r="D147" s="66">
        <v>39071</v>
      </c>
      <c r="E147" s="66">
        <v>39066</v>
      </c>
    </row>
    <row r="148" spans="1:5" x14ac:dyDescent="0.2">
      <c r="A148" s="66">
        <v>39114</v>
      </c>
      <c r="B148" s="66">
        <f t="shared" si="4"/>
        <v>39113</v>
      </c>
      <c r="C148" s="66">
        <v>39108</v>
      </c>
      <c r="D148" s="66">
        <v>39102</v>
      </c>
      <c r="E148" s="66">
        <v>39097</v>
      </c>
    </row>
    <row r="149" spans="1:5" x14ac:dyDescent="0.2">
      <c r="A149" s="66">
        <v>39142</v>
      </c>
      <c r="B149" s="66">
        <f t="shared" si="4"/>
        <v>39141</v>
      </c>
      <c r="C149" s="66">
        <v>39136</v>
      </c>
      <c r="D149" s="66">
        <v>39133</v>
      </c>
      <c r="E149" s="66">
        <v>39128</v>
      </c>
    </row>
    <row r="150" spans="1:5" x14ac:dyDescent="0.2">
      <c r="A150" s="66">
        <v>39173</v>
      </c>
      <c r="B150" s="66">
        <f t="shared" si="4"/>
        <v>39171</v>
      </c>
      <c r="C150" s="66">
        <v>39168</v>
      </c>
      <c r="D150" s="66">
        <v>39161</v>
      </c>
      <c r="E150" s="66">
        <v>39156</v>
      </c>
    </row>
    <row r="151" spans="1:5" x14ac:dyDescent="0.2">
      <c r="A151" s="66">
        <v>39203</v>
      </c>
      <c r="B151" s="66">
        <f t="shared" si="4"/>
        <v>39202</v>
      </c>
      <c r="C151" s="66">
        <v>39197</v>
      </c>
      <c r="D151" s="66">
        <v>39192</v>
      </c>
      <c r="E151" s="66">
        <v>39187</v>
      </c>
    </row>
    <row r="152" spans="1:5" x14ac:dyDescent="0.2">
      <c r="A152" s="66">
        <v>39234</v>
      </c>
      <c r="B152" s="66">
        <f t="shared" si="4"/>
        <v>39233</v>
      </c>
      <c r="C152" s="66">
        <v>39230</v>
      </c>
      <c r="D152" s="66">
        <v>39222</v>
      </c>
      <c r="E152" s="66">
        <v>39217</v>
      </c>
    </row>
    <row r="153" spans="1:5" x14ac:dyDescent="0.2">
      <c r="A153" s="66">
        <v>39264</v>
      </c>
      <c r="B153" s="66">
        <f t="shared" si="4"/>
        <v>39262</v>
      </c>
      <c r="C153" s="66">
        <v>39259</v>
      </c>
      <c r="D153" s="66">
        <v>39253</v>
      </c>
      <c r="E153" s="66">
        <v>39248</v>
      </c>
    </row>
    <row r="154" spans="1:5" x14ac:dyDescent="0.2">
      <c r="A154" s="66">
        <v>39295</v>
      </c>
      <c r="B154" s="66">
        <f t="shared" si="4"/>
        <v>39294</v>
      </c>
      <c r="C154" s="66">
        <v>39289</v>
      </c>
      <c r="D154" s="66">
        <v>39283</v>
      </c>
      <c r="E154" s="66">
        <v>39278</v>
      </c>
    </row>
    <row r="155" spans="1:5" x14ac:dyDescent="0.2">
      <c r="A155" s="66">
        <v>39326</v>
      </c>
      <c r="B155" s="66">
        <f t="shared" si="4"/>
        <v>39325</v>
      </c>
      <c r="C155" s="66">
        <v>39322</v>
      </c>
      <c r="D155" s="66">
        <v>39314</v>
      </c>
      <c r="E155" s="66">
        <v>39309</v>
      </c>
    </row>
    <row r="156" spans="1:5" x14ac:dyDescent="0.2">
      <c r="A156" s="66">
        <v>39356</v>
      </c>
      <c r="B156" s="66">
        <f t="shared" si="4"/>
        <v>39353</v>
      </c>
      <c r="C156" s="66">
        <v>39350</v>
      </c>
      <c r="D156" s="66">
        <v>39345</v>
      </c>
      <c r="E156" s="66">
        <v>39340</v>
      </c>
    </row>
    <row r="157" spans="1:5" x14ac:dyDescent="0.2">
      <c r="A157" s="66">
        <v>39387</v>
      </c>
      <c r="B157" s="66">
        <f t="shared" si="4"/>
        <v>39386</v>
      </c>
      <c r="C157" s="66">
        <v>39381</v>
      </c>
      <c r="D157" s="66">
        <v>39375</v>
      </c>
      <c r="E157" s="66">
        <v>39370</v>
      </c>
    </row>
    <row r="158" spans="1:5" x14ac:dyDescent="0.2">
      <c r="A158" s="66">
        <v>39417</v>
      </c>
      <c r="B158" s="66">
        <f t="shared" si="4"/>
        <v>39416</v>
      </c>
      <c r="C158" s="66">
        <v>39413</v>
      </c>
      <c r="D158" s="66">
        <v>39406</v>
      </c>
      <c r="E158" s="66">
        <v>39401</v>
      </c>
    </row>
    <row r="159" spans="1:5" x14ac:dyDescent="0.2">
      <c r="A159" s="66">
        <v>39448</v>
      </c>
      <c r="B159" s="66">
        <v>39444</v>
      </c>
      <c r="C159" s="66">
        <v>39442</v>
      </c>
      <c r="D159" s="66">
        <v>39436</v>
      </c>
      <c r="E159" s="66">
        <v>39431</v>
      </c>
    </row>
    <row r="160" spans="1:5" x14ac:dyDescent="0.2">
      <c r="A160" s="66">
        <v>39479</v>
      </c>
      <c r="B160" s="66">
        <f t="shared" si="4"/>
        <v>39478</v>
      </c>
      <c r="C160" s="66">
        <v>39475</v>
      </c>
      <c r="D160" s="66">
        <v>39467</v>
      </c>
      <c r="E160" s="66">
        <v>39462</v>
      </c>
    </row>
    <row r="161" spans="1:5" x14ac:dyDescent="0.2">
      <c r="A161" s="66">
        <v>39508</v>
      </c>
      <c r="B161" s="66">
        <f t="shared" si="4"/>
        <v>39507</v>
      </c>
      <c r="C161" s="66">
        <v>39504</v>
      </c>
      <c r="D161" s="66">
        <v>39498</v>
      </c>
      <c r="E161" s="66">
        <v>39493</v>
      </c>
    </row>
    <row r="162" spans="1:5" x14ac:dyDescent="0.2">
      <c r="A162" s="66">
        <v>39539</v>
      </c>
      <c r="B162" s="66">
        <f t="shared" si="4"/>
        <v>39538</v>
      </c>
      <c r="C162" s="66">
        <v>39533</v>
      </c>
      <c r="D162" s="66">
        <v>39527</v>
      </c>
      <c r="E162" s="66">
        <v>39522</v>
      </c>
    </row>
    <row r="163" spans="1:5" x14ac:dyDescent="0.2">
      <c r="A163" s="66">
        <v>39569</v>
      </c>
      <c r="B163" s="66">
        <f t="shared" si="4"/>
        <v>39568</v>
      </c>
      <c r="C163" s="66">
        <v>39563</v>
      </c>
      <c r="D163" s="66">
        <v>39558</v>
      </c>
      <c r="E163" s="66">
        <v>39553</v>
      </c>
    </row>
    <row r="164" spans="1:5" x14ac:dyDescent="0.2">
      <c r="A164" s="66">
        <v>39600</v>
      </c>
      <c r="B164" s="66">
        <f t="shared" si="4"/>
        <v>39598</v>
      </c>
      <c r="C164" s="66">
        <v>39595</v>
      </c>
      <c r="D164" s="66">
        <v>39588</v>
      </c>
      <c r="E164" s="66">
        <v>39583</v>
      </c>
    </row>
    <row r="165" spans="1:5" x14ac:dyDescent="0.2">
      <c r="A165" s="66">
        <v>39630</v>
      </c>
      <c r="B165" s="66">
        <f t="shared" si="4"/>
        <v>39629</v>
      </c>
      <c r="C165" s="66">
        <v>39624</v>
      </c>
      <c r="D165" s="66">
        <v>39619</v>
      </c>
      <c r="E165" s="66">
        <v>39614</v>
      </c>
    </row>
    <row r="166" spans="1:5" x14ac:dyDescent="0.2">
      <c r="A166" s="66">
        <v>39661</v>
      </c>
      <c r="B166" s="66">
        <f t="shared" si="4"/>
        <v>39660</v>
      </c>
      <c r="C166" s="66">
        <v>39657</v>
      </c>
      <c r="D166" s="66">
        <v>39649</v>
      </c>
      <c r="E166" s="66">
        <v>39644</v>
      </c>
    </row>
    <row r="167" spans="1:5" x14ac:dyDescent="0.2">
      <c r="A167" s="66">
        <v>39692</v>
      </c>
      <c r="B167" s="66">
        <f t="shared" si="4"/>
        <v>39689</v>
      </c>
      <c r="C167" s="66">
        <v>39686</v>
      </c>
      <c r="D167" s="66">
        <v>39680</v>
      </c>
      <c r="E167" s="66">
        <v>39675</v>
      </c>
    </row>
    <row r="168" spans="1:5" x14ac:dyDescent="0.2">
      <c r="A168" s="66">
        <v>39722</v>
      </c>
      <c r="B168" s="66">
        <f t="shared" si="4"/>
        <v>39721</v>
      </c>
      <c r="C168" s="66">
        <v>39716</v>
      </c>
      <c r="D168" s="66">
        <v>39711</v>
      </c>
      <c r="E168" s="66">
        <v>39706</v>
      </c>
    </row>
    <row r="169" spans="1:5" x14ac:dyDescent="0.2">
      <c r="A169" s="66">
        <v>39753</v>
      </c>
      <c r="B169" s="66">
        <f t="shared" si="4"/>
        <v>39752</v>
      </c>
      <c r="C169" s="66">
        <v>39749</v>
      </c>
      <c r="D169" s="66">
        <v>39741</v>
      </c>
      <c r="E169" s="66">
        <v>39736</v>
      </c>
    </row>
    <row r="170" spans="1:5" x14ac:dyDescent="0.2">
      <c r="A170" s="66">
        <v>39783</v>
      </c>
      <c r="B170" s="66">
        <f t="shared" si="4"/>
        <v>39780</v>
      </c>
      <c r="C170" s="66">
        <v>39776</v>
      </c>
      <c r="D170" s="66">
        <v>39772</v>
      </c>
      <c r="E170" s="66">
        <v>39767</v>
      </c>
    </row>
    <row r="171" spans="1:5" x14ac:dyDescent="0.2">
      <c r="A171" s="66">
        <v>39814</v>
      </c>
      <c r="B171" s="66">
        <v>39812</v>
      </c>
      <c r="C171" s="66">
        <v>39808</v>
      </c>
      <c r="D171" s="66">
        <v>39802</v>
      </c>
      <c r="E171" s="66">
        <v>39797</v>
      </c>
    </row>
    <row r="172" spans="1:5" x14ac:dyDescent="0.2">
      <c r="A172" s="66">
        <v>39845</v>
      </c>
      <c r="B172" s="66">
        <f t="shared" si="4"/>
        <v>39843</v>
      </c>
      <c r="C172" s="66">
        <v>39840</v>
      </c>
      <c r="D172" s="66">
        <v>39833</v>
      </c>
      <c r="E172" s="66">
        <v>39828</v>
      </c>
    </row>
    <row r="173" spans="1:5" x14ac:dyDescent="0.2">
      <c r="A173" s="66">
        <v>39873</v>
      </c>
      <c r="B173" s="66">
        <f t="shared" si="4"/>
        <v>39871</v>
      </c>
      <c r="C173" s="66">
        <v>39868</v>
      </c>
      <c r="D173" s="66">
        <v>39864</v>
      </c>
      <c r="E173" s="66">
        <v>39859</v>
      </c>
    </row>
    <row r="174" spans="1:5" x14ac:dyDescent="0.2">
      <c r="A174" s="66">
        <v>39904</v>
      </c>
      <c r="B174" s="66">
        <f t="shared" si="4"/>
        <v>39903</v>
      </c>
      <c r="C174" s="66">
        <v>39898</v>
      </c>
      <c r="D174" s="66">
        <v>39892</v>
      </c>
      <c r="E174" s="66">
        <v>39887</v>
      </c>
    </row>
    <row r="175" spans="1:5" x14ac:dyDescent="0.2">
      <c r="A175" s="66">
        <v>39934</v>
      </c>
      <c r="B175" s="66">
        <f t="shared" si="4"/>
        <v>39933</v>
      </c>
      <c r="C175" s="66">
        <v>39930</v>
      </c>
      <c r="D175" s="66">
        <v>39923</v>
      </c>
      <c r="E175" s="66">
        <v>39918</v>
      </c>
    </row>
    <row r="176" spans="1:5" x14ac:dyDescent="0.2">
      <c r="A176" s="66">
        <v>39965</v>
      </c>
      <c r="B176" s="66">
        <f t="shared" si="4"/>
        <v>39962</v>
      </c>
      <c r="C176" s="66">
        <v>39959</v>
      </c>
      <c r="D176" s="66">
        <v>39953</v>
      </c>
      <c r="E176" s="66">
        <v>39948</v>
      </c>
    </row>
    <row r="177" spans="1:5" x14ac:dyDescent="0.2">
      <c r="A177" s="66">
        <v>39995</v>
      </c>
      <c r="B177" s="66">
        <f t="shared" si="4"/>
        <v>39994</v>
      </c>
      <c r="C177" s="66">
        <v>39989</v>
      </c>
      <c r="D177" s="66">
        <v>39984</v>
      </c>
      <c r="E177" s="66">
        <v>39979</v>
      </c>
    </row>
    <row r="178" spans="1:5" x14ac:dyDescent="0.2">
      <c r="A178" s="66">
        <v>40026</v>
      </c>
      <c r="B178" s="66">
        <f t="shared" si="4"/>
        <v>40025</v>
      </c>
      <c r="C178" s="66">
        <v>40022</v>
      </c>
      <c r="D178" s="66">
        <v>40014</v>
      </c>
      <c r="E178" s="66">
        <v>40009</v>
      </c>
    </row>
    <row r="179" spans="1:5" x14ac:dyDescent="0.2">
      <c r="A179" s="66">
        <v>40057</v>
      </c>
      <c r="B179" s="66">
        <f t="shared" si="4"/>
        <v>40056</v>
      </c>
      <c r="C179" s="66">
        <v>40051</v>
      </c>
      <c r="D179" s="66">
        <v>40045</v>
      </c>
      <c r="E179" s="66">
        <v>40040</v>
      </c>
    </row>
    <row r="180" spans="1:5" x14ac:dyDescent="0.2">
      <c r="A180" s="66">
        <v>40087</v>
      </c>
      <c r="B180" s="66">
        <f t="shared" si="4"/>
        <v>40086</v>
      </c>
      <c r="C180" s="66">
        <v>40081</v>
      </c>
      <c r="D180" s="66">
        <v>40076</v>
      </c>
      <c r="E180" s="66">
        <v>40071</v>
      </c>
    </row>
    <row r="181" spans="1:5" x14ac:dyDescent="0.2">
      <c r="A181" s="66">
        <v>40118</v>
      </c>
      <c r="B181" s="66">
        <f t="shared" si="4"/>
        <v>40116</v>
      </c>
      <c r="C181" s="66">
        <v>40113</v>
      </c>
      <c r="D181" s="66">
        <v>40106</v>
      </c>
      <c r="E181" s="66">
        <v>40101</v>
      </c>
    </row>
    <row r="182" spans="1:5" x14ac:dyDescent="0.2">
      <c r="A182" s="66">
        <v>40148</v>
      </c>
      <c r="B182" s="66">
        <f t="shared" si="4"/>
        <v>40147</v>
      </c>
      <c r="C182" s="66">
        <v>40141</v>
      </c>
      <c r="D182" s="66">
        <v>40137</v>
      </c>
      <c r="E182" s="66">
        <v>40132</v>
      </c>
    </row>
    <row r="183" spans="1:5" x14ac:dyDescent="0.2">
      <c r="A183" s="66">
        <v>40179</v>
      </c>
      <c r="B183" s="66">
        <v>40177</v>
      </c>
      <c r="C183" s="66">
        <v>40175</v>
      </c>
      <c r="D183" s="66">
        <v>40167</v>
      </c>
      <c r="E183" s="66">
        <v>40162</v>
      </c>
    </row>
    <row r="184" spans="1:5" x14ac:dyDescent="0.2">
      <c r="A184" s="66">
        <v>40210</v>
      </c>
      <c r="B184" s="66">
        <f t="shared" si="4"/>
        <v>40207</v>
      </c>
      <c r="C184" s="66">
        <v>40204</v>
      </c>
      <c r="D184" s="66">
        <v>40198</v>
      </c>
      <c r="E184" s="66">
        <v>40193</v>
      </c>
    </row>
    <row r="185" spans="1:5" x14ac:dyDescent="0.2">
      <c r="A185" s="66">
        <v>40238</v>
      </c>
      <c r="B185" s="66">
        <f t="shared" si="4"/>
        <v>40235</v>
      </c>
      <c r="C185" s="66">
        <v>40232</v>
      </c>
      <c r="D185" s="66">
        <v>40229</v>
      </c>
      <c r="E185" s="66">
        <v>40224</v>
      </c>
    </row>
    <row r="186" spans="1:5" x14ac:dyDescent="0.2">
      <c r="A186" s="66">
        <v>40269</v>
      </c>
      <c r="B186" s="66">
        <f t="shared" si="4"/>
        <v>40268</v>
      </c>
      <c r="C186" s="66">
        <v>40263</v>
      </c>
      <c r="D186" s="66">
        <v>40257</v>
      </c>
      <c r="E186" s="66">
        <v>40252</v>
      </c>
    </row>
    <row r="187" spans="1:5" x14ac:dyDescent="0.2">
      <c r="A187" s="66">
        <v>40299</v>
      </c>
      <c r="B187" s="66">
        <f t="shared" si="4"/>
        <v>40298</v>
      </c>
      <c r="C187" s="66">
        <v>40295</v>
      </c>
      <c r="D187" s="66">
        <v>40288</v>
      </c>
      <c r="E187" s="66">
        <v>40283</v>
      </c>
    </row>
    <row r="188" spans="1:5" x14ac:dyDescent="0.2">
      <c r="A188" s="66">
        <v>40330</v>
      </c>
      <c r="B188" s="66">
        <f t="shared" si="4"/>
        <v>40329</v>
      </c>
      <c r="C188" s="66">
        <v>40323</v>
      </c>
      <c r="D188" s="66">
        <v>40318</v>
      </c>
      <c r="E188" s="66">
        <v>40313</v>
      </c>
    </row>
    <row r="189" spans="1:5" x14ac:dyDescent="0.2">
      <c r="A189" s="66">
        <v>40360</v>
      </c>
      <c r="B189" s="66">
        <f t="shared" si="4"/>
        <v>40359</v>
      </c>
      <c r="C189" s="66">
        <v>40354</v>
      </c>
      <c r="D189" s="66">
        <v>40349</v>
      </c>
      <c r="E189" s="66">
        <v>40344</v>
      </c>
    </row>
    <row r="190" spans="1:5" x14ac:dyDescent="0.2">
      <c r="A190" s="66">
        <v>40391</v>
      </c>
      <c r="B190" s="66">
        <f t="shared" si="4"/>
        <v>40389</v>
      </c>
      <c r="C190" s="66">
        <v>40386</v>
      </c>
      <c r="D190" s="66">
        <v>40379</v>
      </c>
      <c r="E190" s="66">
        <v>40374</v>
      </c>
    </row>
    <row r="191" spans="1:5" x14ac:dyDescent="0.2">
      <c r="A191" s="66">
        <v>40422</v>
      </c>
      <c r="B191" s="66">
        <f t="shared" si="4"/>
        <v>40421</v>
      </c>
      <c r="C191" s="66">
        <v>40416</v>
      </c>
      <c r="D191" s="66">
        <v>40410</v>
      </c>
      <c r="E191" s="66">
        <v>40405</v>
      </c>
    </row>
    <row r="192" spans="1:5" x14ac:dyDescent="0.2">
      <c r="A192" s="66">
        <v>40452</v>
      </c>
      <c r="B192" s="66">
        <f t="shared" si="4"/>
        <v>40451</v>
      </c>
      <c r="C192" s="66">
        <v>40448</v>
      </c>
      <c r="D192" s="66">
        <v>40441</v>
      </c>
      <c r="E192" s="66">
        <v>40436</v>
      </c>
    </row>
    <row r="193" spans="1:5" x14ac:dyDescent="0.2">
      <c r="A193" s="66">
        <v>40483</v>
      </c>
      <c r="B193" s="66">
        <f t="shared" si="4"/>
        <v>40480</v>
      </c>
      <c r="C193" s="66">
        <v>40477</v>
      </c>
      <c r="D193" s="66">
        <v>40471</v>
      </c>
      <c r="E193" s="66">
        <v>40466</v>
      </c>
    </row>
    <row r="194" spans="1:5" x14ac:dyDescent="0.2">
      <c r="A194" s="66">
        <v>40513</v>
      </c>
      <c r="B194" s="66">
        <f t="shared" si="4"/>
        <v>40512</v>
      </c>
      <c r="C194" s="66">
        <v>40507</v>
      </c>
      <c r="D194" s="66">
        <v>40502</v>
      </c>
      <c r="E194" s="66">
        <v>40497</v>
      </c>
    </row>
    <row r="195" spans="1:5" x14ac:dyDescent="0.2">
      <c r="A195" s="66">
        <v>40544</v>
      </c>
      <c r="B195" s="66">
        <v>40542</v>
      </c>
      <c r="C195" s="66">
        <v>40539</v>
      </c>
      <c r="D195" s="66">
        <v>40532</v>
      </c>
      <c r="E195" s="66">
        <v>40527</v>
      </c>
    </row>
    <row r="196" spans="1:5" x14ac:dyDescent="0.2">
      <c r="A196" s="66">
        <v>40575</v>
      </c>
      <c r="B196" s="66">
        <f t="shared" ref="B196:B259" si="5">IF(OR(WEEKDAY(A196-1)=1,WEEKDAY(A196-1)=7),IF(OR(WEEKDAY(A196-2)=1,WEEKDAY(A196-2)=7),A196-3,A196-2),A196-1)</f>
        <v>40574</v>
      </c>
      <c r="C196" s="66">
        <v>40569</v>
      </c>
      <c r="D196" s="66">
        <v>40563</v>
      </c>
      <c r="E196" s="66">
        <v>40558</v>
      </c>
    </row>
    <row r="197" spans="1:5" x14ac:dyDescent="0.2">
      <c r="A197" s="66">
        <v>40603</v>
      </c>
      <c r="B197" s="66">
        <f t="shared" si="5"/>
        <v>40602</v>
      </c>
      <c r="C197" s="66">
        <v>40597</v>
      </c>
      <c r="D197" s="66">
        <v>40594</v>
      </c>
      <c r="E197" s="66">
        <v>40589</v>
      </c>
    </row>
    <row r="198" spans="1:5" x14ac:dyDescent="0.2">
      <c r="A198" s="66">
        <v>40634</v>
      </c>
      <c r="B198" s="66">
        <f t="shared" si="5"/>
        <v>40633</v>
      </c>
      <c r="C198" s="66">
        <v>40630</v>
      </c>
      <c r="D198" s="66">
        <v>40622</v>
      </c>
      <c r="E198" s="66">
        <v>40617</v>
      </c>
    </row>
    <row r="199" spans="1:5" x14ac:dyDescent="0.2">
      <c r="A199" s="66">
        <v>40664</v>
      </c>
      <c r="B199" s="66">
        <f t="shared" si="5"/>
        <v>40662</v>
      </c>
      <c r="C199" s="66">
        <v>40659</v>
      </c>
      <c r="D199" s="66">
        <v>40653</v>
      </c>
      <c r="E199" s="66">
        <v>40648</v>
      </c>
    </row>
    <row r="200" spans="1:5" x14ac:dyDescent="0.2">
      <c r="A200" s="66">
        <v>40695</v>
      </c>
      <c r="B200" s="66">
        <f t="shared" si="5"/>
        <v>40694</v>
      </c>
      <c r="C200" s="66">
        <v>40688</v>
      </c>
      <c r="D200" s="66">
        <v>40683</v>
      </c>
      <c r="E200" s="66">
        <v>40678</v>
      </c>
    </row>
    <row r="201" spans="1:5" x14ac:dyDescent="0.2">
      <c r="A201" s="66">
        <v>40725</v>
      </c>
      <c r="B201" s="66">
        <f t="shared" si="5"/>
        <v>40724</v>
      </c>
      <c r="C201" s="66">
        <v>40721</v>
      </c>
      <c r="D201" s="66">
        <v>40714</v>
      </c>
      <c r="E201" s="66">
        <v>40709</v>
      </c>
    </row>
    <row r="202" spans="1:5" x14ac:dyDescent="0.2">
      <c r="A202" s="66">
        <v>40756</v>
      </c>
      <c r="B202" s="66">
        <f t="shared" si="5"/>
        <v>40753</v>
      </c>
      <c r="C202" s="66">
        <v>40750</v>
      </c>
      <c r="D202" s="66">
        <v>40744</v>
      </c>
      <c r="E202" s="66">
        <v>40739</v>
      </c>
    </row>
    <row r="203" spans="1:5" x14ac:dyDescent="0.2">
      <c r="A203" s="66">
        <v>40787</v>
      </c>
      <c r="B203" s="66">
        <f t="shared" si="5"/>
        <v>40786</v>
      </c>
      <c r="C203" s="66">
        <v>40781</v>
      </c>
      <c r="D203" s="66">
        <v>40775</v>
      </c>
      <c r="E203" s="66">
        <v>40770</v>
      </c>
    </row>
    <row r="204" spans="1:5" x14ac:dyDescent="0.2">
      <c r="A204" s="66">
        <v>40817</v>
      </c>
      <c r="B204" s="66">
        <f t="shared" si="5"/>
        <v>40816</v>
      </c>
      <c r="C204" s="66">
        <v>40813</v>
      </c>
      <c r="D204" s="66">
        <v>40806</v>
      </c>
      <c r="E204" s="66">
        <v>40801</v>
      </c>
    </row>
    <row r="205" spans="1:5" x14ac:dyDescent="0.2">
      <c r="A205" s="66">
        <v>40848</v>
      </c>
      <c r="B205" s="66">
        <f t="shared" si="5"/>
        <v>40847</v>
      </c>
      <c r="C205" s="66">
        <v>40842</v>
      </c>
      <c r="D205" s="66">
        <v>40836</v>
      </c>
      <c r="E205" s="66">
        <v>40831</v>
      </c>
    </row>
    <row r="206" spans="1:5" x14ac:dyDescent="0.2">
      <c r="A206" s="66">
        <v>40878</v>
      </c>
      <c r="B206" s="66">
        <f t="shared" si="5"/>
        <v>40877</v>
      </c>
      <c r="C206" s="66">
        <v>40872</v>
      </c>
      <c r="D206" s="66">
        <v>40867</v>
      </c>
      <c r="E206" s="66">
        <v>40862</v>
      </c>
    </row>
    <row r="207" spans="1:5" x14ac:dyDescent="0.2">
      <c r="A207" s="66">
        <v>40909</v>
      </c>
      <c r="B207" s="66">
        <f t="shared" si="5"/>
        <v>40907</v>
      </c>
      <c r="C207" s="66">
        <v>40904</v>
      </c>
      <c r="D207" s="66">
        <v>40897</v>
      </c>
      <c r="E207" s="66">
        <v>40892</v>
      </c>
    </row>
    <row r="208" spans="1:5" x14ac:dyDescent="0.2">
      <c r="A208" s="66">
        <v>40940</v>
      </c>
      <c r="B208" s="66">
        <f t="shared" si="5"/>
        <v>40939</v>
      </c>
      <c r="C208" s="66">
        <v>40934</v>
      </c>
      <c r="D208" s="66">
        <v>40928</v>
      </c>
      <c r="E208" s="66">
        <v>40923</v>
      </c>
    </row>
    <row r="209" spans="1:5" x14ac:dyDescent="0.2">
      <c r="A209" s="66">
        <v>40969</v>
      </c>
      <c r="B209" s="66">
        <f t="shared" si="5"/>
        <v>40968</v>
      </c>
      <c r="C209" s="66">
        <v>40963</v>
      </c>
      <c r="D209" s="66">
        <v>40959</v>
      </c>
      <c r="E209" s="66">
        <v>40954</v>
      </c>
    </row>
    <row r="210" spans="1:5" x14ac:dyDescent="0.2">
      <c r="A210" s="66">
        <v>41000</v>
      </c>
      <c r="B210" s="66">
        <f t="shared" si="5"/>
        <v>40998</v>
      </c>
      <c r="C210" s="66">
        <v>40995</v>
      </c>
      <c r="D210" s="66">
        <v>40988</v>
      </c>
      <c r="E210" s="66">
        <v>40983</v>
      </c>
    </row>
    <row r="211" spans="1:5" x14ac:dyDescent="0.2">
      <c r="A211" s="66">
        <v>41030</v>
      </c>
      <c r="B211" s="66">
        <f t="shared" si="5"/>
        <v>41029</v>
      </c>
      <c r="C211" s="66">
        <v>41024</v>
      </c>
      <c r="D211" s="66">
        <v>41019</v>
      </c>
      <c r="E211" s="66">
        <v>41014</v>
      </c>
    </row>
    <row r="212" spans="1:5" x14ac:dyDescent="0.2">
      <c r="A212" s="66">
        <v>41061</v>
      </c>
      <c r="B212" s="66">
        <f t="shared" si="5"/>
        <v>41060</v>
      </c>
      <c r="C212" s="66">
        <v>41057</v>
      </c>
      <c r="D212" s="66">
        <v>41049</v>
      </c>
      <c r="E212" s="66">
        <v>41044</v>
      </c>
    </row>
    <row r="213" spans="1:5" x14ac:dyDescent="0.2">
      <c r="A213" s="66">
        <v>41091</v>
      </c>
      <c r="B213" s="66">
        <f t="shared" si="5"/>
        <v>41089</v>
      </c>
      <c r="C213" s="66">
        <v>41086</v>
      </c>
      <c r="D213" s="66">
        <v>41080</v>
      </c>
      <c r="E213" s="66">
        <v>41075</v>
      </c>
    </row>
    <row r="214" spans="1:5" x14ac:dyDescent="0.2">
      <c r="A214" s="66">
        <v>41122</v>
      </c>
      <c r="B214" s="66">
        <f t="shared" si="5"/>
        <v>41121</v>
      </c>
      <c r="C214" s="66">
        <v>41116</v>
      </c>
      <c r="D214" s="66">
        <v>41110</v>
      </c>
      <c r="E214" s="66">
        <v>41105</v>
      </c>
    </row>
    <row r="215" spans="1:5" x14ac:dyDescent="0.2">
      <c r="A215" s="66">
        <v>41153</v>
      </c>
      <c r="B215" s="66">
        <f t="shared" si="5"/>
        <v>41152</v>
      </c>
      <c r="C215" s="66">
        <v>41149</v>
      </c>
      <c r="D215" s="66">
        <v>41141</v>
      </c>
      <c r="E215" s="66">
        <v>41136</v>
      </c>
    </row>
    <row r="216" spans="1:5" x14ac:dyDescent="0.2">
      <c r="A216" s="66">
        <v>41183</v>
      </c>
      <c r="B216" s="66">
        <f t="shared" si="5"/>
        <v>41180</v>
      </c>
      <c r="C216" s="66">
        <v>41177</v>
      </c>
      <c r="D216" s="66">
        <v>41172</v>
      </c>
      <c r="E216" s="66">
        <v>41167</v>
      </c>
    </row>
    <row r="217" spans="1:5" x14ac:dyDescent="0.2">
      <c r="A217" s="66">
        <v>41214</v>
      </c>
      <c r="B217" s="66">
        <f t="shared" si="5"/>
        <v>41213</v>
      </c>
      <c r="C217" s="66">
        <v>41208</v>
      </c>
      <c r="D217" s="66">
        <v>41202</v>
      </c>
      <c r="E217" s="66">
        <v>41197</v>
      </c>
    </row>
    <row r="218" spans="1:5" x14ac:dyDescent="0.2">
      <c r="A218" s="66">
        <v>41244</v>
      </c>
      <c r="B218" s="66">
        <f t="shared" si="5"/>
        <v>41243</v>
      </c>
      <c r="C218" s="66">
        <v>41240</v>
      </c>
      <c r="D218" s="66">
        <v>41233</v>
      </c>
      <c r="E218" s="66">
        <v>41228</v>
      </c>
    </row>
    <row r="219" spans="1:5" x14ac:dyDescent="0.2">
      <c r="A219" s="66">
        <v>41275</v>
      </c>
      <c r="B219" s="66">
        <v>41273</v>
      </c>
      <c r="C219" s="66">
        <v>41269</v>
      </c>
      <c r="D219" s="66">
        <v>41263</v>
      </c>
      <c r="E219" s="66">
        <v>41258</v>
      </c>
    </row>
    <row r="220" spans="1:5" x14ac:dyDescent="0.2">
      <c r="A220" s="66">
        <v>41306</v>
      </c>
      <c r="B220" s="66">
        <f t="shared" si="5"/>
        <v>41305</v>
      </c>
      <c r="C220" s="66">
        <v>41302</v>
      </c>
      <c r="D220" s="66">
        <v>41294</v>
      </c>
      <c r="E220" s="66">
        <v>41289</v>
      </c>
    </row>
    <row r="221" spans="1:5" x14ac:dyDescent="0.2">
      <c r="A221" s="66">
        <v>41334</v>
      </c>
      <c r="B221" s="66">
        <f t="shared" si="5"/>
        <v>41333</v>
      </c>
      <c r="C221" s="66">
        <v>41330</v>
      </c>
      <c r="D221" s="66">
        <v>41325</v>
      </c>
      <c r="E221" s="66">
        <v>41320</v>
      </c>
    </row>
    <row r="222" spans="1:5" x14ac:dyDescent="0.2">
      <c r="A222" s="66">
        <v>41365</v>
      </c>
      <c r="B222" s="66">
        <f t="shared" si="5"/>
        <v>41362</v>
      </c>
      <c r="C222" s="66">
        <v>41358</v>
      </c>
      <c r="D222" s="66">
        <v>41353</v>
      </c>
      <c r="E222" s="66">
        <v>41348</v>
      </c>
    </row>
    <row r="223" spans="1:5" x14ac:dyDescent="0.2">
      <c r="A223" s="66">
        <v>41395</v>
      </c>
      <c r="B223" s="66">
        <f t="shared" si="5"/>
        <v>41394</v>
      </c>
      <c r="C223" s="66">
        <v>41389</v>
      </c>
      <c r="D223" s="66">
        <v>41384</v>
      </c>
      <c r="E223" s="66">
        <v>41379</v>
      </c>
    </row>
    <row r="224" spans="1:5" x14ac:dyDescent="0.2">
      <c r="A224" s="66">
        <v>41426</v>
      </c>
      <c r="B224" s="66">
        <f t="shared" si="5"/>
        <v>41425</v>
      </c>
      <c r="C224" s="66">
        <v>41422</v>
      </c>
      <c r="D224" s="66">
        <v>41414</v>
      </c>
      <c r="E224" s="66">
        <v>41409</v>
      </c>
    </row>
    <row r="225" spans="1:5" x14ac:dyDescent="0.2">
      <c r="A225" s="66">
        <v>41456</v>
      </c>
      <c r="B225" s="66">
        <f t="shared" si="5"/>
        <v>41453</v>
      </c>
      <c r="C225" s="66">
        <v>41450</v>
      </c>
      <c r="D225" s="66">
        <v>41445</v>
      </c>
      <c r="E225" s="66">
        <v>41440</v>
      </c>
    </row>
    <row r="226" spans="1:5" x14ac:dyDescent="0.2">
      <c r="A226" s="66">
        <v>41487</v>
      </c>
      <c r="B226" s="66">
        <f t="shared" si="5"/>
        <v>41486</v>
      </c>
      <c r="C226" s="66">
        <v>41481</v>
      </c>
      <c r="D226" s="66">
        <v>41475</v>
      </c>
      <c r="E226" s="66">
        <v>41470</v>
      </c>
    </row>
    <row r="227" spans="1:5" x14ac:dyDescent="0.2">
      <c r="A227" s="66">
        <v>41518</v>
      </c>
      <c r="B227" s="66">
        <f t="shared" si="5"/>
        <v>41516</v>
      </c>
      <c r="C227" s="66">
        <v>41513</v>
      </c>
      <c r="D227" s="66">
        <v>41506</v>
      </c>
      <c r="E227" s="66">
        <v>41501</v>
      </c>
    </row>
    <row r="228" spans="1:5" x14ac:dyDescent="0.2">
      <c r="A228" s="66">
        <v>41548</v>
      </c>
      <c r="B228" s="66">
        <f t="shared" si="5"/>
        <v>41547</v>
      </c>
      <c r="C228" s="66">
        <v>41542</v>
      </c>
      <c r="D228" s="66">
        <v>41537</v>
      </c>
      <c r="E228" s="66">
        <v>41532</v>
      </c>
    </row>
    <row r="229" spans="1:5" x14ac:dyDescent="0.2">
      <c r="A229" s="66">
        <v>41579</v>
      </c>
      <c r="B229" s="66">
        <f t="shared" si="5"/>
        <v>41578</v>
      </c>
      <c r="C229" s="66">
        <v>41575</v>
      </c>
      <c r="D229" s="66">
        <v>41567</v>
      </c>
      <c r="E229" s="66">
        <v>41562</v>
      </c>
    </row>
    <row r="230" spans="1:5" x14ac:dyDescent="0.2">
      <c r="A230" s="66">
        <v>41609</v>
      </c>
      <c r="B230" s="66">
        <f t="shared" si="5"/>
        <v>41607</v>
      </c>
      <c r="C230" s="66">
        <v>41603</v>
      </c>
      <c r="D230" s="66">
        <v>41598</v>
      </c>
      <c r="E230" s="66">
        <v>41593</v>
      </c>
    </row>
    <row r="231" spans="1:5" x14ac:dyDescent="0.2">
      <c r="A231" s="66">
        <v>41640</v>
      </c>
      <c r="B231" s="66">
        <v>41638</v>
      </c>
      <c r="C231" s="66">
        <v>41634</v>
      </c>
      <c r="D231" s="66">
        <v>41628</v>
      </c>
      <c r="E231" s="66">
        <v>41623</v>
      </c>
    </row>
    <row r="232" spans="1:5" x14ac:dyDescent="0.2">
      <c r="A232" s="66">
        <v>41671</v>
      </c>
      <c r="B232" s="66">
        <f t="shared" si="5"/>
        <v>41670</v>
      </c>
      <c r="C232" s="66">
        <v>41667</v>
      </c>
      <c r="D232" s="66">
        <v>41659</v>
      </c>
      <c r="E232" s="66">
        <v>41654</v>
      </c>
    </row>
    <row r="233" spans="1:5" x14ac:dyDescent="0.2">
      <c r="A233" s="66">
        <v>41699</v>
      </c>
      <c r="B233" s="66">
        <f t="shared" si="5"/>
        <v>41698</v>
      </c>
      <c r="C233" s="66">
        <v>41695</v>
      </c>
      <c r="D233" s="66">
        <v>41690</v>
      </c>
      <c r="E233" s="66">
        <v>41685</v>
      </c>
    </row>
    <row r="234" spans="1:5" x14ac:dyDescent="0.2">
      <c r="A234" s="66">
        <v>41730</v>
      </c>
      <c r="B234" s="66">
        <f t="shared" si="5"/>
        <v>41729</v>
      </c>
      <c r="C234" s="66">
        <v>41724</v>
      </c>
      <c r="D234" s="66">
        <v>41718</v>
      </c>
      <c r="E234" s="66">
        <v>41713</v>
      </c>
    </row>
    <row r="235" spans="1:5" x14ac:dyDescent="0.2">
      <c r="A235" s="66">
        <v>41760</v>
      </c>
      <c r="B235" s="66">
        <f t="shared" si="5"/>
        <v>41759</v>
      </c>
      <c r="C235" s="66">
        <v>41754</v>
      </c>
      <c r="D235" s="66">
        <v>41749</v>
      </c>
      <c r="E235" s="66">
        <v>41744</v>
      </c>
    </row>
    <row r="236" spans="1:5" x14ac:dyDescent="0.2">
      <c r="A236" s="66">
        <v>41791</v>
      </c>
      <c r="B236" s="66">
        <f t="shared" si="5"/>
        <v>41789</v>
      </c>
      <c r="C236" s="66">
        <v>41786</v>
      </c>
      <c r="D236" s="66">
        <v>41779</v>
      </c>
      <c r="E236" s="66">
        <v>41774</v>
      </c>
    </row>
    <row r="237" spans="1:5" x14ac:dyDescent="0.2">
      <c r="A237" s="66">
        <v>41821</v>
      </c>
      <c r="B237" s="66">
        <f t="shared" si="5"/>
        <v>41820</v>
      </c>
      <c r="C237" s="66">
        <v>41815</v>
      </c>
      <c r="D237" s="66">
        <v>41810</v>
      </c>
      <c r="E237" s="66">
        <v>41805</v>
      </c>
    </row>
    <row r="238" spans="1:5" x14ac:dyDescent="0.2">
      <c r="A238" s="66">
        <v>41852</v>
      </c>
      <c r="B238" s="66">
        <f t="shared" si="5"/>
        <v>41851</v>
      </c>
      <c r="C238" s="66">
        <v>41848</v>
      </c>
      <c r="D238" s="66">
        <v>41840</v>
      </c>
      <c r="E238" s="66">
        <v>41835</v>
      </c>
    </row>
    <row r="239" spans="1:5" x14ac:dyDescent="0.2">
      <c r="A239" s="66">
        <v>41883</v>
      </c>
      <c r="B239" s="66">
        <f t="shared" si="5"/>
        <v>41880</v>
      </c>
      <c r="C239" s="66">
        <v>41877</v>
      </c>
      <c r="D239" s="66">
        <v>41871</v>
      </c>
      <c r="E239" s="66">
        <v>41866</v>
      </c>
    </row>
    <row r="240" spans="1:5" x14ac:dyDescent="0.2">
      <c r="A240" s="66">
        <v>41913</v>
      </c>
      <c r="B240" s="66">
        <f t="shared" si="5"/>
        <v>41912</v>
      </c>
      <c r="C240" s="66">
        <v>41907</v>
      </c>
      <c r="D240" s="66">
        <v>41902</v>
      </c>
      <c r="E240" s="66">
        <v>41897</v>
      </c>
    </row>
    <row r="241" spans="1:5" x14ac:dyDescent="0.2">
      <c r="A241" s="66">
        <v>41944</v>
      </c>
      <c r="B241" s="66">
        <f t="shared" si="5"/>
        <v>41943</v>
      </c>
      <c r="C241" s="66">
        <v>41940</v>
      </c>
      <c r="D241" s="66">
        <v>41932</v>
      </c>
      <c r="E241" s="66">
        <v>41927</v>
      </c>
    </row>
    <row r="242" spans="1:5" x14ac:dyDescent="0.2">
      <c r="A242" s="66">
        <v>41974</v>
      </c>
      <c r="B242" s="66">
        <f t="shared" si="5"/>
        <v>41971</v>
      </c>
      <c r="C242" s="66">
        <v>41967</v>
      </c>
      <c r="D242" s="66">
        <v>41963</v>
      </c>
      <c r="E242" s="66">
        <v>41958</v>
      </c>
    </row>
    <row r="243" spans="1:5" x14ac:dyDescent="0.2">
      <c r="A243" s="66">
        <v>42005</v>
      </c>
      <c r="B243" s="66">
        <v>42003</v>
      </c>
      <c r="C243" s="66">
        <v>41999</v>
      </c>
      <c r="D243" s="66">
        <v>41993</v>
      </c>
      <c r="E243" s="66">
        <v>41988</v>
      </c>
    </row>
    <row r="244" spans="1:5" x14ac:dyDescent="0.2">
      <c r="A244" s="66">
        <v>42036</v>
      </c>
      <c r="B244" s="66">
        <f t="shared" si="5"/>
        <v>42034</v>
      </c>
      <c r="C244" s="66">
        <v>42031</v>
      </c>
      <c r="D244" s="66">
        <v>42024</v>
      </c>
      <c r="E244" s="66">
        <v>42019</v>
      </c>
    </row>
    <row r="245" spans="1:5" x14ac:dyDescent="0.2">
      <c r="A245" s="66">
        <v>42064</v>
      </c>
      <c r="B245" s="66">
        <f t="shared" si="5"/>
        <v>42062</v>
      </c>
      <c r="C245" s="66">
        <v>42059</v>
      </c>
      <c r="D245" s="66">
        <v>42055</v>
      </c>
      <c r="E245" s="66">
        <v>42050</v>
      </c>
    </row>
    <row r="246" spans="1:5" x14ac:dyDescent="0.2">
      <c r="A246" s="66">
        <v>42095</v>
      </c>
      <c r="B246" s="66">
        <f t="shared" si="5"/>
        <v>42094</v>
      </c>
      <c r="C246" s="66">
        <v>42089</v>
      </c>
      <c r="D246" s="66">
        <v>42083</v>
      </c>
      <c r="E246" s="66">
        <v>42078</v>
      </c>
    </row>
    <row r="247" spans="1:5" x14ac:dyDescent="0.2">
      <c r="A247" s="66">
        <v>42125</v>
      </c>
      <c r="B247" s="66">
        <f t="shared" si="5"/>
        <v>42124</v>
      </c>
      <c r="C247" s="66">
        <v>42121</v>
      </c>
      <c r="D247" s="66">
        <v>42114</v>
      </c>
      <c r="E247" s="66">
        <v>42109</v>
      </c>
    </row>
    <row r="248" spans="1:5" x14ac:dyDescent="0.2">
      <c r="A248" s="66">
        <v>42156</v>
      </c>
      <c r="B248" s="66">
        <f t="shared" si="5"/>
        <v>42153</v>
      </c>
      <c r="C248" s="66">
        <v>42150</v>
      </c>
      <c r="D248" s="66">
        <v>42144</v>
      </c>
      <c r="E248" s="66">
        <v>42139</v>
      </c>
    </row>
    <row r="249" spans="1:5" x14ac:dyDescent="0.2">
      <c r="A249" s="66">
        <v>42186</v>
      </c>
      <c r="B249" s="66">
        <f t="shared" si="5"/>
        <v>42185</v>
      </c>
      <c r="C249" s="66">
        <v>42180</v>
      </c>
      <c r="D249" s="66">
        <v>42175</v>
      </c>
      <c r="E249" s="66">
        <v>42170</v>
      </c>
    </row>
    <row r="250" spans="1:5" x14ac:dyDescent="0.2">
      <c r="A250" s="66">
        <v>42217</v>
      </c>
      <c r="B250" s="66">
        <f t="shared" si="5"/>
        <v>42216</v>
      </c>
      <c r="C250" s="66">
        <v>42213</v>
      </c>
      <c r="D250" s="66">
        <v>42205</v>
      </c>
      <c r="E250" s="66">
        <v>42200</v>
      </c>
    </row>
    <row r="251" spans="1:5" x14ac:dyDescent="0.2">
      <c r="A251" s="66">
        <v>42248</v>
      </c>
      <c r="B251" s="66">
        <f t="shared" si="5"/>
        <v>42247</v>
      </c>
      <c r="C251" s="66">
        <v>42242</v>
      </c>
      <c r="D251" s="66">
        <v>42236</v>
      </c>
      <c r="E251" s="66">
        <v>42231</v>
      </c>
    </row>
    <row r="252" spans="1:5" x14ac:dyDescent="0.2">
      <c r="A252" s="66">
        <v>42278</v>
      </c>
      <c r="B252" s="66">
        <f t="shared" si="5"/>
        <v>42277</v>
      </c>
      <c r="C252" s="66">
        <v>42272</v>
      </c>
      <c r="D252" s="66">
        <v>42267</v>
      </c>
      <c r="E252" s="66">
        <v>42262</v>
      </c>
    </row>
    <row r="253" spans="1:5" x14ac:dyDescent="0.2">
      <c r="A253" s="66">
        <v>42309</v>
      </c>
      <c r="B253" s="66">
        <f t="shared" si="5"/>
        <v>42307</v>
      </c>
      <c r="C253" s="66">
        <v>42304</v>
      </c>
      <c r="D253" s="66">
        <v>42297</v>
      </c>
      <c r="E253" s="66">
        <v>42292</v>
      </c>
    </row>
    <row r="254" spans="1:5" x14ac:dyDescent="0.2">
      <c r="A254" s="66">
        <v>42339</v>
      </c>
      <c r="B254" s="66">
        <f t="shared" si="5"/>
        <v>42338</v>
      </c>
      <c r="C254" s="66">
        <v>42332</v>
      </c>
      <c r="D254" s="66">
        <v>42328</v>
      </c>
      <c r="E254" s="66">
        <v>42323</v>
      </c>
    </row>
    <row r="255" spans="1:5" x14ac:dyDescent="0.2">
      <c r="A255" s="66">
        <v>42370</v>
      </c>
      <c r="B255" s="66">
        <v>42368</v>
      </c>
      <c r="C255" s="66">
        <v>42366</v>
      </c>
      <c r="D255" s="66">
        <v>42358</v>
      </c>
      <c r="E255" s="66">
        <v>42353</v>
      </c>
    </row>
    <row r="256" spans="1:5" x14ac:dyDescent="0.2">
      <c r="A256" s="66">
        <v>42401</v>
      </c>
      <c r="B256" s="66">
        <f t="shared" si="5"/>
        <v>42398</v>
      </c>
      <c r="C256" s="66">
        <v>42395</v>
      </c>
      <c r="D256" s="66">
        <v>42389</v>
      </c>
      <c r="E256" s="66">
        <v>42384</v>
      </c>
    </row>
    <row r="257" spans="1:5" x14ac:dyDescent="0.2">
      <c r="A257" s="66">
        <v>42430</v>
      </c>
      <c r="B257" s="66">
        <f t="shared" si="5"/>
        <v>42429</v>
      </c>
      <c r="C257" s="66">
        <v>42424</v>
      </c>
      <c r="D257" s="66">
        <v>42420</v>
      </c>
      <c r="E257" s="66">
        <v>42415</v>
      </c>
    </row>
    <row r="258" spans="1:5" x14ac:dyDescent="0.2">
      <c r="A258" s="66">
        <v>42461</v>
      </c>
      <c r="B258" s="66">
        <f t="shared" si="5"/>
        <v>42460</v>
      </c>
      <c r="C258" s="66">
        <v>42457</v>
      </c>
      <c r="D258" s="66">
        <v>42449</v>
      </c>
      <c r="E258" s="66">
        <v>42444</v>
      </c>
    </row>
    <row r="259" spans="1:5" x14ac:dyDescent="0.2">
      <c r="A259" s="66">
        <v>42491</v>
      </c>
      <c r="B259" s="66">
        <f t="shared" si="5"/>
        <v>42489</v>
      </c>
      <c r="C259" s="66">
        <v>42486</v>
      </c>
      <c r="D259" s="66">
        <v>42480</v>
      </c>
      <c r="E259" s="66">
        <v>42475</v>
      </c>
    </row>
    <row r="260" spans="1:5" x14ac:dyDescent="0.2">
      <c r="A260" s="66">
        <v>42522</v>
      </c>
      <c r="B260" s="66">
        <f t="shared" ref="B260:B323" si="6">IF(OR(WEEKDAY(A260-1)=1,WEEKDAY(A260-1)=7),IF(OR(WEEKDAY(A260-2)=1,WEEKDAY(A260-2)=7),A260-3,A260-2),A260-1)</f>
        <v>42521</v>
      </c>
      <c r="C260" s="66">
        <v>42515</v>
      </c>
      <c r="D260" s="66">
        <v>42510</v>
      </c>
      <c r="E260" s="66">
        <v>42505</v>
      </c>
    </row>
    <row r="261" spans="1:5" x14ac:dyDescent="0.2">
      <c r="A261" s="66">
        <v>42552</v>
      </c>
      <c r="B261" s="66">
        <f t="shared" si="6"/>
        <v>42551</v>
      </c>
      <c r="C261" s="66">
        <v>42548</v>
      </c>
      <c r="D261" s="66">
        <v>42541</v>
      </c>
      <c r="E261" s="66">
        <v>42536</v>
      </c>
    </row>
    <row r="262" spans="1:5" x14ac:dyDescent="0.2">
      <c r="A262" s="66">
        <v>42583</v>
      </c>
      <c r="B262" s="66">
        <f t="shared" si="6"/>
        <v>42580</v>
      </c>
      <c r="C262" s="66">
        <v>42577</v>
      </c>
      <c r="D262" s="66">
        <v>42571</v>
      </c>
      <c r="E262" s="66">
        <v>42566</v>
      </c>
    </row>
    <row r="263" spans="1:5" x14ac:dyDescent="0.2">
      <c r="A263" s="66">
        <v>42614</v>
      </c>
      <c r="B263" s="66">
        <f t="shared" si="6"/>
        <v>42613</v>
      </c>
      <c r="C263" s="66">
        <v>42608</v>
      </c>
      <c r="D263" s="66">
        <v>42602</v>
      </c>
      <c r="E263" s="66">
        <v>42597</v>
      </c>
    </row>
    <row r="264" spans="1:5" x14ac:dyDescent="0.2">
      <c r="A264" s="66">
        <v>42644</v>
      </c>
      <c r="B264" s="66">
        <f t="shared" si="6"/>
        <v>42643</v>
      </c>
      <c r="C264" s="66">
        <v>42640</v>
      </c>
      <c r="D264" s="66">
        <v>42633</v>
      </c>
      <c r="E264" s="66">
        <v>42628</v>
      </c>
    </row>
    <row r="265" spans="1:5" x14ac:dyDescent="0.2">
      <c r="A265" s="66">
        <v>42675</v>
      </c>
      <c r="B265" s="66">
        <f t="shared" si="6"/>
        <v>42674</v>
      </c>
      <c r="C265" s="66">
        <v>42669</v>
      </c>
      <c r="D265" s="66">
        <v>42663</v>
      </c>
      <c r="E265" s="66">
        <v>42658</v>
      </c>
    </row>
    <row r="266" spans="1:5" x14ac:dyDescent="0.2">
      <c r="A266" s="66">
        <v>42705</v>
      </c>
      <c r="B266" s="66">
        <f t="shared" si="6"/>
        <v>42704</v>
      </c>
      <c r="C266" s="66">
        <v>42699</v>
      </c>
      <c r="D266" s="66">
        <v>42694</v>
      </c>
      <c r="E266" s="66">
        <v>42689</v>
      </c>
    </row>
    <row r="267" spans="1:5" x14ac:dyDescent="0.2">
      <c r="A267" s="66">
        <v>42736</v>
      </c>
      <c r="B267" s="66">
        <f t="shared" si="6"/>
        <v>42734</v>
      </c>
      <c r="C267" s="66">
        <v>42731</v>
      </c>
      <c r="D267" s="66">
        <v>42724</v>
      </c>
      <c r="E267" s="66">
        <v>42719</v>
      </c>
    </row>
    <row r="268" spans="1:5" x14ac:dyDescent="0.2">
      <c r="A268" s="66">
        <v>42767</v>
      </c>
      <c r="B268" s="66">
        <f t="shared" si="6"/>
        <v>42766</v>
      </c>
      <c r="C268" s="66">
        <v>42761</v>
      </c>
      <c r="D268" s="66">
        <v>42755</v>
      </c>
      <c r="E268" s="66">
        <v>42750</v>
      </c>
    </row>
    <row r="269" spans="1:5" x14ac:dyDescent="0.2">
      <c r="A269" s="66">
        <v>42795</v>
      </c>
      <c r="B269" s="66">
        <f t="shared" si="6"/>
        <v>42794</v>
      </c>
      <c r="C269" s="66">
        <v>42789</v>
      </c>
      <c r="D269" s="66">
        <v>42786</v>
      </c>
      <c r="E269" s="66">
        <v>42781</v>
      </c>
    </row>
    <row r="270" spans="1:5" x14ac:dyDescent="0.2">
      <c r="A270" s="66">
        <v>42826</v>
      </c>
      <c r="B270" s="66">
        <f t="shared" si="6"/>
        <v>42825</v>
      </c>
      <c r="C270" s="66">
        <v>42822</v>
      </c>
      <c r="D270" s="66">
        <v>42814</v>
      </c>
      <c r="E270" s="66">
        <v>42809</v>
      </c>
    </row>
    <row r="271" spans="1:5" x14ac:dyDescent="0.2">
      <c r="A271" s="66">
        <v>42856</v>
      </c>
      <c r="B271" s="66">
        <f t="shared" si="6"/>
        <v>42853</v>
      </c>
      <c r="C271" s="66">
        <v>42850</v>
      </c>
      <c r="D271" s="66">
        <v>42845</v>
      </c>
      <c r="E271" s="66">
        <v>42840</v>
      </c>
    </row>
    <row r="272" spans="1:5" x14ac:dyDescent="0.2">
      <c r="A272" s="66">
        <v>42887</v>
      </c>
      <c r="B272" s="66">
        <f t="shared" si="6"/>
        <v>42886</v>
      </c>
      <c r="C272" s="66">
        <v>42880</v>
      </c>
      <c r="D272" s="66">
        <v>42875</v>
      </c>
      <c r="E272" s="66">
        <v>42870</v>
      </c>
    </row>
    <row r="273" spans="1:5" x14ac:dyDescent="0.2">
      <c r="A273" s="66">
        <v>42917</v>
      </c>
      <c r="B273" s="66">
        <f t="shared" si="6"/>
        <v>42916</v>
      </c>
      <c r="C273" s="66">
        <v>42913</v>
      </c>
      <c r="D273" s="66">
        <v>42906</v>
      </c>
      <c r="E273" s="66">
        <v>42901</v>
      </c>
    </row>
    <row r="274" spans="1:5" x14ac:dyDescent="0.2">
      <c r="A274" s="66">
        <v>42948</v>
      </c>
      <c r="B274" s="66">
        <f t="shared" si="6"/>
        <v>42947</v>
      </c>
      <c r="C274" s="66">
        <v>42942</v>
      </c>
      <c r="D274" s="66">
        <v>42936</v>
      </c>
      <c r="E274" s="66">
        <v>42931</v>
      </c>
    </row>
    <row r="275" spans="1:5" x14ac:dyDescent="0.2">
      <c r="A275" s="66">
        <v>42979</v>
      </c>
      <c r="B275" s="66">
        <f t="shared" si="6"/>
        <v>42978</v>
      </c>
      <c r="C275" s="66">
        <v>42975</v>
      </c>
      <c r="D275" s="66">
        <v>42967</v>
      </c>
      <c r="E275" s="66">
        <v>42962</v>
      </c>
    </row>
    <row r="276" spans="1:5" x14ac:dyDescent="0.2">
      <c r="A276" s="66">
        <v>43009</v>
      </c>
      <c r="B276" s="66">
        <f t="shared" si="6"/>
        <v>43007</v>
      </c>
      <c r="C276" s="66">
        <v>43004</v>
      </c>
      <c r="D276" s="66">
        <v>42998</v>
      </c>
      <c r="E276" s="66">
        <v>42993</v>
      </c>
    </row>
    <row r="277" spans="1:5" x14ac:dyDescent="0.2">
      <c r="A277" s="66">
        <v>43040</v>
      </c>
      <c r="B277" s="66">
        <f t="shared" si="6"/>
        <v>43039</v>
      </c>
      <c r="C277" s="66">
        <v>43034</v>
      </c>
      <c r="D277" s="66">
        <v>43028</v>
      </c>
      <c r="E277" s="66">
        <v>43023</v>
      </c>
    </row>
    <row r="278" spans="1:5" x14ac:dyDescent="0.2">
      <c r="A278" s="66">
        <v>43070</v>
      </c>
      <c r="B278" s="66">
        <f t="shared" si="6"/>
        <v>43069</v>
      </c>
      <c r="C278" s="66">
        <v>43066</v>
      </c>
      <c r="D278" s="66">
        <v>43059</v>
      </c>
      <c r="E278" s="66">
        <v>43054</v>
      </c>
    </row>
    <row r="279" spans="1:5" x14ac:dyDescent="0.2">
      <c r="A279" s="66">
        <v>43101</v>
      </c>
      <c r="B279" s="66">
        <f t="shared" si="6"/>
        <v>43098</v>
      </c>
      <c r="C279" s="66">
        <v>43095</v>
      </c>
      <c r="D279" s="66">
        <v>43089</v>
      </c>
      <c r="E279" s="66">
        <v>43084</v>
      </c>
    </row>
    <row r="280" spans="1:5" x14ac:dyDescent="0.2">
      <c r="A280" s="66">
        <v>43132</v>
      </c>
      <c r="B280" s="66">
        <f t="shared" si="6"/>
        <v>43131</v>
      </c>
      <c r="C280" s="66">
        <v>43126</v>
      </c>
      <c r="D280" s="66">
        <v>43120</v>
      </c>
      <c r="E280" s="66">
        <v>43115</v>
      </c>
    </row>
    <row r="281" spans="1:5" x14ac:dyDescent="0.2">
      <c r="A281" s="66">
        <v>43160</v>
      </c>
      <c r="B281" s="66">
        <f t="shared" si="6"/>
        <v>43159</v>
      </c>
      <c r="C281" s="66">
        <v>43154</v>
      </c>
      <c r="D281" s="66">
        <v>43151</v>
      </c>
      <c r="E281" s="66">
        <v>43146</v>
      </c>
    </row>
    <row r="282" spans="1:5" x14ac:dyDescent="0.2">
      <c r="A282" s="66">
        <v>43191</v>
      </c>
      <c r="B282" s="66">
        <f t="shared" si="6"/>
        <v>43189</v>
      </c>
      <c r="C282" s="66">
        <v>43185</v>
      </c>
      <c r="D282" s="66">
        <v>43179</v>
      </c>
      <c r="E282" s="66">
        <v>43174</v>
      </c>
    </row>
    <row r="283" spans="1:5" x14ac:dyDescent="0.2">
      <c r="A283" s="66">
        <v>43221</v>
      </c>
      <c r="B283" s="66">
        <f t="shared" si="6"/>
        <v>43220</v>
      </c>
      <c r="C283" s="66">
        <v>43215</v>
      </c>
      <c r="D283" s="66">
        <v>43210</v>
      </c>
      <c r="E283" s="66">
        <v>43205</v>
      </c>
    </row>
    <row r="284" spans="1:5" x14ac:dyDescent="0.2">
      <c r="A284" s="66">
        <v>43252</v>
      </c>
      <c r="B284" s="66">
        <f t="shared" si="6"/>
        <v>43251</v>
      </c>
      <c r="C284" s="66">
        <v>43248</v>
      </c>
      <c r="D284" s="66">
        <v>43240</v>
      </c>
      <c r="E284" s="66">
        <v>43235</v>
      </c>
    </row>
    <row r="285" spans="1:5" x14ac:dyDescent="0.2">
      <c r="A285" s="66">
        <v>43282</v>
      </c>
      <c r="B285" s="66">
        <f t="shared" si="6"/>
        <v>43280</v>
      </c>
      <c r="C285" s="66">
        <v>43277</v>
      </c>
      <c r="D285" s="66">
        <v>43271</v>
      </c>
      <c r="E285" s="66">
        <v>43266</v>
      </c>
    </row>
    <row r="286" spans="1:5" x14ac:dyDescent="0.2">
      <c r="A286" s="66">
        <v>43313</v>
      </c>
      <c r="B286" s="66">
        <f t="shared" si="6"/>
        <v>43312</v>
      </c>
      <c r="C286" s="66">
        <v>43307</v>
      </c>
      <c r="D286" s="66">
        <v>43301</v>
      </c>
      <c r="E286" s="66">
        <v>43296</v>
      </c>
    </row>
    <row r="287" spans="1:5" x14ac:dyDescent="0.2">
      <c r="A287" s="66">
        <v>43344</v>
      </c>
      <c r="B287" s="66">
        <f t="shared" si="6"/>
        <v>43343</v>
      </c>
      <c r="C287" s="66">
        <v>43340</v>
      </c>
      <c r="D287" s="66">
        <v>43332</v>
      </c>
      <c r="E287" s="66">
        <v>43327</v>
      </c>
    </row>
    <row r="288" spans="1:5" x14ac:dyDescent="0.2">
      <c r="A288" s="66">
        <v>43374</v>
      </c>
      <c r="B288" s="66">
        <f t="shared" si="6"/>
        <v>43371</v>
      </c>
      <c r="C288" s="66">
        <v>43368</v>
      </c>
      <c r="D288" s="66">
        <v>43363</v>
      </c>
      <c r="E288" s="66">
        <v>43358</v>
      </c>
    </row>
    <row r="289" spans="1:5" x14ac:dyDescent="0.2">
      <c r="A289" s="66">
        <v>43405</v>
      </c>
      <c r="B289" s="66">
        <f t="shared" si="6"/>
        <v>43404</v>
      </c>
      <c r="C289" s="66">
        <v>43399</v>
      </c>
      <c r="D289" s="66">
        <v>43393</v>
      </c>
      <c r="E289" s="66">
        <v>43388</v>
      </c>
    </row>
    <row r="290" spans="1:5" x14ac:dyDescent="0.2">
      <c r="A290" s="66">
        <v>43435</v>
      </c>
      <c r="B290" s="66">
        <f t="shared" si="6"/>
        <v>43434</v>
      </c>
      <c r="C290" s="66">
        <v>43431</v>
      </c>
      <c r="D290" s="66">
        <v>43424</v>
      </c>
      <c r="E290" s="66">
        <v>43419</v>
      </c>
    </row>
    <row r="291" spans="1:5" x14ac:dyDescent="0.2">
      <c r="A291" s="66">
        <v>43466</v>
      </c>
      <c r="B291" s="66">
        <v>43464</v>
      </c>
      <c r="C291" s="66">
        <v>43460</v>
      </c>
      <c r="D291" s="66">
        <v>43454</v>
      </c>
      <c r="E291" s="66">
        <v>43449</v>
      </c>
    </row>
    <row r="292" spans="1:5" x14ac:dyDescent="0.2">
      <c r="A292" s="66">
        <v>43497</v>
      </c>
      <c r="B292" s="66">
        <f t="shared" si="6"/>
        <v>43496</v>
      </c>
      <c r="C292" s="66">
        <v>43493</v>
      </c>
      <c r="D292" s="66">
        <v>43485</v>
      </c>
      <c r="E292" s="66">
        <v>43480</v>
      </c>
    </row>
    <row r="293" spans="1:5" x14ac:dyDescent="0.2">
      <c r="A293" s="66">
        <v>43525</v>
      </c>
      <c r="B293" s="66">
        <f t="shared" si="6"/>
        <v>43524</v>
      </c>
      <c r="C293" s="66">
        <v>43521</v>
      </c>
      <c r="D293" s="66">
        <v>43516</v>
      </c>
      <c r="E293" s="66">
        <v>43511</v>
      </c>
    </row>
    <row r="294" spans="1:5" x14ac:dyDescent="0.2">
      <c r="A294" s="66">
        <v>43556</v>
      </c>
      <c r="B294" s="66">
        <f t="shared" si="6"/>
        <v>43553</v>
      </c>
      <c r="C294" s="66">
        <v>43550</v>
      </c>
      <c r="D294" s="66">
        <v>43544</v>
      </c>
      <c r="E294" s="66">
        <v>43539</v>
      </c>
    </row>
    <row r="295" spans="1:5" x14ac:dyDescent="0.2">
      <c r="A295" s="66">
        <v>43586</v>
      </c>
      <c r="B295" s="66">
        <f t="shared" si="6"/>
        <v>43585</v>
      </c>
      <c r="C295" s="66">
        <v>43580</v>
      </c>
      <c r="D295" s="66">
        <v>43575</v>
      </c>
      <c r="E295" s="66">
        <v>43570</v>
      </c>
    </row>
    <row r="296" spans="1:5" x14ac:dyDescent="0.2">
      <c r="A296" s="66">
        <v>43617</v>
      </c>
      <c r="B296" s="66">
        <f t="shared" si="6"/>
        <v>43616</v>
      </c>
      <c r="C296" s="66">
        <v>43613</v>
      </c>
      <c r="D296" s="66">
        <v>43605</v>
      </c>
      <c r="E296" s="66">
        <v>43600</v>
      </c>
    </row>
    <row r="297" spans="1:5" x14ac:dyDescent="0.2">
      <c r="A297" s="66">
        <v>43647</v>
      </c>
      <c r="B297" s="66">
        <f t="shared" si="6"/>
        <v>43644</v>
      </c>
      <c r="C297" s="66">
        <v>43641</v>
      </c>
      <c r="D297" s="66">
        <v>43636</v>
      </c>
      <c r="E297" s="66">
        <v>43631</v>
      </c>
    </row>
    <row r="298" spans="1:5" x14ac:dyDescent="0.2">
      <c r="A298" s="66">
        <v>43678</v>
      </c>
      <c r="B298" s="66">
        <f t="shared" si="6"/>
        <v>43677</v>
      </c>
      <c r="C298" s="66">
        <v>43672</v>
      </c>
      <c r="D298" s="66">
        <v>43666</v>
      </c>
      <c r="E298" s="66">
        <v>43661</v>
      </c>
    </row>
    <row r="299" spans="1:5" x14ac:dyDescent="0.2">
      <c r="A299" s="66">
        <v>43709</v>
      </c>
      <c r="B299" s="66">
        <f t="shared" si="6"/>
        <v>43707</v>
      </c>
      <c r="C299" s="66">
        <v>43704</v>
      </c>
      <c r="D299" s="66">
        <v>43697</v>
      </c>
      <c r="E299" s="66">
        <v>43692</v>
      </c>
    </row>
    <row r="300" spans="1:5" x14ac:dyDescent="0.2">
      <c r="A300" s="66">
        <v>43739</v>
      </c>
      <c r="B300" s="66">
        <f t="shared" si="6"/>
        <v>43738</v>
      </c>
      <c r="C300" s="66">
        <v>43733</v>
      </c>
      <c r="D300" s="66">
        <v>43728</v>
      </c>
      <c r="E300" s="66">
        <v>43723</v>
      </c>
    </row>
    <row r="301" spans="1:5" x14ac:dyDescent="0.2">
      <c r="A301" s="66">
        <v>43770</v>
      </c>
      <c r="B301" s="66">
        <f t="shared" si="6"/>
        <v>43769</v>
      </c>
      <c r="C301" s="66">
        <v>43766</v>
      </c>
      <c r="D301" s="66">
        <v>43758</v>
      </c>
      <c r="E301" s="66">
        <v>43753</v>
      </c>
    </row>
    <row r="302" spans="1:5" x14ac:dyDescent="0.2">
      <c r="A302" s="66">
        <v>43800</v>
      </c>
      <c r="B302" s="66">
        <f t="shared" si="6"/>
        <v>43798</v>
      </c>
      <c r="C302" s="66">
        <v>43794</v>
      </c>
      <c r="D302" s="66">
        <v>43789</v>
      </c>
      <c r="E302" s="66">
        <v>43784</v>
      </c>
    </row>
    <row r="303" spans="1:5" x14ac:dyDescent="0.2">
      <c r="A303" s="66">
        <v>43831</v>
      </c>
      <c r="B303" s="66">
        <v>43829</v>
      </c>
      <c r="C303" s="66">
        <v>43825</v>
      </c>
      <c r="D303" s="66">
        <v>43819</v>
      </c>
      <c r="E303" s="66">
        <v>43814</v>
      </c>
    </row>
    <row r="304" spans="1:5" x14ac:dyDescent="0.2">
      <c r="A304" s="66">
        <v>43862</v>
      </c>
      <c r="B304" s="66">
        <f t="shared" si="6"/>
        <v>43861</v>
      </c>
      <c r="C304" s="66">
        <v>43858</v>
      </c>
      <c r="D304" s="66">
        <v>43850</v>
      </c>
      <c r="E304" s="66">
        <v>43845</v>
      </c>
    </row>
    <row r="305" spans="1:5" x14ac:dyDescent="0.2">
      <c r="A305" s="66">
        <v>43891</v>
      </c>
      <c r="B305" s="66">
        <f t="shared" si="6"/>
        <v>43889</v>
      </c>
      <c r="C305" s="66">
        <v>43886</v>
      </c>
      <c r="D305" s="66">
        <v>43881</v>
      </c>
      <c r="E305" s="66">
        <v>43876</v>
      </c>
    </row>
    <row r="306" spans="1:5" x14ac:dyDescent="0.2">
      <c r="A306" s="66">
        <v>43922</v>
      </c>
      <c r="B306" s="66">
        <f t="shared" si="6"/>
        <v>43921</v>
      </c>
      <c r="C306" s="66">
        <v>43916</v>
      </c>
      <c r="D306" s="66">
        <v>43910</v>
      </c>
      <c r="E306" s="66">
        <v>43905</v>
      </c>
    </row>
    <row r="307" spans="1:5" x14ac:dyDescent="0.2">
      <c r="A307" s="66">
        <v>43952</v>
      </c>
      <c r="B307" s="66">
        <f t="shared" si="6"/>
        <v>43951</v>
      </c>
      <c r="C307" s="66">
        <v>43948</v>
      </c>
      <c r="D307" s="66">
        <v>43941</v>
      </c>
      <c r="E307" s="66">
        <v>43936</v>
      </c>
    </row>
    <row r="308" spans="1:5" x14ac:dyDescent="0.2">
      <c r="A308" s="66">
        <v>43983</v>
      </c>
      <c r="B308" s="66">
        <f t="shared" si="6"/>
        <v>43980</v>
      </c>
      <c r="C308" s="66">
        <v>43977</v>
      </c>
      <c r="D308" s="66">
        <v>43971</v>
      </c>
      <c r="E308" s="66">
        <v>43966</v>
      </c>
    </row>
    <row r="309" spans="1:5" x14ac:dyDescent="0.2">
      <c r="A309" s="66">
        <v>44013</v>
      </c>
      <c r="B309" s="66">
        <f t="shared" si="6"/>
        <v>44012</v>
      </c>
      <c r="C309" s="66">
        <v>44007</v>
      </c>
      <c r="D309" s="66">
        <v>44002</v>
      </c>
      <c r="E309" s="66">
        <v>43997</v>
      </c>
    </row>
    <row r="310" spans="1:5" x14ac:dyDescent="0.2">
      <c r="A310" s="66">
        <v>44044</v>
      </c>
      <c r="B310" s="66">
        <f t="shared" si="6"/>
        <v>44043</v>
      </c>
      <c r="C310" s="66">
        <v>44040</v>
      </c>
      <c r="D310" s="66">
        <v>44032</v>
      </c>
      <c r="E310" s="66">
        <v>44027</v>
      </c>
    </row>
    <row r="311" spans="1:5" x14ac:dyDescent="0.2">
      <c r="A311" s="66">
        <v>44075</v>
      </c>
      <c r="B311" s="66">
        <f t="shared" si="6"/>
        <v>44074</v>
      </c>
      <c r="C311" s="66">
        <v>44069</v>
      </c>
      <c r="D311" s="66">
        <v>44063</v>
      </c>
      <c r="E311" s="66">
        <v>44058</v>
      </c>
    </row>
    <row r="312" spans="1:5" x14ac:dyDescent="0.2">
      <c r="A312" s="66">
        <v>44105</v>
      </c>
      <c r="B312" s="66">
        <f t="shared" si="6"/>
        <v>44104</v>
      </c>
      <c r="C312" s="66">
        <v>44099</v>
      </c>
      <c r="D312" s="66">
        <v>44094</v>
      </c>
      <c r="E312" s="66">
        <v>44089</v>
      </c>
    </row>
    <row r="313" spans="1:5" x14ac:dyDescent="0.2">
      <c r="A313" s="66">
        <v>44136</v>
      </c>
      <c r="B313" s="66">
        <f t="shared" si="6"/>
        <v>44134</v>
      </c>
      <c r="C313" s="66">
        <v>44131</v>
      </c>
      <c r="D313" s="66">
        <v>44124</v>
      </c>
      <c r="E313" s="66">
        <v>44119</v>
      </c>
    </row>
    <row r="314" spans="1:5" x14ac:dyDescent="0.2">
      <c r="A314" s="66">
        <v>44166</v>
      </c>
      <c r="B314" s="66">
        <f t="shared" si="6"/>
        <v>44165</v>
      </c>
      <c r="C314" s="66">
        <v>44159</v>
      </c>
      <c r="D314" s="66">
        <v>44155</v>
      </c>
      <c r="E314" s="66">
        <v>44150</v>
      </c>
    </row>
    <row r="315" spans="1:5" x14ac:dyDescent="0.2">
      <c r="A315" s="66">
        <v>44197</v>
      </c>
      <c r="B315" s="66">
        <v>44195</v>
      </c>
      <c r="C315" s="66">
        <v>44193</v>
      </c>
      <c r="D315" s="66">
        <v>44185</v>
      </c>
      <c r="E315" s="66">
        <v>44180</v>
      </c>
    </row>
    <row r="316" spans="1:5" x14ac:dyDescent="0.2">
      <c r="A316" s="66">
        <v>44228</v>
      </c>
      <c r="B316" s="66">
        <f t="shared" si="6"/>
        <v>44225</v>
      </c>
      <c r="C316" s="66">
        <v>44222</v>
      </c>
      <c r="D316" s="66">
        <v>44216</v>
      </c>
      <c r="E316" s="66">
        <v>44211</v>
      </c>
    </row>
    <row r="317" spans="1:5" x14ac:dyDescent="0.2">
      <c r="A317" s="66">
        <v>44256</v>
      </c>
      <c r="B317" s="66">
        <f t="shared" si="6"/>
        <v>44253</v>
      </c>
      <c r="C317" s="66">
        <v>44250</v>
      </c>
      <c r="D317" s="66">
        <v>44247</v>
      </c>
      <c r="E317" s="66">
        <v>44242</v>
      </c>
    </row>
    <row r="318" spans="1:5" x14ac:dyDescent="0.2">
      <c r="A318" s="66">
        <v>44287</v>
      </c>
      <c r="B318" s="66">
        <f t="shared" si="6"/>
        <v>44286</v>
      </c>
      <c r="C318" s="66">
        <v>44281</v>
      </c>
      <c r="D318" s="66">
        <v>44275</v>
      </c>
      <c r="E318" s="66">
        <v>44270</v>
      </c>
    </row>
    <row r="319" spans="1:5" x14ac:dyDescent="0.2">
      <c r="A319" s="66">
        <v>44317</v>
      </c>
      <c r="B319" s="66">
        <f t="shared" si="6"/>
        <v>44316</v>
      </c>
      <c r="C319" s="66">
        <v>44313</v>
      </c>
      <c r="D319" s="66">
        <v>44306</v>
      </c>
      <c r="E319" s="66">
        <v>44301</v>
      </c>
    </row>
    <row r="320" spans="1:5" x14ac:dyDescent="0.2">
      <c r="A320" s="66">
        <v>44348</v>
      </c>
      <c r="B320" s="66">
        <f t="shared" si="6"/>
        <v>44347</v>
      </c>
      <c r="C320" s="66">
        <v>44341</v>
      </c>
      <c r="D320" s="66">
        <v>44336</v>
      </c>
      <c r="E320" s="66">
        <v>44331</v>
      </c>
    </row>
    <row r="321" spans="1:5" x14ac:dyDescent="0.2">
      <c r="A321" s="66">
        <v>44378</v>
      </c>
      <c r="B321" s="66">
        <f t="shared" si="6"/>
        <v>44377</v>
      </c>
      <c r="C321" s="66">
        <v>44372</v>
      </c>
      <c r="D321" s="66">
        <v>44367</v>
      </c>
      <c r="E321" s="66">
        <v>44362</v>
      </c>
    </row>
    <row r="322" spans="1:5" x14ac:dyDescent="0.2">
      <c r="A322" s="66">
        <v>44409</v>
      </c>
      <c r="B322" s="66">
        <f t="shared" si="6"/>
        <v>44407</v>
      </c>
      <c r="C322" s="66">
        <v>44404</v>
      </c>
      <c r="D322" s="66">
        <v>44397</v>
      </c>
      <c r="E322" s="66">
        <v>44392</v>
      </c>
    </row>
    <row r="323" spans="1:5" x14ac:dyDescent="0.2">
      <c r="A323" s="66">
        <v>44440</v>
      </c>
      <c r="B323" s="66">
        <f t="shared" si="6"/>
        <v>44439</v>
      </c>
      <c r="C323" s="66">
        <v>44434</v>
      </c>
      <c r="D323" s="66">
        <v>44428</v>
      </c>
      <c r="E323" s="66">
        <v>44423</v>
      </c>
    </row>
    <row r="324" spans="1:5" x14ac:dyDescent="0.2">
      <c r="A324" s="66">
        <v>44470</v>
      </c>
      <c r="B324" s="66">
        <f t="shared" ref="B324:B386" si="7">IF(OR(WEEKDAY(A324-1)=1,WEEKDAY(A324-1)=7),IF(OR(WEEKDAY(A324-2)=1,WEEKDAY(A324-2)=7),A324-3,A324-2),A324-1)</f>
        <v>44469</v>
      </c>
      <c r="C324" s="66">
        <v>44466</v>
      </c>
      <c r="D324" s="66">
        <v>44459</v>
      </c>
      <c r="E324" s="66">
        <v>44454</v>
      </c>
    </row>
    <row r="325" spans="1:5" x14ac:dyDescent="0.2">
      <c r="A325" s="66">
        <v>44501</v>
      </c>
      <c r="B325" s="66">
        <f t="shared" si="7"/>
        <v>44498</v>
      </c>
      <c r="C325" s="66">
        <v>44495</v>
      </c>
      <c r="D325" s="66">
        <v>44489</v>
      </c>
      <c r="E325" s="66">
        <v>44484</v>
      </c>
    </row>
    <row r="326" spans="1:5" x14ac:dyDescent="0.2">
      <c r="A326" s="66">
        <v>44531</v>
      </c>
      <c r="B326" s="66">
        <f t="shared" si="7"/>
        <v>44530</v>
      </c>
      <c r="C326" s="66">
        <v>44525</v>
      </c>
      <c r="D326" s="66">
        <v>44520</v>
      </c>
      <c r="E326" s="66">
        <v>44515</v>
      </c>
    </row>
    <row r="327" spans="1:5" x14ac:dyDescent="0.2">
      <c r="A327" s="66">
        <v>44562</v>
      </c>
      <c r="B327" s="66">
        <v>44560</v>
      </c>
      <c r="C327" s="66">
        <v>44557</v>
      </c>
      <c r="D327" s="66">
        <v>44550</v>
      </c>
      <c r="E327" s="66">
        <v>44545</v>
      </c>
    </row>
    <row r="328" spans="1:5" x14ac:dyDescent="0.2">
      <c r="A328" s="66">
        <v>44593</v>
      </c>
      <c r="B328" s="66">
        <f t="shared" si="7"/>
        <v>44592</v>
      </c>
      <c r="C328" s="66">
        <v>44587</v>
      </c>
      <c r="D328" s="66">
        <v>44581</v>
      </c>
      <c r="E328" s="66">
        <v>44576</v>
      </c>
    </row>
    <row r="329" spans="1:5" x14ac:dyDescent="0.2">
      <c r="A329" s="66">
        <v>44621</v>
      </c>
      <c r="B329" s="66">
        <f t="shared" si="7"/>
        <v>44620</v>
      </c>
      <c r="C329" s="66">
        <v>44615</v>
      </c>
      <c r="D329" s="66">
        <v>44612</v>
      </c>
      <c r="E329" s="66">
        <v>44607</v>
      </c>
    </row>
    <row r="330" spans="1:5" x14ac:dyDescent="0.2">
      <c r="A330" s="66">
        <v>44652</v>
      </c>
      <c r="B330" s="66">
        <f t="shared" si="7"/>
        <v>44651</v>
      </c>
      <c r="C330" s="66">
        <v>44648</v>
      </c>
      <c r="D330" s="66">
        <v>44640</v>
      </c>
      <c r="E330" s="66">
        <v>44635</v>
      </c>
    </row>
    <row r="331" spans="1:5" x14ac:dyDescent="0.2">
      <c r="A331" s="66">
        <v>44682</v>
      </c>
      <c r="B331" s="66">
        <f t="shared" si="7"/>
        <v>44680</v>
      </c>
      <c r="C331" s="66">
        <v>44677</v>
      </c>
      <c r="D331" s="66">
        <v>44671</v>
      </c>
      <c r="E331" s="66">
        <v>44666</v>
      </c>
    </row>
    <row r="332" spans="1:5" x14ac:dyDescent="0.2">
      <c r="A332" s="66">
        <v>44713</v>
      </c>
      <c r="B332" s="66">
        <f t="shared" si="7"/>
        <v>44712</v>
      </c>
      <c r="C332" s="66">
        <v>44706</v>
      </c>
      <c r="D332" s="66">
        <v>44701</v>
      </c>
      <c r="E332" s="66">
        <v>44696</v>
      </c>
    </row>
    <row r="333" spans="1:5" x14ac:dyDescent="0.2">
      <c r="A333" s="66">
        <v>44743</v>
      </c>
      <c r="B333" s="66">
        <f t="shared" si="7"/>
        <v>44742</v>
      </c>
      <c r="C333" s="66">
        <v>44739</v>
      </c>
      <c r="D333" s="66">
        <v>44732</v>
      </c>
      <c r="E333" s="66">
        <v>44727</v>
      </c>
    </row>
    <row r="334" spans="1:5" x14ac:dyDescent="0.2">
      <c r="A334" s="66">
        <v>44774</v>
      </c>
      <c r="B334" s="66">
        <f t="shared" si="7"/>
        <v>44771</v>
      </c>
      <c r="C334" s="66">
        <v>44768</v>
      </c>
      <c r="D334" s="66">
        <v>44762</v>
      </c>
      <c r="E334" s="66">
        <v>44757</v>
      </c>
    </row>
    <row r="335" spans="1:5" x14ac:dyDescent="0.2">
      <c r="A335" s="66">
        <v>44805</v>
      </c>
      <c r="B335" s="66">
        <f t="shared" si="7"/>
        <v>44804</v>
      </c>
      <c r="C335" s="66">
        <v>44799</v>
      </c>
      <c r="D335" s="66">
        <v>44793</v>
      </c>
      <c r="E335" s="66">
        <v>44788</v>
      </c>
    </row>
    <row r="336" spans="1:5" x14ac:dyDescent="0.2">
      <c r="A336" s="66">
        <v>44835</v>
      </c>
      <c r="B336" s="66">
        <f t="shared" si="7"/>
        <v>44834</v>
      </c>
      <c r="C336" s="66">
        <v>44831</v>
      </c>
      <c r="D336" s="66">
        <v>44824</v>
      </c>
      <c r="E336" s="66">
        <v>44819</v>
      </c>
    </row>
    <row r="337" spans="1:5" x14ac:dyDescent="0.2">
      <c r="A337" s="66">
        <v>44866</v>
      </c>
      <c r="B337" s="66">
        <f t="shared" si="7"/>
        <v>44865</v>
      </c>
      <c r="C337" s="66">
        <v>44860</v>
      </c>
      <c r="D337" s="66">
        <v>44854</v>
      </c>
      <c r="E337" s="66">
        <v>44849</v>
      </c>
    </row>
    <row r="338" spans="1:5" x14ac:dyDescent="0.2">
      <c r="A338" s="66">
        <v>44896</v>
      </c>
      <c r="B338" s="66">
        <f t="shared" si="7"/>
        <v>44895</v>
      </c>
      <c r="C338" s="66">
        <v>44890</v>
      </c>
      <c r="D338" s="66">
        <v>44885</v>
      </c>
      <c r="E338" s="66">
        <v>44880</v>
      </c>
    </row>
    <row r="339" spans="1:5" x14ac:dyDescent="0.2">
      <c r="A339" s="66">
        <v>44927</v>
      </c>
      <c r="B339" s="66">
        <v>44925</v>
      </c>
      <c r="C339" s="66">
        <v>44922</v>
      </c>
      <c r="D339" s="66">
        <v>44915</v>
      </c>
      <c r="E339" s="66">
        <v>44910</v>
      </c>
    </row>
    <row r="340" spans="1:5" x14ac:dyDescent="0.2">
      <c r="A340" s="66">
        <v>44958</v>
      </c>
      <c r="B340" s="66">
        <f t="shared" si="7"/>
        <v>44957</v>
      </c>
      <c r="C340" s="66">
        <v>44952</v>
      </c>
      <c r="D340" s="66">
        <v>44946</v>
      </c>
      <c r="E340" s="66">
        <v>44941</v>
      </c>
    </row>
    <row r="341" spans="1:5" x14ac:dyDescent="0.2">
      <c r="A341" s="66">
        <v>44986</v>
      </c>
      <c r="B341" s="66">
        <f t="shared" si="7"/>
        <v>44985</v>
      </c>
      <c r="C341" s="66">
        <v>44980</v>
      </c>
      <c r="D341" s="66">
        <v>44977</v>
      </c>
      <c r="E341" s="66">
        <v>44972</v>
      </c>
    </row>
    <row r="342" spans="1:5" x14ac:dyDescent="0.2">
      <c r="A342" s="66">
        <v>45017</v>
      </c>
      <c r="B342" s="66">
        <f t="shared" si="7"/>
        <v>45016</v>
      </c>
      <c r="C342" s="66">
        <v>45013</v>
      </c>
      <c r="D342" s="66">
        <v>45005</v>
      </c>
      <c r="E342" s="66">
        <v>45000</v>
      </c>
    </row>
    <row r="343" spans="1:5" x14ac:dyDescent="0.2">
      <c r="A343" s="66">
        <v>45047</v>
      </c>
      <c r="B343" s="66">
        <f t="shared" si="7"/>
        <v>45044</v>
      </c>
      <c r="C343" s="66">
        <v>45041</v>
      </c>
      <c r="D343" s="66">
        <v>45036</v>
      </c>
      <c r="E343" s="66">
        <v>45031</v>
      </c>
    </row>
    <row r="344" spans="1:5" x14ac:dyDescent="0.2">
      <c r="A344" s="66">
        <v>45078</v>
      </c>
      <c r="B344" s="66">
        <f t="shared" si="7"/>
        <v>45077</v>
      </c>
      <c r="C344" s="66">
        <v>45071</v>
      </c>
      <c r="D344" s="66">
        <v>45066</v>
      </c>
      <c r="E344" s="66">
        <v>45061</v>
      </c>
    </row>
    <row r="345" spans="1:5" x14ac:dyDescent="0.2">
      <c r="A345" s="66">
        <v>45108</v>
      </c>
      <c r="B345" s="66">
        <f t="shared" si="7"/>
        <v>45107</v>
      </c>
      <c r="C345" s="66">
        <v>45104</v>
      </c>
      <c r="D345" s="66">
        <v>45097</v>
      </c>
      <c r="E345" s="66">
        <v>45092</v>
      </c>
    </row>
    <row r="346" spans="1:5" x14ac:dyDescent="0.2">
      <c r="A346" s="66">
        <v>45139</v>
      </c>
      <c r="B346" s="66">
        <f t="shared" si="7"/>
        <v>45138</v>
      </c>
      <c r="C346" s="66">
        <v>45133</v>
      </c>
      <c r="D346" s="66">
        <v>45127</v>
      </c>
      <c r="E346" s="66">
        <v>45122</v>
      </c>
    </row>
    <row r="347" spans="1:5" x14ac:dyDescent="0.2">
      <c r="A347" s="66">
        <v>45170</v>
      </c>
      <c r="B347" s="66">
        <f t="shared" si="7"/>
        <v>45169</v>
      </c>
      <c r="C347" s="66">
        <v>45166</v>
      </c>
      <c r="D347" s="66">
        <v>45158</v>
      </c>
      <c r="E347" s="66">
        <v>45153</v>
      </c>
    </row>
    <row r="348" spans="1:5" x14ac:dyDescent="0.2">
      <c r="A348" s="66">
        <v>45200</v>
      </c>
      <c r="B348" s="66">
        <f t="shared" si="7"/>
        <v>45198</v>
      </c>
      <c r="C348" s="66">
        <v>45195</v>
      </c>
      <c r="D348" s="66">
        <v>45189</v>
      </c>
      <c r="E348" s="66">
        <v>45184</v>
      </c>
    </row>
    <row r="349" spans="1:5" x14ac:dyDescent="0.2">
      <c r="A349" s="66">
        <v>45231</v>
      </c>
      <c r="B349" s="66">
        <f t="shared" si="7"/>
        <v>45230</v>
      </c>
      <c r="C349" s="66">
        <v>45225</v>
      </c>
      <c r="D349" s="66">
        <v>45219</v>
      </c>
      <c r="E349" s="66">
        <v>45214</v>
      </c>
    </row>
    <row r="350" spans="1:5" x14ac:dyDescent="0.2">
      <c r="A350" s="66">
        <v>45261</v>
      </c>
      <c r="B350" s="66">
        <f t="shared" si="7"/>
        <v>45260</v>
      </c>
      <c r="C350" s="66">
        <v>45257</v>
      </c>
      <c r="D350" s="66">
        <v>45250</v>
      </c>
      <c r="E350" s="66">
        <v>45245</v>
      </c>
    </row>
    <row r="351" spans="1:5" x14ac:dyDescent="0.2">
      <c r="A351" s="66">
        <v>45292</v>
      </c>
      <c r="B351" s="66">
        <f t="shared" si="7"/>
        <v>45289</v>
      </c>
      <c r="C351" s="66">
        <v>45286</v>
      </c>
      <c r="D351" s="66">
        <v>45280</v>
      </c>
      <c r="E351" s="66">
        <v>45275</v>
      </c>
    </row>
    <row r="352" spans="1:5" x14ac:dyDescent="0.2">
      <c r="A352" s="66">
        <v>45323</v>
      </c>
      <c r="B352" s="66">
        <f t="shared" si="7"/>
        <v>45322</v>
      </c>
      <c r="C352" s="66">
        <v>45317</v>
      </c>
      <c r="D352" s="66">
        <v>45311</v>
      </c>
      <c r="E352" s="66">
        <v>45306</v>
      </c>
    </row>
    <row r="353" spans="1:5" x14ac:dyDescent="0.2">
      <c r="A353" s="66">
        <v>45352</v>
      </c>
      <c r="B353" s="66">
        <f t="shared" si="7"/>
        <v>45351</v>
      </c>
      <c r="C353" s="66">
        <v>45348</v>
      </c>
      <c r="D353" s="66">
        <v>45342</v>
      </c>
      <c r="E353" s="66">
        <v>45337</v>
      </c>
    </row>
    <row r="354" spans="1:5" x14ac:dyDescent="0.2">
      <c r="A354" s="66">
        <v>45383</v>
      </c>
      <c r="B354" s="66">
        <f t="shared" si="7"/>
        <v>45380</v>
      </c>
      <c r="C354" s="66">
        <v>45376</v>
      </c>
      <c r="D354" s="66">
        <v>45371</v>
      </c>
      <c r="E354" s="66">
        <v>45366</v>
      </c>
    </row>
    <row r="355" spans="1:5" x14ac:dyDescent="0.2">
      <c r="A355" s="66">
        <v>45413</v>
      </c>
      <c r="B355" s="66">
        <f t="shared" si="7"/>
        <v>45412</v>
      </c>
      <c r="C355" s="66">
        <v>45407</v>
      </c>
      <c r="D355" s="66">
        <v>45402</v>
      </c>
      <c r="E355" s="66">
        <v>45397</v>
      </c>
    </row>
    <row r="356" spans="1:5" x14ac:dyDescent="0.2">
      <c r="A356" s="66">
        <v>45444</v>
      </c>
      <c r="B356" s="66">
        <f t="shared" si="7"/>
        <v>45443</v>
      </c>
      <c r="C356" s="66">
        <v>45440</v>
      </c>
      <c r="D356" s="66">
        <v>45432</v>
      </c>
      <c r="E356" s="66">
        <v>45427</v>
      </c>
    </row>
    <row r="357" spans="1:5" x14ac:dyDescent="0.2">
      <c r="A357" s="66">
        <v>45474</v>
      </c>
      <c r="B357" s="66">
        <f t="shared" si="7"/>
        <v>45471</v>
      </c>
      <c r="C357" s="66">
        <v>45468</v>
      </c>
      <c r="D357" s="66">
        <v>45463</v>
      </c>
      <c r="E357" s="66">
        <v>45458</v>
      </c>
    </row>
    <row r="358" spans="1:5" x14ac:dyDescent="0.2">
      <c r="A358" s="66">
        <v>45505</v>
      </c>
      <c r="B358" s="66">
        <f t="shared" si="7"/>
        <v>45504</v>
      </c>
      <c r="C358" s="66">
        <v>45499</v>
      </c>
      <c r="D358" s="66">
        <v>45493</v>
      </c>
      <c r="E358" s="66">
        <v>45488</v>
      </c>
    </row>
    <row r="359" spans="1:5" x14ac:dyDescent="0.2">
      <c r="A359" s="66">
        <v>45536</v>
      </c>
      <c r="B359" s="66">
        <f t="shared" si="7"/>
        <v>45534</v>
      </c>
      <c r="C359" s="66">
        <v>45531</v>
      </c>
      <c r="D359" s="66">
        <v>45524</v>
      </c>
      <c r="E359" s="66">
        <v>45519</v>
      </c>
    </row>
    <row r="360" spans="1:5" x14ac:dyDescent="0.2">
      <c r="A360" s="66">
        <v>45566</v>
      </c>
      <c r="B360" s="66">
        <f t="shared" si="7"/>
        <v>45565</v>
      </c>
      <c r="C360" s="66">
        <v>45560</v>
      </c>
      <c r="D360" s="66">
        <v>45555</v>
      </c>
      <c r="E360" s="66">
        <v>45550</v>
      </c>
    </row>
    <row r="361" spans="1:5" x14ac:dyDescent="0.2">
      <c r="A361" s="66">
        <v>45597</v>
      </c>
      <c r="B361" s="66">
        <f t="shared" si="7"/>
        <v>45596</v>
      </c>
      <c r="C361" s="66">
        <v>45593</v>
      </c>
      <c r="D361" s="66">
        <v>45585</v>
      </c>
      <c r="E361" s="66">
        <v>45580</v>
      </c>
    </row>
    <row r="362" spans="1:5" x14ac:dyDescent="0.2">
      <c r="A362" s="66">
        <v>45627</v>
      </c>
      <c r="B362" s="66">
        <f t="shared" si="7"/>
        <v>45625</v>
      </c>
      <c r="C362" s="66">
        <v>45621</v>
      </c>
      <c r="D362" s="66">
        <v>45616</v>
      </c>
      <c r="E362" s="66">
        <v>45611</v>
      </c>
    </row>
    <row r="363" spans="1:5" x14ac:dyDescent="0.2">
      <c r="A363" s="66">
        <v>45658</v>
      </c>
      <c r="B363" s="66">
        <v>45656</v>
      </c>
      <c r="C363" s="66">
        <v>45652</v>
      </c>
      <c r="D363" s="66"/>
      <c r="E363" s="66"/>
    </row>
    <row r="364" spans="1:5" x14ac:dyDescent="0.2">
      <c r="A364" s="66">
        <v>45689</v>
      </c>
      <c r="B364" s="66">
        <f t="shared" si="7"/>
        <v>45688</v>
      </c>
      <c r="C364" s="66">
        <v>45685</v>
      </c>
      <c r="D364" s="66"/>
      <c r="E364" s="66"/>
    </row>
    <row r="365" spans="1:5" x14ac:dyDescent="0.2">
      <c r="A365" s="66">
        <v>45717</v>
      </c>
      <c r="B365" s="66">
        <f t="shared" si="7"/>
        <v>45716</v>
      </c>
      <c r="C365" s="66">
        <v>45713</v>
      </c>
      <c r="D365" s="66"/>
      <c r="E365" s="66"/>
    </row>
    <row r="366" spans="1:5" x14ac:dyDescent="0.2">
      <c r="A366" s="66">
        <v>45748</v>
      </c>
      <c r="B366" s="66">
        <f t="shared" si="7"/>
        <v>45747</v>
      </c>
      <c r="C366" s="66">
        <v>45742</v>
      </c>
      <c r="D366" s="66"/>
      <c r="E366" s="66"/>
    </row>
    <row r="367" spans="1:5" x14ac:dyDescent="0.2">
      <c r="A367" s="66">
        <v>45778</v>
      </c>
      <c r="B367" s="66">
        <f t="shared" si="7"/>
        <v>45777</v>
      </c>
      <c r="C367" s="66">
        <v>45772</v>
      </c>
      <c r="D367" s="66"/>
      <c r="E367" s="66"/>
    </row>
    <row r="368" spans="1:5" x14ac:dyDescent="0.2">
      <c r="A368" s="66">
        <v>45809</v>
      </c>
      <c r="B368" s="66">
        <f t="shared" si="7"/>
        <v>45807</v>
      </c>
      <c r="C368" s="66">
        <v>45804</v>
      </c>
      <c r="D368" s="66"/>
      <c r="E368" s="66"/>
    </row>
    <row r="369" spans="1:5" x14ac:dyDescent="0.2">
      <c r="A369" s="66">
        <v>45839</v>
      </c>
      <c r="B369" s="66">
        <f t="shared" si="7"/>
        <v>45838</v>
      </c>
      <c r="C369" s="66">
        <v>45833</v>
      </c>
      <c r="D369" s="66"/>
      <c r="E369" s="66"/>
    </row>
    <row r="370" spans="1:5" x14ac:dyDescent="0.2">
      <c r="A370" s="66">
        <v>45870</v>
      </c>
      <c r="B370" s="66">
        <f t="shared" si="7"/>
        <v>45869</v>
      </c>
      <c r="C370" s="66">
        <v>45866</v>
      </c>
      <c r="D370" s="66"/>
      <c r="E370" s="66"/>
    </row>
    <row r="371" spans="1:5" x14ac:dyDescent="0.2">
      <c r="A371" s="66">
        <v>45901</v>
      </c>
      <c r="B371" s="66">
        <f t="shared" si="7"/>
        <v>45898</v>
      </c>
      <c r="C371" s="66">
        <v>45895</v>
      </c>
      <c r="D371" s="66"/>
      <c r="E371" s="66"/>
    </row>
    <row r="372" spans="1:5" x14ac:dyDescent="0.2">
      <c r="A372" s="66">
        <v>45931</v>
      </c>
      <c r="B372" s="66">
        <f t="shared" si="7"/>
        <v>45930</v>
      </c>
      <c r="C372" s="66">
        <v>45925</v>
      </c>
      <c r="D372" s="66"/>
      <c r="E372" s="66"/>
    </row>
    <row r="373" spans="1:5" x14ac:dyDescent="0.2">
      <c r="A373" s="66">
        <v>45962</v>
      </c>
      <c r="B373" s="66">
        <f t="shared" si="7"/>
        <v>45961</v>
      </c>
      <c r="C373" s="66">
        <v>45958</v>
      </c>
      <c r="D373" s="66"/>
      <c r="E373" s="66"/>
    </row>
    <row r="374" spans="1:5" x14ac:dyDescent="0.2">
      <c r="A374" s="66">
        <v>45992</v>
      </c>
      <c r="B374" s="66">
        <f t="shared" si="7"/>
        <v>45989</v>
      </c>
      <c r="C374" s="66">
        <v>45985</v>
      </c>
      <c r="D374" s="66"/>
      <c r="E374" s="66"/>
    </row>
    <row r="375" spans="1:5" x14ac:dyDescent="0.2">
      <c r="A375" s="66">
        <v>46023</v>
      </c>
      <c r="B375" s="66">
        <v>46021</v>
      </c>
      <c r="C375" s="66">
        <v>46017</v>
      </c>
      <c r="D375" s="66"/>
      <c r="E375" s="66"/>
    </row>
    <row r="376" spans="1:5" x14ac:dyDescent="0.2">
      <c r="A376" s="66">
        <v>46054</v>
      </c>
      <c r="B376" s="66">
        <f t="shared" si="7"/>
        <v>46052</v>
      </c>
      <c r="C376" s="66">
        <v>46049</v>
      </c>
      <c r="D376" s="66"/>
      <c r="E376" s="66"/>
    </row>
    <row r="377" spans="1:5" x14ac:dyDescent="0.2">
      <c r="A377" s="66">
        <v>46082</v>
      </c>
      <c r="B377" s="66">
        <f t="shared" si="7"/>
        <v>46080</v>
      </c>
      <c r="C377" s="66">
        <v>46077</v>
      </c>
      <c r="D377" s="66"/>
      <c r="E377" s="66"/>
    </row>
    <row r="378" spans="1:5" x14ac:dyDescent="0.2">
      <c r="A378" s="66">
        <v>46113</v>
      </c>
      <c r="B378" s="66">
        <f t="shared" si="7"/>
        <v>46112</v>
      </c>
      <c r="C378" s="66">
        <v>46107</v>
      </c>
      <c r="D378" s="66"/>
      <c r="E378" s="66"/>
    </row>
    <row r="379" spans="1:5" x14ac:dyDescent="0.2">
      <c r="A379" s="66">
        <v>46143</v>
      </c>
      <c r="B379" s="66">
        <f t="shared" si="7"/>
        <v>46142</v>
      </c>
      <c r="C379" s="66">
        <v>46139</v>
      </c>
      <c r="D379" s="66"/>
      <c r="E379" s="66"/>
    </row>
    <row r="380" spans="1:5" x14ac:dyDescent="0.2">
      <c r="A380" s="66">
        <v>46174</v>
      </c>
      <c r="B380" s="66">
        <f t="shared" si="7"/>
        <v>46171</v>
      </c>
      <c r="C380" s="66">
        <v>46168</v>
      </c>
      <c r="D380" s="66"/>
      <c r="E380" s="66"/>
    </row>
    <row r="381" spans="1:5" x14ac:dyDescent="0.2">
      <c r="A381" s="66">
        <v>46204</v>
      </c>
      <c r="B381" s="66">
        <f t="shared" si="7"/>
        <v>46203</v>
      </c>
      <c r="C381" s="66">
        <v>46198</v>
      </c>
      <c r="D381" s="66"/>
      <c r="E381" s="66"/>
    </row>
    <row r="382" spans="1:5" x14ac:dyDescent="0.2">
      <c r="A382" s="66">
        <v>46235</v>
      </c>
      <c r="B382" s="66">
        <f t="shared" si="7"/>
        <v>46234</v>
      </c>
      <c r="C382" s="66">
        <v>46231</v>
      </c>
      <c r="D382" s="66"/>
      <c r="E382" s="66"/>
    </row>
    <row r="383" spans="1:5" x14ac:dyDescent="0.2">
      <c r="A383" s="66">
        <v>46266</v>
      </c>
      <c r="B383" s="66">
        <f t="shared" si="7"/>
        <v>46265</v>
      </c>
      <c r="C383" s="66">
        <v>46260</v>
      </c>
      <c r="D383" s="66"/>
      <c r="E383" s="66"/>
    </row>
    <row r="384" spans="1:5" x14ac:dyDescent="0.2">
      <c r="A384" s="66">
        <v>46296</v>
      </c>
      <c r="B384" s="66">
        <f t="shared" si="7"/>
        <v>46295</v>
      </c>
      <c r="C384" s="66">
        <v>46290</v>
      </c>
      <c r="D384" s="66"/>
      <c r="E384" s="66"/>
    </row>
    <row r="385" spans="1:5" x14ac:dyDescent="0.2">
      <c r="A385" s="66">
        <v>46327</v>
      </c>
      <c r="B385" s="66">
        <f t="shared" si="7"/>
        <v>46325</v>
      </c>
      <c r="C385" s="66">
        <v>46322</v>
      </c>
      <c r="D385" s="66"/>
      <c r="E385" s="66"/>
    </row>
    <row r="386" spans="1:5" x14ac:dyDescent="0.2">
      <c r="A386" s="66">
        <v>46357</v>
      </c>
      <c r="B386" s="66">
        <f t="shared" si="7"/>
        <v>46356</v>
      </c>
      <c r="C386" s="66">
        <v>46350</v>
      </c>
      <c r="D386" s="66"/>
      <c r="E386" s="66"/>
    </row>
    <row r="387" spans="1:5" x14ac:dyDescent="0.2">
      <c r="A387" s="66">
        <v>46388</v>
      </c>
      <c r="B387" s="66">
        <v>46386</v>
      </c>
      <c r="C387" s="66">
        <v>46384</v>
      </c>
      <c r="D387" s="66"/>
      <c r="E387" s="66"/>
    </row>
    <row r="388" spans="1:5" x14ac:dyDescent="0.2">
      <c r="A388" s="66">
        <v>46419</v>
      </c>
      <c r="B388" s="66">
        <f t="shared" ref="B388:B434" si="8">IF(OR(WEEKDAY(A388-1)=1,WEEKDAY(A388-1)=7),IF(OR(WEEKDAY(A388-2)=1,WEEKDAY(A388-2)=7),A388-3,A388-2),A388-1)</f>
        <v>46416</v>
      </c>
      <c r="C388" s="66">
        <v>46413</v>
      </c>
      <c r="D388" s="66"/>
      <c r="E388" s="66"/>
    </row>
    <row r="389" spans="1:5" x14ac:dyDescent="0.2">
      <c r="A389" s="66">
        <v>46447</v>
      </c>
      <c r="B389" s="66">
        <f t="shared" si="8"/>
        <v>46444</v>
      </c>
      <c r="C389" s="66">
        <v>46441</v>
      </c>
      <c r="D389" s="66"/>
      <c r="E389" s="66"/>
    </row>
    <row r="390" spans="1:5" x14ac:dyDescent="0.2">
      <c r="A390" s="66">
        <v>46478</v>
      </c>
      <c r="B390" s="66">
        <f t="shared" si="8"/>
        <v>46477</v>
      </c>
      <c r="C390" s="66">
        <v>46472</v>
      </c>
      <c r="D390" s="66"/>
      <c r="E390" s="66"/>
    </row>
    <row r="391" spans="1:5" x14ac:dyDescent="0.2">
      <c r="A391" s="66">
        <v>46508</v>
      </c>
      <c r="B391" s="66">
        <f t="shared" si="8"/>
        <v>46507</v>
      </c>
      <c r="C391" s="66">
        <v>46504</v>
      </c>
      <c r="D391" s="66"/>
      <c r="E391" s="66"/>
    </row>
    <row r="392" spans="1:5" x14ac:dyDescent="0.2">
      <c r="A392" s="66">
        <v>46539</v>
      </c>
      <c r="B392" s="66">
        <f t="shared" si="8"/>
        <v>46538</v>
      </c>
      <c r="C392" s="66">
        <v>46532</v>
      </c>
      <c r="D392" s="66"/>
      <c r="E392" s="66"/>
    </row>
    <row r="393" spans="1:5" x14ac:dyDescent="0.2">
      <c r="A393" s="66">
        <v>46569</v>
      </c>
      <c r="B393" s="66">
        <f t="shared" si="8"/>
        <v>46568</v>
      </c>
      <c r="C393" s="66">
        <v>46563</v>
      </c>
      <c r="D393" s="66"/>
      <c r="E393" s="66"/>
    </row>
    <row r="394" spans="1:5" x14ac:dyDescent="0.2">
      <c r="A394" s="66">
        <v>46600</v>
      </c>
      <c r="B394" s="66">
        <f t="shared" si="8"/>
        <v>46598</v>
      </c>
      <c r="C394" s="66">
        <v>46595</v>
      </c>
      <c r="D394" s="66"/>
      <c r="E394" s="66"/>
    </row>
    <row r="395" spans="1:5" x14ac:dyDescent="0.2">
      <c r="A395" s="66">
        <v>46631</v>
      </c>
      <c r="B395" s="66">
        <f t="shared" si="8"/>
        <v>46630</v>
      </c>
      <c r="C395" s="66">
        <v>46625</v>
      </c>
      <c r="D395" s="66"/>
      <c r="E395" s="66"/>
    </row>
    <row r="396" spans="1:5" x14ac:dyDescent="0.2">
      <c r="A396" s="66">
        <v>46661</v>
      </c>
      <c r="B396" s="66">
        <f t="shared" si="8"/>
        <v>46660</v>
      </c>
      <c r="C396" s="66">
        <v>46657</v>
      </c>
      <c r="D396" s="66"/>
      <c r="E396" s="66"/>
    </row>
    <row r="397" spans="1:5" x14ac:dyDescent="0.2">
      <c r="A397" s="66">
        <v>46692</v>
      </c>
      <c r="B397" s="66">
        <f t="shared" si="8"/>
        <v>46689</v>
      </c>
      <c r="C397" s="66">
        <v>46686</v>
      </c>
      <c r="D397" s="66"/>
      <c r="E397" s="66"/>
    </row>
    <row r="398" spans="1:5" x14ac:dyDescent="0.2">
      <c r="A398" s="66">
        <v>46722</v>
      </c>
      <c r="B398" s="66">
        <f t="shared" si="8"/>
        <v>46721</v>
      </c>
      <c r="C398" s="66">
        <v>46716</v>
      </c>
      <c r="D398" s="66"/>
      <c r="E398" s="66"/>
    </row>
    <row r="399" spans="1:5" x14ac:dyDescent="0.2">
      <c r="A399" s="66">
        <v>46753</v>
      </c>
      <c r="B399" s="66">
        <v>46751</v>
      </c>
      <c r="C399" s="66">
        <v>46748</v>
      </c>
      <c r="D399" s="66"/>
      <c r="E399" s="66"/>
    </row>
    <row r="400" spans="1:5" x14ac:dyDescent="0.2">
      <c r="A400" s="66">
        <v>46784</v>
      </c>
      <c r="B400" s="66">
        <f t="shared" si="8"/>
        <v>46783</v>
      </c>
      <c r="C400" s="66">
        <v>46778</v>
      </c>
      <c r="D400" s="66"/>
      <c r="E400" s="66"/>
    </row>
    <row r="401" spans="1:5" x14ac:dyDescent="0.2">
      <c r="A401" s="66">
        <v>46813</v>
      </c>
      <c r="B401" s="66">
        <f t="shared" si="8"/>
        <v>46812</v>
      </c>
      <c r="C401" s="66">
        <v>46807</v>
      </c>
      <c r="D401" s="66"/>
      <c r="E401" s="66"/>
    </row>
    <row r="402" spans="1:5" x14ac:dyDescent="0.2">
      <c r="A402" s="66">
        <v>46844</v>
      </c>
      <c r="B402" s="66">
        <f t="shared" si="8"/>
        <v>46843</v>
      </c>
      <c r="C402" s="66">
        <v>46840</v>
      </c>
      <c r="D402" s="66"/>
      <c r="E402" s="66"/>
    </row>
    <row r="403" spans="1:5" x14ac:dyDescent="0.2">
      <c r="A403" s="66">
        <v>46874</v>
      </c>
      <c r="B403" s="66">
        <f t="shared" si="8"/>
        <v>46871</v>
      </c>
      <c r="C403" s="66">
        <v>46868</v>
      </c>
      <c r="D403" s="66"/>
      <c r="E403" s="66"/>
    </row>
    <row r="404" spans="1:5" x14ac:dyDescent="0.2">
      <c r="A404" s="66">
        <v>46905</v>
      </c>
      <c r="B404" s="66">
        <f t="shared" si="8"/>
        <v>46904</v>
      </c>
      <c r="C404" s="66">
        <v>46898</v>
      </c>
      <c r="D404" s="66"/>
      <c r="E404" s="66"/>
    </row>
    <row r="405" spans="1:5" x14ac:dyDescent="0.2">
      <c r="A405" s="66">
        <v>46935</v>
      </c>
      <c r="B405" s="66">
        <f t="shared" si="8"/>
        <v>46934</v>
      </c>
      <c r="C405" s="66">
        <v>46931</v>
      </c>
      <c r="D405" s="66"/>
      <c r="E405" s="66"/>
    </row>
    <row r="406" spans="1:5" x14ac:dyDescent="0.2">
      <c r="A406" s="66">
        <v>46966</v>
      </c>
      <c r="B406" s="66">
        <f t="shared" si="8"/>
        <v>46965</v>
      </c>
      <c r="C406" s="66">
        <v>46960</v>
      </c>
      <c r="D406" s="66"/>
      <c r="E406" s="66"/>
    </row>
    <row r="407" spans="1:5" x14ac:dyDescent="0.2">
      <c r="A407" s="66">
        <v>46997</v>
      </c>
      <c r="B407" s="66">
        <f t="shared" si="8"/>
        <v>46996</v>
      </c>
      <c r="C407" s="66">
        <v>46993</v>
      </c>
      <c r="D407" s="66"/>
      <c r="E407" s="66"/>
    </row>
    <row r="408" spans="1:5" x14ac:dyDescent="0.2">
      <c r="A408" s="66">
        <v>47027</v>
      </c>
      <c r="B408" s="66">
        <f t="shared" si="8"/>
        <v>47025</v>
      </c>
      <c r="C408" s="66">
        <v>47022</v>
      </c>
      <c r="D408" s="66"/>
      <c r="E408" s="66"/>
    </row>
    <row r="409" spans="1:5" x14ac:dyDescent="0.2">
      <c r="A409" s="66">
        <v>47058</v>
      </c>
      <c r="B409" s="66">
        <f t="shared" si="8"/>
        <v>47057</v>
      </c>
      <c r="C409" s="66">
        <v>47052</v>
      </c>
      <c r="D409" s="66"/>
      <c r="E409" s="66"/>
    </row>
    <row r="410" spans="1:5" x14ac:dyDescent="0.2">
      <c r="A410" s="66">
        <v>47088</v>
      </c>
      <c r="B410" s="66">
        <f t="shared" si="8"/>
        <v>47087</v>
      </c>
      <c r="C410" s="66">
        <v>47084</v>
      </c>
      <c r="D410" s="66"/>
      <c r="E410" s="66"/>
    </row>
    <row r="411" spans="1:5" x14ac:dyDescent="0.2">
      <c r="A411" s="66">
        <v>47119</v>
      </c>
      <c r="B411" s="66">
        <f t="shared" si="8"/>
        <v>47116</v>
      </c>
      <c r="C411" s="66">
        <v>47113</v>
      </c>
      <c r="D411" s="66"/>
      <c r="E411" s="66"/>
    </row>
    <row r="412" spans="1:5" x14ac:dyDescent="0.2">
      <c r="A412" s="66">
        <v>47150</v>
      </c>
      <c r="B412" s="66">
        <f t="shared" si="8"/>
        <v>47149</v>
      </c>
      <c r="C412" s="66">
        <v>47144</v>
      </c>
      <c r="D412" s="66"/>
      <c r="E412" s="66"/>
    </row>
    <row r="413" spans="1:5" x14ac:dyDescent="0.2">
      <c r="A413" s="66">
        <v>47178</v>
      </c>
      <c r="B413" s="66">
        <f t="shared" si="8"/>
        <v>47177</v>
      </c>
      <c r="C413" s="66">
        <v>47172</v>
      </c>
      <c r="D413" s="66"/>
      <c r="E413" s="66"/>
    </row>
    <row r="414" spans="1:5" x14ac:dyDescent="0.2">
      <c r="A414" s="66">
        <v>47209</v>
      </c>
      <c r="B414" s="66">
        <f t="shared" si="8"/>
        <v>47207</v>
      </c>
      <c r="C414" s="66">
        <v>47203</v>
      </c>
      <c r="D414" s="66"/>
      <c r="E414" s="66"/>
    </row>
    <row r="415" spans="1:5" x14ac:dyDescent="0.2">
      <c r="A415" s="66">
        <v>47239</v>
      </c>
      <c r="B415" s="66">
        <f t="shared" si="8"/>
        <v>47238</v>
      </c>
      <c r="C415" s="66">
        <v>47233</v>
      </c>
      <c r="D415" s="66"/>
      <c r="E415" s="66"/>
    </row>
    <row r="416" spans="1:5" x14ac:dyDescent="0.2">
      <c r="A416" s="66">
        <v>47270</v>
      </c>
      <c r="B416" s="66">
        <f t="shared" si="8"/>
        <v>47269</v>
      </c>
      <c r="C416" s="66">
        <v>47266</v>
      </c>
      <c r="D416" s="66"/>
      <c r="E416" s="66"/>
    </row>
    <row r="417" spans="1:5" x14ac:dyDescent="0.2">
      <c r="A417" s="66">
        <v>47300</v>
      </c>
      <c r="B417" s="66">
        <f t="shared" si="8"/>
        <v>47298</v>
      </c>
      <c r="C417" s="66">
        <v>47295</v>
      </c>
      <c r="D417" s="66"/>
      <c r="E417" s="66"/>
    </row>
    <row r="418" spans="1:5" x14ac:dyDescent="0.2">
      <c r="A418" s="66">
        <v>47331</v>
      </c>
      <c r="B418" s="66">
        <f t="shared" si="8"/>
        <v>47330</v>
      </c>
      <c r="C418" s="66">
        <v>47325</v>
      </c>
      <c r="D418" s="66"/>
      <c r="E418" s="66"/>
    </row>
    <row r="419" spans="1:5" x14ac:dyDescent="0.2">
      <c r="A419" s="66">
        <v>47362</v>
      </c>
      <c r="B419" s="66">
        <f t="shared" si="8"/>
        <v>47361</v>
      </c>
      <c r="C419" s="66">
        <v>47358</v>
      </c>
      <c r="D419" s="66"/>
      <c r="E419" s="66"/>
    </row>
    <row r="420" spans="1:5" x14ac:dyDescent="0.2">
      <c r="A420" s="66">
        <v>47392</v>
      </c>
      <c r="B420" s="66">
        <f t="shared" si="8"/>
        <v>47389</v>
      </c>
      <c r="C420" s="66">
        <v>47386</v>
      </c>
      <c r="D420" s="66"/>
      <c r="E420" s="66"/>
    </row>
    <row r="421" spans="1:5" x14ac:dyDescent="0.2">
      <c r="A421" s="66">
        <v>47423</v>
      </c>
      <c r="B421" s="66">
        <f t="shared" si="8"/>
        <v>47422</v>
      </c>
      <c r="C421" s="66">
        <v>47417</v>
      </c>
      <c r="D421" s="66"/>
      <c r="E421" s="66"/>
    </row>
    <row r="422" spans="1:5" x14ac:dyDescent="0.2">
      <c r="A422" s="66">
        <v>47453</v>
      </c>
      <c r="B422" s="66">
        <f t="shared" si="8"/>
        <v>47452</v>
      </c>
      <c r="C422" s="66">
        <v>47449</v>
      </c>
      <c r="D422" s="66"/>
      <c r="E422" s="66"/>
    </row>
    <row r="423" spans="1:5" x14ac:dyDescent="0.2">
      <c r="A423" s="66">
        <v>47484</v>
      </c>
      <c r="B423" s="66">
        <v>47482</v>
      </c>
      <c r="C423" s="66">
        <v>47478</v>
      </c>
      <c r="D423" s="66"/>
      <c r="E423" s="66"/>
    </row>
    <row r="424" spans="1:5" x14ac:dyDescent="0.2">
      <c r="A424" s="66">
        <v>47515</v>
      </c>
      <c r="B424" s="66">
        <f t="shared" si="8"/>
        <v>47514</v>
      </c>
      <c r="C424" s="66">
        <v>47511</v>
      </c>
      <c r="D424" s="66"/>
      <c r="E424" s="66"/>
    </row>
    <row r="425" spans="1:5" x14ac:dyDescent="0.2">
      <c r="A425" s="66">
        <v>47543</v>
      </c>
      <c r="B425" s="66">
        <f t="shared" si="8"/>
        <v>47542</v>
      </c>
      <c r="C425" s="66">
        <v>47539</v>
      </c>
      <c r="D425" s="66"/>
      <c r="E425" s="66"/>
    </row>
    <row r="426" spans="1:5" x14ac:dyDescent="0.2">
      <c r="A426" s="66">
        <v>47574</v>
      </c>
      <c r="B426" s="66">
        <f t="shared" si="8"/>
        <v>47571</v>
      </c>
      <c r="C426" s="66">
        <v>47568</v>
      </c>
      <c r="D426" s="66"/>
      <c r="E426" s="66"/>
    </row>
    <row r="427" spans="1:5" x14ac:dyDescent="0.2">
      <c r="A427" s="66">
        <v>47604</v>
      </c>
      <c r="B427" s="66">
        <f t="shared" si="8"/>
        <v>47603</v>
      </c>
      <c r="C427" s="66">
        <v>47598</v>
      </c>
      <c r="D427" s="66"/>
      <c r="E427" s="66"/>
    </row>
    <row r="428" spans="1:5" x14ac:dyDescent="0.2">
      <c r="A428" s="66">
        <v>47635</v>
      </c>
      <c r="B428" s="66">
        <f t="shared" si="8"/>
        <v>47634</v>
      </c>
      <c r="C428" s="66">
        <v>47631</v>
      </c>
      <c r="D428" s="66"/>
      <c r="E428" s="66"/>
    </row>
    <row r="429" spans="1:5" x14ac:dyDescent="0.2">
      <c r="A429" s="66">
        <v>47665</v>
      </c>
      <c r="B429" s="66">
        <f t="shared" si="8"/>
        <v>47662</v>
      </c>
      <c r="C429" s="66">
        <v>47659</v>
      </c>
      <c r="D429" s="66"/>
      <c r="E429" s="66"/>
    </row>
    <row r="430" spans="1:5" x14ac:dyDescent="0.2">
      <c r="A430" s="66">
        <v>47696</v>
      </c>
      <c r="B430" s="66">
        <f t="shared" si="8"/>
        <v>47695</v>
      </c>
      <c r="C430" s="66">
        <v>47690</v>
      </c>
      <c r="D430" s="66"/>
      <c r="E430" s="66"/>
    </row>
    <row r="431" spans="1:5" x14ac:dyDescent="0.2">
      <c r="A431" s="66">
        <v>47727</v>
      </c>
      <c r="B431" s="66">
        <f t="shared" si="8"/>
        <v>47725</v>
      </c>
      <c r="C431" s="66">
        <v>47722</v>
      </c>
      <c r="D431" s="66"/>
      <c r="E431" s="66"/>
    </row>
    <row r="432" spans="1:5" x14ac:dyDescent="0.2">
      <c r="A432" s="66">
        <v>47757</v>
      </c>
      <c r="B432" s="66">
        <f t="shared" si="8"/>
        <v>47756</v>
      </c>
      <c r="C432" s="66">
        <v>47751</v>
      </c>
      <c r="D432" s="66"/>
      <c r="E432" s="66"/>
    </row>
    <row r="433" spans="1:5" x14ac:dyDescent="0.2">
      <c r="A433" s="66">
        <v>47788</v>
      </c>
      <c r="B433" s="66">
        <f t="shared" si="8"/>
        <v>47787</v>
      </c>
      <c r="C433" s="66">
        <v>47784</v>
      </c>
      <c r="D433" s="66"/>
      <c r="E433" s="66"/>
    </row>
    <row r="434" spans="1:5" x14ac:dyDescent="0.2">
      <c r="A434" s="66">
        <v>47818</v>
      </c>
      <c r="B434" s="66">
        <f t="shared" si="8"/>
        <v>47816</v>
      </c>
      <c r="C434" s="66">
        <v>47812</v>
      </c>
      <c r="D434" s="66"/>
      <c r="E434" s="66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60</vt:i4>
      </vt:variant>
    </vt:vector>
  </HeadingPairs>
  <TitlesOfParts>
    <vt:vector size="65" baseType="lpstr">
      <vt:lpstr>VolSkew</vt:lpstr>
      <vt:lpstr>Shimko</vt:lpstr>
      <vt:lpstr>expiry</vt:lpstr>
      <vt:lpstr>Distribution</vt:lpstr>
      <vt:lpstr>St Dist</vt:lpstr>
      <vt:lpstr>Alpha1</vt:lpstr>
      <vt:lpstr>Alpha2</vt:lpstr>
      <vt:lpstr>AlphaA</vt:lpstr>
      <vt:lpstr>AlphaB</vt:lpstr>
      <vt:lpstr>ATMImpVol</vt:lpstr>
      <vt:lpstr>Commodity</vt:lpstr>
      <vt:lpstr>Contract</vt:lpstr>
      <vt:lpstr>ENAEquFit</vt:lpstr>
      <vt:lpstr>ENAVolCoef</vt:lpstr>
      <vt:lpstr>ENAVolFit</vt:lpstr>
      <vt:lpstr>ENAVolTable</vt:lpstr>
      <vt:lpstr>equation_fit</vt:lpstr>
      <vt:lpstr>Expiry</vt:lpstr>
      <vt:lpstr>ExpiryTable</vt:lpstr>
      <vt:lpstr>FixedATM</vt:lpstr>
      <vt:lpstr>Shimko!Gamma</vt:lpstr>
      <vt:lpstr>Gamma2</vt:lpstr>
      <vt:lpstr>impvol_order</vt:lpstr>
      <vt:lpstr>ImpVolFitTop</vt:lpstr>
      <vt:lpstr>ImpVolTable</vt:lpstr>
      <vt:lpstr>ImpVolTop</vt:lpstr>
      <vt:lpstr>IntRate</vt:lpstr>
      <vt:lpstr>LTFactor</vt:lpstr>
      <vt:lpstr>LTpdf</vt:lpstr>
      <vt:lpstr>LTStandard</vt:lpstr>
      <vt:lpstr>LTStrikes</vt:lpstr>
      <vt:lpstr>MaxMoneyness</vt:lpstr>
      <vt:lpstr>MaxPDF</vt:lpstr>
      <vt:lpstr>MaxStandard</vt:lpstr>
      <vt:lpstr>MaxStrike</vt:lpstr>
      <vt:lpstr>MinMoneyness</vt:lpstr>
      <vt:lpstr>MinPDF</vt:lpstr>
      <vt:lpstr>MinStandard</vt:lpstr>
      <vt:lpstr>MinStrike</vt:lpstr>
      <vt:lpstr>MoneynessFitTop</vt:lpstr>
      <vt:lpstr>MoneynessTop</vt:lpstr>
      <vt:lpstr>NoDataPts</vt:lpstr>
      <vt:lpstr>NumStrikeToFit</vt:lpstr>
      <vt:lpstr>NumToFit</vt:lpstr>
      <vt:lpstr>NumToFit2</vt:lpstr>
      <vt:lpstr>OldData</vt:lpstr>
      <vt:lpstr>PastableRange</vt:lpstr>
      <vt:lpstr>pdfCoef</vt:lpstr>
      <vt:lpstr>PremiumTop</vt:lpstr>
      <vt:lpstr>VolSkew!Print_Area</vt:lpstr>
      <vt:lpstr>RangeToPaste</vt:lpstr>
      <vt:lpstr>sigmaATM</vt:lpstr>
      <vt:lpstr>StrikeTop</vt:lpstr>
      <vt:lpstr>T</vt:lpstr>
      <vt:lpstr>Target</vt:lpstr>
      <vt:lpstr>Target2</vt:lpstr>
      <vt:lpstr>Today</vt:lpstr>
      <vt:lpstr>UnderlyingPrice</vt:lpstr>
      <vt:lpstr>UTFactor</vt:lpstr>
      <vt:lpstr>UTpdf</vt:lpstr>
      <vt:lpstr>UTStandard</vt:lpstr>
      <vt:lpstr>UTStrikes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Felienne</cp:lastModifiedBy>
  <cp:lastPrinted>2001-05-02T13:24:54Z</cp:lastPrinted>
  <dcterms:created xsi:type="dcterms:W3CDTF">2001-03-30T18:44:24Z</dcterms:created>
  <dcterms:modified xsi:type="dcterms:W3CDTF">2014-09-04T19:41:27Z</dcterms:modified>
</cp:coreProperties>
</file>